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  <Override PartName="/xl/commentsmeta0" ContentType="application/binary"/>
  <Override PartName="/xl/commentsmeta1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/>
  <mc:AlternateContent xmlns:mc="http://schemas.openxmlformats.org/markup-compatibility/2006">
    <mc:Choice Requires="x15">
      <x15ac:absPath xmlns:x15ac="http://schemas.microsoft.com/office/spreadsheetml/2010/11/ac" url="/Volumes/research/darpa-criticalmaas/data-preparation/nickel/"/>
    </mc:Choice>
  </mc:AlternateContent>
  <xr:revisionPtr revIDLastSave="0" documentId="13_ncr:1_{5742E519-9B69-AB4E-81F2-4DA68D225CE6}" xr6:coauthVersionLast="47" xr6:coauthVersionMax="47" xr10:uidLastSave="{00000000-0000-0000-0000-000000000000}"/>
  <bookViews>
    <workbookView xWindow="6020" yWindow="1460" windowWidth="30240" windowHeight="18880" xr2:uid="{00000000-000D-0000-FFFF-FFFF00000000}"/>
  </bookViews>
  <sheets>
    <sheet name="Ni Master" sheetId="1" r:id="rId1"/>
    <sheet name="Ni $Values" sheetId="2" r:id="rId2"/>
    <sheet name="ResC % v t" sheetId="3" r:id="rId3"/>
    <sheet name="ResV % v t" sheetId="4" r:id="rId4"/>
    <sheet name="ResC $ v t" sheetId="5" r:id="rId5"/>
    <sheet name="ResV $ v t" sheetId="6" r:id="rId6"/>
    <sheet name="1v1 S" sheetId="7" r:id="rId7"/>
    <sheet name="1v1 L" sheetId="8" r:id="rId8"/>
  </sheets>
  <definedNames>
    <definedName name="_xlnm._FilterDatabase" localSheetId="0" hidden="1">'Ni Master'!$A$1:$FV$632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2" roundtripDataChecksum="gEx+UmylfIP6QnTMTVE39bkSnCUtBHNlSCir3DQE+rk="/>
    </ext>
  </extLst>
</workbook>
</file>

<file path=xl/calcChain.xml><?xml version="1.0" encoding="utf-8"?>
<calcChain xmlns="http://schemas.openxmlformats.org/spreadsheetml/2006/main">
  <c r="HC631" i="2" l="1"/>
  <c r="HB631" i="2"/>
  <c r="GW631" i="2"/>
  <c r="GU631" i="2"/>
  <c r="GT631" i="2"/>
  <c r="GO631" i="2"/>
  <c r="GI631" i="2"/>
  <c r="FY631" i="2"/>
  <c r="FT631" i="2"/>
  <c r="FS631" i="2"/>
  <c r="GL631" i="2" s="1"/>
  <c r="FQ631" i="2"/>
  <c r="GJ631" i="2" s="1"/>
  <c r="FP631" i="2"/>
  <c r="FO631" i="2"/>
  <c r="FN631" i="2"/>
  <c r="FM631" i="2"/>
  <c r="FL631" i="2"/>
  <c r="FK631" i="2"/>
  <c r="FJ631" i="2"/>
  <c r="FI631" i="2"/>
  <c r="GB631" i="2" s="1"/>
  <c r="FH631" i="2"/>
  <c r="FG631" i="2"/>
  <c r="FF631" i="2"/>
  <c r="FE631" i="2"/>
  <c r="FX631" i="2" s="1"/>
  <c r="FD631" i="2"/>
  <c r="FC631" i="2"/>
  <c r="FB631" i="2"/>
  <c r="EE631" i="2"/>
  <c r="EX631" i="2" s="1"/>
  <c r="ED631" i="2"/>
  <c r="EW631" i="2" s="1"/>
  <c r="EC631" i="2"/>
  <c r="EB631" i="2"/>
  <c r="EA631" i="2"/>
  <c r="DY631" i="2"/>
  <c r="DU631" i="2"/>
  <c r="DT631" i="2"/>
  <c r="EM631" i="2" s="1"/>
  <c r="DS631" i="2"/>
  <c r="EL631" i="2" s="1"/>
  <c r="DR631" i="2"/>
  <c r="DQ631" i="2"/>
  <c r="DM631" i="2"/>
  <c r="BC631" i="2"/>
  <c r="AY631" i="2"/>
  <c r="DZ631" i="2" s="1"/>
  <c r="HC630" i="2"/>
  <c r="HB630" i="2"/>
  <c r="GW630" i="2"/>
  <c r="GV630" i="2"/>
  <c r="GU630" i="2"/>
  <c r="GT630" i="2"/>
  <c r="GO630" i="2"/>
  <c r="GL630" i="2"/>
  <c r="GB630" i="2"/>
  <c r="FT630" i="2"/>
  <c r="FS630" i="2"/>
  <c r="FQ630" i="2"/>
  <c r="GJ630" i="2" s="1"/>
  <c r="FP630" i="2"/>
  <c r="GI630" i="2" s="1"/>
  <c r="FO630" i="2"/>
  <c r="FN630" i="2"/>
  <c r="FM630" i="2"/>
  <c r="FL630" i="2"/>
  <c r="FK630" i="2"/>
  <c r="FJ630" i="2"/>
  <c r="FI630" i="2"/>
  <c r="FH630" i="2"/>
  <c r="FG630" i="2"/>
  <c r="FF630" i="2"/>
  <c r="FY630" i="2" s="1"/>
  <c r="FE630" i="2"/>
  <c r="FX630" i="2" s="1"/>
  <c r="FD630" i="2"/>
  <c r="FC630" i="2"/>
  <c r="FB630" i="2"/>
  <c r="EX630" i="2"/>
  <c r="EW630" i="2"/>
  <c r="EP630" i="2"/>
  <c r="EM630" i="2"/>
  <c r="EL630" i="2"/>
  <c r="EH630" i="2"/>
  <c r="EG630" i="2"/>
  <c r="EZ630" i="2" s="1"/>
  <c r="EE630" i="2"/>
  <c r="ED630" i="2"/>
  <c r="EC630" i="2"/>
  <c r="EB630" i="2"/>
  <c r="EA630" i="2"/>
  <c r="DZ630" i="2"/>
  <c r="DY630" i="2"/>
  <c r="DX630" i="2"/>
  <c r="DW630" i="2"/>
  <c r="DV630" i="2"/>
  <c r="DU630" i="2"/>
  <c r="DT630" i="2"/>
  <c r="DS630" i="2"/>
  <c r="DR630" i="2"/>
  <c r="DQ630" i="2"/>
  <c r="DP630" i="2"/>
  <c r="DM630" i="2"/>
  <c r="DL630" i="2"/>
  <c r="HC629" i="2"/>
  <c r="HB629" i="2"/>
  <c r="GW629" i="2"/>
  <c r="GV629" i="2"/>
  <c r="GU629" i="2"/>
  <c r="GT629" i="2"/>
  <c r="GP629" i="2"/>
  <c r="GQ629" i="2" s="1"/>
  <c r="GO629" i="2"/>
  <c r="GL629" i="2"/>
  <c r="GI629" i="2"/>
  <c r="GB629" i="2"/>
  <c r="FY629" i="2"/>
  <c r="FX629" i="2"/>
  <c r="FT629" i="2"/>
  <c r="FS629" i="2"/>
  <c r="FQ629" i="2"/>
  <c r="GJ629" i="2" s="1"/>
  <c r="FP629" i="2"/>
  <c r="FO629" i="2"/>
  <c r="FN629" i="2"/>
  <c r="FM629" i="2"/>
  <c r="FL629" i="2"/>
  <c r="FK629" i="2"/>
  <c r="FJ629" i="2"/>
  <c r="FI629" i="2"/>
  <c r="FH629" i="2"/>
  <c r="FG629" i="2"/>
  <c r="FF629" i="2"/>
  <c r="FE629" i="2"/>
  <c r="FD629" i="2"/>
  <c r="FC629" i="2"/>
  <c r="FB629" i="2"/>
  <c r="EP629" i="2"/>
  <c r="EL629" i="2"/>
  <c r="EH629" i="2"/>
  <c r="EG629" i="2"/>
  <c r="EZ629" i="2" s="1"/>
  <c r="EE629" i="2"/>
  <c r="EX629" i="2" s="1"/>
  <c r="ED629" i="2"/>
  <c r="EW629" i="2" s="1"/>
  <c r="EC629" i="2"/>
  <c r="EB629" i="2"/>
  <c r="EA629" i="2"/>
  <c r="DZ629" i="2"/>
  <c r="DY629" i="2"/>
  <c r="DX629" i="2"/>
  <c r="DW629" i="2"/>
  <c r="DV629" i="2"/>
  <c r="DU629" i="2"/>
  <c r="DT629" i="2"/>
  <c r="EM629" i="2" s="1"/>
  <c r="DS629" i="2"/>
  <c r="DR629" i="2"/>
  <c r="DQ629" i="2"/>
  <c r="DP629" i="2"/>
  <c r="DM629" i="2"/>
  <c r="DL629" i="2"/>
  <c r="HC628" i="2"/>
  <c r="HB628" i="2"/>
  <c r="GW628" i="2"/>
  <c r="GV628" i="2"/>
  <c r="GU628" i="2"/>
  <c r="GT628" i="2"/>
  <c r="GO628" i="2"/>
  <c r="GL628" i="2"/>
  <c r="GB628" i="2"/>
  <c r="FY628" i="2"/>
  <c r="FT628" i="2"/>
  <c r="FS628" i="2"/>
  <c r="FQ628" i="2"/>
  <c r="GJ628" i="2" s="1"/>
  <c r="FP628" i="2"/>
  <c r="GI628" i="2" s="1"/>
  <c r="FO628" i="2"/>
  <c r="FN628" i="2"/>
  <c r="FM628" i="2"/>
  <c r="FL628" i="2"/>
  <c r="FK628" i="2"/>
  <c r="FJ628" i="2"/>
  <c r="FI628" i="2"/>
  <c r="FH628" i="2"/>
  <c r="FG628" i="2"/>
  <c r="FF628" i="2"/>
  <c r="FE628" i="2"/>
  <c r="FX628" i="2" s="1"/>
  <c r="FD628" i="2"/>
  <c r="FC628" i="2"/>
  <c r="FB628" i="2"/>
  <c r="EX628" i="2"/>
  <c r="EW628" i="2"/>
  <c r="EP628" i="2"/>
  <c r="EM628" i="2"/>
  <c r="EL628" i="2"/>
  <c r="EH628" i="2"/>
  <c r="EG628" i="2"/>
  <c r="EZ628" i="2" s="1"/>
  <c r="EE628" i="2"/>
  <c r="ED628" i="2"/>
  <c r="EC628" i="2"/>
  <c r="EB628" i="2"/>
  <c r="EA628" i="2"/>
  <c r="DZ628" i="2"/>
  <c r="DY628" i="2"/>
  <c r="DX628" i="2"/>
  <c r="DW628" i="2"/>
  <c r="DV628" i="2"/>
  <c r="DU628" i="2"/>
  <c r="DT628" i="2"/>
  <c r="DS628" i="2"/>
  <c r="DR628" i="2"/>
  <c r="DQ628" i="2"/>
  <c r="DP628" i="2"/>
  <c r="DM628" i="2"/>
  <c r="DL628" i="2"/>
  <c r="HC627" i="2"/>
  <c r="HB627" i="2"/>
  <c r="GW627" i="2"/>
  <c r="GV627" i="2"/>
  <c r="GU627" i="2"/>
  <c r="GT627" i="2"/>
  <c r="GQ627" i="2"/>
  <c r="GP627" i="2"/>
  <c r="GO627" i="2"/>
  <c r="GL627" i="2"/>
  <c r="GI627" i="2"/>
  <c r="GB627" i="2"/>
  <c r="FY627" i="2"/>
  <c r="FX627" i="2"/>
  <c r="FT627" i="2"/>
  <c r="FS627" i="2"/>
  <c r="FQ627" i="2"/>
  <c r="GJ627" i="2" s="1"/>
  <c r="FP627" i="2"/>
  <c r="FO627" i="2"/>
  <c r="FN627" i="2"/>
  <c r="FM627" i="2"/>
  <c r="FL627" i="2"/>
  <c r="FK627" i="2"/>
  <c r="FJ627" i="2"/>
  <c r="FI627" i="2"/>
  <c r="FH627" i="2"/>
  <c r="FG627" i="2"/>
  <c r="FF627" i="2"/>
  <c r="FE627" i="2"/>
  <c r="FD627" i="2"/>
  <c r="FC627" i="2"/>
  <c r="FB627" i="2"/>
  <c r="EH627" i="2"/>
  <c r="EG627" i="2"/>
  <c r="EZ627" i="2" s="1"/>
  <c r="EE627" i="2"/>
  <c r="EX627" i="2" s="1"/>
  <c r="ED627" i="2"/>
  <c r="EW627" i="2" s="1"/>
  <c r="EC627" i="2"/>
  <c r="EB627" i="2"/>
  <c r="EA627" i="2"/>
  <c r="DZ627" i="2"/>
  <c r="DY627" i="2"/>
  <c r="DX627" i="2"/>
  <c r="DW627" i="2"/>
  <c r="EP627" i="2" s="1"/>
  <c r="DV627" i="2"/>
  <c r="DU627" i="2"/>
  <c r="DT627" i="2"/>
  <c r="EM627" i="2" s="1"/>
  <c r="DS627" i="2"/>
  <c r="EL627" i="2" s="1"/>
  <c r="DR627" i="2"/>
  <c r="DQ627" i="2"/>
  <c r="DP627" i="2"/>
  <c r="DM627" i="2"/>
  <c r="DL627" i="2"/>
  <c r="HC626" i="2"/>
  <c r="HB626" i="2"/>
  <c r="GW626" i="2"/>
  <c r="GV626" i="2"/>
  <c r="GU626" i="2"/>
  <c r="GT626" i="2"/>
  <c r="GO626" i="2"/>
  <c r="FT626" i="2"/>
  <c r="FS626" i="2"/>
  <c r="GL626" i="2" s="1"/>
  <c r="FQ626" i="2"/>
  <c r="GJ626" i="2" s="1"/>
  <c r="FP626" i="2"/>
  <c r="GI626" i="2" s="1"/>
  <c r="FO626" i="2"/>
  <c r="FN626" i="2"/>
  <c r="FM626" i="2"/>
  <c r="FL626" i="2"/>
  <c r="FK626" i="2"/>
  <c r="FJ626" i="2"/>
  <c r="FI626" i="2"/>
  <c r="GB626" i="2" s="1"/>
  <c r="FH626" i="2"/>
  <c r="FG626" i="2"/>
  <c r="FF626" i="2"/>
  <c r="FY626" i="2" s="1"/>
  <c r="FE626" i="2"/>
  <c r="FX626" i="2" s="1"/>
  <c r="FD626" i="2"/>
  <c r="FC626" i="2"/>
  <c r="FB626" i="2"/>
  <c r="EX626" i="2"/>
  <c r="EW626" i="2"/>
  <c r="EM626" i="2"/>
  <c r="EG626" i="2"/>
  <c r="EZ626" i="2" s="1"/>
  <c r="EE626" i="2"/>
  <c r="ED626" i="2"/>
  <c r="EC626" i="2"/>
  <c r="EB626" i="2"/>
  <c r="EA626" i="2"/>
  <c r="DZ626" i="2"/>
  <c r="DY626" i="2"/>
  <c r="DX626" i="2"/>
  <c r="DV626" i="2"/>
  <c r="DU626" i="2"/>
  <c r="DT626" i="2"/>
  <c r="DS626" i="2"/>
  <c r="EL626" i="2" s="1"/>
  <c r="DR626" i="2"/>
  <c r="DQ626" i="2"/>
  <c r="DP626" i="2"/>
  <c r="DM626" i="2"/>
  <c r="DL626" i="2"/>
  <c r="AY626" i="2"/>
  <c r="EH626" i="2" s="1"/>
  <c r="HC625" i="2"/>
  <c r="HB625" i="2"/>
  <c r="GW625" i="2"/>
  <c r="GV625" i="2"/>
  <c r="GU625" i="2"/>
  <c r="GT625" i="2"/>
  <c r="GJ625" i="2"/>
  <c r="GI625" i="2"/>
  <c r="GB625" i="2"/>
  <c r="FY625" i="2"/>
  <c r="FX625" i="2"/>
  <c r="FT625" i="2"/>
  <c r="FS625" i="2"/>
  <c r="GL625" i="2" s="1"/>
  <c r="FQ625" i="2"/>
  <c r="FP625" i="2"/>
  <c r="FO625" i="2"/>
  <c r="FN625" i="2"/>
  <c r="FM625" i="2"/>
  <c r="FL625" i="2"/>
  <c r="FK625" i="2"/>
  <c r="FJ625" i="2"/>
  <c r="FI625" i="2"/>
  <c r="FH625" i="2"/>
  <c r="FG625" i="2"/>
  <c r="FF625" i="2"/>
  <c r="FE625" i="2"/>
  <c r="FD625" i="2"/>
  <c r="FC625" i="2"/>
  <c r="FB625" i="2"/>
  <c r="ED625" i="2"/>
  <c r="EW625" i="2" s="1"/>
  <c r="DX625" i="2"/>
  <c r="DV625" i="2"/>
  <c r="DU625" i="2"/>
  <c r="DL625" i="2"/>
  <c r="AY625" i="2"/>
  <c r="GO625" i="2" s="1"/>
  <c r="HC624" i="2"/>
  <c r="HB624" i="2"/>
  <c r="GW624" i="2"/>
  <c r="GU624" i="2"/>
  <c r="GT624" i="2"/>
  <c r="GI624" i="2"/>
  <c r="FY624" i="2"/>
  <c r="FX624" i="2"/>
  <c r="FT624" i="2"/>
  <c r="FS624" i="2"/>
  <c r="GL624" i="2" s="1"/>
  <c r="FQ624" i="2"/>
  <c r="GJ624" i="2" s="1"/>
  <c r="FP624" i="2"/>
  <c r="FO624" i="2"/>
  <c r="FN624" i="2"/>
  <c r="FM624" i="2"/>
  <c r="FL624" i="2"/>
  <c r="FK624" i="2"/>
  <c r="FJ624" i="2"/>
  <c r="FI624" i="2"/>
  <c r="GB624" i="2" s="1"/>
  <c r="FH624" i="2"/>
  <c r="FG624" i="2"/>
  <c r="FF624" i="2"/>
  <c r="FE624" i="2"/>
  <c r="FD624" i="2"/>
  <c r="FC624" i="2"/>
  <c r="FB624" i="2"/>
  <c r="EE624" i="2"/>
  <c r="EX624" i="2" s="1"/>
  <c r="DS624" i="2"/>
  <c r="EL624" i="2" s="1"/>
  <c r="DR624" i="2"/>
  <c r="AY624" i="2"/>
  <c r="DT624" i="2" s="1"/>
  <c r="EM624" i="2" s="1"/>
  <c r="HC623" i="2"/>
  <c r="HB623" i="2"/>
  <c r="GW623" i="2"/>
  <c r="GV623" i="2"/>
  <c r="GU623" i="2"/>
  <c r="GT623" i="2"/>
  <c r="GP623" i="2"/>
  <c r="GO623" i="2"/>
  <c r="GQ623" i="2" s="1"/>
  <c r="GJ623" i="2"/>
  <c r="GI623" i="2"/>
  <c r="GB623" i="2"/>
  <c r="FY623" i="2"/>
  <c r="FT623" i="2"/>
  <c r="FS623" i="2"/>
  <c r="GL623" i="2" s="1"/>
  <c r="FQ623" i="2"/>
  <c r="FP623" i="2"/>
  <c r="FO623" i="2"/>
  <c r="FN623" i="2"/>
  <c r="FM623" i="2"/>
  <c r="FL623" i="2"/>
  <c r="FK623" i="2"/>
  <c r="FJ623" i="2"/>
  <c r="FI623" i="2"/>
  <c r="FH623" i="2"/>
  <c r="FG623" i="2"/>
  <c r="FF623" i="2"/>
  <c r="FE623" i="2"/>
  <c r="FX623" i="2" s="1"/>
  <c r="FD623" i="2"/>
  <c r="FC623" i="2"/>
  <c r="FB623" i="2"/>
  <c r="EP623" i="2"/>
  <c r="EH623" i="2"/>
  <c r="EG623" i="2"/>
  <c r="EZ623" i="2" s="1"/>
  <c r="EE623" i="2"/>
  <c r="EX623" i="2" s="1"/>
  <c r="ED623" i="2"/>
  <c r="EW623" i="2" s="1"/>
  <c r="EC623" i="2"/>
  <c r="EB623" i="2"/>
  <c r="EA623" i="2"/>
  <c r="DZ623" i="2"/>
  <c r="DY623" i="2"/>
  <c r="DX623" i="2"/>
  <c r="DW623" i="2"/>
  <c r="DV623" i="2"/>
  <c r="DU623" i="2"/>
  <c r="DT623" i="2"/>
  <c r="EM623" i="2" s="1"/>
  <c r="DS623" i="2"/>
  <c r="EL623" i="2" s="1"/>
  <c r="DR623" i="2"/>
  <c r="DQ623" i="2"/>
  <c r="DP623" i="2"/>
  <c r="DM623" i="2"/>
  <c r="DL623" i="2"/>
  <c r="HC622" i="2"/>
  <c r="HB622" i="2"/>
  <c r="GW622" i="2"/>
  <c r="GV622" i="2"/>
  <c r="GU622" i="2"/>
  <c r="GT622" i="2"/>
  <c r="GQ622" i="2"/>
  <c r="GP622" i="2"/>
  <c r="GO622" i="2"/>
  <c r="GL622" i="2"/>
  <c r="GI622" i="2"/>
  <c r="GB622" i="2"/>
  <c r="FY622" i="2"/>
  <c r="FX622" i="2"/>
  <c r="FT622" i="2"/>
  <c r="FS622" i="2"/>
  <c r="FQ622" i="2"/>
  <c r="GJ622" i="2" s="1"/>
  <c r="FP622" i="2"/>
  <c r="FO622" i="2"/>
  <c r="FN622" i="2"/>
  <c r="FM622" i="2"/>
  <c r="FL622" i="2"/>
  <c r="FK622" i="2"/>
  <c r="FJ622" i="2"/>
  <c r="FI622" i="2"/>
  <c r="FH622" i="2"/>
  <c r="FG622" i="2"/>
  <c r="FF622" i="2"/>
  <c r="FE622" i="2"/>
  <c r="FD622" i="2"/>
  <c r="FC622" i="2"/>
  <c r="FB622" i="2"/>
  <c r="EX622" i="2"/>
  <c r="EL622" i="2"/>
  <c r="EH622" i="2"/>
  <c r="EG622" i="2"/>
  <c r="EZ622" i="2" s="1"/>
  <c r="EE622" i="2"/>
  <c r="ED622" i="2"/>
  <c r="EW622" i="2" s="1"/>
  <c r="EC622" i="2"/>
  <c r="EB622" i="2"/>
  <c r="EA622" i="2"/>
  <c r="DZ622" i="2"/>
  <c r="DY622" i="2"/>
  <c r="DX622" i="2"/>
  <c r="DW622" i="2"/>
  <c r="EP622" i="2" s="1"/>
  <c r="DV622" i="2"/>
  <c r="DU622" i="2"/>
  <c r="DT622" i="2"/>
  <c r="EM622" i="2" s="1"/>
  <c r="DS622" i="2"/>
  <c r="DR622" i="2"/>
  <c r="DQ622" i="2"/>
  <c r="DP622" i="2"/>
  <c r="DM622" i="2"/>
  <c r="DL622" i="2"/>
  <c r="HC621" i="2"/>
  <c r="HB621" i="2"/>
  <c r="GW621" i="2"/>
  <c r="GV621" i="2"/>
  <c r="GU621" i="2"/>
  <c r="GT621" i="2"/>
  <c r="GO621" i="2"/>
  <c r="GI621" i="2"/>
  <c r="FY621" i="2"/>
  <c r="FT621" i="2"/>
  <c r="FS621" i="2"/>
  <c r="GL621" i="2" s="1"/>
  <c r="FQ621" i="2"/>
  <c r="GJ621" i="2" s="1"/>
  <c r="FP621" i="2"/>
  <c r="FO621" i="2"/>
  <c r="FN621" i="2"/>
  <c r="FM621" i="2"/>
  <c r="FL621" i="2"/>
  <c r="FK621" i="2"/>
  <c r="FJ621" i="2"/>
  <c r="FI621" i="2"/>
  <c r="GB621" i="2" s="1"/>
  <c r="FH621" i="2"/>
  <c r="FG621" i="2"/>
  <c r="FF621" i="2"/>
  <c r="FE621" i="2"/>
  <c r="FX621" i="2" s="1"/>
  <c r="FD621" i="2"/>
  <c r="FC621" i="2"/>
  <c r="FB621" i="2"/>
  <c r="EW621" i="2"/>
  <c r="EP621" i="2"/>
  <c r="EH621" i="2"/>
  <c r="EG621" i="2"/>
  <c r="EZ621" i="2" s="1"/>
  <c r="EE621" i="2"/>
  <c r="EX621" i="2" s="1"/>
  <c r="ED621" i="2"/>
  <c r="EC621" i="2"/>
  <c r="EB621" i="2"/>
  <c r="EA621" i="2"/>
  <c r="DX621" i="2"/>
  <c r="DW621" i="2"/>
  <c r="DV621" i="2"/>
  <c r="DU621" i="2"/>
  <c r="DT621" i="2"/>
  <c r="EM621" i="2" s="1"/>
  <c r="DS621" i="2"/>
  <c r="EL621" i="2" s="1"/>
  <c r="DR621" i="2"/>
  <c r="DQ621" i="2"/>
  <c r="DP621" i="2"/>
  <c r="DM621" i="2"/>
  <c r="DL621" i="2"/>
  <c r="BJ621" i="2"/>
  <c r="DZ621" i="2" s="1"/>
  <c r="BI621" i="2"/>
  <c r="DY621" i="2" s="1"/>
  <c r="HC620" i="2"/>
  <c r="HB620" i="2"/>
  <c r="GW620" i="2"/>
  <c r="GV620" i="2"/>
  <c r="GU620" i="2"/>
  <c r="GT620" i="2"/>
  <c r="GO620" i="2"/>
  <c r="FT620" i="2"/>
  <c r="FS620" i="2"/>
  <c r="GL620" i="2" s="1"/>
  <c r="FQ620" i="2"/>
  <c r="GJ620" i="2" s="1"/>
  <c r="FP620" i="2"/>
  <c r="GI620" i="2" s="1"/>
  <c r="FO620" i="2"/>
  <c r="FN620" i="2"/>
  <c r="FM620" i="2"/>
  <c r="FL620" i="2"/>
  <c r="FK620" i="2"/>
  <c r="FJ620" i="2"/>
  <c r="FI620" i="2"/>
  <c r="GB620" i="2" s="1"/>
  <c r="FH620" i="2"/>
  <c r="FG620" i="2"/>
  <c r="FF620" i="2"/>
  <c r="FY620" i="2" s="1"/>
  <c r="FE620" i="2"/>
  <c r="FX620" i="2" s="1"/>
  <c r="FD620" i="2"/>
  <c r="FC620" i="2"/>
  <c r="FB620" i="2"/>
  <c r="EX620" i="2"/>
  <c r="EW620" i="2"/>
  <c r="EP620" i="2"/>
  <c r="EM620" i="2"/>
  <c r="EL620" i="2"/>
  <c r="EH620" i="2"/>
  <c r="EG620" i="2"/>
  <c r="EZ620" i="2" s="1"/>
  <c r="EE620" i="2"/>
  <c r="ED620" i="2"/>
  <c r="EC620" i="2"/>
  <c r="EB620" i="2"/>
  <c r="EA620" i="2"/>
  <c r="DZ620" i="2"/>
  <c r="DY620" i="2"/>
  <c r="DX620" i="2"/>
  <c r="DW620" i="2"/>
  <c r="DV620" i="2"/>
  <c r="DU620" i="2"/>
  <c r="DT620" i="2"/>
  <c r="DS620" i="2"/>
  <c r="DR620" i="2"/>
  <c r="DQ620" i="2"/>
  <c r="DP620" i="2"/>
  <c r="DM620" i="2"/>
  <c r="DL620" i="2"/>
  <c r="HC619" i="2"/>
  <c r="HB619" i="2"/>
  <c r="GW619" i="2"/>
  <c r="GU619" i="2"/>
  <c r="GT619" i="2"/>
  <c r="GL619" i="2"/>
  <c r="GI619" i="2"/>
  <c r="GB619" i="2"/>
  <c r="FX619" i="2"/>
  <c r="FT619" i="2"/>
  <c r="FS619" i="2"/>
  <c r="FQ619" i="2"/>
  <c r="GJ619" i="2" s="1"/>
  <c r="FP619" i="2"/>
  <c r="FO619" i="2"/>
  <c r="FN619" i="2"/>
  <c r="FM619" i="2"/>
  <c r="FL619" i="2"/>
  <c r="FK619" i="2"/>
  <c r="FJ619" i="2"/>
  <c r="FI619" i="2"/>
  <c r="FH619" i="2"/>
  <c r="FG619" i="2"/>
  <c r="FF619" i="2"/>
  <c r="FY619" i="2" s="1"/>
  <c r="FE619" i="2"/>
  <c r="FD619" i="2"/>
  <c r="FC619" i="2"/>
  <c r="FB619" i="2"/>
  <c r="EH619" i="2"/>
  <c r="EG619" i="2"/>
  <c r="EZ619" i="2" s="1"/>
  <c r="EE619" i="2"/>
  <c r="EX619" i="2" s="1"/>
  <c r="ED619" i="2"/>
  <c r="EW619" i="2" s="1"/>
  <c r="EC619" i="2"/>
  <c r="EA619" i="2"/>
  <c r="DV619" i="2"/>
  <c r="DU619" i="2"/>
  <c r="DT619" i="2"/>
  <c r="EM619" i="2" s="1"/>
  <c r="DS619" i="2"/>
  <c r="EL619" i="2" s="1"/>
  <c r="DQ619" i="2"/>
  <c r="DP619" i="2"/>
  <c r="DL619" i="2"/>
  <c r="BG619" i="2"/>
  <c r="AZ619" i="2"/>
  <c r="AY619" i="2"/>
  <c r="HC618" i="2"/>
  <c r="HB618" i="2"/>
  <c r="GW618" i="2"/>
  <c r="GV618" i="2"/>
  <c r="GU618" i="2"/>
  <c r="GT618" i="2"/>
  <c r="GO618" i="2"/>
  <c r="GJ618" i="2"/>
  <c r="GI618" i="2"/>
  <c r="FY618" i="2"/>
  <c r="FT618" i="2"/>
  <c r="FS618" i="2"/>
  <c r="GL618" i="2" s="1"/>
  <c r="FQ618" i="2"/>
  <c r="FP618" i="2"/>
  <c r="FO618" i="2"/>
  <c r="FN618" i="2"/>
  <c r="FM618" i="2"/>
  <c r="FL618" i="2"/>
  <c r="FK618" i="2"/>
  <c r="FJ618" i="2"/>
  <c r="FI618" i="2"/>
  <c r="GB618" i="2" s="1"/>
  <c r="FH618" i="2"/>
  <c r="FG618" i="2"/>
  <c r="FF618" i="2"/>
  <c r="FE618" i="2"/>
  <c r="FX618" i="2" s="1"/>
  <c r="FD618" i="2"/>
  <c r="FC618" i="2"/>
  <c r="FB618" i="2"/>
  <c r="EZ618" i="2"/>
  <c r="EX618" i="2"/>
  <c r="EM618" i="2"/>
  <c r="EL618" i="2"/>
  <c r="EG618" i="2"/>
  <c r="EE618" i="2"/>
  <c r="ED618" i="2"/>
  <c r="EW618" i="2" s="1"/>
  <c r="EC618" i="2"/>
  <c r="EB618" i="2"/>
  <c r="EA618" i="2"/>
  <c r="DY618" i="2"/>
  <c r="DX618" i="2"/>
  <c r="DV618" i="2"/>
  <c r="DU618" i="2"/>
  <c r="DT618" i="2"/>
  <c r="DS618" i="2"/>
  <c r="DR618" i="2"/>
  <c r="DQ618" i="2"/>
  <c r="DM618" i="2"/>
  <c r="DL618" i="2"/>
  <c r="AY618" i="2"/>
  <c r="DZ618" i="2" s="1"/>
  <c r="HC617" i="2"/>
  <c r="HB617" i="2"/>
  <c r="GW617" i="2"/>
  <c r="GV617" i="2"/>
  <c r="GU617" i="2"/>
  <c r="GT617" i="2"/>
  <c r="GQ617" i="2"/>
  <c r="GO617" i="2"/>
  <c r="GP617" i="2" s="1"/>
  <c r="GB617" i="2"/>
  <c r="FT617" i="2"/>
  <c r="FS617" i="2"/>
  <c r="GL617" i="2" s="1"/>
  <c r="FQ617" i="2"/>
  <c r="GJ617" i="2" s="1"/>
  <c r="FP617" i="2"/>
  <c r="GI617" i="2" s="1"/>
  <c r="FO617" i="2"/>
  <c r="FN617" i="2"/>
  <c r="FM617" i="2"/>
  <c r="FL617" i="2"/>
  <c r="FK617" i="2"/>
  <c r="FJ617" i="2"/>
  <c r="FI617" i="2"/>
  <c r="FH617" i="2"/>
  <c r="FG617" i="2"/>
  <c r="FF617" i="2"/>
  <c r="FY617" i="2" s="1"/>
  <c r="FE617" i="2"/>
  <c r="FX617" i="2" s="1"/>
  <c r="FD617" i="2"/>
  <c r="FC617" i="2"/>
  <c r="FB617" i="2"/>
  <c r="EZ617" i="2"/>
  <c r="EP617" i="2"/>
  <c r="EL617" i="2"/>
  <c r="EH617" i="2"/>
  <c r="EG617" i="2"/>
  <c r="EE617" i="2"/>
  <c r="EX617" i="2" s="1"/>
  <c r="ED617" i="2"/>
  <c r="EW617" i="2" s="1"/>
  <c r="EC617" i="2"/>
  <c r="EB617" i="2"/>
  <c r="EA617" i="2"/>
  <c r="DZ617" i="2"/>
  <c r="DY617" i="2"/>
  <c r="DX617" i="2"/>
  <c r="DW617" i="2"/>
  <c r="DV617" i="2"/>
  <c r="DU617" i="2"/>
  <c r="DT617" i="2"/>
  <c r="EM617" i="2" s="1"/>
  <c r="DS617" i="2"/>
  <c r="DR617" i="2"/>
  <c r="DQ617" i="2"/>
  <c r="DP617" i="2"/>
  <c r="DM617" i="2"/>
  <c r="DL617" i="2"/>
  <c r="HC616" i="2"/>
  <c r="HB616" i="2"/>
  <c r="GW616" i="2"/>
  <c r="GV616" i="2"/>
  <c r="GU616" i="2"/>
  <c r="GT616" i="2"/>
  <c r="GQ616" i="2"/>
  <c r="GP616" i="2"/>
  <c r="GO616" i="2"/>
  <c r="GL616" i="2"/>
  <c r="GJ616" i="2"/>
  <c r="FT616" i="2"/>
  <c r="FS616" i="2"/>
  <c r="FQ616" i="2"/>
  <c r="FP616" i="2"/>
  <c r="GI616" i="2" s="1"/>
  <c r="FO616" i="2"/>
  <c r="FN616" i="2"/>
  <c r="FM616" i="2"/>
  <c r="FL616" i="2"/>
  <c r="FK616" i="2"/>
  <c r="FJ616" i="2"/>
  <c r="FI616" i="2"/>
  <c r="GB616" i="2" s="1"/>
  <c r="FH616" i="2"/>
  <c r="FG616" i="2"/>
  <c r="FF616" i="2"/>
  <c r="FY616" i="2" s="1"/>
  <c r="FE616" i="2"/>
  <c r="FX616" i="2" s="1"/>
  <c r="FD616" i="2"/>
  <c r="FC616" i="2"/>
  <c r="FB616" i="2"/>
  <c r="EZ616" i="2"/>
  <c r="EP616" i="2"/>
  <c r="EM616" i="2"/>
  <c r="EH616" i="2"/>
  <c r="EG616" i="2"/>
  <c r="EE616" i="2"/>
  <c r="EX616" i="2" s="1"/>
  <c r="ED616" i="2"/>
  <c r="EW616" i="2" s="1"/>
  <c r="EC616" i="2"/>
  <c r="EB616" i="2"/>
  <c r="EA616" i="2"/>
  <c r="DZ616" i="2"/>
  <c r="DY616" i="2"/>
  <c r="DX616" i="2"/>
  <c r="DW616" i="2"/>
  <c r="DV616" i="2"/>
  <c r="DU616" i="2"/>
  <c r="DT616" i="2"/>
  <c r="DS616" i="2"/>
  <c r="EL616" i="2" s="1"/>
  <c r="DR616" i="2"/>
  <c r="DQ616" i="2"/>
  <c r="DP616" i="2"/>
  <c r="DM616" i="2"/>
  <c r="DL616" i="2"/>
  <c r="HC615" i="2"/>
  <c r="HB615" i="2"/>
  <c r="GW615" i="2"/>
  <c r="GV615" i="2"/>
  <c r="GU615" i="2"/>
  <c r="GT615" i="2"/>
  <c r="GQ615" i="2"/>
  <c r="GO615" i="2"/>
  <c r="GP615" i="2" s="1"/>
  <c r="GJ615" i="2"/>
  <c r="GB615" i="2"/>
  <c r="FX615" i="2"/>
  <c r="FT615" i="2"/>
  <c r="FS615" i="2"/>
  <c r="GL615" i="2" s="1"/>
  <c r="FQ615" i="2"/>
  <c r="FP615" i="2"/>
  <c r="GI615" i="2" s="1"/>
  <c r="FO615" i="2"/>
  <c r="FN615" i="2"/>
  <c r="FM615" i="2"/>
  <c r="FL615" i="2"/>
  <c r="FK615" i="2"/>
  <c r="FJ615" i="2"/>
  <c r="FI615" i="2"/>
  <c r="FH615" i="2"/>
  <c r="FG615" i="2"/>
  <c r="FF615" i="2"/>
  <c r="FY615" i="2" s="1"/>
  <c r="FE615" i="2"/>
  <c r="FD615" i="2"/>
  <c r="FC615" i="2"/>
  <c r="FB615" i="2"/>
  <c r="EZ615" i="2"/>
  <c r="EP615" i="2"/>
  <c r="EM615" i="2"/>
  <c r="EL615" i="2"/>
  <c r="EH615" i="2"/>
  <c r="EG615" i="2"/>
  <c r="EE615" i="2"/>
  <c r="EX615" i="2" s="1"/>
  <c r="ED615" i="2"/>
  <c r="EW615" i="2" s="1"/>
  <c r="EC615" i="2"/>
  <c r="EB615" i="2"/>
  <c r="EA615" i="2"/>
  <c r="DZ615" i="2"/>
  <c r="DY615" i="2"/>
  <c r="DX615" i="2"/>
  <c r="DW615" i="2"/>
  <c r="DV615" i="2"/>
  <c r="DU615" i="2"/>
  <c r="DT615" i="2"/>
  <c r="DS615" i="2"/>
  <c r="DR615" i="2"/>
  <c r="DQ615" i="2"/>
  <c r="DP615" i="2"/>
  <c r="DM615" i="2"/>
  <c r="DL615" i="2"/>
  <c r="HC614" i="2"/>
  <c r="HB614" i="2"/>
  <c r="GW614" i="2"/>
  <c r="GV614" i="2"/>
  <c r="GU614" i="2"/>
  <c r="GT614" i="2"/>
  <c r="GQ614" i="2"/>
  <c r="GP614" i="2"/>
  <c r="GO614" i="2"/>
  <c r="GJ614" i="2"/>
  <c r="GI614" i="2"/>
  <c r="FY614" i="2"/>
  <c r="FX614" i="2"/>
  <c r="FT614" i="2"/>
  <c r="FS614" i="2"/>
  <c r="GL614" i="2" s="1"/>
  <c r="FQ614" i="2"/>
  <c r="FP614" i="2"/>
  <c r="FO614" i="2"/>
  <c r="FN614" i="2"/>
  <c r="FM614" i="2"/>
  <c r="FL614" i="2"/>
  <c r="FK614" i="2"/>
  <c r="FJ614" i="2"/>
  <c r="FI614" i="2"/>
  <c r="GB614" i="2" s="1"/>
  <c r="FH614" i="2"/>
  <c r="FG614" i="2"/>
  <c r="FF614" i="2"/>
  <c r="FE614" i="2"/>
  <c r="FD614" i="2"/>
  <c r="FC614" i="2"/>
  <c r="FB614" i="2"/>
  <c r="EZ614" i="2"/>
  <c r="EP614" i="2"/>
  <c r="EH614" i="2"/>
  <c r="EG614" i="2"/>
  <c r="EE614" i="2"/>
  <c r="EX614" i="2" s="1"/>
  <c r="ED614" i="2"/>
  <c r="EW614" i="2" s="1"/>
  <c r="EC614" i="2"/>
  <c r="EB614" i="2"/>
  <c r="EA614" i="2"/>
  <c r="DZ614" i="2"/>
  <c r="DY614" i="2"/>
  <c r="DX614" i="2"/>
  <c r="DW614" i="2"/>
  <c r="DV614" i="2"/>
  <c r="DU614" i="2"/>
  <c r="DT614" i="2"/>
  <c r="EM614" i="2" s="1"/>
  <c r="DS614" i="2"/>
  <c r="EL614" i="2" s="1"/>
  <c r="DR614" i="2"/>
  <c r="DQ614" i="2"/>
  <c r="DP614" i="2"/>
  <c r="DM614" i="2"/>
  <c r="DL614" i="2"/>
  <c r="HC613" i="2"/>
  <c r="HB613" i="2"/>
  <c r="GW613" i="2"/>
  <c r="GV613" i="2"/>
  <c r="GU613" i="2"/>
  <c r="GT613" i="2"/>
  <c r="GQ613" i="2"/>
  <c r="GP613" i="2"/>
  <c r="GO613" i="2"/>
  <c r="GL613" i="2"/>
  <c r="GJ613" i="2"/>
  <c r="GI613" i="2"/>
  <c r="FY613" i="2"/>
  <c r="FX613" i="2"/>
  <c r="FT613" i="2"/>
  <c r="FS613" i="2"/>
  <c r="FQ613" i="2"/>
  <c r="FP613" i="2"/>
  <c r="FO613" i="2"/>
  <c r="FN613" i="2"/>
  <c r="FM613" i="2"/>
  <c r="FL613" i="2"/>
  <c r="FK613" i="2"/>
  <c r="FJ613" i="2"/>
  <c r="FI613" i="2"/>
  <c r="GB613" i="2" s="1"/>
  <c r="FH613" i="2"/>
  <c r="FG613" i="2"/>
  <c r="FF613" i="2"/>
  <c r="FE613" i="2"/>
  <c r="FD613" i="2"/>
  <c r="FC613" i="2"/>
  <c r="FB613" i="2"/>
  <c r="EP613" i="2"/>
  <c r="EH613" i="2"/>
  <c r="EG613" i="2"/>
  <c r="EZ613" i="2" s="1"/>
  <c r="EE613" i="2"/>
  <c r="EX613" i="2" s="1"/>
  <c r="ED613" i="2"/>
  <c r="EW613" i="2" s="1"/>
  <c r="EC613" i="2"/>
  <c r="EB613" i="2"/>
  <c r="EA613" i="2"/>
  <c r="DZ613" i="2"/>
  <c r="DY613" i="2"/>
  <c r="DX613" i="2"/>
  <c r="DW613" i="2"/>
  <c r="DV613" i="2"/>
  <c r="DU613" i="2"/>
  <c r="DT613" i="2"/>
  <c r="EM613" i="2" s="1"/>
  <c r="DS613" i="2"/>
  <c r="EL613" i="2" s="1"/>
  <c r="DR613" i="2"/>
  <c r="DQ613" i="2"/>
  <c r="DP613" i="2"/>
  <c r="DM613" i="2"/>
  <c r="DL613" i="2"/>
  <c r="HC612" i="2"/>
  <c r="HB612" i="2"/>
  <c r="GW612" i="2"/>
  <c r="GV612" i="2"/>
  <c r="GU612" i="2"/>
  <c r="GT612" i="2"/>
  <c r="GO612" i="2"/>
  <c r="GL612" i="2"/>
  <c r="GB612" i="2"/>
  <c r="FT612" i="2"/>
  <c r="FS612" i="2"/>
  <c r="FQ612" i="2"/>
  <c r="GJ612" i="2" s="1"/>
  <c r="FP612" i="2"/>
  <c r="GI612" i="2" s="1"/>
  <c r="FO612" i="2"/>
  <c r="FN612" i="2"/>
  <c r="FM612" i="2"/>
  <c r="FL612" i="2"/>
  <c r="FK612" i="2"/>
  <c r="FJ612" i="2"/>
  <c r="FI612" i="2"/>
  <c r="FH612" i="2"/>
  <c r="FG612" i="2"/>
  <c r="FF612" i="2"/>
  <c r="FY612" i="2" s="1"/>
  <c r="FE612" i="2"/>
  <c r="FX612" i="2" s="1"/>
  <c r="FD612" i="2"/>
  <c r="FC612" i="2"/>
  <c r="FB612" i="2"/>
  <c r="EW612" i="2"/>
  <c r="EM612" i="2"/>
  <c r="EL612" i="2"/>
  <c r="EH612" i="2"/>
  <c r="EG612" i="2"/>
  <c r="EZ612" i="2" s="1"/>
  <c r="EE612" i="2"/>
  <c r="EX612" i="2" s="1"/>
  <c r="ED612" i="2"/>
  <c r="EC612" i="2"/>
  <c r="EB612" i="2"/>
  <c r="EA612" i="2"/>
  <c r="DZ612" i="2"/>
  <c r="DY612" i="2"/>
  <c r="DX612" i="2"/>
  <c r="DW612" i="2"/>
  <c r="EP612" i="2" s="1"/>
  <c r="DV612" i="2"/>
  <c r="DU612" i="2"/>
  <c r="DT612" i="2"/>
  <c r="DS612" i="2"/>
  <c r="DR612" i="2"/>
  <c r="DQ612" i="2"/>
  <c r="DP612" i="2"/>
  <c r="DM612" i="2"/>
  <c r="DL612" i="2"/>
  <c r="HC611" i="2"/>
  <c r="HB611" i="2"/>
  <c r="GW611" i="2"/>
  <c r="GV611" i="2"/>
  <c r="GU611" i="2"/>
  <c r="GT611" i="2"/>
  <c r="GO611" i="2"/>
  <c r="GP611" i="2" s="1"/>
  <c r="GQ611" i="2" s="1"/>
  <c r="FX611" i="2"/>
  <c r="FT611" i="2"/>
  <c r="FS611" i="2"/>
  <c r="GL611" i="2" s="1"/>
  <c r="FQ611" i="2"/>
  <c r="GJ611" i="2" s="1"/>
  <c r="FP611" i="2"/>
  <c r="GI611" i="2" s="1"/>
  <c r="FO611" i="2"/>
  <c r="FN611" i="2"/>
  <c r="FM611" i="2"/>
  <c r="FL611" i="2"/>
  <c r="FK611" i="2"/>
  <c r="FJ611" i="2"/>
  <c r="FI611" i="2"/>
  <c r="GB611" i="2" s="1"/>
  <c r="FH611" i="2"/>
  <c r="FG611" i="2"/>
  <c r="FF611" i="2"/>
  <c r="FY611" i="2" s="1"/>
  <c r="FE611" i="2"/>
  <c r="FD611" i="2"/>
  <c r="FC611" i="2"/>
  <c r="FB611" i="2"/>
  <c r="EX611" i="2"/>
  <c r="EW611" i="2"/>
  <c r="EM611" i="2"/>
  <c r="EL611" i="2"/>
  <c r="EH611" i="2"/>
  <c r="EG611" i="2"/>
  <c r="EZ611" i="2" s="1"/>
  <c r="EE611" i="2"/>
  <c r="ED611" i="2"/>
  <c r="EC611" i="2"/>
  <c r="EB611" i="2"/>
  <c r="EA611" i="2"/>
  <c r="DZ611" i="2"/>
  <c r="DY611" i="2"/>
  <c r="DX611" i="2"/>
  <c r="DW611" i="2"/>
  <c r="EP611" i="2" s="1"/>
  <c r="DV611" i="2"/>
  <c r="DU611" i="2"/>
  <c r="DT611" i="2"/>
  <c r="DS611" i="2"/>
  <c r="DR611" i="2"/>
  <c r="DQ611" i="2"/>
  <c r="DP611" i="2"/>
  <c r="DM611" i="2"/>
  <c r="DL611" i="2"/>
  <c r="HC610" i="2"/>
  <c r="HB610" i="2"/>
  <c r="GW610" i="2"/>
  <c r="GV610" i="2"/>
  <c r="GU610" i="2"/>
  <c r="GT610" i="2"/>
  <c r="GO610" i="2"/>
  <c r="GL610" i="2"/>
  <c r="GJ610" i="2"/>
  <c r="GI610" i="2"/>
  <c r="GB610" i="2"/>
  <c r="FY610" i="2"/>
  <c r="FT610" i="2"/>
  <c r="FS610" i="2"/>
  <c r="FQ610" i="2"/>
  <c r="FP610" i="2"/>
  <c r="FO610" i="2"/>
  <c r="FN610" i="2"/>
  <c r="FM610" i="2"/>
  <c r="FL610" i="2"/>
  <c r="FK610" i="2"/>
  <c r="FJ610" i="2"/>
  <c r="FI610" i="2"/>
  <c r="FH610" i="2"/>
  <c r="FG610" i="2"/>
  <c r="FF610" i="2"/>
  <c r="FE610" i="2"/>
  <c r="FX610" i="2" s="1"/>
  <c r="FD610" i="2"/>
  <c r="FC610" i="2"/>
  <c r="FB610" i="2"/>
  <c r="EW610" i="2"/>
  <c r="EM610" i="2"/>
  <c r="EL610" i="2"/>
  <c r="EH610" i="2"/>
  <c r="EG610" i="2"/>
  <c r="EZ610" i="2" s="1"/>
  <c r="EE610" i="2"/>
  <c r="EX610" i="2" s="1"/>
  <c r="ED610" i="2"/>
  <c r="EC610" i="2"/>
  <c r="EB610" i="2"/>
  <c r="EA610" i="2"/>
  <c r="DZ610" i="2"/>
  <c r="DY610" i="2"/>
  <c r="DX610" i="2"/>
  <c r="DW610" i="2"/>
  <c r="EP610" i="2" s="1"/>
  <c r="DV610" i="2"/>
  <c r="DU610" i="2"/>
  <c r="DT610" i="2"/>
  <c r="DS610" i="2"/>
  <c r="DR610" i="2"/>
  <c r="DQ610" i="2"/>
  <c r="DP610" i="2"/>
  <c r="DM610" i="2"/>
  <c r="DL610" i="2"/>
  <c r="HC609" i="2"/>
  <c r="HB609" i="2"/>
  <c r="GW609" i="2"/>
  <c r="GV609" i="2"/>
  <c r="GU609" i="2"/>
  <c r="GT609" i="2"/>
  <c r="GO609" i="2"/>
  <c r="GB609" i="2"/>
  <c r="FX609" i="2"/>
  <c r="FT609" i="2"/>
  <c r="FS609" i="2"/>
  <c r="GL609" i="2" s="1"/>
  <c r="FQ609" i="2"/>
  <c r="GJ609" i="2" s="1"/>
  <c r="FP609" i="2"/>
  <c r="GI609" i="2" s="1"/>
  <c r="FO609" i="2"/>
  <c r="FN609" i="2"/>
  <c r="FM609" i="2"/>
  <c r="FL609" i="2"/>
  <c r="FK609" i="2"/>
  <c r="FJ609" i="2"/>
  <c r="FI609" i="2"/>
  <c r="FH609" i="2"/>
  <c r="FG609" i="2"/>
  <c r="FF609" i="2"/>
  <c r="FY609" i="2" s="1"/>
  <c r="FE609" i="2"/>
  <c r="FD609" i="2"/>
  <c r="FC609" i="2"/>
  <c r="FB609" i="2"/>
  <c r="EW609" i="2"/>
  <c r="EP609" i="2"/>
  <c r="EM609" i="2"/>
  <c r="EH609" i="2"/>
  <c r="EG609" i="2"/>
  <c r="EZ609" i="2" s="1"/>
  <c r="EE609" i="2"/>
  <c r="EX609" i="2" s="1"/>
  <c r="ED609" i="2"/>
  <c r="EC609" i="2"/>
  <c r="EB609" i="2"/>
  <c r="EA609" i="2"/>
  <c r="DZ609" i="2"/>
  <c r="DY609" i="2"/>
  <c r="DX609" i="2"/>
  <c r="DW609" i="2"/>
  <c r="DV609" i="2"/>
  <c r="DU609" i="2"/>
  <c r="DT609" i="2"/>
  <c r="DS609" i="2"/>
  <c r="EL609" i="2" s="1"/>
  <c r="DR609" i="2"/>
  <c r="DQ609" i="2"/>
  <c r="DP609" i="2"/>
  <c r="DM609" i="2"/>
  <c r="DL609" i="2"/>
  <c r="HC608" i="2"/>
  <c r="HB608" i="2"/>
  <c r="GW608" i="2"/>
  <c r="GV608" i="2"/>
  <c r="GU608" i="2"/>
  <c r="GT608" i="2"/>
  <c r="GO608" i="2"/>
  <c r="GI608" i="2"/>
  <c r="GB608" i="2"/>
  <c r="FY608" i="2"/>
  <c r="FT608" i="2"/>
  <c r="FS608" i="2"/>
  <c r="GL608" i="2" s="1"/>
  <c r="FQ608" i="2"/>
  <c r="GJ608" i="2" s="1"/>
  <c r="FP608" i="2"/>
  <c r="FO608" i="2"/>
  <c r="FN608" i="2"/>
  <c r="FM608" i="2"/>
  <c r="FL608" i="2"/>
  <c r="FK608" i="2"/>
  <c r="FJ608" i="2"/>
  <c r="FI608" i="2"/>
  <c r="FH608" i="2"/>
  <c r="FG608" i="2"/>
  <c r="FF608" i="2"/>
  <c r="FE608" i="2"/>
  <c r="FX608" i="2" s="1"/>
  <c r="FD608" i="2"/>
  <c r="FC608" i="2"/>
  <c r="FB608" i="2"/>
  <c r="EW608" i="2"/>
  <c r="EM608" i="2"/>
  <c r="EL608" i="2"/>
  <c r="EH608" i="2"/>
  <c r="EG608" i="2"/>
  <c r="EZ608" i="2" s="1"/>
  <c r="EE608" i="2"/>
  <c r="EX608" i="2" s="1"/>
  <c r="ED608" i="2"/>
  <c r="EC608" i="2"/>
  <c r="EB608" i="2"/>
  <c r="EA608" i="2"/>
  <c r="DZ608" i="2"/>
  <c r="DY608" i="2"/>
  <c r="DX608" i="2"/>
  <c r="DW608" i="2"/>
  <c r="EP608" i="2" s="1"/>
  <c r="DV608" i="2"/>
  <c r="DU608" i="2"/>
  <c r="DT608" i="2"/>
  <c r="DS608" i="2"/>
  <c r="DR608" i="2"/>
  <c r="DQ608" i="2"/>
  <c r="DP608" i="2"/>
  <c r="DM608" i="2"/>
  <c r="DL608" i="2"/>
  <c r="HC607" i="2"/>
  <c r="HB607" i="2"/>
  <c r="GW607" i="2"/>
  <c r="GV607" i="2"/>
  <c r="GU607" i="2"/>
  <c r="GT607" i="2"/>
  <c r="GO607" i="2"/>
  <c r="FX607" i="2"/>
  <c r="FT607" i="2"/>
  <c r="FS607" i="2"/>
  <c r="GL607" i="2" s="1"/>
  <c r="FQ607" i="2"/>
  <c r="GJ607" i="2" s="1"/>
  <c r="FP607" i="2"/>
  <c r="GI607" i="2" s="1"/>
  <c r="FO607" i="2"/>
  <c r="FN607" i="2"/>
  <c r="FM607" i="2"/>
  <c r="FL607" i="2"/>
  <c r="FK607" i="2"/>
  <c r="FJ607" i="2"/>
  <c r="FI607" i="2"/>
  <c r="GB607" i="2" s="1"/>
  <c r="FH607" i="2"/>
  <c r="FG607" i="2"/>
  <c r="FF607" i="2"/>
  <c r="FY607" i="2" s="1"/>
  <c r="FE607" i="2"/>
  <c r="FD607" i="2"/>
  <c r="FC607" i="2"/>
  <c r="FB607" i="2"/>
  <c r="EH607" i="2"/>
  <c r="EG607" i="2"/>
  <c r="EZ607" i="2" s="1"/>
  <c r="EE607" i="2"/>
  <c r="EX607" i="2" s="1"/>
  <c r="ED607" i="2"/>
  <c r="EW607" i="2" s="1"/>
  <c r="EC607" i="2"/>
  <c r="EB607" i="2"/>
  <c r="EA607" i="2"/>
  <c r="DZ607" i="2"/>
  <c r="DY607" i="2"/>
  <c r="DX607" i="2"/>
  <c r="DW607" i="2"/>
  <c r="EP607" i="2" s="1"/>
  <c r="DV607" i="2"/>
  <c r="DU607" i="2"/>
  <c r="DT607" i="2"/>
  <c r="EM607" i="2" s="1"/>
  <c r="DS607" i="2"/>
  <c r="EL607" i="2" s="1"/>
  <c r="DR607" i="2"/>
  <c r="DQ607" i="2"/>
  <c r="DP607" i="2"/>
  <c r="DM607" i="2"/>
  <c r="DL607" i="2"/>
  <c r="HC606" i="2"/>
  <c r="HB606" i="2"/>
  <c r="GW606" i="2"/>
  <c r="GV606" i="2"/>
  <c r="GU606" i="2"/>
  <c r="GT606" i="2"/>
  <c r="GO606" i="2"/>
  <c r="GL606" i="2"/>
  <c r="GJ606" i="2"/>
  <c r="GI606" i="2"/>
  <c r="FY606" i="2"/>
  <c r="FX606" i="2"/>
  <c r="FT606" i="2"/>
  <c r="FS606" i="2"/>
  <c r="FQ606" i="2"/>
  <c r="FP606" i="2"/>
  <c r="FO606" i="2"/>
  <c r="FN606" i="2"/>
  <c r="FM606" i="2"/>
  <c r="FL606" i="2"/>
  <c r="FK606" i="2"/>
  <c r="FJ606" i="2"/>
  <c r="FI606" i="2"/>
  <c r="GB606" i="2" s="1"/>
  <c r="FH606" i="2"/>
  <c r="FG606" i="2"/>
  <c r="FF606" i="2"/>
  <c r="FE606" i="2"/>
  <c r="FD606" i="2"/>
  <c r="FC606" i="2"/>
  <c r="FB606" i="2"/>
  <c r="EX606" i="2"/>
  <c r="EW606" i="2"/>
  <c r="EM606" i="2"/>
  <c r="EH606" i="2"/>
  <c r="EG606" i="2"/>
  <c r="EZ606" i="2" s="1"/>
  <c r="EE606" i="2"/>
  <c r="ED606" i="2"/>
  <c r="EC606" i="2"/>
  <c r="EB606" i="2"/>
  <c r="EA606" i="2"/>
  <c r="DZ606" i="2"/>
  <c r="DY606" i="2"/>
  <c r="DX606" i="2"/>
  <c r="DW606" i="2"/>
  <c r="EP606" i="2" s="1"/>
  <c r="DV606" i="2"/>
  <c r="DU606" i="2"/>
  <c r="DT606" i="2"/>
  <c r="DS606" i="2"/>
  <c r="EL606" i="2" s="1"/>
  <c r="DR606" i="2"/>
  <c r="DQ606" i="2"/>
  <c r="DP606" i="2"/>
  <c r="DM606" i="2"/>
  <c r="DL606" i="2"/>
  <c r="HC605" i="2"/>
  <c r="HB605" i="2"/>
  <c r="GW605" i="2"/>
  <c r="GV605" i="2"/>
  <c r="GU605" i="2"/>
  <c r="GT605" i="2"/>
  <c r="GP605" i="2"/>
  <c r="GO605" i="2"/>
  <c r="GI605" i="2"/>
  <c r="FY605" i="2"/>
  <c r="FX605" i="2"/>
  <c r="FT605" i="2"/>
  <c r="FS605" i="2"/>
  <c r="GL605" i="2" s="1"/>
  <c r="FQ605" i="2"/>
  <c r="GJ605" i="2" s="1"/>
  <c r="FP605" i="2"/>
  <c r="FO605" i="2"/>
  <c r="FN605" i="2"/>
  <c r="FM605" i="2"/>
  <c r="FL605" i="2"/>
  <c r="FK605" i="2"/>
  <c r="FJ605" i="2"/>
  <c r="FI605" i="2"/>
  <c r="GB605" i="2" s="1"/>
  <c r="FH605" i="2"/>
  <c r="FG605" i="2"/>
  <c r="FF605" i="2"/>
  <c r="FE605" i="2"/>
  <c r="FD605" i="2"/>
  <c r="FC605" i="2"/>
  <c r="FB605" i="2"/>
  <c r="EZ605" i="2"/>
  <c r="EX605" i="2"/>
  <c r="EW605" i="2"/>
  <c r="EP605" i="2"/>
  <c r="EM605" i="2"/>
  <c r="EH605" i="2"/>
  <c r="EG605" i="2"/>
  <c r="EE605" i="2"/>
  <c r="ED605" i="2"/>
  <c r="EC605" i="2"/>
  <c r="EB605" i="2"/>
  <c r="EA605" i="2"/>
  <c r="DZ605" i="2"/>
  <c r="DY605" i="2"/>
  <c r="DX605" i="2"/>
  <c r="DW605" i="2"/>
  <c r="DV605" i="2"/>
  <c r="DU605" i="2"/>
  <c r="DT605" i="2"/>
  <c r="DS605" i="2"/>
  <c r="EL605" i="2" s="1"/>
  <c r="DR605" i="2"/>
  <c r="DQ605" i="2"/>
  <c r="DP605" i="2"/>
  <c r="DM605" i="2"/>
  <c r="DL605" i="2"/>
  <c r="HC604" i="2"/>
  <c r="HB604" i="2"/>
  <c r="GW604" i="2"/>
  <c r="GV604" i="2"/>
  <c r="GU604" i="2"/>
  <c r="GT604" i="2"/>
  <c r="GP604" i="2"/>
  <c r="GO604" i="2"/>
  <c r="GQ604" i="2" s="1"/>
  <c r="GL604" i="2"/>
  <c r="GJ604" i="2"/>
  <c r="GI604" i="2"/>
  <c r="FY604" i="2"/>
  <c r="FX604" i="2"/>
  <c r="FT604" i="2"/>
  <c r="FS604" i="2"/>
  <c r="FQ604" i="2"/>
  <c r="FP604" i="2"/>
  <c r="FO604" i="2"/>
  <c r="FN604" i="2"/>
  <c r="FM604" i="2"/>
  <c r="FL604" i="2"/>
  <c r="FK604" i="2"/>
  <c r="FJ604" i="2"/>
  <c r="FI604" i="2"/>
  <c r="GB604" i="2" s="1"/>
  <c r="FH604" i="2"/>
  <c r="FG604" i="2"/>
  <c r="FF604" i="2"/>
  <c r="FE604" i="2"/>
  <c r="FD604" i="2"/>
  <c r="FC604" i="2"/>
  <c r="FB604" i="2"/>
  <c r="EX604" i="2"/>
  <c r="EW604" i="2"/>
  <c r="EM604" i="2"/>
  <c r="EH604" i="2"/>
  <c r="EG604" i="2"/>
  <c r="EZ604" i="2" s="1"/>
  <c r="EE604" i="2"/>
  <c r="ED604" i="2"/>
  <c r="EC604" i="2"/>
  <c r="EB604" i="2"/>
  <c r="EA604" i="2"/>
  <c r="DZ604" i="2"/>
  <c r="DY604" i="2"/>
  <c r="DX604" i="2"/>
  <c r="DW604" i="2"/>
  <c r="EP604" i="2" s="1"/>
  <c r="DV604" i="2"/>
  <c r="DU604" i="2"/>
  <c r="DT604" i="2"/>
  <c r="DS604" i="2"/>
  <c r="EL604" i="2" s="1"/>
  <c r="DR604" i="2"/>
  <c r="DQ604" i="2"/>
  <c r="DP604" i="2"/>
  <c r="DM604" i="2"/>
  <c r="DL604" i="2"/>
  <c r="HC603" i="2"/>
  <c r="HB603" i="2"/>
  <c r="GW603" i="2"/>
  <c r="GV603" i="2"/>
  <c r="GU603" i="2"/>
  <c r="GT603" i="2"/>
  <c r="GO603" i="2"/>
  <c r="GI603" i="2"/>
  <c r="FY603" i="2"/>
  <c r="FX603" i="2"/>
  <c r="FT603" i="2"/>
  <c r="FS603" i="2"/>
  <c r="GL603" i="2" s="1"/>
  <c r="FQ603" i="2"/>
  <c r="GJ603" i="2" s="1"/>
  <c r="FP603" i="2"/>
  <c r="FO603" i="2"/>
  <c r="FN603" i="2"/>
  <c r="FM603" i="2"/>
  <c r="FL603" i="2"/>
  <c r="FK603" i="2"/>
  <c r="FJ603" i="2"/>
  <c r="FI603" i="2"/>
  <c r="GB603" i="2" s="1"/>
  <c r="FH603" i="2"/>
  <c r="FG603" i="2"/>
  <c r="FF603" i="2"/>
  <c r="FE603" i="2"/>
  <c r="FD603" i="2"/>
  <c r="FC603" i="2"/>
  <c r="FB603" i="2"/>
  <c r="EZ603" i="2"/>
  <c r="EX603" i="2"/>
  <c r="EW603" i="2"/>
  <c r="EP603" i="2"/>
  <c r="EM603" i="2"/>
  <c r="EH603" i="2"/>
  <c r="EG603" i="2"/>
  <c r="EE603" i="2"/>
  <c r="ED603" i="2"/>
  <c r="EC603" i="2"/>
  <c r="EB603" i="2"/>
  <c r="EA603" i="2"/>
  <c r="DZ603" i="2"/>
  <c r="DY603" i="2"/>
  <c r="DX603" i="2"/>
  <c r="DW603" i="2"/>
  <c r="DV603" i="2"/>
  <c r="DU603" i="2"/>
  <c r="DT603" i="2"/>
  <c r="DS603" i="2"/>
  <c r="EL603" i="2" s="1"/>
  <c r="DR603" i="2"/>
  <c r="DQ603" i="2"/>
  <c r="DP603" i="2"/>
  <c r="DM603" i="2"/>
  <c r="DL603" i="2"/>
  <c r="HC602" i="2"/>
  <c r="HB602" i="2"/>
  <c r="GW602" i="2"/>
  <c r="GV602" i="2"/>
  <c r="GU602" i="2"/>
  <c r="GT602" i="2"/>
  <c r="GP602" i="2"/>
  <c r="GO602" i="2"/>
  <c r="GQ602" i="2" s="1"/>
  <c r="GL602" i="2"/>
  <c r="GJ602" i="2"/>
  <c r="GI602" i="2"/>
  <c r="FY602" i="2"/>
  <c r="FX602" i="2"/>
  <c r="FT602" i="2"/>
  <c r="FS602" i="2"/>
  <c r="FQ602" i="2"/>
  <c r="FP602" i="2"/>
  <c r="FO602" i="2"/>
  <c r="FN602" i="2"/>
  <c r="FM602" i="2"/>
  <c r="FL602" i="2"/>
  <c r="FK602" i="2"/>
  <c r="FJ602" i="2"/>
  <c r="FI602" i="2"/>
  <c r="GB602" i="2" s="1"/>
  <c r="FH602" i="2"/>
  <c r="FG602" i="2"/>
  <c r="FF602" i="2"/>
  <c r="FE602" i="2"/>
  <c r="FD602" i="2"/>
  <c r="FC602" i="2"/>
  <c r="FB602" i="2"/>
  <c r="EZ602" i="2"/>
  <c r="EX602" i="2"/>
  <c r="EH602" i="2"/>
  <c r="EG602" i="2"/>
  <c r="EE602" i="2"/>
  <c r="ED602" i="2"/>
  <c r="EW602" i="2" s="1"/>
  <c r="EC602" i="2"/>
  <c r="EB602" i="2"/>
  <c r="EA602" i="2"/>
  <c r="DZ602" i="2"/>
  <c r="DY602" i="2"/>
  <c r="DX602" i="2"/>
  <c r="DW602" i="2"/>
  <c r="EP602" i="2" s="1"/>
  <c r="DV602" i="2"/>
  <c r="DU602" i="2"/>
  <c r="DT602" i="2"/>
  <c r="EM602" i="2" s="1"/>
  <c r="DS602" i="2"/>
  <c r="EL602" i="2" s="1"/>
  <c r="DR602" i="2"/>
  <c r="DQ602" i="2"/>
  <c r="DP602" i="2"/>
  <c r="DM602" i="2"/>
  <c r="DL602" i="2"/>
  <c r="HB601" i="2"/>
  <c r="GU601" i="2"/>
  <c r="GT601" i="2"/>
  <c r="CO601" i="2"/>
  <c r="HC601" i="2" s="1"/>
  <c r="AY601" i="2"/>
  <c r="HC600" i="2"/>
  <c r="HB600" i="2"/>
  <c r="GW600" i="2"/>
  <c r="GV600" i="2"/>
  <c r="GU600" i="2"/>
  <c r="GT600" i="2"/>
  <c r="GQ600" i="2"/>
  <c r="GP600" i="2"/>
  <c r="GO600" i="2"/>
  <c r="GL600" i="2"/>
  <c r="GJ600" i="2"/>
  <c r="FT600" i="2"/>
  <c r="FS600" i="2"/>
  <c r="FQ600" i="2"/>
  <c r="FP600" i="2"/>
  <c r="GI600" i="2" s="1"/>
  <c r="FO600" i="2"/>
  <c r="FN600" i="2"/>
  <c r="FM600" i="2"/>
  <c r="FL600" i="2"/>
  <c r="FK600" i="2"/>
  <c r="FJ600" i="2"/>
  <c r="FI600" i="2"/>
  <c r="GB600" i="2" s="1"/>
  <c r="FH600" i="2"/>
  <c r="FG600" i="2"/>
  <c r="FF600" i="2"/>
  <c r="FY600" i="2" s="1"/>
  <c r="FE600" i="2"/>
  <c r="FX600" i="2" s="1"/>
  <c r="FD600" i="2"/>
  <c r="FC600" i="2"/>
  <c r="FB600" i="2"/>
  <c r="EZ600" i="2"/>
  <c r="EX600" i="2"/>
  <c r="EH600" i="2"/>
  <c r="EG600" i="2"/>
  <c r="EE600" i="2"/>
  <c r="ED600" i="2"/>
  <c r="EW600" i="2" s="1"/>
  <c r="EC600" i="2"/>
  <c r="EB600" i="2"/>
  <c r="EA600" i="2"/>
  <c r="DZ600" i="2"/>
  <c r="DY600" i="2"/>
  <c r="DX600" i="2"/>
  <c r="DW600" i="2"/>
  <c r="EP600" i="2" s="1"/>
  <c r="DV600" i="2"/>
  <c r="DU600" i="2"/>
  <c r="DT600" i="2"/>
  <c r="EM600" i="2" s="1"/>
  <c r="DS600" i="2"/>
  <c r="EL600" i="2" s="1"/>
  <c r="DR600" i="2"/>
  <c r="DQ600" i="2"/>
  <c r="DP600" i="2"/>
  <c r="DM600" i="2"/>
  <c r="DL600" i="2"/>
  <c r="HC599" i="2"/>
  <c r="HB599" i="2"/>
  <c r="GW599" i="2"/>
  <c r="GV599" i="2"/>
  <c r="GU599" i="2"/>
  <c r="GT599" i="2"/>
  <c r="GO599" i="2"/>
  <c r="GP599" i="2" s="1"/>
  <c r="GQ599" i="2" s="1"/>
  <c r="GJ599" i="2"/>
  <c r="GI599" i="2"/>
  <c r="FY599" i="2"/>
  <c r="FT599" i="2"/>
  <c r="FS599" i="2"/>
  <c r="GL599" i="2" s="1"/>
  <c r="FQ599" i="2"/>
  <c r="FP599" i="2"/>
  <c r="FO599" i="2"/>
  <c r="FN599" i="2"/>
  <c r="FM599" i="2"/>
  <c r="FL599" i="2"/>
  <c r="FK599" i="2"/>
  <c r="FJ599" i="2"/>
  <c r="FI599" i="2"/>
  <c r="GB599" i="2" s="1"/>
  <c r="FH599" i="2"/>
  <c r="FG599" i="2"/>
  <c r="FF599" i="2"/>
  <c r="FE599" i="2"/>
  <c r="FX599" i="2" s="1"/>
  <c r="FD599" i="2"/>
  <c r="FC599" i="2"/>
  <c r="FB599" i="2"/>
  <c r="EZ599" i="2"/>
  <c r="EP599" i="2"/>
  <c r="EH599" i="2"/>
  <c r="EG599" i="2"/>
  <c r="EE599" i="2"/>
  <c r="EX599" i="2" s="1"/>
  <c r="ED599" i="2"/>
  <c r="EW599" i="2" s="1"/>
  <c r="EC599" i="2"/>
  <c r="EB599" i="2"/>
  <c r="EA599" i="2"/>
  <c r="DZ599" i="2"/>
  <c r="DY599" i="2"/>
  <c r="DX599" i="2"/>
  <c r="DW599" i="2"/>
  <c r="DV599" i="2"/>
  <c r="DU599" i="2"/>
  <c r="DT599" i="2"/>
  <c r="EM599" i="2" s="1"/>
  <c r="DS599" i="2"/>
  <c r="EL599" i="2" s="1"/>
  <c r="DR599" i="2"/>
  <c r="DQ599" i="2"/>
  <c r="DP599" i="2"/>
  <c r="DM599" i="2"/>
  <c r="DL599" i="2"/>
  <c r="HC598" i="2"/>
  <c r="HB598" i="2"/>
  <c r="GW598" i="2"/>
  <c r="GV598" i="2"/>
  <c r="GU598" i="2"/>
  <c r="GT598" i="2"/>
  <c r="GP598" i="2"/>
  <c r="GQ598" i="2" s="1"/>
  <c r="GO598" i="2"/>
  <c r="GJ598" i="2"/>
  <c r="FX598" i="2"/>
  <c r="FT598" i="2"/>
  <c r="FS598" i="2"/>
  <c r="GL598" i="2" s="1"/>
  <c r="FQ598" i="2"/>
  <c r="FP598" i="2"/>
  <c r="GI598" i="2" s="1"/>
  <c r="FO598" i="2"/>
  <c r="FN598" i="2"/>
  <c r="FM598" i="2"/>
  <c r="FL598" i="2"/>
  <c r="FK598" i="2"/>
  <c r="FJ598" i="2"/>
  <c r="FI598" i="2"/>
  <c r="GB598" i="2" s="1"/>
  <c r="FH598" i="2"/>
  <c r="FG598" i="2"/>
  <c r="FF598" i="2"/>
  <c r="FY598" i="2" s="1"/>
  <c r="FE598" i="2"/>
  <c r="FD598" i="2"/>
  <c r="FC598" i="2"/>
  <c r="FB598" i="2"/>
  <c r="EZ598" i="2"/>
  <c r="EX598" i="2"/>
  <c r="EW598" i="2"/>
  <c r="EM598" i="2"/>
  <c r="EH598" i="2"/>
  <c r="EG598" i="2"/>
  <c r="EE598" i="2"/>
  <c r="ED598" i="2"/>
  <c r="EC598" i="2"/>
  <c r="EB598" i="2"/>
  <c r="EA598" i="2"/>
  <c r="DZ598" i="2"/>
  <c r="DY598" i="2"/>
  <c r="DX598" i="2"/>
  <c r="DW598" i="2"/>
  <c r="EP598" i="2" s="1"/>
  <c r="DV598" i="2"/>
  <c r="DU598" i="2"/>
  <c r="DT598" i="2"/>
  <c r="DS598" i="2"/>
  <c r="EL598" i="2" s="1"/>
  <c r="DR598" i="2"/>
  <c r="DQ598" i="2"/>
  <c r="DP598" i="2"/>
  <c r="DM598" i="2"/>
  <c r="DL598" i="2"/>
  <c r="HC597" i="2"/>
  <c r="HB597" i="2"/>
  <c r="GW597" i="2"/>
  <c r="GV597" i="2"/>
  <c r="GU597" i="2"/>
  <c r="GT597" i="2"/>
  <c r="GO597" i="2"/>
  <c r="GL597" i="2"/>
  <c r="GJ597" i="2"/>
  <c r="FY597" i="2"/>
  <c r="FX597" i="2"/>
  <c r="FT597" i="2"/>
  <c r="FS597" i="2"/>
  <c r="FQ597" i="2"/>
  <c r="FP597" i="2"/>
  <c r="GI597" i="2" s="1"/>
  <c r="FO597" i="2"/>
  <c r="FN597" i="2"/>
  <c r="FM597" i="2"/>
  <c r="FL597" i="2"/>
  <c r="FK597" i="2"/>
  <c r="FJ597" i="2"/>
  <c r="FI597" i="2"/>
  <c r="GB597" i="2" s="1"/>
  <c r="FH597" i="2"/>
  <c r="FG597" i="2"/>
  <c r="FF597" i="2"/>
  <c r="FE597" i="2"/>
  <c r="FD597" i="2"/>
  <c r="FC597" i="2"/>
  <c r="FB597" i="2"/>
  <c r="EZ597" i="2"/>
  <c r="EP597" i="2"/>
  <c r="EM597" i="2"/>
  <c r="EH597" i="2"/>
  <c r="EG597" i="2"/>
  <c r="EE597" i="2"/>
  <c r="EX597" i="2" s="1"/>
  <c r="ED597" i="2"/>
  <c r="EW597" i="2" s="1"/>
  <c r="EC597" i="2"/>
  <c r="EB597" i="2"/>
  <c r="EA597" i="2"/>
  <c r="DZ597" i="2"/>
  <c r="DY597" i="2"/>
  <c r="DX597" i="2"/>
  <c r="DW597" i="2"/>
  <c r="DV597" i="2"/>
  <c r="DU597" i="2"/>
  <c r="DT597" i="2"/>
  <c r="DS597" i="2"/>
  <c r="EL597" i="2" s="1"/>
  <c r="DR597" i="2"/>
  <c r="DQ597" i="2"/>
  <c r="DP597" i="2"/>
  <c r="DM597" i="2"/>
  <c r="DL597" i="2"/>
  <c r="HC596" i="2"/>
  <c r="HB596" i="2"/>
  <c r="GW596" i="2"/>
  <c r="GV596" i="2"/>
  <c r="GU596" i="2"/>
  <c r="GT596" i="2"/>
  <c r="GO596" i="2"/>
  <c r="GP596" i="2" s="1"/>
  <c r="GQ596" i="2" s="1"/>
  <c r="GJ596" i="2"/>
  <c r="FT596" i="2"/>
  <c r="FS596" i="2"/>
  <c r="GL596" i="2" s="1"/>
  <c r="FQ596" i="2"/>
  <c r="FP596" i="2"/>
  <c r="GI596" i="2" s="1"/>
  <c r="FO596" i="2"/>
  <c r="FN596" i="2"/>
  <c r="FM596" i="2"/>
  <c r="FL596" i="2"/>
  <c r="FK596" i="2"/>
  <c r="FJ596" i="2"/>
  <c r="FI596" i="2"/>
  <c r="GB596" i="2" s="1"/>
  <c r="FH596" i="2"/>
  <c r="FG596" i="2"/>
  <c r="FF596" i="2"/>
  <c r="FY596" i="2" s="1"/>
  <c r="FE596" i="2"/>
  <c r="FX596" i="2" s="1"/>
  <c r="FD596" i="2"/>
  <c r="FC596" i="2"/>
  <c r="FB596" i="2"/>
  <c r="EZ596" i="2"/>
  <c r="EP596" i="2"/>
  <c r="EH596" i="2"/>
  <c r="EG596" i="2"/>
  <c r="EE596" i="2"/>
  <c r="EX596" i="2" s="1"/>
  <c r="ED596" i="2"/>
  <c r="EW596" i="2" s="1"/>
  <c r="EC596" i="2"/>
  <c r="EB596" i="2"/>
  <c r="EA596" i="2"/>
  <c r="DZ596" i="2"/>
  <c r="DY596" i="2"/>
  <c r="DX596" i="2"/>
  <c r="DW596" i="2"/>
  <c r="DV596" i="2"/>
  <c r="DU596" i="2"/>
  <c r="DT596" i="2"/>
  <c r="EM596" i="2" s="1"/>
  <c r="DS596" i="2"/>
  <c r="EL596" i="2" s="1"/>
  <c r="DR596" i="2"/>
  <c r="DQ596" i="2"/>
  <c r="DP596" i="2"/>
  <c r="DM596" i="2"/>
  <c r="DL596" i="2"/>
  <c r="HC595" i="2"/>
  <c r="HB595" i="2"/>
  <c r="GW595" i="2"/>
  <c r="GV595" i="2"/>
  <c r="GU595" i="2"/>
  <c r="GT595" i="2"/>
  <c r="GO595" i="2"/>
  <c r="GP595" i="2" s="1"/>
  <c r="GQ595" i="2" s="1"/>
  <c r="GJ595" i="2"/>
  <c r="GI595" i="2"/>
  <c r="FY595" i="2"/>
  <c r="FX595" i="2"/>
  <c r="FT595" i="2"/>
  <c r="FS595" i="2"/>
  <c r="GL595" i="2" s="1"/>
  <c r="FQ595" i="2"/>
  <c r="FP595" i="2"/>
  <c r="FO595" i="2"/>
  <c r="FN595" i="2"/>
  <c r="FM595" i="2"/>
  <c r="FL595" i="2"/>
  <c r="FK595" i="2"/>
  <c r="FJ595" i="2"/>
  <c r="FI595" i="2"/>
  <c r="GB595" i="2" s="1"/>
  <c r="FH595" i="2"/>
  <c r="FG595" i="2"/>
  <c r="FF595" i="2"/>
  <c r="FE595" i="2"/>
  <c r="FD595" i="2"/>
  <c r="FC595" i="2"/>
  <c r="FB595" i="2"/>
  <c r="EZ595" i="2"/>
  <c r="EW595" i="2"/>
  <c r="EM595" i="2"/>
  <c r="EH595" i="2"/>
  <c r="EG595" i="2"/>
  <c r="EE595" i="2"/>
  <c r="EX595" i="2" s="1"/>
  <c r="ED595" i="2"/>
  <c r="EC595" i="2"/>
  <c r="EB595" i="2"/>
  <c r="EA595" i="2"/>
  <c r="DZ595" i="2"/>
  <c r="DY595" i="2"/>
  <c r="DX595" i="2"/>
  <c r="DW595" i="2"/>
  <c r="EP595" i="2" s="1"/>
  <c r="DV595" i="2"/>
  <c r="DU595" i="2"/>
  <c r="DT595" i="2"/>
  <c r="DS595" i="2"/>
  <c r="EL595" i="2" s="1"/>
  <c r="DR595" i="2"/>
  <c r="DQ595" i="2"/>
  <c r="DP595" i="2"/>
  <c r="DM595" i="2"/>
  <c r="DL595" i="2"/>
  <c r="HC594" i="2"/>
  <c r="HB594" i="2"/>
  <c r="GW594" i="2"/>
  <c r="GV594" i="2"/>
  <c r="GU594" i="2"/>
  <c r="GT594" i="2"/>
  <c r="GO594" i="2"/>
  <c r="GL594" i="2"/>
  <c r="GJ594" i="2"/>
  <c r="FX594" i="2"/>
  <c r="FT594" i="2"/>
  <c r="FS594" i="2"/>
  <c r="FQ594" i="2"/>
  <c r="FP594" i="2"/>
  <c r="GI594" i="2" s="1"/>
  <c r="FO594" i="2"/>
  <c r="FN594" i="2"/>
  <c r="FM594" i="2"/>
  <c r="FL594" i="2"/>
  <c r="FK594" i="2"/>
  <c r="FJ594" i="2"/>
  <c r="FI594" i="2"/>
  <c r="GB594" i="2" s="1"/>
  <c r="FH594" i="2"/>
  <c r="FG594" i="2"/>
  <c r="FF594" i="2"/>
  <c r="FY594" i="2" s="1"/>
  <c r="FE594" i="2"/>
  <c r="FD594" i="2"/>
  <c r="FC594" i="2"/>
  <c r="FB594" i="2"/>
  <c r="EZ594" i="2"/>
  <c r="EP594" i="2"/>
  <c r="EM594" i="2"/>
  <c r="EH594" i="2"/>
  <c r="EG594" i="2"/>
  <c r="EE594" i="2"/>
  <c r="EX594" i="2" s="1"/>
  <c r="ED594" i="2"/>
  <c r="EW594" i="2" s="1"/>
  <c r="EC594" i="2"/>
  <c r="EB594" i="2"/>
  <c r="EA594" i="2"/>
  <c r="DZ594" i="2"/>
  <c r="DY594" i="2"/>
  <c r="DX594" i="2"/>
  <c r="DW594" i="2"/>
  <c r="DV594" i="2"/>
  <c r="DU594" i="2"/>
  <c r="DT594" i="2"/>
  <c r="DS594" i="2"/>
  <c r="EL594" i="2" s="1"/>
  <c r="DR594" i="2"/>
  <c r="DQ594" i="2"/>
  <c r="DP594" i="2"/>
  <c r="DM594" i="2"/>
  <c r="DL594" i="2"/>
  <c r="HC593" i="2"/>
  <c r="HB593" i="2"/>
  <c r="GW593" i="2"/>
  <c r="GV593" i="2"/>
  <c r="GU593" i="2"/>
  <c r="GT593" i="2"/>
  <c r="GO593" i="2"/>
  <c r="GJ593" i="2"/>
  <c r="FY593" i="2"/>
  <c r="FT593" i="2"/>
  <c r="FS593" i="2"/>
  <c r="GL593" i="2" s="1"/>
  <c r="FQ593" i="2"/>
  <c r="FP593" i="2"/>
  <c r="GI593" i="2" s="1"/>
  <c r="FO593" i="2"/>
  <c r="FN593" i="2"/>
  <c r="FM593" i="2"/>
  <c r="FL593" i="2"/>
  <c r="FK593" i="2"/>
  <c r="FJ593" i="2"/>
  <c r="FI593" i="2"/>
  <c r="GB593" i="2" s="1"/>
  <c r="FH593" i="2"/>
  <c r="FG593" i="2"/>
  <c r="FF593" i="2"/>
  <c r="FE593" i="2"/>
  <c r="FX593" i="2" s="1"/>
  <c r="FD593" i="2"/>
  <c r="FC593" i="2"/>
  <c r="FB593" i="2"/>
  <c r="EZ593" i="2"/>
  <c r="EP593" i="2"/>
  <c r="EH593" i="2"/>
  <c r="EG593" i="2"/>
  <c r="EE593" i="2"/>
  <c r="EX593" i="2" s="1"/>
  <c r="ED593" i="2"/>
  <c r="EW593" i="2" s="1"/>
  <c r="EC593" i="2"/>
  <c r="EB593" i="2"/>
  <c r="EA593" i="2"/>
  <c r="DZ593" i="2"/>
  <c r="DY593" i="2"/>
  <c r="DX593" i="2"/>
  <c r="DW593" i="2"/>
  <c r="DV593" i="2"/>
  <c r="DU593" i="2"/>
  <c r="DT593" i="2"/>
  <c r="EM593" i="2" s="1"/>
  <c r="DS593" i="2"/>
  <c r="EL593" i="2" s="1"/>
  <c r="DR593" i="2"/>
  <c r="DQ593" i="2"/>
  <c r="DP593" i="2"/>
  <c r="DM593" i="2"/>
  <c r="DL593" i="2"/>
  <c r="HC592" i="2"/>
  <c r="HB592" i="2"/>
  <c r="GW592" i="2"/>
  <c r="GV592" i="2"/>
  <c r="GU592" i="2"/>
  <c r="GT592" i="2"/>
  <c r="GO592" i="2"/>
  <c r="GL592" i="2"/>
  <c r="GJ592" i="2"/>
  <c r="GI592" i="2"/>
  <c r="FX592" i="2"/>
  <c r="FT592" i="2"/>
  <c r="FS592" i="2"/>
  <c r="FQ592" i="2"/>
  <c r="FP592" i="2"/>
  <c r="FO592" i="2"/>
  <c r="FN592" i="2"/>
  <c r="FM592" i="2"/>
  <c r="FL592" i="2"/>
  <c r="FK592" i="2"/>
  <c r="FJ592" i="2"/>
  <c r="FI592" i="2"/>
  <c r="GB592" i="2" s="1"/>
  <c r="FH592" i="2"/>
  <c r="FG592" i="2"/>
  <c r="FF592" i="2"/>
  <c r="FY592" i="2" s="1"/>
  <c r="FE592" i="2"/>
  <c r="FD592" i="2"/>
  <c r="FC592" i="2"/>
  <c r="FB592" i="2"/>
  <c r="EP592" i="2"/>
  <c r="EH592" i="2"/>
  <c r="EG592" i="2"/>
  <c r="EZ592" i="2" s="1"/>
  <c r="EE592" i="2"/>
  <c r="EX592" i="2" s="1"/>
  <c r="ED592" i="2"/>
  <c r="EW592" i="2" s="1"/>
  <c r="EC592" i="2"/>
  <c r="EB592" i="2"/>
  <c r="EA592" i="2"/>
  <c r="DZ592" i="2"/>
  <c r="DY592" i="2"/>
  <c r="DX592" i="2"/>
  <c r="DW592" i="2"/>
  <c r="DV592" i="2"/>
  <c r="DU592" i="2"/>
  <c r="DT592" i="2"/>
  <c r="EM592" i="2" s="1"/>
  <c r="DS592" i="2"/>
  <c r="EL592" i="2" s="1"/>
  <c r="DR592" i="2"/>
  <c r="DQ592" i="2"/>
  <c r="DP592" i="2"/>
  <c r="DM592" i="2"/>
  <c r="DL592" i="2"/>
  <c r="HC591" i="2"/>
  <c r="HB591" i="2"/>
  <c r="GW591" i="2"/>
  <c r="GV591" i="2"/>
  <c r="GU591" i="2"/>
  <c r="GT591" i="2"/>
  <c r="GO591" i="2"/>
  <c r="GL591" i="2"/>
  <c r="GJ591" i="2"/>
  <c r="GI591" i="2"/>
  <c r="GB591" i="2"/>
  <c r="FY591" i="2"/>
  <c r="FX591" i="2"/>
  <c r="FT591" i="2"/>
  <c r="FS591" i="2"/>
  <c r="FQ591" i="2"/>
  <c r="FP591" i="2"/>
  <c r="FO591" i="2"/>
  <c r="FN591" i="2"/>
  <c r="FM591" i="2"/>
  <c r="FL591" i="2"/>
  <c r="FK591" i="2"/>
  <c r="FJ591" i="2"/>
  <c r="FI591" i="2"/>
  <c r="FH591" i="2"/>
  <c r="FG591" i="2"/>
  <c r="FF591" i="2"/>
  <c r="FE591" i="2"/>
  <c r="FD591" i="2"/>
  <c r="FC591" i="2"/>
  <c r="FB591" i="2"/>
  <c r="EZ591" i="2"/>
  <c r="EP591" i="2"/>
  <c r="EL591" i="2"/>
  <c r="EH591" i="2"/>
  <c r="EG591" i="2"/>
  <c r="EE591" i="2"/>
  <c r="EX591" i="2" s="1"/>
  <c r="ED591" i="2"/>
  <c r="EW591" i="2" s="1"/>
  <c r="EC591" i="2"/>
  <c r="EB591" i="2"/>
  <c r="EA591" i="2"/>
  <c r="DZ591" i="2"/>
  <c r="DY591" i="2"/>
  <c r="DX591" i="2"/>
  <c r="DW591" i="2"/>
  <c r="DV591" i="2"/>
  <c r="DU591" i="2"/>
  <c r="DT591" i="2"/>
  <c r="EM591" i="2" s="1"/>
  <c r="DS591" i="2"/>
  <c r="DR591" i="2"/>
  <c r="DQ591" i="2"/>
  <c r="DP591" i="2"/>
  <c r="DM591" i="2"/>
  <c r="DL591" i="2"/>
  <c r="HC590" i="2"/>
  <c r="HB590" i="2"/>
  <c r="GW590" i="2"/>
  <c r="GV590" i="2"/>
  <c r="GU590" i="2"/>
  <c r="GT590" i="2"/>
  <c r="GP590" i="2"/>
  <c r="GQ590" i="2" s="1"/>
  <c r="GO590" i="2"/>
  <c r="GL590" i="2"/>
  <c r="GJ590" i="2"/>
  <c r="GI590" i="2"/>
  <c r="FY590" i="2"/>
  <c r="FX590" i="2"/>
  <c r="FT590" i="2"/>
  <c r="FS590" i="2"/>
  <c r="FQ590" i="2"/>
  <c r="FP590" i="2"/>
  <c r="FO590" i="2"/>
  <c r="FN590" i="2"/>
  <c r="FM590" i="2"/>
  <c r="FL590" i="2"/>
  <c r="FK590" i="2"/>
  <c r="FJ590" i="2"/>
  <c r="FI590" i="2"/>
  <c r="GB590" i="2" s="1"/>
  <c r="FH590" i="2"/>
  <c r="FG590" i="2"/>
  <c r="FF590" i="2"/>
  <c r="FE590" i="2"/>
  <c r="FD590" i="2"/>
  <c r="FC590" i="2"/>
  <c r="FB590" i="2"/>
  <c r="EW590" i="2"/>
  <c r="EM590" i="2"/>
  <c r="EH590" i="2"/>
  <c r="EG590" i="2"/>
  <c r="EZ590" i="2" s="1"/>
  <c r="EE590" i="2"/>
  <c r="EX590" i="2" s="1"/>
  <c r="ED590" i="2"/>
  <c r="EC590" i="2"/>
  <c r="EB590" i="2"/>
  <c r="EA590" i="2"/>
  <c r="DZ590" i="2"/>
  <c r="DY590" i="2"/>
  <c r="DX590" i="2"/>
  <c r="DW590" i="2"/>
  <c r="EP590" i="2" s="1"/>
  <c r="DV590" i="2"/>
  <c r="DU590" i="2"/>
  <c r="DT590" i="2"/>
  <c r="DS590" i="2"/>
  <c r="EL590" i="2" s="1"/>
  <c r="DR590" i="2"/>
  <c r="DQ590" i="2"/>
  <c r="DP590" i="2"/>
  <c r="DM590" i="2"/>
  <c r="DL590" i="2"/>
  <c r="HC589" i="2"/>
  <c r="HB589" i="2"/>
  <c r="GW589" i="2"/>
  <c r="GV589" i="2"/>
  <c r="GU589" i="2"/>
  <c r="GT589" i="2"/>
  <c r="GP589" i="2"/>
  <c r="GQ589" i="2" s="1"/>
  <c r="GO589" i="2"/>
  <c r="GL589" i="2"/>
  <c r="GJ589" i="2"/>
  <c r="GB589" i="2"/>
  <c r="FY589" i="2"/>
  <c r="FT589" i="2"/>
  <c r="FS589" i="2"/>
  <c r="FQ589" i="2"/>
  <c r="FP589" i="2"/>
  <c r="GI589" i="2" s="1"/>
  <c r="FO589" i="2"/>
  <c r="FN589" i="2"/>
  <c r="FM589" i="2"/>
  <c r="FL589" i="2"/>
  <c r="FK589" i="2"/>
  <c r="FJ589" i="2"/>
  <c r="FI589" i="2"/>
  <c r="FH589" i="2"/>
  <c r="FG589" i="2"/>
  <c r="FF589" i="2"/>
  <c r="FE589" i="2"/>
  <c r="FX589" i="2" s="1"/>
  <c r="FD589" i="2"/>
  <c r="FC589" i="2"/>
  <c r="FB589" i="2"/>
  <c r="EZ589" i="2"/>
  <c r="EX589" i="2"/>
  <c r="EW589" i="2"/>
  <c r="EL589" i="2"/>
  <c r="EH589" i="2"/>
  <c r="EG589" i="2"/>
  <c r="EE589" i="2"/>
  <c r="ED589" i="2"/>
  <c r="EC589" i="2"/>
  <c r="EB589" i="2"/>
  <c r="EA589" i="2"/>
  <c r="DZ589" i="2"/>
  <c r="DY589" i="2"/>
  <c r="DX589" i="2"/>
  <c r="DW589" i="2"/>
  <c r="EP589" i="2" s="1"/>
  <c r="DV589" i="2"/>
  <c r="DU589" i="2"/>
  <c r="DT589" i="2"/>
  <c r="EM589" i="2" s="1"/>
  <c r="DS589" i="2"/>
  <c r="DR589" i="2"/>
  <c r="DQ589" i="2"/>
  <c r="DP589" i="2"/>
  <c r="DM589" i="2"/>
  <c r="DL589" i="2"/>
  <c r="HC588" i="2"/>
  <c r="HB588" i="2"/>
  <c r="GW588" i="2"/>
  <c r="GV588" i="2"/>
  <c r="GU588" i="2"/>
  <c r="GT588" i="2"/>
  <c r="GO588" i="2"/>
  <c r="GL588" i="2"/>
  <c r="GJ588" i="2"/>
  <c r="FT588" i="2"/>
  <c r="FS588" i="2"/>
  <c r="FQ588" i="2"/>
  <c r="FP588" i="2"/>
  <c r="GI588" i="2" s="1"/>
  <c r="FO588" i="2"/>
  <c r="FN588" i="2"/>
  <c r="FM588" i="2"/>
  <c r="FL588" i="2"/>
  <c r="FK588" i="2"/>
  <c r="FJ588" i="2"/>
  <c r="FI588" i="2"/>
  <c r="GB588" i="2" s="1"/>
  <c r="FH588" i="2"/>
  <c r="FG588" i="2"/>
  <c r="FF588" i="2"/>
  <c r="FY588" i="2" s="1"/>
  <c r="FE588" i="2"/>
  <c r="FX588" i="2" s="1"/>
  <c r="FD588" i="2"/>
  <c r="FC588" i="2"/>
  <c r="FB588" i="2"/>
  <c r="EZ588" i="2"/>
  <c r="EX588" i="2"/>
  <c r="EW588" i="2"/>
  <c r="EM588" i="2"/>
  <c r="EH588" i="2"/>
  <c r="EG588" i="2"/>
  <c r="EE588" i="2"/>
  <c r="ED588" i="2"/>
  <c r="EC588" i="2"/>
  <c r="EB588" i="2"/>
  <c r="EA588" i="2"/>
  <c r="DZ588" i="2"/>
  <c r="DY588" i="2"/>
  <c r="DX588" i="2"/>
  <c r="DW588" i="2"/>
  <c r="EP588" i="2" s="1"/>
  <c r="DV588" i="2"/>
  <c r="DU588" i="2"/>
  <c r="DT588" i="2"/>
  <c r="DS588" i="2"/>
  <c r="EL588" i="2" s="1"/>
  <c r="DR588" i="2"/>
  <c r="DQ588" i="2"/>
  <c r="DP588" i="2"/>
  <c r="DM588" i="2"/>
  <c r="DL588" i="2"/>
  <c r="HC587" i="2"/>
  <c r="HB587" i="2"/>
  <c r="GW587" i="2"/>
  <c r="GV587" i="2"/>
  <c r="GU587" i="2"/>
  <c r="GT587" i="2"/>
  <c r="GO587" i="2"/>
  <c r="GB587" i="2"/>
  <c r="FT587" i="2"/>
  <c r="FS587" i="2"/>
  <c r="GL587" i="2" s="1"/>
  <c r="FQ587" i="2"/>
  <c r="GJ587" i="2" s="1"/>
  <c r="FP587" i="2"/>
  <c r="GI587" i="2" s="1"/>
  <c r="FO587" i="2"/>
  <c r="FN587" i="2"/>
  <c r="FM587" i="2"/>
  <c r="FL587" i="2"/>
  <c r="FK587" i="2"/>
  <c r="FJ587" i="2"/>
  <c r="FI587" i="2"/>
  <c r="FH587" i="2"/>
  <c r="FG587" i="2"/>
  <c r="FF587" i="2"/>
  <c r="FY587" i="2" s="1"/>
  <c r="FE587" i="2"/>
  <c r="FX587" i="2" s="1"/>
  <c r="FD587" i="2"/>
  <c r="FC587" i="2"/>
  <c r="FB587" i="2"/>
  <c r="EZ587" i="2"/>
  <c r="EX587" i="2"/>
  <c r="EW587" i="2"/>
  <c r="EP587" i="2"/>
  <c r="EM587" i="2"/>
  <c r="EH587" i="2"/>
  <c r="EG587" i="2"/>
  <c r="EE587" i="2"/>
  <c r="ED587" i="2"/>
  <c r="EC587" i="2"/>
  <c r="EB587" i="2"/>
  <c r="EA587" i="2"/>
  <c r="DZ587" i="2"/>
  <c r="DY587" i="2"/>
  <c r="DX587" i="2"/>
  <c r="DW587" i="2"/>
  <c r="DV587" i="2"/>
  <c r="DU587" i="2"/>
  <c r="DT587" i="2"/>
  <c r="DS587" i="2"/>
  <c r="EL587" i="2" s="1"/>
  <c r="DR587" i="2"/>
  <c r="DQ587" i="2"/>
  <c r="DP587" i="2"/>
  <c r="DM587" i="2"/>
  <c r="DL587" i="2"/>
  <c r="HC586" i="2"/>
  <c r="HB586" i="2"/>
  <c r="GW586" i="2"/>
  <c r="GV586" i="2"/>
  <c r="GU586" i="2"/>
  <c r="GT586" i="2"/>
  <c r="GP586" i="2"/>
  <c r="GQ586" i="2" s="1"/>
  <c r="GO586" i="2"/>
  <c r="GJ586" i="2"/>
  <c r="GI586" i="2"/>
  <c r="FY586" i="2"/>
  <c r="FT586" i="2"/>
  <c r="FS586" i="2"/>
  <c r="GL586" i="2" s="1"/>
  <c r="FQ586" i="2"/>
  <c r="FP586" i="2"/>
  <c r="FO586" i="2"/>
  <c r="FN586" i="2"/>
  <c r="FM586" i="2"/>
  <c r="FL586" i="2"/>
  <c r="FK586" i="2"/>
  <c r="FJ586" i="2"/>
  <c r="FI586" i="2"/>
  <c r="GB586" i="2" s="1"/>
  <c r="FH586" i="2"/>
  <c r="FG586" i="2"/>
  <c r="FF586" i="2"/>
  <c r="FE586" i="2"/>
  <c r="FX586" i="2" s="1"/>
  <c r="FD586" i="2"/>
  <c r="FC586" i="2"/>
  <c r="FB586" i="2"/>
  <c r="EZ586" i="2"/>
  <c r="EX586" i="2"/>
  <c r="EW586" i="2"/>
  <c r="EP586" i="2"/>
  <c r="EM586" i="2"/>
  <c r="EH586" i="2"/>
  <c r="EG586" i="2"/>
  <c r="EE586" i="2"/>
  <c r="ED586" i="2"/>
  <c r="EC586" i="2"/>
  <c r="EB586" i="2"/>
  <c r="EA586" i="2"/>
  <c r="DZ586" i="2"/>
  <c r="DY586" i="2"/>
  <c r="DX586" i="2"/>
  <c r="DW586" i="2"/>
  <c r="DV586" i="2"/>
  <c r="DU586" i="2"/>
  <c r="DT586" i="2"/>
  <c r="DS586" i="2"/>
  <c r="EL586" i="2" s="1"/>
  <c r="DR586" i="2"/>
  <c r="DQ586" i="2"/>
  <c r="DP586" i="2"/>
  <c r="DM586" i="2"/>
  <c r="DL586" i="2"/>
  <c r="HC585" i="2"/>
  <c r="HB585" i="2"/>
  <c r="GW585" i="2"/>
  <c r="GV585" i="2"/>
  <c r="GU585" i="2"/>
  <c r="GT585" i="2"/>
  <c r="GQ585" i="2"/>
  <c r="GP585" i="2"/>
  <c r="GO585" i="2"/>
  <c r="GI585" i="2"/>
  <c r="FY585" i="2"/>
  <c r="FX585" i="2"/>
  <c r="FT585" i="2"/>
  <c r="FS585" i="2"/>
  <c r="GL585" i="2" s="1"/>
  <c r="FQ585" i="2"/>
  <c r="GJ585" i="2" s="1"/>
  <c r="FP585" i="2"/>
  <c r="FO585" i="2"/>
  <c r="FN585" i="2"/>
  <c r="FM585" i="2"/>
  <c r="FL585" i="2"/>
  <c r="FK585" i="2"/>
  <c r="FJ585" i="2"/>
  <c r="FI585" i="2"/>
  <c r="GB585" i="2" s="1"/>
  <c r="FH585" i="2"/>
  <c r="FG585" i="2"/>
  <c r="FF585" i="2"/>
  <c r="FE585" i="2"/>
  <c r="FD585" i="2"/>
  <c r="FC585" i="2"/>
  <c r="FB585" i="2"/>
  <c r="EZ585" i="2"/>
  <c r="EX585" i="2"/>
  <c r="EP585" i="2"/>
  <c r="EL585" i="2"/>
  <c r="EH585" i="2"/>
  <c r="EG585" i="2"/>
  <c r="EE585" i="2"/>
  <c r="ED585" i="2"/>
  <c r="EW585" i="2" s="1"/>
  <c r="EC585" i="2"/>
  <c r="EB585" i="2"/>
  <c r="EA585" i="2"/>
  <c r="DZ585" i="2"/>
  <c r="DY585" i="2"/>
  <c r="DX585" i="2"/>
  <c r="DW585" i="2"/>
  <c r="DV585" i="2"/>
  <c r="DU585" i="2"/>
  <c r="DT585" i="2"/>
  <c r="EM585" i="2" s="1"/>
  <c r="DS585" i="2"/>
  <c r="DR585" i="2"/>
  <c r="DQ585" i="2"/>
  <c r="DP585" i="2"/>
  <c r="DM585" i="2"/>
  <c r="DL585" i="2"/>
  <c r="HC584" i="2"/>
  <c r="HB584" i="2"/>
  <c r="GW584" i="2"/>
  <c r="GV584" i="2"/>
  <c r="GU584" i="2"/>
  <c r="GT584" i="2"/>
  <c r="GP584" i="2"/>
  <c r="GO584" i="2"/>
  <c r="GQ584" i="2" s="1"/>
  <c r="GL584" i="2"/>
  <c r="GJ584" i="2"/>
  <c r="GI584" i="2"/>
  <c r="FY584" i="2"/>
  <c r="FX584" i="2"/>
  <c r="FT584" i="2"/>
  <c r="FS584" i="2"/>
  <c r="FQ584" i="2"/>
  <c r="FP584" i="2"/>
  <c r="FO584" i="2"/>
  <c r="FN584" i="2"/>
  <c r="FM584" i="2"/>
  <c r="FL584" i="2"/>
  <c r="FK584" i="2"/>
  <c r="FJ584" i="2"/>
  <c r="FI584" i="2"/>
  <c r="GB584" i="2" s="1"/>
  <c r="FH584" i="2"/>
  <c r="FG584" i="2"/>
  <c r="FF584" i="2"/>
  <c r="FE584" i="2"/>
  <c r="FD584" i="2"/>
  <c r="FC584" i="2"/>
  <c r="FB584" i="2"/>
  <c r="EZ584" i="2"/>
  <c r="EX584" i="2"/>
  <c r="EP584" i="2"/>
  <c r="EM584" i="2"/>
  <c r="EH584" i="2"/>
  <c r="EG584" i="2"/>
  <c r="EE584" i="2"/>
  <c r="ED584" i="2"/>
  <c r="EW584" i="2" s="1"/>
  <c r="EC584" i="2"/>
  <c r="EB584" i="2"/>
  <c r="EA584" i="2"/>
  <c r="DZ584" i="2"/>
  <c r="DY584" i="2"/>
  <c r="DX584" i="2"/>
  <c r="DW584" i="2"/>
  <c r="DV584" i="2"/>
  <c r="DU584" i="2"/>
  <c r="DT584" i="2"/>
  <c r="DS584" i="2"/>
  <c r="EL584" i="2" s="1"/>
  <c r="DR584" i="2"/>
  <c r="DQ584" i="2"/>
  <c r="DP584" i="2"/>
  <c r="DM584" i="2"/>
  <c r="DL584" i="2"/>
  <c r="HC583" i="2"/>
  <c r="HB583" i="2"/>
  <c r="GW583" i="2"/>
  <c r="GV583" i="2"/>
  <c r="GU583" i="2"/>
  <c r="GT583" i="2"/>
  <c r="GP583" i="2"/>
  <c r="GO583" i="2"/>
  <c r="GQ583" i="2" s="1"/>
  <c r="GL583" i="2"/>
  <c r="GJ583" i="2"/>
  <c r="GI583" i="2"/>
  <c r="FY583" i="2"/>
  <c r="FX583" i="2"/>
  <c r="FT583" i="2"/>
  <c r="FS583" i="2"/>
  <c r="FQ583" i="2"/>
  <c r="FP583" i="2"/>
  <c r="FO583" i="2"/>
  <c r="FN583" i="2"/>
  <c r="FM583" i="2"/>
  <c r="FL583" i="2"/>
  <c r="FK583" i="2"/>
  <c r="FJ583" i="2"/>
  <c r="FI583" i="2"/>
  <c r="GB583" i="2" s="1"/>
  <c r="FH583" i="2"/>
  <c r="FG583" i="2"/>
  <c r="FF583" i="2"/>
  <c r="FE583" i="2"/>
  <c r="FD583" i="2"/>
  <c r="FC583" i="2"/>
  <c r="FB583" i="2"/>
  <c r="EZ583" i="2"/>
  <c r="EX583" i="2"/>
  <c r="EM583" i="2"/>
  <c r="EH583" i="2"/>
  <c r="EG583" i="2"/>
  <c r="EE583" i="2"/>
  <c r="ED583" i="2"/>
  <c r="EW583" i="2" s="1"/>
  <c r="EC583" i="2"/>
  <c r="EB583" i="2"/>
  <c r="EA583" i="2"/>
  <c r="DZ583" i="2"/>
  <c r="DY583" i="2"/>
  <c r="DX583" i="2"/>
  <c r="DW583" i="2"/>
  <c r="EP583" i="2" s="1"/>
  <c r="DV583" i="2"/>
  <c r="DU583" i="2"/>
  <c r="DT583" i="2"/>
  <c r="DS583" i="2"/>
  <c r="EL583" i="2" s="1"/>
  <c r="DR583" i="2"/>
  <c r="DQ583" i="2"/>
  <c r="DP583" i="2"/>
  <c r="DM583" i="2"/>
  <c r="DL583" i="2"/>
  <c r="HC582" i="2"/>
  <c r="HB582" i="2"/>
  <c r="GW582" i="2"/>
  <c r="GV582" i="2"/>
  <c r="GU582" i="2"/>
  <c r="GT582" i="2"/>
  <c r="GO582" i="2"/>
  <c r="GL582" i="2"/>
  <c r="GJ582" i="2"/>
  <c r="GI582" i="2"/>
  <c r="FX582" i="2"/>
  <c r="FT582" i="2"/>
  <c r="FS582" i="2"/>
  <c r="FQ582" i="2"/>
  <c r="FP582" i="2"/>
  <c r="FO582" i="2"/>
  <c r="FN582" i="2"/>
  <c r="FM582" i="2"/>
  <c r="FL582" i="2"/>
  <c r="FK582" i="2"/>
  <c r="FJ582" i="2"/>
  <c r="FI582" i="2"/>
  <c r="GB582" i="2" s="1"/>
  <c r="FH582" i="2"/>
  <c r="FG582" i="2"/>
  <c r="FF582" i="2"/>
  <c r="FY582" i="2" s="1"/>
  <c r="FE582" i="2"/>
  <c r="FD582" i="2"/>
  <c r="FC582" i="2"/>
  <c r="FB582" i="2"/>
  <c r="EP582" i="2"/>
  <c r="EH582" i="2"/>
  <c r="EG582" i="2"/>
  <c r="EZ582" i="2" s="1"/>
  <c r="EE582" i="2"/>
  <c r="EX582" i="2" s="1"/>
  <c r="ED582" i="2"/>
  <c r="EW582" i="2" s="1"/>
  <c r="EC582" i="2"/>
  <c r="EB582" i="2"/>
  <c r="EA582" i="2"/>
  <c r="DZ582" i="2"/>
  <c r="DY582" i="2"/>
  <c r="DX582" i="2"/>
  <c r="DW582" i="2"/>
  <c r="DV582" i="2"/>
  <c r="DU582" i="2"/>
  <c r="DT582" i="2"/>
  <c r="EM582" i="2" s="1"/>
  <c r="DS582" i="2"/>
  <c r="EL582" i="2" s="1"/>
  <c r="DR582" i="2"/>
  <c r="DQ582" i="2"/>
  <c r="DP582" i="2"/>
  <c r="DM582" i="2"/>
  <c r="DL582" i="2"/>
  <c r="HC581" i="2"/>
  <c r="HB581" i="2"/>
  <c r="GW581" i="2"/>
  <c r="GV581" i="2"/>
  <c r="GU581" i="2"/>
  <c r="GT581" i="2"/>
  <c r="GO581" i="2"/>
  <c r="GL581" i="2"/>
  <c r="GJ581" i="2"/>
  <c r="GB581" i="2"/>
  <c r="FY581" i="2"/>
  <c r="FX581" i="2"/>
  <c r="FT581" i="2"/>
  <c r="FS581" i="2"/>
  <c r="FQ581" i="2"/>
  <c r="FP581" i="2"/>
  <c r="GI581" i="2" s="1"/>
  <c r="FO581" i="2"/>
  <c r="FN581" i="2"/>
  <c r="FM581" i="2"/>
  <c r="FL581" i="2"/>
  <c r="FK581" i="2"/>
  <c r="FJ581" i="2"/>
  <c r="FI581" i="2"/>
  <c r="FH581" i="2"/>
  <c r="FG581" i="2"/>
  <c r="FF581" i="2"/>
  <c r="FE581" i="2"/>
  <c r="FD581" i="2"/>
  <c r="FC581" i="2"/>
  <c r="FB581" i="2"/>
  <c r="EZ581" i="2"/>
  <c r="EP581" i="2"/>
  <c r="EM581" i="2"/>
  <c r="EL581" i="2"/>
  <c r="EH581" i="2"/>
  <c r="EG581" i="2"/>
  <c r="EE581" i="2"/>
  <c r="EX581" i="2" s="1"/>
  <c r="ED581" i="2"/>
  <c r="EW581" i="2" s="1"/>
  <c r="EC581" i="2"/>
  <c r="EB581" i="2"/>
  <c r="EA581" i="2"/>
  <c r="DZ581" i="2"/>
  <c r="DY581" i="2"/>
  <c r="DX581" i="2"/>
  <c r="DW581" i="2"/>
  <c r="DV581" i="2"/>
  <c r="DU581" i="2"/>
  <c r="DT581" i="2"/>
  <c r="DS581" i="2"/>
  <c r="DR581" i="2"/>
  <c r="DQ581" i="2"/>
  <c r="DP581" i="2"/>
  <c r="DM581" i="2"/>
  <c r="DL581" i="2"/>
  <c r="HC580" i="2"/>
  <c r="HB580" i="2"/>
  <c r="GW580" i="2"/>
  <c r="GV580" i="2"/>
  <c r="GU580" i="2"/>
  <c r="GT580" i="2"/>
  <c r="GO580" i="2"/>
  <c r="GP580" i="2" s="1"/>
  <c r="GQ580" i="2" s="1"/>
  <c r="GJ580" i="2"/>
  <c r="FT580" i="2"/>
  <c r="FS580" i="2"/>
  <c r="GL580" i="2" s="1"/>
  <c r="FQ580" i="2"/>
  <c r="FP580" i="2"/>
  <c r="GI580" i="2" s="1"/>
  <c r="FO580" i="2"/>
  <c r="FN580" i="2"/>
  <c r="FM580" i="2"/>
  <c r="FL580" i="2"/>
  <c r="FK580" i="2"/>
  <c r="FJ580" i="2"/>
  <c r="FI580" i="2"/>
  <c r="GB580" i="2" s="1"/>
  <c r="FH580" i="2"/>
  <c r="FG580" i="2"/>
  <c r="FF580" i="2"/>
  <c r="FY580" i="2" s="1"/>
  <c r="FE580" i="2"/>
  <c r="FX580" i="2" s="1"/>
  <c r="FD580" i="2"/>
  <c r="FC580" i="2"/>
  <c r="FB580" i="2"/>
  <c r="EW580" i="2"/>
  <c r="EM580" i="2"/>
  <c r="EH580" i="2"/>
  <c r="EG580" i="2"/>
  <c r="EZ580" i="2" s="1"/>
  <c r="EE580" i="2"/>
  <c r="EX580" i="2" s="1"/>
  <c r="ED580" i="2"/>
  <c r="EC580" i="2"/>
  <c r="EB580" i="2"/>
  <c r="EA580" i="2"/>
  <c r="DZ580" i="2"/>
  <c r="DY580" i="2"/>
  <c r="DX580" i="2"/>
  <c r="DW580" i="2"/>
  <c r="EP580" i="2" s="1"/>
  <c r="DV580" i="2"/>
  <c r="DU580" i="2"/>
  <c r="DT580" i="2"/>
  <c r="DS580" i="2"/>
  <c r="EL580" i="2" s="1"/>
  <c r="DR580" i="2"/>
  <c r="DQ580" i="2"/>
  <c r="DP580" i="2"/>
  <c r="DM580" i="2"/>
  <c r="DL580" i="2"/>
  <c r="HC579" i="2"/>
  <c r="HB579" i="2"/>
  <c r="GW579" i="2"/>
  <c r="GV579" i="2"/>
  <c r="GU579" i="2"/>
  <c r="GT579" i="2"/>
  <c r="GO579" i="2"/>
  <c r="GJ579" i="2"/>
  <c r="FY579" i="2"/>
  <c r="FT579" i="2"/>
  <c r="FS579" i="2"/>
  <c r="GL579" i="2" s="1"/>
  <c r="FQ579" i="2"/>
  <c r="FP579" i="2"/>
  <c r="GI579" i="2" s="1"/>
  <c r="FO579" i="2"/>
  <c r="FN579" i="2"/>
  <c r="FM579" i="2"/>
  <c r="FL579" i="2"/>
  <c r="FK579" i="2"/>
  <c r="FJ579" i="2"/>
  <c r="FI579" i="2"/>
  <c r="GB579" i="2" s="1"/>
  <c r="FH579" i="2"/>
  <c r="FG579" i="2"/>
  <c r="FF579" i="2"/>
  <c r="FE579" i="2"/>
  <c r="FX579" i="2" s="1"/>
  <c r="FD579" i="2"/>
  <c r="FC579" i="2"/>
  <c r="FB579" i="2"/>
  <c r="EZ579" i="2"/>
  <c r="EX579" i="2"/>
  <c r="EW579" i="2"/>
  <c r="EM579" i="2"/>
  <c r="EL579" i="2"/>
  <c r="EH579" i="2"/>
  <c r="EG579" i="2"/>
  <c r="EE579" i="2"/>
  <c r="ED579" i="2"/>
  <c r="EC579" i="2"/>
  <c r="EB579" i="2"/>
  <c r="EA579" i="2"/>
  <c r="DZ579" i="2"/>
  <c r="DY579" i="2"/>
  <c r="DX579" i="2"/>
  <c r="DW579" i="2"/>
  <c r="EP579" i="2" s="1"/>
  <c r="DV579" i="2"/>
  <c r="DU579" i="2"/>
  <c r="DT579" i="2"/>
  <c r="DS579" i="2"/>
  <c r="DR579" i="2"/>
  <c r="DQ579" i="2"/>
  <c r="DP579" i="2"/>
  <c r="DM579" i="2"/>
  <c r="DL579" i="2"/>
  <c r="HC578" i="2"/>
  <c r="HB578" i="2"/>
  <c r="GW578" i="2"/>
  <c r="GV578" i="2"/>
  <c r="GU578" i="2"/>
  <c r="GT578" i="2"/>
  <c r="GP578" i="2"/>
  <c r="GQ578" i="2" s="1"/>
  <c r="GO578" i="2"/>
  <c r="GI578" i="2"/>
  <c r="FY578" i="2"/>
  <c r="FX578" i="2"/>
  <c r="FT578" i="2"/>
  <c r="FS578" i="2"/>
  <c r="GL578" i="2" s="1"/>
  <c r="FQ578" i="2"/>
  <c r="GJ578" i="2" s="1"/>
  <c r="FP578" i="2"/>
  <c r="FO578" i="2"/>
  <c r="FN578" i="2"/>
  <c r="FM578" i="2"/>
  <c r="FL578" i="2"/>
  <c r="FK578" i="2"/>
  <c r="FJ578" i="2"/>
  <c r="FI578" i="2"/>
  <c r="GB578" i="2" s="1"/>
  <c r="FH578" i="2"/>
  <c r="FG578" i="2"/>
  <c r="FF578" i="2"/>
  <c r="FE578" i="2"/>
  <c r="FD578" i="2"/>
  <c r="FC578" i="2"/>
  <c r="FB578" i="2"/>
  <c r="EZ578" i="2"/>
  <c r="EX578" i="2"/>
  <c r="EW578" i="2"/>
  <c r="EP578" i="2"/>
  <c r="EM578" i="2"/>
  <c r="EL578" i="2"/>
  <c r="EH578" i="2"/>
  <c r="EG578" i="2"/>
  <c r="EE578" i="2"/>
  <c r="ED578" i="2"/>
  <c r="EC578" i="2"/>
  <c r="EB578" i="2"/>
  <c r="EA578" i="2"/>
  <c r="DZ578" i="2"/>
  <c r="DY578" i="2"/>
  <c r="DX578" i="2"/>
  <c r="DW578" i="2"/>
  <c r="DV578" i="2"/>
  <c r="DU578" i="2"/>
  <c r="DT578" i="2"/>
  <c r="DS578" i="2"/>
  <c r="DR578" i="2"/>
  <c r="DQ578" i="2"/>
  <c r="DP578" i="2"/>
  <c r="DM578" i="2"/>
  <c r="DL578" i="2"/>
  <c r="HC577" i="2"/>
  <c r="HB577" i="2"/>
  <c r="GW577" i="2"/>
  <c r="GV577" i="2"/>
  <c r="GU577" i="2"/>
  <c r="GT577" i="2"/>
  <c r="GO577" i="2"/>
  <c r="GJ577" i="2"/>
  <c r="GI577" i="2"/>
  <c r="FY577" i="2"/>
  <c r="FX577" i="2"/>
  <c r="FT577" i="2"/>
  <c r="FS577" i="2"/>
  <c r="GL577" i="2" s="1"/>
  <c r="FQ577" i="2"/>
  <c r="FP577" i="2"/>
  <c r="FO577" i="2"/>
  <c r="FN577" i="2"/>
  <c r="FM577" i="2"/>
  <c r="FL577" i="2"/>
  <c r="FK577" i="2"/>
  <c r="FJ577" i="2"/>
  <c r="FI577" i="2"/>
  <c r="GB577" i="2" s="1"/>
  <c r="FH577" i="2"/>
  <c r="FG577" i="2"/>
  <c r="FF577" i="2"/>
  <c r="FE577" i="2"/>
  <c r="FD577" i="2"/>
  <c r="FC577" i="2"/>
  <c r="FB577" i="2"/>
  <c r="EX577" i="2"/>
  <c r="EW577" i="2"/>
  <c r="EP577" i="2"/>
  <c r="EM577" i="2"/>
  <c r="EL577" i="2"/>
  <c r="EH577" i="2"/>
  <c r="EG577" i="2"/>
  <c r="EZ577" i="2" s="1"/>
  <c r="EE577" i="2"/>
  <c r="ED577" i="2"/>
  <c r="EC577" i="2"/>
  <c r="EB577" i="2"/>
  <c r="EA577" i="2"/>
  <c r="DZ577" i="2"/>
  <c r="DY577" i="2"/>
  <c r="DX577" i="2"/>
  <c r="DW577" i="2"/>
  <c r="DV577" i="2"/>
  <c r="DU577" i="2"/>
  <c r="DT577" i="2"/>
  <c r="DS577" i="2"/>
  <c r="DR577" i="2"/>
  <c r="DQ577" i="2"/>
  <c r="DP577" i="2"/>
  <c r="DM577" i="2"/>
  <c r="DL577" i="2"/>
  <c r="HC576" i="2"/>
  <c r="HB576" i="2"/>
  <c r="GW576" i="2"/>
  <c r="GU576" i="2"/>
  <c r="GT576" i="2"/>
  <c r="GI576" i="2"/>
  <c r="FY576" i="2"/>
  <c r="FX576" i="2"/>
  <c r="FT576" i="2"/>
  <c r="FS576" i="2"/>
  <c r="GL576" i="2" s="1"/>
  <c r="FQ576" i="2"/>
  <c r="GJ576" i="2" s="1"/>
  <c r="FP576" i="2"/>
  <c r="FO576" i="2"/>
  <c r="FN576" i="2"/>
  <c r="FM576" i="2"/>
  <c r="FL576" i="2"/>
  <c r="FK576" i="2"/>
  <c r="FJ576" i="2"/>
  <c r="FI576" i="2"/>
  <c r="GB576" i="2" s="1"/>
  <c r="FH576" i="2"/>
  <c r="FG576" i="2"/>
  <c r="FF576" i="2"/>
  <c r="FE576" i="2"/>
  <c r="FD576" i="2"/>
  <c r="FC576" i="2"/>
  <c r="FB576" i="2"/>
  <c r="EZ576" i="2"/>
  <c r="EG576" i="2"/>
  <c r="ED576" i="2"/>
  <c r="EW576" i="2" s="1"/>
  <c r="EC576" i="2"/>
  <c r="EB576" i="2"/>
  <c r="DV576" i="2"/>
  <c r="DT576" i="2"/>
  <c r="EM576" i="2" s="1"/>
  <c r="DS576" i="2"/>
  <c r="EL576" i="2" s="1"/>
  <c r="DR576" i="2"/>
  <c r="AZ576" i="2"/>
  <c r="DP576" i="2" s="1"/>
  <c r="AY576" i="2"/>
  <c r="HC575" i="2"/>
  <c r="HB575" i="2"/>
  <c r="GW575" i="2"/>
  <c r="GV575" i="2"/>
  <c r="GU575" i="2"/>
  <c r="GT575" i="2"/>
  <c r="GO575" i="2"/>
  <c r="GL575" i="2"/>
  <c r="GB575" i="2"/>
  <c r="FT575" i="2"/>
  <c r="FS575" i="2"/>
  <c r="FQ575" i="2"/>
  <c r="GJ575" i="2" s="1"/>
  <c r="FP575" i="2"/>
  <c r="GI575" i="2" s="1"/>
  <c r="FO575" i="2"/>
  <c r="FN575" i="2"/>
  <c r="FM575" i="2"/>
  <c r="FL575" i="2"/>
  <c r="FK575" i="2"/>
  <c r="FJ575" i="2"/>
  <c r="FI575" i="2"/>
  <c r="FH575" i="2"/>
  <c r="FG575" i="2"/>
  <c r="FF575" i="2"/>
  <c r="FY575" i="2" s="1"/>
  <c r="FE575" i="2"/>
  <c r="FX575" i="2" s="1"/>
  <c r="FD575" i="2"/>
  <c r="FC575" i="2"/>
  <c r="FB575" i="2"/>
  <c r="EZ575" i="2"/>
  <c r="EW575" i="2"/>
  <c r="EM575" i="2"/>
  <c r="EL575" i="2"/>
  <c r="EG575" i="2"/>
  <c r="EE575" i="2"/>
  <c r="EX575" i="2" s="1"/>
  <c r="ED575" i="2"/>
  <c r="EC575" i="2"/>
  <c r="EB575" i="2"/>
  <c r="EA575" i="2"/>
  <c r="DZ575" i="2"/>
  <c r="DY575" i="2"/>
  <c r="DX575" i="2"/>
  <c r="DV575" i="2"/>
  <c r="DU575" i="2"/>
  <c r="DT575" i="2"/>
  <c r="DS575" i="2"/>
  <c r="DR575" i="2"/>
  <c r="DQ575" i="2"/>
  <c r="DP575" i="2"/>
  <c r="DM575" i="2"/>
  <c r="DL575" i="2"/>
  <c r="AY575" i="2"/>
  <c r="EH575" i="2" s="1"/>
  <c r="HC574" i="2"/>
  <c r="HB574" i="2"/>
  <c r="GW574" i="2"/>
  <c r="GV574" i="2"/>
  <c r="GU574" i="2"/>
  <c r="GT574" i="2"/>
  <c r="GO574" i="2"/>
  <c r="GL574" i="2"/>
  <c r="GI574" i="2"/>
  <c r="GB574" i="2"/>
  <c r="FY574" i="2"/>
  <c r="FX574" i="2"/>
  <c r="FT574" i="2"/>
  <c r="FS574" i="2"/>
  <c r="FQ574" i="2"/>
  <c r="GJ574" i="2" s="1"/>
  <c r="FP574" i="2"/>
  <c r="FO574" i="2"/>
  <c r="FN574" i="2"/>
  <c r="FM574" i="2"/>
  <c r="FL574" i="2"/>
  <c r="FK574" i="2"/>
  <c r="FJ574" i="2"/>
  <c r="FI574" i="2"/>
  <c r="FH574" i="2"/>
  <c r="FG574" i="2"/>
  <c r="FF574" i="2"/>
  <c r="FE574" i="2"/>
  <c r="FD574" i="2"/>
  <c r="FC574" i="2"/>
  <c r="FB574" i="2"/>
  <c r="EL574" i="2"/>
  <c r="EH574" i="2"/>
  <c r="EG574" i="2"/>
  <c r="EZ574" i="2" s="1"/>
  <c r="EE574" i="2"/>
  <c r="EX574" i="2" s="1"/>
  <c r="ED574" i="2"/>
  <c r="EW574" i="2" s="1"/>
  <c r="EC574" i="2"/>
  <c r="EB574" i="2"/>
  <c r="EA574" i="2"/>
  <c r="DZ574" i="2"/>
  <c r="DY574" i="2"/>
  <c r="DX574" i="2"/>
  <c r="DW574" i="2"/>
  <c r="EP574" i="2" s="1"/>
  <c r="DV574" i="2"/>
  <c r="DU574" i="2"/>
  <c r="DT574" i="2"/>
  <c r="EM574" i="2" s="1"/>
  <c r="DS574" i="2"/>
  <c r="DR574" i="2"/>
  <c r="DQ574" i="2"/>
  <c r="DP574" i="2"/>
  <c r="DM574" i="2"/>
  <c r="DL574" i="2"/>
  <c r="HC573" i="2"/>
  <c r="HB573" i="2"/>
  <c r="GW573" i="2"/>
  <c r="GV573" i="2"/>
  <c r="GU573" i="2"/>
  <c r="GT573" i="2"/>
  <c r="GO573" i="2"/>
  <c r="GB573" i="2"/>
  <c r="FT573" i="2"/>
  <c r="FS573" i="2"/>
  <c r="GL573" i="2" s="1"/>
  <c r="FQ573" i="2"/>
  <c r="GJ573" i="2" s="1"/>
  <c r="FP573" i="2"/>
  <c r="GI573" i="2" s="1"/>
  <c r="FO573" i="2"/>
  <c r="FN573" i="2"/>
  <c r="FM573" i="2"/>
  <c r="FL573" i="2"/>
  <c r="FK573" i="2"/>
  <c r="FJ573" i="2"/>
  <c r="FI573" i="2"/>
  <c r="FH573" i="2"/>
  <c r="FG573" i="2"/>
  <c r="FF573" i="2"/>
  <c r="FY573" i="2" s="1"/>
  <c r="FE573" i="2"/>
  <c r="FX573" i="2" s="1"/>
  <c r="FD573" i="2"/>
  <c r="FC573" i="2"/>
  <c r="FB573" i="2"/>
  <c r="EX573" i="2"/>
  <c r="EW573" i="2"/>
  <c r="EM573" i="2"/>
  <c r="EL573" i="2"/>
  <c r="EH573" i="2"/>
  <c r="EG573" i="2"/>
  <c r="EZ573" i="2" s="1"/>
  <c r="EE573" i="2"/>
  <c r="ED573" i="2"/>
  <c r="EC573" i="2"/>
  <c r="EB573" i="2"/>
  <c r="EA573" i="2"/>
  <c r="DZ573" i="2"/>
  <c r="DY573" i="2"/>
  <c r="DX573" i="2"/>
  <c r="DW573" i="2"/>
  <c r="EP573" i="2" s="1"/>
  <c r="DV573" i="2"/>
  <c r="DU573" i="2"/>
  <c r="DT573" i="2"/>
  <c r="DS573" i="2"/>
  <c r="DR573" i="2"/>
  <c r="DQ573" i="2"/>
  <c r="DP573" i="2"/>
  <c r="DM573" i="2"/>
  <c r="DL573" i="2"/>
  <c r="HC572" i="2"/>
  <c r="HB572" i="2"/>
  <c r="GW572" i="2"/>
  <c r="GV572" i="2"/>
  <c r="GU572" i="2"/>
  <c r="GT572" i="2"/>
  <c r="GO572" i="2"/>
  <c r="GI572" i="2"/>
  <c r="GB572" i="2"/>
  <c r="FY572" i="2"/>
  <c r="FX572" i="2"/>
  <c r="FT572" i="2"/>
  <c r="FS572" i="2"/>
  <c r="GL572" i="2" s="1"/>
  <c r="FQ572" i="2"/>
  <c r="GJ572" i="2" s="1"/>
  <c r="FP572" i="2"/>
  <c r="FO572" i="2"/>
  <c r="FN572" i="2"/>
  <c r="FM572" i="2"/>
  <c r="FL572" i="2"/>
  <c r="FK572" i="2"/>
  <c r="FJ572" i="2"/>
  <c r="FI572" i="2"/>
  <c r="FH572" i="2"/>
  <c r="FG572" i="2"/>
  <c r="FF572" i="2"/>
  <c r="FE572" i="2"/>
  <c r="FD572" i="2"/>
  <c r="FC572" i="2"/>
  <c r="FB572" i="2"/>
  <c r="EL572" i="2"/>
  <c r="EH572" i="2"/>
  <c r="EG572" i="2"/>
  <c r="EZ572" i="2" s="1"/>
  <c r="EE572" i="2"/>
  <c r="EX572" i="2" s="1"/>
  <c r="ED572" i="2"/>
  <c r="EW572" i="2" s="1"/>
  <c r="EC572" i="2"/>
  <c r="EB572" i="2"/>
  <c r="EA572" i="2"/>
  <c r="DZ572" i="2"/>
  <c r="DY572" i="2"/>
  <c r="DX572" i="2"/>
  <c r="DW572" i="2"/>
  <c r="EP572" i="2" s="1"/>
  <c r="DV572" i="2"/>
  <c r="DU572" i="2"/>
  <c r="DT572" i="2"/>
  <c r="EM572" i="2" s="1"/>
  <c r="DS572" i="2"/>
  <c r="DR572" i="2"/>
  <c r="DQ572" i="2"/>
  <c r="DP572" i="2"/>
  <c r="DM572" i="2"/>
  <c r="DL572" i="2"/>
  <c r="HC571" i="2"/>
  <c r="HB571" i="2"/>
  <c r="GW571" i="2"/>
  <c r="GV571" i="2"/>
  <c r="GU571" i="2"/>
  <c r="GT571" i="2"/>
  <c r="GP571" i="2"/>
  <c r="GO571" i="2"/>
  <c r="FT571" i="2"/>
  <c r="FS571" i="2"/>
  <c r="GL571" i="2" s="1"/>
  <c r="FQ571" i="2"/>
  <c r="GJ571" i="2" s="1"/>
  <c r="FP571" i="2"/>
  <c r="GI571" i="2" s="1"/>
  <c r="FO571" i="2"/>
  <c r="FN571" i="2"/>
  <c r="FM571" i="2"/>
  <c r="FL571" i="2"/>
  <c r="FK571" i="2"/>
  <c r="FJ571" i="2"/>
  <c r="FI571" i="2"/>
  <c r="GB571" i="2" s="1"/>
  <c r="FH571" i="2"/>
  <c r="FG571" i="2"/>
  <c r="FF571" i="2"/>
  <c r="FY571" i="2" s="1"/>
  <c r="FE571" i="2"/>
  <c r="FX571" i="2" s="1"/>
  <c r="FD571" i="2"/>
  <c r="FC571" i="2"/>
  <c r="FB571" i="2"/>
  <c r="EX571" i="2"/>
  <c r="EW571" i="2"/>
  <c r="EM571" i="2"/>
  <c r="EH571" i="2"/>
  <c r="EG571" i="2"/>
  <c r="EZ571" i="2" s="1"/>
  <c r="EE571" i="2"/>
  <c r="ED571" i="2"/>
  <c r="EC571" i="2"/>
  <c r="EB571" i="2"/>
  <c r="EA571" i="2"/>
  <c r="DZ571" i="2"/>
  <c r="DY571" i="2"/>
  <c r="DX571" i="2"/>
  <c r="DW571" i="2"/>
  <c r="EP571" i="2" s="1"/>
  <c r="DV571" i="2"/>
  <c r="DU571" i="2"/>
  <c r="DT571" i="2"/>
  <c r="DS571" i="2"/>
  <c r="EL571" i="2" s="1"/>
  <c r="DR571" i="2"/>
  <c r="DQ571" i="2"/>
  <c r="DP571" i="2"/>
  <c r="DM571" i="2"/>
  <c r="DL571" i="2"/>
  <c r="HC570" i="2"/>
  <c r="HB570" i="2"/>
  <c r="GW570" i="2"/>
  <c r="GV570" i="2"/>
  <c r="GU570" i="2"/>
  <c r="GT570" i="2"/>
  <c r="GO570" i="2"/>
  <c r="GI570" i="2"/>
  <c r="GB570" i="2"/>
  <c r="FY570" i="2"/>
  <c r="FX570" i="2"/>
  <c r="FT570" i="2"/>
  <c r="FS570" i="2"/>
  <c r="GL570" i="2" s="1"/>
  <c r="FQ570" i="2"/>
  <c r="GJ570" i="2" s="1"/>
  <c r="FP570" i="2"/>
  <c r="FO570" i="2"/>
  <c r="FN570" i="2"/>
  <c r="FM570" i="2"/>
  <c r="FL570" i="2"/>
  <c r="FK570" i="2"/>
  <c r="FJ570" i="2"/>
  <c r="FI570" i="2"/>
  <c r="FH570" i="2"/>
  <c r="FG570" i="2"/>
  <c r="FF570" i="2"/>
  <c r="FE570" i="2"/>
  <c r="FD570" i="2"/>
  <c r="FC570" i="2"/>
  <c r="FB570" i="2"/>
  <c r="EL570" i="2"/>
  <c r="EH570" i="2"/>
  <c r="EG570" i="2"/>
  <c r="EZ570" i="2" s="1"/>
  <c r="EE570" i="2"/>
  <c r="EX570" i="2" s="1"/>
  <c r="ED570" i="2"/>
  <c r="EW570" i="2" s="1"/>
  <c r="EC570" i="2"/>
  <c r="EB570" i="2"/>
  <c r="EA570" i="2"/>
  <c r="DZ570" i="2"/>
  <c r="DY570" i="2"/>
  <c r="DX570" i="2"/>
  <c r="DW570" i="2"/>
  <c r="EP570" i="2" s="1"/>
  <c r="DV570" i="2"/>
  <c r="DU570" i="2"/>
  <c r="DT570" i="2"/>
  <c r="EM570" i="2" s="1"/>
  <c r="DS570" i="2"/>
  <c r="DR570" i="2"/>
  <c r="DQ570" i="2"/>
  <c r="DP570" i="2"/>
  <c r="DM570" i="2"/>
  <c r="DL570" i="2"/>
  <c r="HC569" i="2"/>
  <c r="HB569" i="2"/>
  <c r="GW569" i="2"/>
  <c r="GV569" i="2"/>
  <c r="GU569" i="2"/>
  <c r="GT569" i="2"/>
  <c r="GO569" i="2"/>
  <c r="FT569" i="2"/>
  <c r="FS569" i="2"/>
  <c r="GL569" i="2" s="1"/>
  <c r="FQ569" i="2"/>
  <c r="GJ569" i="2" s="1"/>
  <c r="FP569" i="2"/>
  <c r="GI569" i="2" s="1"/>
  <c r="FO569" i="2"/>
  <c r="FN569" i="2"/>
  <c r="FM569" i="2"/>
  <c r="FL569" i="2"/>
  <c r="FK569" i="2"/>
  <c r="FJ569" i="2"/>
  <c r="FI569" i="2"/>
  <c r="GB569" i="2" s="1"/>
  <c r="FH569" i="2"/>
  <c r="FG569" i="2"/>
  <c r="FF569" i="2"/>
  <c r="FY569" i="2" s="1"/>
  <c r="FE569" i="2"/>
  <c r="FX569" i="2" s="1"/>
  <c r="FD569" i="2"/>
  <c r="FC569" i="2"/>
  <c r="FB569" i="2"/>
  <c r="EX569" i="2"/>
  <c r="EW569" i="2"/>
  <c r="EM569" i="2"/>
  <c r="EL569" i="2"/>
  <c r="EH569" i="2"/>
  <c r="EG569" i="2"/>
  <c r="EZ569" i="2" s="1"/>
  <c r="EE569" i="2"/>
  <c r="ED569" i="2"/>
  <c r="EC569" i="2"/>
  <c r="EB569" i="2"/>
  <c r="EA569" i="2"/>
  <c r="DZ569" i="2"/>
  <c r="DY569" i="2"/>
  <c r="DX569" i="2"/>
  <c r="DW569" i="2"/>
  <c r="EP569" i="2" s="1"/>
  <c r="DV569" i="2"/>
  <c r="DU569" i="2"/>
  <c r="DT569" i="2"/>
  <c r="DS569" i="2"/>
  <c r="DR569" i="2"/>
  <c r="DQ569" i="2"/>
  <c r="DP569" i="2"/>
  <c r="DM569" i="2"/>
  <c r="DL569" i="2"/>
  <c r="HC568" i="2"/>
  <c r="HB568" i="2"/>
  <c r="GW568" i="2"/>
  <c r="GU568" i="2"/>
  <c r="GT568" i="2"/>
  <c r="GI568" i="2"/>
  <c r="GB568" i="2"/>
  <c r="FY568" i="2"/>
  <c r="FX568" i="2"/>
  <c r="FT568" i="2"/>
  <c r="FS568" i="2"/>
  <c r="GL568" i="2" s="1"/>
  <c r="FQ568" i="2"/>
  <c r="GJ568" i="2" s="1"/>
  <c r="FP568" i="2"/>
  <c r="FO568" i="2"/>
  <c r="FN568" i="2"/>
  <c r="FM568" i="2"/>
  <c r="FL568" i="2"/>
  <c r="FK568" i="2"/>
  <c r="FJ568" i="2"/>
  <c r="FI568" i="2"/>
  <c r="FH568" i="2"/>
  <c r="FG568" i="2"/>
  <c r="FF568" i="2"/>
  <c r="FE568" i="2"/>
  <c r="FD568" i="2"/>
  <c r="FC568" i="2"/>
  <c r="FB568" i="2"/>
  <c r="AY568" i="2"/>
  <c r="HC567" i="2"/>
  <c r="HB567" i="2"/>
  <c r="GW567" i="2"/>
  <c r="GU567" i="2"/>
  <c r="GT567" i="2"/>
  <c r="GO567" i="2"/>
  <c r="GP567" i="2" s="1"/>
  <c r="GQ567" i="2" s="1"/>
  <c r="FX567" i="2"/>
  <c r="FT567" i="2"/>
  <c r="FS567" i="2"/>
  <c r="GL567" i="2" s="1"/>
  <c r="FQ567" i="2"/>
  <c r="GJ567" i="2" s="1"/>
  <c r="FP567" i="2"/>
  <c r="GI567" i="2" s="1"/>
  <c r="FO567" i="2"/>
  <c r="FN567" i="2"/>
  <c r="FM567" i="2"/>
  <c r="FL567" i="2"/>
  <c r="FK567" i="2"/>
  <c r="FJ567" i="2"/>
  <c r="FI567" i="2"/>
  <c r="GB567" i="2" s="1"/>
  <c r="FH567" i="2"/>
  <c r="FG567" i="2"/>
  <c r="FF567" i="2"/>
  <c r="FY567" i="2" s="1"/>
  <c r="FE567" i="2"/>
  <c r="FD567" i="2"/>
  <c r="FC567" i="2"/>
  <c r="FB567" i="2"/>
  <c r="EZ567" i="2"/>
  <c r="EG567" i="2"/>
  <c r="ED567" i="2"/>
  <c r="EW567" i="2" s="1"/>
  <c r="EC567" i="2"/>
  <c r="EB567" i="2"/>
  <c r="DZ567" i="2"/>
  <c r="DX567" i="2"/>
  <c r="DV567" i="2"/>
  <c r="DT567" i="2"/>
  <c r="EM567" i="2" s="1"/>
  <c r="DS567" i="2"/>
  <c r="EL567" i="2" s="1"/>
  <c r="DR567" i="2"/>
  <c r="DP567" i="2"/>
  <c r="DL567" i="2"/>
  <c r="AY567" i="2"/>
  <c r="EA567" i="2" s="1"/>
  <c r="HC566" i="2"/>
  <c r="HB566" i="2"/>
  <c r="GW566" i="2"/>
  <c r="GU566" i="2"/>
  <c r="GT566" i="2"/>
  <c r="GL566" i="2"/>
  <c r="GJ566" i="2"/>
  <c r="FY566" i="2"/>
  <c r="FT566" i="2"/>
  <c r="FS566" i="2"/>
  <c r="FQ566" i="2"/>
  <c r="FP566" i="2"/>
  <c r="GI566" i="2" s="1"/>
  <c r="FO566" i="2"/>
  <c r="FN566" i="2"/>
  <c r="FM566" i="2"/>
  <c r="FL566" i="2"/>
  <c r="FK566" i="2"/>
  <c r="FJ566" i="2"/>
  <c r="FI566" i="2"/>
  <c r="GB566" i="2" s="1"/>
  <c r="FH566" i="2"/>
  <c r="FG566" i="2"/>
  <c r="FF566" i="2"/>
  <c r="FE566" i="2"/>
  <c r="FX566" i="2" s="1"/>
  <c r="FD566" i="2"/>
  <c r="FC566" i="2"/>
  <c r="FB566" i="2"/>
  <c r="DR566" i="2"/>
  <c r="DP566" i="2"/>
  <c r="DM566" i="2"/>
  <c r="BG566" i="2"/>
  <c r="AY566" i="2"/>
  <c r="DZ566" i="2" s="1"/>
  <c r="HC565" i="2"/>
  <c r="HB565" i="2"/>
  <c r="GW565" i="2"/>
  <c r="GU565" i="2"/>
  <c r="GT565" i="2"/>
  <c r="GL565" i="2"/>
  <c r="GB565" i="2"/>
  <c r="FT565" i="2"/>
  <c r="FS565" i="2"/>
  <c r="FQ565" i="2"/>
  <c r="GJ565" i="2" s="1"/>
  <c r="FP565" i="2"/>
  <c r="GI565" i="2" s="1"/>
  <c r="FO565" i="2"/>
  <c r="FN565" i="2"/>
  <c r="FM565" i="2"/>
  <c r="FL565" i="2"/>
  <c r="FK565" i="2"/>
  <c r="FJ565" i="2"/>
  <c r="FI565" i="2"/>
  <c r="FH565" i="2"/>
  <c r="FG565" i="2"/>
  <c r="FF565" i="2"/>
  <c r="FY565" i="2" s="1"/>
  <c r="FE565" i="2"/>
  <c r="FX565" i="2" s="1"/>
  <c r="FD565" i="2"/>
  <c r="FC565" i="2"/>
  <c r="FB565" i="2"/>
  <c r="EH565" i="2"/>
  <c r="EG565" i="2"/>
  <c r="EZ565" i="2" s="1"/>
  <c r="DY565" i="2"/>
  <c r="DV565" i="2"/>
  <c r="DQ565" i="2"/>
  <c r="DM565" i="2"/>
  <c r="AY565" i="2"/>
  <c r="HC564" i="2"/>
  <c r="HB564" i="2"/>
  <c r="GW564" i="2"/>
  <c r="GU564" i="2"/>
  <c r="GT564" i="2"/>
  <c r="GJ564" i="2"/>
  <c r="GI564" i="2"/>
  <c r="FY564" i="2"/>
  <c r="FT564" i="2"/>
  <c r="FS564" i="2"/>
  <c r="GL564" i="2" s="1"/>
  <c r="FQ564" i="2"/>
  <c r="FP564" i="2"/>
  <c r="FO564" i="2"/>
  <c r="FN564" i="2"/>
  <c r="FM564" i="2"/>
  <c r="FL564" i="2"/>
  <c r="FK564" i="2"/>
  <c r="FJ564" i="2"/>
  <c r="FI564" i="2"/>
  <c r="GB564" i="2" s="1"/>
  <c r="FH564" i="2"/>
  <c r="FG564" i="2"/>
  <c r="FF564" i="2"/>
  <c r="FE564" i="2"/>
  <c r="FX564" i="2" s="1"/>
  <c r="FD564" i="2"/>
  <c r="FC564" i="2"/>
  <c r="FB564" i="2"/>
  <c r="EP564" i="2"/>
  <c r="EH564" i="2"/>
  <c r="EE564" i="2"/>
  <c r="EX564" i="2" s="1"/>
  <c r="EC564" i="2"/>
  <c r="EA564" i="2"/>
  <c r="DY564" i="2"/>
  <c r="DW564" i="2"/>
  <c r="DU564" i="2"/>
  <c r="DT564" i="2"/>
  <c r="EM564" i="2" s="1"/>
  <c r="DS564" i="2"/>
  <c r="EL564" i="2" s="1"/>
  <c r="DQ564" i="2"/>
  <c r="DM564" i="2"/>
  <c r="AY564" i="2"/>
  <c r="HC563" i="2"/>
  <c r="HB563" i="2"/>
  <c r="GW563" i="2"/>
  <c r="GV563" i="2"/>
  <c r="GU563" i="2"/>
  <c r="GT563" i="2"/>
  <c r="GP563" i="2"/>
  <c r="GO563" i="2"/>
  <c r="GQ563" i="2" s="1"/>
  <c r="GL563" i="2"/>
  <c r="GJ563" i="2"/>
  <c r="GB563" i="2"/>
  <c r="FX563" i="2"/>
  <c r="FT563" i="2"/>
  <c r="FS563" i="2"/>
  <c r="FQ563" i="2"/>
  <c r="FP563" i="2"/>
  <c r="GI563" i="2" s="1"/>
  <c r="FO563" i="2"/>
  <c r="FN563" i="2"/>
  <c r="FM563" i="2"/>
  <c r="FL563" i="2"/>
  <c r="FK563" i="2"/>
  <c r="FJ563" i="2"/>
  <c r="FI563" i="2"/>
  <c r="FH563" i="2"/>
  <c r="FG563" i="2"/>
  <c r="FF563" i="2"/>
  <c r="FY563" i="2" s="1"/>
  <c r="FE563" i="2"/>
  <c r="FD563" i="2"/>
  <c r="FC563" i="2"/>
  <c r="FB563" i="2"/>
  <c r="EZ563" i="2"/>
  <c r="EP563" i="2"/>
  <c r="EL563" i="2"/>
  <c r="EH563" i="2"/>
  <c r="EG563" i="2"/>
  <c r="EE563" i="2"/>
  <c r="EX563" i="2" s="1"/>
  <c r="ED563" i="2"/>
  <c r="EW563" i="2" s="1"/>
  <c r="EC563" i="2"/>
  <c r="EB563" i="2"/>
  <c r="EA563" i="2"/>
  <c r="DZ563" i="2"/>
  <c r="DY563" i="2"/>
  <c r="DX563" i="2"/>
  <c r="DW563" i="2"/>
  <c r="DV563" i="2"/>
  <c r="DU563" i="2"/>
  <c r="DT563" i="2"/>
  <c r="EM563" i="2" s="1"/>
  <c r="DS563" i="2"/>
  <c r="DR563" i="2"/>
  <c r="DQ563" i="2"/>
  <c r="DP563" i="2"/>
  <c r="DM563" i="2"/>
  <c r="DL563" i="2"/>
  <c r="HC562" i="2"/>
  <c r="HB562" i="2"/>
  <c r="GW562" i="2"/>
  <c r="GU562" i="2"/>
  <c r="GT562" i="2"/>
  <c r="GO562" i="2"/>
  <c r="GJ562" i="2"/>
  <c r="GI562" i="2"/>
  <c r="FY562" i="2"/>
  <c r="FT562" i="2"/>
  <c r="FS562" i="2"/>
  <c r="GL562" i="2" s="1"/>
  <c r="FQ562" i="2"/>
  <c r="FP562" i="2"/>
  <c r="FO562" i="2"/>
  <c r="FN562" i="2"/>
  <c r="FM562" i="2"/>
  <c r="FL562" i="2"/>
  <c r="FK562" i="2"/>
  <c r="FJ562" i="2"/>
  <c r="FI562" i="2"/>
  <c r="GB562" i="2" s="1"/>
  <c r="FH562" i="2"/>
  <c r="FG562" i="2"/>
  <c r="FF562" i="2"/>
  <c r="FE562" i="2"/>
  <c r="FX562" i="2" s="1"/>
  <c r="FD562" i="2"/>
  <c r="FC562" i="2"/>
  <c r="FB562" i="2"/>
  <c r="EW562" i="2"/>
  <c r="EE562" i="2"/>
  <c r="EX562" i="2" s="1"/>
  <c r="ED562" i="2"/>
  <c r="DZ562" i="2"/>
  <c r="DX562" i="2"/>
  <c r="DV562" i="2"/>
  <c r="DU562" i="2"/>
  <c r="DT562" i="2"/>
  <c r="EM562" i="2" s="1"/>
  <c r="DL562" i="2"/>
  <c r="BB562" i="2"/>
  <c r="AY562" i="2"/>
  <c r="HC561" i="2"/>
  <c r="HB561" i="2"/>
  <c r="GW561" i="2"/>
  <c r="GV561" i="2"/>
  <c r="GU561" i="2"/>
  <c r="GT561" i="2"/>
  <c r="GP561" i="2"/>
  <c r="GO561" i="2"/>
  <c r="FT561" i="2"/>
  <c r="FS561" i="2"/>
  <c r="GL561" i="2" s="1"/>
  <c r="FQ561" i="2"/>
  <c r="GJ561" i="2" s="1"/>
  <c r="FP561" i="2"/>
  <c r="GI561" i="2" s="1"/>
  <c r="FO561" i="2"/>
  <c r="FN561" i="2"/>
  <c r="FM561" i="2"/>
  <c r="FL561" i="2"/>
  <c r="FK561" i="2"/>
  <c r="FJ561" i="2"/>
  <c r="FI561" i="2"/>
  <c r="GB561" i="2" s="1"/>
  <c r="FH561" i="2"/>
  <c r="FG561" i="2"/>
  <c r="FF561" i="2"/>
  <c r="FY561" i="2" s="1"/>
  <c r="FE561" i="2"/>
  <c r="FX561" i="2" s="1"/>
  <c r="FD561" i="2"/>
  <c r="FC561" i="2"/>
  <c r="FB561" i="2"/>
  <c r="EW561" i="2"/>
  <c r="EM561" i="2"/>
  <c r="EL561" i="2"/>
  <c r="EH561" i="2"/>
  <c r="EG561" i="2"/>
  <c r="EZ561" i="2" s="1"/>
  <c r="EE561" i="2"/>
  <c r="EX561" i="2" s="1"/>
  <c r="ED561" i="2"/>
  <c r="EC561" i="2"/>
  <c r="EB561" i="2"/>
  <c r="EA561" i="2"/>
  <c r="DZ561" i="2"/>
  <c r="DY561" i="2"/>
  <c r="DX561" i="2"/>
  <c r="DW561" i="2"/>
  <c r="EP561" i="2" s="1"/>
  <c r="DV561" i="2"/>
  <c r="DU561" i="2"/>
  <c r="DT561" i="2"/>
  <c r="DS561" i="2"/>
  <c r="DR561" i="2"/>
  <c r="DQ561" i="2"/>
  <c r="DP561" i="2"/>
  <c r="DM561" i="2"/>
  <c r="DL561" i="2"/>
  <c r="HB560" i="2"/>
  <c r="GT560" i="2"/>
  <c r="FQ560" i="2"/>
  <c r="GJ560" i="2" s="1"/>
  <c r="FP560" i="2"/>
  <c r="GI560" i="2" s="1"/>
  <c r="FN560" i="2"/>
  <c r="FD560" i="2"/>
  <c r="FB560" i="2"/>
  <c r="EW560" i="2"/>
  <c r="EG560" i="2"/>
  <c r="EZ560" i="2" s="1"/>
  <c r="EE560" i="2"/>
  <c r="EX560" i="2" s="1"/>
  <c r="ED560" i="2"/>
  <c r="EC560" i="2"/>
  <c r="EB560" i="2"/>
  <c r="EA560" i="2"/>
  <c r="DV560" i="2"/>
  <c r="DU560" i="2"/>
  <c r="DT560" i="2"/>
  <c r="EM560" i="2" s="1"/>
  <c r="DS560" i="2"/>
  <c r="EL560" i="2" s="1"/>
  <c r="DR560" i="2"/>
  <c r="CP560" i="2"/>
  <c r="CO560" i="2"/>
  <c r="FH560" i="2" s="1"/>
  <c r="BG560" i="2"/>
  <c r="GV560" i="2" s="1"/>
  <c r="BA560" i="2"/>
  <c r="AZ560" i="2"/>
  <c r="AY560" i="2"/>
  <c r="AM560" i="2"/>
  <c r="AF560" i="2"/>
  <c r="DQ560" i="2" s="1"/>
  <c r="AD560" i="2"/>
  <c r="HC559" i="2"/>
  <c r="HB559" i="2"/>
  <c r="GW559" i="2"/>
  <c r="GV559" i="2"/>
  <c r="GU559" i="2"/>
  <c r="GT559" i="2"/>
  <c r="GQ559" i="2"/>
  <c r="GO559" i="2"/>
  <c r="GP559" i="2" s="1"/>
  <c r="FX559" i="2"/>
  <c r="FT559" i="2"/>
  <c r="FS559" i="2"/>
  <c r="GL559" i="2" s="1"/>
  <c r="FQ559" i="2"/>
  <c r="GJ559" i="2" s="1"/>
  <c r="FP559" i="2"/>
  <c r="GI559" i="2" s="1"/>
  <c r="FO559" i="2"/>
  <c r="FN559" i="2"/>
  <c r="FM559" i="2"/>
  <c r="FL559" i="2"/>
  <c r="FK559" i="2"/>
  <c r="FJ559" i="2"/>
  <c r="FI559" i="2"/>
  <c r="GB559" i="2" s="1"/>
  <c r="FH559" i="2"/>
  <c r="FG559" i="2"/>
  <c r="FF559" i="2"/>
  <c r="FY559" i="2" s="1"/>
  <c r="FE559" i="2"/>
  <c r="FD559" i="2"/>
  <c r="FC559" i="2"/>
  <c r="FB559" i="2"/>
  <c r="EZ559" i="2"/>
  <c r="EX559" i="2"/>
  <c r="EW559" i="2"/>
  <c r="EH559" i="2"/>
  <c r="EG559" i="2"/>
  <c r="EE559" i="2"/>
  <c r="ED559" i="2"/>
  <c r="EC559" i="2"/>
  <c r="EB559" i="2"/>
  <c r="EA559" i="2"/>
  <c r="DZ559" i="2"/>
  <c r="DY559" i="2"/>
  <c r="DX559" i="2"/>
  <c r="DW559" i="2"/>
  <c r="EP559" i="2" s="1"/>
  <c r="DV559" i="2"/>
  <c r="DU559" i="2"/>
  <c r="DT559" i="2"/>
  <c r="EM559" i="2" s="1"/>
  <c r="DS559" i="2"/>
  <c r="EL559" i="2" s="1"/>
  <c r="DR559" i="2"/>
  <c r="DQ559" i="2"/>
  <c r="DP559" i="2"/>
  <c r="DM559" i="2"/>
  <c r="DL559" i="2"/>
  <c r="HC558" i="2"/>
  <c r="HB558" i="2"/>
  <c r="GW558" i="2"/>
  <c r="GV558" i="2"/>
  <c r="GU558" i="2"/>
  <c r="GT558" i="2"/>
  <c r="GO558" i="2"/>
  <c r="GP558" i="2" s="1"/>
  <c r="GL558" i="2"/>
  <c r="GJ558" i="2"/>
  <c r="FT558" i="2"/>
  <c r="FS558" i="2"/>
  <c r="FQ558" i="2"/>
  <c r="FP558" i="2"/>
  <c r="GI558" i="2" s="1"/>
  <c r="FO558" i="2"/>
  <c r="FN558" i="2"/>
  <c r="FM558" i="2"/>
  <c r="FL558" i="2"/>
  <c r="FK558" i="2"/>
  <c r="FJ558" i="2"/>
  <c r="FI558" i="2"/>
  <c r="GB558" i="2" s="1"/>
  <c r="FH558" i="2"/>
  <c r="FG558" i="2"/>
  <c r="FF558" i="2"/>
  <c r="FY558" i="2" s="1"/>
  <c r="FE558" i="2"/>
  <c r="FX558" i="2" s="1"/>
  <c r="FD558" i="2"/>
  <c r="FC558" i="2"/>
  <c r="FB558" i="2"/>
  <c r="EH558" i="2"/>
  <c r="EG558" i="2"/>
  <c r="EZ558" i="2" s="1"/>
  <c r="EE558" i="2"/>
  <c r="EX558" i="2" s="1"/>
  <c r="ED558" i="2"/>
  <c r="EW558" i="2" s="1"/>
  <c r="EC558" i="2"/>
  <c r="EB558" i="2"/>
  <c r="EA558" i="2"/>
  <c r="DZ558" i="2"/>
  <c r="DY558" i="2"/>
  <c r="DX558" i="2"/>
  <c r="DW558" i="2"/>
  <c r="EP558" i="2" s="1"/>
  <c r="DV558" i="2"/>
  <c r="DU558" i="2"/>
  <c r="DT558" i="2"/>
  <c r="EM558" i="2" s="1"/>
  <c r="DS558" i="2"/>
  <c r="EL558" i="2" s="1"/>
  <c r="DR558" i="2"/>
  <c r="DQ558" i="2"/>
  <c r="DP558" i="2"/>
  <c r="DM558" i="2"/>
  <c r="DL558" i="2"/>
  <c r="HC557" i="2"/>
  <c r="HB557" i="2"/>
  <c r="GW557" i="2"/>
  <c r="GV557" i="2"/>
  <c r="GU557" i="2"/>
  <c r="GT557" i="2"/>
  <c r="GO557" i="2"/>
  <c r="GP557" i="2" s="1"/>
  <c r="GQ557" i="2" s="1"/>
  <c r="GL557" i="2"/>
  <c r="GJ557" i="2"/>
  <c r="GB557" i="2"/>
  <c r="FX557" i="2"/>
  <c r="FT557" i="2"/>
  <c r="FS557" i="2"/>
  <c r="FQ557" i="2"/>
  <c r="FP557" i="2"/>
  <c r="GI557" i="2" s="1"/>
  <c r="FO557" i="2"/>
  <c r="FN557" i="2"/>
  <c r="FM557" i="2"/>
  <c r="FL557" i="2"/>
  <c r="FK557" i="2"/>
  <c r="FJ557" i="2"/>
  <c r="FI557" i="2"/>
  <c r="FH557" i="2"/>
  <c r="FG557" i="2"/>
  <c r="FF557" i="2"/>
  <c r="FY557" i="2" s="1"/>
  <c r="FE557" i="2"/>
  <c r="FD557" i="2"/>
  <c r="FC557" i="2"/>
  <c r="FB557" i="2"/>
  <c r="EZ557" i="2"/>
  <c r="EM557" i="2"/>
  <c r="EH557" i="2"/>
  <c r="EG557" i="2"/>
  <c r="EE557" i="2"/>
  <c r="EX557" i="2" s="1"/>
  <c r="ED557" i="2"/>
  <c r="EW557" i="2" s="1"/>
  <c r="EC557" i="2"/>
  <c r="EB557" i="2"/>
  <c r="EA557" i="2"/>
  <c r="DZ557" i="2"/>
  <c r="DY557" i="2"/>
  <c r="DX557" i="2"/>
  <c r="DW557" i="2"/>
  <c r="EP557" i="2" s="1"/>
  <c r="DV557" i="2"/>
  <c r="DU557" i="2"/>
  <c r="DT557" i="2"/>
  <c r="DS557" i="2"/>
  <c r="EL557" i="2" s="1"/>
  <c r="DR557" i="2"/>
  <c r="DQ557" i="2"/>
  <c r="DP557" i="2"/>
  <c r="DM557" i="2"/>
  <c r="DL557" i="2"/>
  <c r="HC556" i="2"/>
  <c r="HB556" i="2"/>
  <c r="GW556" i="2"/>
  <c r="GV556" i="2"/>
  <c r="GU556" i="2"/>
  <c r="GT556" i="2"/>
  <c r="GO556" i="2"/>
  <c r="GP556" i="2" s="1"/>
  <c r="GJ556" i="2"/>
  <c r="GI556" i="2"/>
  <c r="FY556" i="2"/>
  <c r="FT556" i="2"/>
  <c r="FS556" i="2"/>
  <c r="GL556" i="2" s="1"/>
  <c r="FQ556" i="2"/>
  <c r="FP556" i="2"/>
  <c r="FO556" i="2"/>
  <c r="FN556" i="2"/>
  <c r="FM556" i="2"/>
  <c r="FL556" i="2"/>
  <c r="FK556" i="2"/>
  <c r="FJ556" i="2"/>
  <c r="FI556" i="2"/>
  <c r="GB556" i="2" s="1"/>
  <c r="FH556" i="2"/>
  <c r="FG556" i="2"/>
  <c r="FF556" i="2"/>
  <c r="FE556" i="2"/>
  <c r="FX556" i="2" s="1"/>
  <c r="FD556" i="2"/>
  <c r="FC556" i="2"/>
  <c r="FB556" i="2"/>
  <c r="EZ556" i="2"/>
  <c r="EW556" i="2"/>
  <c r="EP556" i="2"/>
  <c r="EH556" i="2"/>
  <c r="EG556" i="2"/>
  <c r="EE556" i="2"/>
  <c r="EX556" i="2" s="1"/>
  <c r="ED556" i="2"/>
  <c r="EC556" i="2"/>
  <c r="EB556" i="2"/>
  <c r="EA556" i="2"/>
  <c r="DZ556" i="2"/>
  <c r="DY556" i="2"/>
  <c r="DX556" i="2"/>
  <c r="DW556" i="2"/>
  <c r="DV556" i="2"/>
  <c r="DU556" i="2"/>
  <c r="DT556" i="2"/>
  <c r="EM556" i="2" s="1"/>
  <c r="DS556" i="2"/>
  <c r="EL556" i="2" s="1"/>
  <c r="DR556" i="2"/>
  <c r="DQ556" i="2"/>
  <c r="DP556" i="2"/>
  <c r="DM556" i="2"/>
  <c r="DL556" i="2"/>
  <c r="HC555" i="2"/>
  <c r="HB555" i="2"/>
  <c r="GW555" i="2"/>
  <c r="GV555" i="2"/>
  <c r="GU555" i="2"/>
  <c r="GT555" i="2"/>
  <c r="GO555" i="2"/>
  <c r="GJ555" i="2"/>
  <c r="GB555" i="2"/>
  <c r="FT555" i="2"/>
  <c r="FS555" i="2"/>
  <c r="GL555" i="2" s="1"/>
  <c r="FQ555" i="2"/>
  <c r="FP555" i="2"/>
  <c r="GI555" i="2" s="1"/>
  <c r="FO555" i="2"/>
  <c r="FN555" i="2"/>
  <c r="FM555" i="2"/>
  <c r="FL555" i="2"/>
  <c r="FK555" i="2"/>
  <c r="FJ555" i="2"/>
  <c r="FI555" i="2"/>
  <c r="FH555" i="2"/>
  <c r="FG555" i="2"/>
  <c r="FF555" i="2"/>
  <c r="FY555" i="2" s="1"/>
  <c r="FE555" i="2"/>
  <c r="FX555" i="2" s="1"/>
  <c r="FD555" i="2"/>
  <c r="FC555" i="2"/>
  <c r="FB555" i="2"/>
  <c r="EZ555" i="2"/>
  <c r="EX555" i="2"/>
  <c r="EH555" i="2"/>
  <c r="EG555" i="2"/>
  <c r="EE555" i="2"/>
  <c r="ED555" i="2"/>
  <c r="EW555" i="2" s="1"/>
  <c r="EC555" i="2"/>
  <c r="EB555" i="2"/>
  <c r="EA555" i="2"/>
  <c r="DZ555" i="2"/>
  <c r="DY555" i="2"/>
  <c r="DX555" i="2"/>
  <c r="DW555" i="2"/>
  <c r="EP555" i="2" s="1"/>
  <c r="DV555" i="2"/>
  <c r="DU555" i="2"/>
  <c r="DT555" i="2"/>
  <c r="EM555" i="2" s="1"/>
  <c r="DS555" i="2"/>
  <c r="EL555" i="2" s="1"/>
  <c r="DR555" i="2"/>
  <c r="DQ555" i="2"/>
  <c r="DP555" i="2"/>
  <c r="DM555" i="2"/>
  <c r="DL555" i="2"/>
  <c r="HC554" i="2"/>
  <c r="GV554" i="2"/>
  <c r="GU554" i="2"/>
  <c r="FT554" i="2"/>
  <c r="FS554" i="2"/>
  <c r="GL554" i="2" s="1"/>
  <c r="DZ554" i="2"/>
  <c r="DY554" i="2"/>
  <c r="DA554" i="2"/>
  <c r="CZ554" i="2"/>
  <c r="CY554" i="2"/>
  <c r="CF554" i="2"/>
  <c r="FM554" i="2" s="1"/>
  <c r="CE554" i="2"/>
  <c r="FL554" i="2" s="1"/>
  <c r="CD554" i="2"/>
  <c r="BT554" i="2"/>
  <c r="FH554" i="2" s="1"/>
  <c r="BK554" i="2"/>
  <c r="BJ554" i="2"/>
  <c r="BI554" i="2"/>
  <c r="AP554" i="2"/>
  <c r="AO554" i="2"/>
  <c r="AN554" i="2"/>
  <c r="U554" i="2"/>
  <c r="T554" i="2"/>
  <c r="S554" i="2"/>
  <c r="Q554" i="2"/>
  <c r="DW554" i="2" s="1"/>
  <c r="EP554" i="2" s="1"/>
  <c r="I554" i="2"/>
  <c r="HC553" i="2"/>
  <c r="HB553" i="2"/>
  <c r="GW553" i="2"/>
  <c r="GU553" i="2"/>
  <c r="GT553" i="2"/>
  <c r="GJ553" i="2"/>
  <c r="GI553" i="2"/>
  <c r="FY553" i="2"/>
  <c r="FX553" i="2"/>
  <c r="FT553" i="2"/>
  <c r="FS553" i="2"/>
  <c r="GL553" i="2" s="1"/>
  <c r="FQ553" i="2"/>
  <c r="FP553" i="2"/>
  <c r="FO553" i="2"/>
  <c r="FN553" i="2"/>
  <c r="FM553" i="2"/>
  <c r="FL553" i="2"/>
  <c r="FK553" i="2"/>
  <c r="FJ553" i="2"/>
  <c r="FI553" i="2"/>
  <c r="GB553" i="2" s="1"/>
  <c r="FH553" i="2"/>
  <c r="FG553" i="2"/>
  <c r="FF553" i="2"/>
  <c r="FE553" i="2"/>
  <c r="FD553" i="2"/>
  <c r="FC553" i="2"/>
  <c r="FB553" i="2"/>
  <c r="EX553" i="2"/>
  <c r="EW553" i="2"/>
  <c r="EM553" i="2"/>
  <c r="EG553" i="2"/>
  <c r="EZ553" i="2" s="1"/>
  <c r="EE553" i="2"/>
  <c r="ED553" i="2"/>
  <c r="EC553" i="2"/>
  <c r="EB553" i="2"/>
  <c r="DZ553" i="2"/>
  <c r="DY553" i="2"/>
  <c r="DX553" i="2"/>
  <c r="DU553" i="2"/>
  <c r="DT553" i="2"/>
  <c r="DS553" i="2"/>
  <c r="EL553" i="2" s="1"/>
  <c r="DR553" i="2"/>
  <c r="DM553" i="2"/>
  <c r="BG553" i="2"/>
  <c r="AY553" i="2"/>
  <c r="HC552" i="2"/>
  <c r="HB552" i="2"/>
  <c r="GW552" i="2"/>
  <c r="GV552" i="2"/>
  <c r="GU552" i="2"/>
  <c r="GT552" i="2"/>
  <c r="GO552" i="2"/>
  <c r="GL552" i="2"/>
  <c r="FX552" i="2"/>
  <c r="FT552" i="2"/>
  <c r="FS552" i="2"/>
  <c r="FQ552" i="2"/>
  <c r="GJ552" i="2" s="1"/>
  <c r="FP552" i="2"/>
  <c r="GI552" i="2" s="1"/>
  <c r="FO552" i="2"/>
  <c r="FN552" i="2"/>
  <c r="FM552" i="2"/>
  <c r="FL552" i="2"/>
  <c r="FK552" i="2"/>
  <c r="FJ552" i="2"/>
  <c r="FI552" i="2"/>
  <c r="GB552" i="2" s="1"/>
  <c r="FH552" i="2"/>
  <c r="FG552" i="2"/>
  <c r="FF552" i="2"/>
  <c r="FY552" i="2" s="1"/>
  <c r="FE552" i="2"/>
  <c r="FD552" i="2"/>
  <c r="FC552" i="2"/>
  <c r="FB552" i="2"/>
  <c r="EZ552" i="2"/>
  <c r="EX552" i="2"/>
  <c r="EM552" i="2"/>
  <c r="EH552" i="2"/>
  <c r="EG552" i="2"/>
  <c r="EE552" i="2"/>
  <c r="ED552" i="2"/>
  <c r="EW552" i="2" s="1"/>
  <c r="EC552" i="2"/>
  <c r="EB552" i="2"/>
  <c r="EA552" i="2"/>
  <c r="DZ552" i="2"/>
  <c r="DY552" i="2"/>
  <c r="DX552" i="2"/>
  <c r="DW552" i="2"/>
  <c r="EP552" i="2" s="1"/>
  <c r="DV552" i="2"/>
  <c r="DU552" i="2"/>
  <c r="DT552" i="2"/>
  <c r="DS552" i="2"/>
  <c r="EL552" i="2" s="1"/>
  <c r="DR552" i="2"/>
  <c r="DQ552" i="2"/>
  <c r="DP552" i="2"/>
  <c r="DM552" i="2"/>
  <c r="DL552" i="2"/>
  <c r="HC551" i="2"/>
  <c r="HB551" i="2"/>
  <c r="GW551" i="2"/>
  <c r="GV551" i="2"/>
  <c r="GU551" i="2"/>
  <c r="GT551" i="2"/>
  <c r="GO551" i="2"/>
  <c r="GL551" i="2"/>
  <c r="GJ551" i="2"/>
  <c r="FT551" i="2"/>
  <c r="FS551" i="2"/>
  <c r="FQ551" i="2"/>
  <c r="FP551" i="2"/>
  <c r="GI551" i="2" s="1"/>
  <c r="FO551" i="2"/>
  <c r="FN551" i="2"/>
  <c r="FM551" i="2"/>
  <c r="FL551" i="2"/>
  <c r="FK551" i="2"/>
  <c r="FJ551" i="2"/>
  <c r="FI551" i="2"/>
  <c r="GB551" i="2" s="1"/>
  <c r="FH551" i="2"/>
  <c r="FG551" i="2"/>
  <c r="FF551" i="2"/>
  <c r="FY551" i="2" s="1"/>
  <c r="FE551" i="2"/>
  <c r="FX551" i="2" s="1"/>
  <c r="FD551" i="2"/>
  <c r="FC551" i="2"/>
  <c r="FB551" i="2"/>
  <c r="EX551" i="2"/>
  <c r="EW551" i="2"/>
  <c r="EM551" i="2"/>
  <c r="EL551" i="2"/>
  <c r="EH551" i="2"/>
  <c r="EG551" i="2"/>
  <c r="EZ551" i="2" s="1"/>
  <c r="EE551" i="2"/>
  <c r="ED551" i="2"/>
  <c r="EC551" i="2"/>
  <c r="EB551" i="2"/>
  <c r="EA551" i="2"/>
  <c r="DZ551" i="2"/>
  <c r="DY551" i="2"/>
  <c r="DX551" i="2"/>
  <c r="DW551" i="2"/>
  <c r="EP551" i="2" s="1"/>
  <c r="DV551" i="2"/>
  <c r="DU551" i="2"/>
  <c r="DT551" i="2"/>
  <c r="DS551" i="2"/>
  <c r="DR551" i="2"/>
  <c r="DQ551" i="2"/>
  <c r="DP551" i="2"/>
  <c r="DM551" i="2"/>
  <c r="DL551" i="2"/>
  <c r="HC550" i="2"/>
  <c r="HB550" i="2"/>
  <c r="GW550" i="2"/>
  <c r="GV550" i="2"/>
  <c r="GU550" i="2"/>
  <c r="GT550" i="2"/>
  <c r="GO550" i="2"/>
  <c r="GL550" i="2"/>
  <c r="GB550" i="2"/>
  <c r="FX550" i="2"/>
  <c r="FT550" i="2"/>
  <c r="FS550" i="2"/>
  <c r="FQ550" i="2"/>
  <c r="GJ550" i="2" s="1"/>
  <c r="FP550" i="2"/>
  <c r="GI550" i="2" s="1"/>
  <c r="FO550" i="2"/>
  <c r="FN550" i="2"/>
  <c r="FM550" i="2"/>
  <c r="FL550" i="2"/>
  <c r="FK550" i="2"/>
  <c r="FJ550" i="2"/>
  <c r="FI550" i="2"/>
  <c r="FH550" i="2"/>
  <c r="FG550" i="2"/>
  <c r="FF550" i="2"/>
  <c r="FY550" i="2" s="1"/>
  <c r="FE550" i="2"/>
  <c r="FD550" i="2"/>
  <c r="FC550" i="2"/>
  <c r="FB550" i="2"/>
  <c r="EZ550" i="2"/>
  <c r="EP550" i="2"/>
  <c r="EH550" i="2"/>
  <c r="EG550" i="2"/>
  <c r="EE550" i="2"/>
  <c r="EX550" i="2" s="1"/>
  <c r="ED550" i="2"/>
  <c r="EW550" i="2" s="1"/>
  <c r="EC550" i="2"/>
  <c r="EB550" i="2"/>
  <c r="EA550" i="2"/>
  <c r="DZ550" i="2"/>
  <c r="DY550" i="2"/>
  <c r="DX550" i="2"/>
  <c r="DW550" i="2"/>
  <c r="DV550" i="2"/>
  <c r="DU550" i="2"/>
  <c r="DT550" i="2"/>
  <c r="EM550" i="2" s="1"/>
  <c r="DS550" i="2"/>
  <c r="EL550" i="2" s="1"/>
  <c r="DR550" i="2"/>
  <c r="DQ550" i="2"/>
  <c r="DP550" i="2"/>
  <c r="DM550" i="2"/>
  <c r="DL550" i="2"/>
  <c r="HC549" i="2"/>
  <c r="HB549" i="2"/>
  <c r="GW549" i="2"/>
  <c r="GV549" i="2"/>
  <c r="GU549" i="2"/>
  <c r="GT549" i="2"/>
  <c r="GO549" i="2"/>
  <c r="GI549" i="2"/>
  <c r="FY549" i="2"/>
  <c r="FX549" i="2"/>
  <c r="FT549" i="2"/>
  <c r="FS549" i="2"/>
  <c r="GL549" i="2" s="1"/>
  <c r="FQ549" i="2"/>
  <c r="GJ549" i="2" s="1"/>
  <c r="FP549" i="2"/>
  <c r="FO549" i="2"/>
  <c r="FN549" i="2"/>
  <c r="FM549" i="2"/>
  <c r="FL549" i="2"/>
  <c r="FK549" i="2"/>
  <c r="FJ549" i="2"/>
  <c r="FI549" i="2"/>
  <c r="GB549" i="2" s="1"/>
  <c r="FH549" i="2"/>
  <c r="FG549" i="2"/>
  <c r="FF549" i="2"/>
  <c r="FE549" i="2"/>
  <c r="FD549" i="2"/>
  <c r="FC549" i="2"/>
  <c r="FB549" i="2"/>
  <c r="EX549" i="2"/>
  <c r="EW549" i="2"/>
  <c r="EM549" i="2"/>
  <c r="EH549" i="2"/>
  <c r="EG549" i="2"/>
  <c r="EZ549" i="2" s="1"/>
  <c r="EE549" i="2"/>
  <c r="ED549" i="2"/>
  <c r="EC549" i="2"/>
  <c r="EB549" i="2"/>
  <c r="EA549" i="2"/>
  <c r="DZ549" i="2"/>
  <c r="DY549" i="2"/>
  <c r="DX549" i="2"/>
  <c r="DW549" i="2"/>
  <c r="EP549" i="2" s="1"/>
  <c r="DV549" i="2"/>
  <c r="DU549" i="2"/>
  <c r="DT549" i="2"/>
  <c r="DS549" i="2"/>
  <c r="EL549" i="2" s="1"/>
  <c r="DR549" i="2"/>
  <c r="DQ549" i="2"/>
  <c r="DP549" i="2"/>
  <c r="DM549" i="2"/>
  <c r="DL549" i="2"/>
  <c r="HC548" i="2"/>
  <c r="HB548" i="2"/>
  <c r="GW548" i="2"/>
  <c r="GV548" i="2"/>
  <c r="GU548" i="2"/>
  <c r="GT548" i="2"/>
  <c r="GO548" i="2"/>
  <c r="GI548" i="2"/>
  <c r="GB548" i="2"/>
  <c r="FY548" i="2"/>
  <c r="FX548" i="2"/>
  <c r="FT548" i="2"/>
  <c r="FS548" i="2"/>
  <c r="GL548" i="2" s="1"/>
  <c r="FQ548" i="2"/>
  <c r="GJ548" i="2" s="1"/>
  <c r="FP548" i="2"/>
  <c r="FO548" i="2"/>
  <c r="FN548" i="2"/>
  <c r="FM548" i="2"/>
  <c r="FL548" i="2"/>
  <c r="FK548" i="2"/>
  <c r="FJ548" i="2"/>
  <c r="FI548" i="2"/>
  <c r="FH548" i="2"/>
  <c r="FG548" i="2"/>
  <c r="FF548" i="2"/>
  <c r="FE548" i="2"/>
  <c r="FD548" i="2"/>
  <c r="FC548" i="2"/>
  <c r="FB548" i="2"/>
  <c r="EX548" i="2"/>
  <c r="EW548" i="2"/>
  <c r="EM548" i="2"/>
  <c r="EH548" i="2"/>
  <c r="EG548" i="2"/>
  <c r="EZ548" i="2" s="1"/>
  <c r="EE548" i="2"/>
  <c r="ED548" i="2"/>
  <c r="EC548" i="2"/>
  <c r="EB548" i="2"/>
  <c r="EA548" i="2"/>
  <c r="DZ548" i="2"/>
  <c r="DY548" i="2"/>
  <c r="DX548" i="2"/>
  <c r="DW548" i="2"/>
  <c r="EP548" i="2" s="1"/>
  <c r="DV548" i="2"/>
  <c r="DU548" i="2"/>
  <c r="DT548" i="2"/>
  <c r="DS548" i="2"/>
  <c r="EL548" i="2" s="1"/>
  <c r="DR548" i="2"/>
  <c r="DQ548" i="2"/>
  <c r="DP548" i="2"/>
  <c r="DM548" i="2"/>
  <c r="DL548" i="2"/>
  <c r="HC547" i="2"/>
  <c r="HB547" i="2"/>
  <c r="GW547" i="2"/>
  <c r="GV547" i="2"/>
  <c r="GU547" i="2"/>
  <c r="GT547" i="2"/>
  <c r="GO547" i="2"/>
  <c r="GI547" i="2"/>
  <c r="FY547" i="2"/>
  <c r="FX547" i="2"/>
  <c r="FT547" i="2"/>
  <c r="FS547" i="2"/>
  <c r="GL547" i="2" s="1"/>
  <c r="FQ547" i="2"/>
  <c r="GJ547" i="2" s="1"/>
  <c r="FP547" i="2"/>
  <c r="FO547" i="2"/>
  <c r="FN547" i="2"/>
  <c r="FM547" i="2"/>
  <c r="FL547" i="2"/>
  <c r="FK547" i="2"/>
  <c r="FJ547" i="2"/>
  <c r="FI547" i="2"/>
  <c r="GB547" i="2" s="1"/>
  <c r="FH547" i="2"/>
  <c r="FG547" i="2"/>
  <c r="FF547" i="2"/>
  <c r="FE547" i="2"/>
  <c r="FD547" i="2"/>
  <c r="FC547" i="2"/>
  <c r="FB547" i="2"/>
  <c r="EX547" i="2"/>
  <c r="EW547" i="2"/>
  <c r="EM547" i="2"/>
  <c r="EH547" i="2"/>
  <c r="EG547" i="2"/>
  <c r="EZ547" i="2" s="1"/>
  <c r="EE547" i="2"/>
  <c r="ED547" i="2"/>
  <c r="EC547" i="2"/>
  <c r="EB547" i="2"/>
  <c r="EA547" i="2"/>
  <c r="DZ547" i="2"/>
  <c r="DY547" i="2"/>
  <c r="DX547" i="2"/>
  <c r="DW547" i="2"/>
  <c r="EP547" i="2" s="1"/>
  <c r="DV547" i="2"/>
  <c r="DU547" i="2"/>
  <c r="DT547" i="2"/>
  <c r="DS547" i="2"/>
  <c r="EL547" i="2" s="1"/>
  <c r="DR547" i="2"/>
  <c r="DQ547" i="2"/>
  <c r="DP547" i="2"/>
  <c r="DM547" i="2"/>
  <c r="DL547" i="2"/>
  <c r="HC546" i="2"/>
  <c r="HB546" i="2"/>
  <c r="GW546" i="2"/>
  <c r="GV546" i="2"/>
  <c r="GU546" i="2"/>
  <c r="GT546" i="2"/>
  <c r="GP546" i="2"/>
  <c r="GO546" i="2"/>
  <c r="GI546" i="2"/>
  <c r="FY546" i="2"/>
  <c r="FX546" i="2"/>
  <c r="FT546" i="2"/>
  <c r="FS546" i="2"/>
  <c r="GL546" i="2" s="1"/>
  <c r="FQ546" i="2"/>
  <c r="GJ546" i="2" s="1"/>
  <c r="FP546" i="2"/>
  <c r="FO546" i="2"/>
  <c r="FN546" i="2"/>
  <c r="FM546" i="2"/>
  <c r="FL546" i="2"/>
  <c r="FK546" i="2"/>
  <c r="FJ546" i="2"/>
  <c r="FI546" i="2"/>
  <c r="GB546" i="2" s="1"/>
  <c r="FH546" i="2"/>
  <c r="FG546" i="2"/>
  <c r="FF546" i="2"/>
  <c r="FE546" i="2"/>
  <c r="FD546" i="2"/>
  <c r="FC546" i="2"/>
  <c r="FB546" i="2"/>
  <c r="EX546" i="2"/>
  <c r="EW546" i="2"/>
  <c r="EM546" i="2"/>
  <c r="EH546" i="2"/>
  <c r="EG546" i="2"/>
  <c r="EZ546" i="2" s="1"/>
  <c r="EE546" i="2"/>
  <c r="ED546" i="2"/>
  <c r="EC546" i="2"/>
  <c r="EB546" i="2"/>
  <c r="EA546" i="2"/>
  <c r="DZ546" i="2"/>
  <c r="DY546" i="2"/>
  <c r="DX546" i="2"/>
  <c r="DW546" i="2"/>
  <c r="EP546" i="2" s="1"/>
  <c r="DV546" i="2"/>
  <c r="DU546" i="2"/>
  <c r="DT546" i="2"/>
  <c r="DS546" i="2"/>
  <c r="EL546" i="2" s="1"/>
  <c r="DR546" i="2"/>
  <c r="DQ546" i="2"/>
  <c r="DP546" i="2"/>
  <c r="DM546" i="2"/>
  <c r="DL546" i="2"/>
  <c r="HC545" i="2"/>
  <c r="HB545" i="2"/>
  <c r="GW545" i="2"/>
  <c r="GV545" i="2"/>
  <c r="GU545" i="2"/>
  <c r="GT545" i="2"/>
  <c r="GO545" i="2"/>
  <c r="GI545" i="2"/>
  <c r="FY545" i="2"/>
  <c r="FX545" i="2"/>
  <c r="FT545" i="2"/>
  <c r="FS545" i="2"/>
  <c r="GL545" i="2" s="1"/>
  <c r="FQ545" i="2"/>
  <c r="GJ545" i="2" s="1"/>
  <c r="FP545" i="2"/>
  <c r="FO545" i="2"/>
  <c r="FN545" i="2"/>
  <c r="FM545" i="2"/>
  <c r="FL545" i="2"/>
  <c r="FK545" i="2"/>
  <c r="FJ545" i="2"/>
  <c r="FI545" i="2"/>
  <c r="GB545" i="2" s="1"/>
  <c r="FH545" i="2"/>
  <c r="FG545" i="2"/>
  <c r="FF545" i="2"/>
  <c r="FE545" i="2"/>
  <c r="FD545" i="2"/>
  <c r="FC545" i="2"/>
  <c r="FB545" i="2"/>
  <c r="EX545" i="2"/>
  <c r="EW545" i="2"/>
  <c r="EM545" i="2"/>
  <c r="EH545" i="2"/>
  <c r="EG545" i="2"/>
  <c r="EZ545" i="2" s="1"/>
  <c r="EE545" i="2"/>
  <c r="ED545" i="2"/>
  <c r="EC545" i="2"/>
  <c r="EB545" i="2"/>
  <c r="EA545" i="2"/>
  <c r="DZ545" i="2"/>
  <c r="DY545" i="2"/>
  <c r="DX545" i="2"/>
  <c r="DW545" i="2"/>
  <c r="EP545" i="2" s="1"/>
  <c r="DV545" i="2"/>
  <c r="DU545" i="2"/>
  <c r="DT545" i="2"/>
  <c r="DS545" i="2"/>
  <c r="EL545" i="2" s="1"/>
  <c r="DR545" i="2"/>
  <c r="DQ545" i="2"/>
  <c r="DP545" i="2"/>
  <c r="DM545" i="2"/>
  <c r="DL545" i="2"/>
  <c r="HC544" i="2"/>
  <c r="HB544" i="2"/>
  <c r="GW544" i="2"/>
  <c r="GV544" i="2"/>
  <c r="GU544" i="2"/>
  <c r="GT544" i="2"/>
  <c r="GO544" i="2"/>
  <c r="GI544" i="2"/>
  <c r="FY544" i="2"/>
  <c r="FX544" i="2"/>
  <c r="FT544" i="2"/>
  <c r="FS544" i="2"/>
  <c r="GL544" i="2" s="1"/>
  <c r="FQ544" i="2"/>
  <c r="GJ544" i="2" s="1"/>
  <c r="FP544" i="2"/>
  <c r="FO544" i="2"/>
  <c r="FN544" i="2"/>
  <c r="FM544" i="2"/>
  <c r="FL544" i="2"/>
  <c r="FK544" i="2"/>
  <c r="FJ544" i="2"/>
  <c r="FI544" i="2"/>
  <c r="GB544" i="2" s="1"/>
  <c r="FH544" i="2"/>
  <c r="FG544" i="2"/>
  <c r="FF544" i="2"/>
  <c r="FE544" i="2"/>
  <c r="FD544" i="2"/>
  <c r="FC544" i="2"/>
  <c r="FB544" i="2"/>
  <c r="EW544" i="2"/>
  <c r="EM544" i="2"/>
  <c r="EH544" i="2"/>
  <c r="EG544" i="2"/>
  <c r="EZ544" i="2" s="1"/>
  <c r="EE544" i="2"/>
  <c r="EX544" i="2" s="1"/>
  <c r="ED544" i="2"/>
  <c r="EC544" i="2"/>
  <c r="EB544" i="2"/>
  <c r="EA544" i="2"/>
  <c r="DZ544" i="2"/>
  <c r="DY544" i="2"/>
  <c r="DX544" i="2"/>
  <c r="DW544" i="2"/>
  <c r="EP544" i="2" s="1"/>
  <c r="DV544" i="2"/>
  <c r="DU544" i="2"/>
  <c r="DT544" i="2"/>
  <c r="DS544" i="2"/>
  <c r="EL544" i="2" s="1"/>
  <c r="DR544" i="2"/>
  <c r="DQ544" i="2"/>
  <c r="DP544" i="2"/>
  <c r="DM544" i="2"/>
  <c r="DL544" i="2"/>
  <c r="HB543" i="2"/>
  <c r="GX543" i="2"/>
  <c r="GY543" i="2" s="1"/>
  <c r="GW543" i="2"/>
  <c r="GV543" i="2"/>
  <c r="FS543" i="2"/>
  <c r="GL543" i="2" s="1"/>
  <c r="FQ543" i="2"/>
  <c r="GJ543" i="2" s="1"/>
  <c r="FP543" i="2"/>
  <c r="GI543" i="2" s="1"/>
  <c r="FM543" i="2"/>
  <c r="FL543" i="2"/>
  <c r="FJ543" i="2"/>
  <c r="FH543" i="2"/>
  <c r="FG543" i="2"/>
  <c r="FF543" i="2"/>
  <c r="FY543" i="2" s="1"/>
  <c r="FC543" i="2"/>
  <c r="FB543" i="2"/>
  <c r="EH543" i="2"/>
  <c r="EG543" i="2"/>
  <c r="EZ543" i="2" s="1"/>
  <c r="DT543" i="2"/>
  <c r="EM543" i="2" s="1"/>
  <c r="DR543" i="2"/>
  <c r="DQ543" i="2"/>
  <c r="CW543" i="2"/>
  <c r="FI543" i="2" s="1"/>
  <c r="GB543" i="2" s="1"/>
  <c r="CP543" i="2"/>
  <c r="CO543" i="2"/>
  <c r="FO543" i="2" s="1"/>
  <c r="AD543" i="2"/>
  <c r="GO543" i="2" s="1"/>
  <c r="Q543" i="2"/>
  <c r="J543" i="2"/>
  <c r="I543" i="2"/>
  <c r="DY543" i="2" s="1"/>
  <c r="HC542" i="2"/>
  <c r="HB542" i="2"/>
  <c r="GW542" i="2"/>
  <c r="GV542" i="2"/>
  <c r="GU542" i="2"/>
  <c r="GT542" i="2"/>
  <c r="GO542" i="2"/>
  <c r="GP542" i="2" s="1"/>
  <c r="GQ542" i="2" s="1"/>
  <c r="GL542" i="2"/>
  <c r="GI542" i="2"/>
  <c r="GB542" i="2"/>
  <c r="FY542" i="2"/>
  <c r="FT542" i="2"/>
  <c r="FS542" i="2"/>
  <c r="FQ542" i="2"/>
  <c r="GJ542" i="2" s="1"/>
  <c r="FP542" i="2"/>
  <c r="FO542" i="2"/>
  <c r="FN542" i="2"/>
  <c r="FM542" i="2"/>
  <c r="FL542" i="2"/>
  <c r="FK542" i="2"/>
  <c r="FJ542" i="2"/>
  <c r="FI542" i="2"/>
  <c r="FH542" i="2"/>
  <c r="FG542" i="2"/>
  <c r="FF542" i="2"/>
  <c r="FE542" i="2"/>
  <c r="FX542" i="2" s="1"/>
  <c r="FD542" i="2"/>
  <c r="FC542" i="2"/>
  <c r="FB542" i="2"/>
  <c r="EZ542" i="2"/>
  <c r="EP542" i="2"/>
  <c r="EL542" i="2"/>
  <c r="EH542" i="2"/>
  <c r="EG542" i="2"/>
  <c r="EE542" i="2"/>
  <c r="EX542" i="2" s="1"/>
  <c r="ED542" i="2"/>
  <c r="EW542" i="2" s="1"/>
  <c r="EC542" i="2"/>
  <c r="EB542" i="2"/>
  <c r="EA542" i="2"/>
  <c r="DZ542" i="2"/>
  <c r="DY542" i="2"/>
  <c r="DX542" i="2"/>
  <c r="DW542" i="2"/>
  <c r="DV542" i="2"/>
  <c r="DU542" i="2"/>
  <c r="DT542" i="2"/>
  <c r="EM542" i="2" s="1"/>
  <c r="DS542" i="2"/>
  <c r="DR542" i="2"/>
  <c r="DQ542" i="2"/>
  <c r="DP542" i="2"/>
  <c r="DM542" i="2"/>
  <c r="DL542" i="2"/>
  <c r="HC541" i="2"/>
  <c r="HB541" i="2"/>
  <c r="GW541" i="2"/>
  <c r="GV541" i="2"/>
  <c r="GU541" i="2"/>
  <c r="GT541" i="2"/>
  <c r="GP541" i="2"/>
  <c r="GQ541" i="2" s="1"/>
  <c r="GO541" i="2"/>
  <c r="GL541" i="2"/>
  <c r="GJ541" i="2"/>
  <c r="FX541" i="2"/>
  <c r="FT541" i="2"/>
  <c r="FS541" i="2"/>
  <c r="FQ541" i="2"/>
  <c r="FP541" i="2"/>
  <c r="GI541" i="2" s="1"/>
  <c r="FO541" i="2"/>
  <c r="FN541" i="2"/>
  <c r="FM541" i="2"/>
  <c r="FL541" i="2"/>
  <c r="FK541" i="2"/>
  <c r="FJ541" i="2"/>
  <c r="FI541" i="2"/>
  <c r="GB541" i="2" s="1"/>
  <c r="FH541" i="2"/>
  <c r="FG541" i="2"/>
  <c r="FF541" i="2"/>
  <c r="FY541" i="2" s="1"/>
  <c r="FE541" i="2"/>
  <c r="FD541" i="2"/>
  <c r="FC541" i="2"/>
  <c r="FB541" i="2"/>
  <c r="EZ541" i="2"/>
  <c r="EX541" i="2"/>
  <c r="EP541" i="2"/>
  <c r="EH541" i="2"/>
  <c r="EG541" i="2"/>
  <c r="EE541" i="2"/>
  <c r="ED541" i="2"/>
  <c r="EW541" i="2" s="1"/>
  <c r="EC541" i="2"/>
  <c r="EB541" i="2"/>
  <c r="EA541" i="2"/>
  <c r="DZ541" i="2"/>
  <c r="DY541" i="2"/>
  <c r="DX541" i="2"/>
  <c r="DW541" i="2"/>
  <c r="DV541" i="2"/>
  <c r="DU541" i="2"/>
  <c r="DT541" i="2"/>
  <c r="EM541" i="2" s="1"/>
  <c r="DS541" i="2"/>
  <c r="EL541" i="2" s="1"/>
  <c r="DR541" i="2"/>
  <c r="DQ541" i="2"/>
  <c r="DP541" i="2"/>
  <c r="DM541" i="2"/>
  <c r="DL541" i="2"/>
  <c r="HC540" i="2"/>
  <c r="HB540" i="2"/>
  <c r="GW540" i="2"/>
  <c r="GX540" i="2" s="1"/>
  <c r="GY540" i="2" s="1"/>
  <c r="GV540" i="2"/>
  <c r="GU540" i="2"/>
  <c r="GT540" i="2"/>
  <c r="GP540" i="2"/>
  <c r="GO540" i="2"/>
  <c r="GQ540" i="2" s="1"/>
  <c r="GJ540" i="2"/>
  <c r="GI540" i="2"/>
  <c r="FY540" i="2"/>
  <c r="FT540" i="2"/>
  <c r="FS540" i="2"/>
  <c r="GL540" i="2" s="1"/>
  <c r="FQ540" i="2"/>
  <c r="FP540" i="2"/>
  <c r="FO540" i="2"/>
  <c r="FN540" i="2"/>
  <c r="FM540" i="2"/>
  <c r="FL540" i="2"/>
  <c r="FK540" i="2"/>
  <c r="FJ540" i="2"/>
  <c r="FI540" i="2"/>
  <c r="GB540" i="2" s="1"/>
  <c r="FH540" i="2"/>
  <c r="FG540" i="2"/>
  <c r="FF540" i="2"/>
  <c r="FE540" i="2"/>
  <c r="FX540" i="2" s="1"/>
  <c r="FD540" i="2"/>
  <c r="FC540" i="2"/>
  <c r="FB540" i="2"/>
  <c r="EZ540" i="2"/>
  <c r="EX540" i="2"/>
  <c r="EH540" i="2"/>
  <c r="EG540" i="2"/>
  <c r="EE540" i="2"/>
  <c r="ED540" i="2"/>
  <c r="EW540" i="2" s="1"/>
  <c r="EC540" i="2"/>
  <c r="EB540" i="2"/>
  <c r="EA540" i="2"/>
  <c r="DZ540" i="2"/>
  <c r="DY540" i="2"/>
  <c r="DX540" i="2"/>
  <c r="DW540" i="2"/>
  <c r="EP540" i="2" s="1"/>
  <c r="DV540" i="2"/>
  <c r="DU540" i="2"/>
  <c r="DT540" i="2"/>
  <c r="EM540" i="2" s="1"/>
  <c r="DS540" i="2"/>
  <c r="EL540" i="2" s="1"/>
  <c r="DR540" i="2"/>
  <c r="DQ540" i="2"/>
  <c r="DP540" i="2"/>
  <c r="DM540" i="2"/>
  <c r="DL540" i="2"/>
  <c r="HC539" i="2"/>
  <c r="HB539" i="2"/>
  <c r="GW539" i="2"/>
  <c r="GV539" i="2"/>
  <c r="GU539" i="2"/>
  <c r="GT539" i="2"/>
  <c r="GQ539" i="2"/>
  <c r="GP539" i="2"/>
  <c r="GO539" i="2"/>
  <c r="GI539" i="2"/>
  <c r="GB539" i="2"/>
  <c r="FY539" i="2"/>
  <c r="FT539" i="2"/>
  <c r="FS539" i="2"/>
  <c r="GL539" i="2" s="1"/>
  <c r="FQ539" i="2"/>
  <c r="GJ539" i="2" s="1"/>
  <c r="FP539" i="2"/>
  <c r="FO539" i="2"/>
  <c r="FN539" i="2"/>
  <c r="FM539" i="2"/>
  <c r="FL539" i="2"/>
  <c r="FK539" i="2"/>
  <c r="FJ539" i="2"/>
  <c r="FI539" i="2"/>
  <c r="FH539" i="2"/>
  <c r="FG539" i="2"/>
  <c r="FF539" i="2"/>
  <c r="FE539" i="2"/>
  <c r="FX539" i="2" s="1"/>
  <c r="FD539" i="2"/>
  <c r="FC539" i="2"/>
  <c r="FB539" i="2"/>
  <c r="EZ539" i="2"/>
  <c r="EX539" i="2"/>
  <c r="EL539" i="2"/>
  <c r="EH539" i="2"/>
  <c r="EG539" i="2"/>
  <c r="EE539" i="2"/>
  <c r="ED539" i="2"/>
  <c r="EW539" i="2" s="1"/>
  <c r="EC539" i="2"/>
  <c r="EB539" i="2"/>
  <c r="EA539" i="2"/>
  <c r="DZ539" i="2"/>
  <c r="DY539" i="2"/>
  <c r="DX539" i="2"/>
  <c r="DW539" i="2"/>
  <c r="EP539" i="2" s="1"/>
  <c r="DV539" i="2"/>
  <c r="DU539" i="2"/>
  <c r="DT539" i="2"/>
  <c r="EM539" i="2" s="1"/>
  <c r="DS539" i="2"/>
  <c r="DR539" i="2"/>
  <c r="DQ539" i="2"/>
  <c r="DP539" i="2"/>
  <c r="DM539" i="2"/>
  <c r="DL539" i="2"/>
  <c r="HC538" i="2"/>
  <c r="HB538" i="2"/>
  <c r="GW538" i="2"/>
  <c r="GV538" i="2"/>
  <c r="GU538" i="2"/>
  <c r="GT538" i="2"/>
  <c r="GQ538" i="2"/>
  <c r="GP538" i="2"/>
  <c r="GO538" i="2"/>
  <c r="GJ538" i="2"/>
  <c r="GI538" i="2"/>
  <c r="FY538" i="2"/>
  <c r="FT538" i="2"/>
  <c r="FS538" i="2"/>
  <c r="GL538" i="2" s="1"/>
  <c r="FQ538" i="2"/>
  <c r="FP538" i="2"/>
  <c r="FO538" i="2"/>
  <c r="FN538" i="2"/>
  <c r="FM538" i="2"/>
  <c r="FL538" i="2"/>
  <c r="FK538" i="2"/>
  <c r="FJ538" i="2"/>
  <c r="FI538" i="2"/>
  <c r="GB538" i="2" s="1"/>
  <c r="FH538" i="2"/>
  <c r="FG538" i="2"/>
  <c r="FF538" i="2"/>
  <c r="FE538" i="2"/>
  <c r="FX538" i="2" s="1"/>
  <c r="FD538" i="2"/>
  <c r="FC538" i="2"/>
  <c r="FB538" i="2"/>
  <c r="EX538" i="2"/>
  <c r="EW538" i="2"/>
  <c r="EM538" i="2"/>
  <c r="EH538" i="2"/>
  <c r="EG538" i="2"/>
  <c r="EZ538" i="2" s="1"/>
  <c r="EE538" i="2"/>
  <c r="ED538" i="2"/>
  <c r="EC538" i="2"/>
  <c r="EB538" i="2"/>
  <c r="EA538" i="2"/>
  <c r="DZ538" i="2"/>
  <c r="DY538" i="2"/>
  <c r="DX538" i="2"/>
  <c r="DW538" i="2"/>
  <c r="EP538" i="2" s="1"/>
  <c r="DV538" i="2"/>
  <c r="DU538" i="2"/>
  <c r="DT538" i="2"/>
  <c r="DS538" i="2"/>
  <c r="EL538" i="2" s="1"/>
  <c r="DR538" i="2"/>
  <c r="DQ538" i="2"/>
  <c r="DP538" i="2"/>
  <c r="DM538" i="2"/>
  <c r="DL538" i="2"/>
  <c r="HC537" i="2"/>
  <c r="HB537" i="2"/>
  <c r="GW537" i="2"/>
  <c r="GV537" i="2"/>
  <c r="GU537" i="2"/>
  <c r="GT537" i="2"/>
  <c r="GP537" i="2"/>
  <c r="GQ537" i="2" s="1"/>
  <c r="GO537" i="2"/>
  <c r="GI537" i="2"/>
  <c r="GB537" i="2"/>
  <c r="FY537" i="2"/>
  <c r="FX537" i="2"/>
  <c r="FT537" i="2"/>
  <c r="FS537" i="2"/>
  <c r="GL537" i="2" s="1"/>
  <c r="FQ537" i="2"/>
  <c r="GJ537" i="2" s="1"/>
  <c r="FP537" i="2"/>
  <c r="FO537" i="2"/>
  <c r="FN537" i="2"/>
  <c r="FM537" i="2"/>
  <c r="FL537" i="2"/>
  <c r="FK537" i="2"/>
  <c r="FJ537" i="2"/>
  <c r="FI537" i="2"/>
  <c r="FH537" i="2"/>
  <c r="FG537" i="2"/>
  <c r="FF537" i="2"/>
  <c r="FE537" i="2"/>
  <c r="FD537" i="2"/>
  <c r="FC537" i="2"/>
  <c r="FB537" i="2"/>
  <c r="EZ537" i="2"/>
  <c r="EX537" i="2"/>
  <c r="EL537" i="2"/>
  <c r="EH537" i="2"/>
  <c r="EG537" i="2"/>
  <c r="EE537" i="2"/>
  <c r="ED537" i="2"/>
  <c r="EW537" i="2" s="1"/>
  <c r="EC537" i="2"/>
  <c r="EB537" i="2"/>
  <c r="EA537" i="2"/>
  <c r="DZ537" i="2"/>
  <c r="DY537" i="2"/>
  <c r="DX537" i="2"/>
  <c r="DW537" i="2"/>
  <c r="EP537" i="2" s="1"/>
  <c r="DV537" i="2"/>
  <c r="DU537" i="2"/>
  <c r="DT537" i="2"/>
  <c r="EM537" i="2" s="1"/>
  <c r="DS537" i="2"/>
  <c r="DR537" i="2"/>
  <c r="DQ537" i="2"/>
  <c r="DP537" i="2"/>
  <c r="DM537" i="2"/>
  <c r="DL537" i="2"/>
  <c r="HC536" i="2"/>
  <c r="HB536" i="2"/>
  <c r="GW536" i="2"/>
  <c r="GV536" i="2"/>
  <c r="GU536" i="2"/>
  <c r="GT536" i="2"/>
  <c r="GQ536" i="2"/>
  <c r="GP536" i="2"/>
  <c r="GO536" i="2"/>
  <c r="GJ536" i="2"/>
  <c r="GI536" i="2"/>
  <c r="FY536" i="2"/>
  <c r="FT536" i="2"/>
  <c r="FS536" i="2"/>
  <c r="GL536" i="2" s="1"/>
  <c r="FQ536" i="2"/>
  <c r="FP536" i="2"/>
  <c r="FO536" i="2"/>
  <c r="FN536" i="2"/>
  <c r="FM536" i="2"/>
  <c r="FL536" i="2"/>
  <c r="FK536" i="2"/>
  <c r="FJ536" i="2"/>
  <c r="FI536" i="2"/>
  <c r="GB536" i="2" s="1"/>
  <c r="FH536" i="2"/>
  <c r="FG536" i="2"/>
  <c r="FF536" i="2"/>
  <c r="FE536" i="2"/>
  <c r="FX536" i="2" s="1"/>
  <c r="FD536" i="2"/>
  <c r="FC536" i="2"/>
  <c r="FB536" i="2"/>
  <c r="EZ536" i="2"/>
  <c r="EX536" i="2"/>
  <c r="EH536" i="2"/>
  <c r="EG536" i="2"/>
  <c r="EE536" i="2"/>
  <c r="ED536" i="2"/>
  <c r="EW536" i="2" s="1"/>
  <c r="EC536" i="2"/>
  <c r="EB536" i="2"/>
  <c r="EA536" i="2"/>
  <c r="DZ536" i="2"/>
  <c r="DY536" i="2"/>
  <c r="DX536" i="2"/>
  <c r="DW536" i="2"/>
  <c r="EP536" i="2" s="1"/>
  <c r="DV536" i="2"/>
  <c r="DU536" i="2"/>
  <c r="DT536" i="2"/>
  <c r="EM536" i="2" s="1"/>
  <c r="DS536" i="2"/>
  <c r="EL536" i="2" s="1"/>
  <c r="DR536" i="2"/>
  <c r="DQ536" i="2"/>
  <c r="DP536" i="2"/>
  <c r="DM536" i="2"/>
  <c r="DL536" i="2"/>
  <c r="HC535" i="2"/>
  <c r="HB535" i="2"/>
  <c r="GW535" i="2"/>
  <c r="GV535" i="2"/>
  <c r="GU535" i="2"/>
  <c r="GT535" i="2"/>
  <c r="GO535" i="2"/>
  <c r="GL535" i="2"/>
  <c r="FY535" i="2"/>
  <c r="FT535" i="2"/>
  <c r="FS535" i="2"/>
  <c r="FQ535" i="2"/>
  <c r="GJ535" i="2" s="1"/>
  <c r="FP535" i="2"/>
  <c r="GI535" i="2" s="1"/>
  <c r="FO535" i="2"/>
  <c r="FN535" i="2"/>
  <c r="FM535" i="2"/>
  <c r="FL535" i="2"/>
  <c r="FK535" i="2"/>
  <c r="FJ535" i="2"/>
  <c r="FI535" i="2"/>
  <c r="GB535" i="2" s="1"/>
  <c r="FH535" i="2"/>
  <c r="FG535" i="2"/>
  <c r="FF535" i="2"/>
  <c r="FE535" i="2"/>
  <c r="FX535" i="2" s="1"/>
  <c r="FD535" i="2"/>
  <c r="FC535" i="2"/>
  <c r="FB535" i="2"/>
  <c r="EZ535" i="2"/>
  <c r="EX535" i="2"/>
  <c r="EH535" i="2"/>
  <c r="EG535" i="2"/>
  <c r="EE535" i="2"/>
  <c r="ED535" i="2"/>
  <c r="EW535" i="2" s="1"/>
  <c r="EC535" i="2"/>
  <c r="EB535" i="2"/>
  <c r="EA535" i="2"/>
  <c r="DZ535" i="2"/>
  <c r="DY535" i="2"/>
  <c r="DX535" i="2"/>
  <c r="DW535" i="2"/>
  <c r="EP535" i="2" s="1"/>
  <c r="DV535" i="2"/>
  <c r="DU535" i="2"/>
  <c r="DT535" i="2"/>
  <c r="EM535" i="2" s="1"/>
  <c r="DS535" i="2"/>
  <c r="EL535" i="2" s="1"/>
  <c r="DR535" i="2"/>
  <c r="DQ535" i="2"/>
  <c r="DP535" i="2"/>
  <c r="DM535" i="2"/>
  <c r="DL535" i="2"/>
  <c r="HC534" i="2"/>
  <c r="HB534" i="2"/>
  <c r="GW534" i="2"/>
  <c r="GV534" i="2"/>
  <c r="GU534" i="2"/>
  <c r="GT534" i="2"/>
  <c r="GP534" i="2"/>
  <c r="GO534" i="2"/>
  <c r="GQ534" i="2" s="1"/>
  <c r="GJ534" i="2"/>
  <c r="GI534" i="2"/>
  <c r="FY534" i="2"/>
  <c r="FT534" i="2"/>
  <c r="FS534" i="2"/>
  <c r="GL534" i="2" s="1"/>
  <c r="FQ534" i="2"/>
  <c r="FP534" i="2"/>
  <c r="FO534" i="2"/>
  <c r="FN534" i="2"/>
  <c r="FM534" i="2"/>
  <c r="FL534" i="2"/>
  <c r="FK534" i="2"/>
  <c r="FJ534" i="2"/>
  <c r="FI534" i="2"/>
  <c r="GB534" i="2" s="1"/>
  <c r="FH534" i="2"/>
  <c r="FG534" i="2"/>
  <c r="FF534" i="2"/>
  <c r="FE534" i="2"/>
  <c r="FX534" i="2" s="1"/>
  <c r="FD534" i="2"/>
  <c r="FC534" i="2"/>
  <c r="FB534" i="2"/>
  <c r="EZ534" i="2"/>
  <c r="EM534" i="2"/>
  <c r="EH534" i="2"/>
  <c r="EG534" i="2"/>
  <c r="EE534" i="2"/>
  <c r="EX534" i="2" s="1"/>
  <c r="ED534" i="2"/>
  <c r="EW534" i="2" s="1"/>
  <c r="EC534" i="2"/>
  <c r="EB534" i="2"/>
  <c r="EA534" i="2"/>
  <c r="DZ534" i="2"/>
  <c r="DY534" i="2"/>
  <c r="DX534" i="2"/>
  <c r="DW534" i="2"/>
  <c r="EP534" i="2" s="1"/>
  <c r="DV534" i="2"/>
  <c r="DU534" i="2"/>
  <c r="DT534" i="2"/>
  <c r="DS534" i="2"/>
  <c r="EL534" i="2" s="1"/>
  <c r="DR534" i="2"/>
  <c r="DQ534" i="2"/>
  <c r="DP534" i="2"/>
  <c r="DM534" i="2"/>
  <c r="DL534" i="2"/>
  <c r="HC533" i="2"/>
  <c r="HB533" i="2"/>
  <c r="GW533" i="2"/>
  <c r="GV533" i="2"/>
  <c r="GU533" i="2"/>
  <c r="GT533" i="2"/>
  <c r="GQ533" i="2"/>
  <c r="GP533" i="2"/>
  <c r="GO533" i="2"/>
  <c r="GL533" i="2"/>
  <c r="GB533" i="2"/>
  <c r="FT533" i="2"/>
  <c r="FS533" i="2"/>
  <c r="FQ533" i="2"/>
  <c r="GJ533" i="2" s="1"/>
  <c r="FP533" i="2"/>
  <c r="GI533" i="2" s="1"/>
  <c r="FO533" i="2"/>
  <c r="FN533" i="2"/>
  <c r="FM533" i="2"/>
  <c r="FL533" i="2"/>
  <c r="FK533" i="2"/>
  <c r="FJ533" i="2"/>
  <c r="FI533" i="2"/>
  <c r="FH533" i="2"/>
  <c r="FG533" i="2"/>
  <c r="FF533" i="2"/>
  <c r="FY533" i="2" s="1"/>
  <c r="FE533" i="2"/>
  <c r="FX533" i="2" s="1"/>
  <c r="FD533" i="2"/>
  <c r="FC533" i="2"/>
  <c r="FB533" i="2"/>
  <c r="EZ533" i="2"/>
  <c r="EW533" i="2"/>
  <c r="EP533" i="2"/>
  <c r="EM533" i="2"/>
  <c r="EH533" i="2"/>
  <c r="EG533" i="2"/>
  <c r="EE533" i="2"/>
  <c r="EX533" i="2" s="1"/>
  <c r="ED533" i="2"/>
  <c r="EC533" i="2"/>
  <c r="EB533" i="2"/>
  <c r="EA533" i="2"/>
  <c r="DZ533" i="2"/>
  <c r="DY533" i="2"/>
  <c r="DX533" i="2"/>
  <c r="DW533" i="2"/>
  <c r="DV533" i="2"/>
  <c r="DU533" i="2"/>
  <c r="DT533" i="2"/>
  <c r="DS533" i="2"/>
  <c r="EL533" i="2" s="1"/>
  <c r="DR533" i="2"/>
  <c r="DQ533" i="2"/>
  <c r="DP533" i="2"/>
  <c r="DM533" i="2"/>
  <c r="DL533" i="2"/>
  <c r="HC532" i="2"/>
  <c r="HB532" i="2"/>
  <c r="GW532" i="2"/>
  <c r="GV532" i="2"/>
  <c r="GU532" i="2"/>
  <c r="GT532" i="2"/>
  <c r="GP532" i="2"/>
  <c r="GQ532" i="2" s="1"/>
  <c r="GO532" i="2"/>
  <c r="GJ532" i="2"/>
  <c r="FX532" i="2"/>
  <c r="FT532" i="2"/>
  <c r="FS532" i="2"/>
  <c r="GL532" i="2" s="1"/>
  <c r="FQ532" i="2"/>
  <c r="FP532" i="2"/>
  <c r="GI532" i="2" s="1"/>
  <c r="FO532" i="2"/>
  <c r="FN532" i="2"/>
  <c r="FM532" i="2"/>
  <c r="FL532" i="2"/>
  <c r="FK532" i="2"/>
  <c r="FJ532" i="2"/>
  <c r="FI532" i="2"/>
  <c r="GB532" i="2" s="1"/>
  <c r="FH532" i="2"/>
  <c r="FG532" i="2"/>
  <c r="FF532" i="2"/>
  <c r="FY532" i="2" s="1"/>
  <c r="FE532" i="2"/>
  <c r="FD532" i="2"/>
  <c r="FC532" i="2"/>
  <c r="FB532" i="2"/>
  <c r="EX532" i="2"/>
  <c r="EW532" i="2"/>
  <c r="EP532" i="2"/>
  <c r="EM532" i="2"/>
  <c r="EH532" i="2"/>
  <c r="EG532" i="2"/>
  <c r="EZ532" i="2" s="1"/>
  <c r="EE532" i="2"/>
  <c r="ED532" i="2"/>
  <c r="EC532" i="2"/>
  <c r="EB532" i="2"/>
  <c r="EA532" i="2"/>
  <c r="DZ532" i="2"/>
  <c r="DY532" i="2"/>
  <c r="DX532" i="2"/>
  <c r="DW532" i="2"/>
  <c r="DV532" i="2"/>
  <c r="DU532" i="2"/>
  <c r="DT532" i="2"/>
  <c r="DS532" i="2"/>
  <c r="EL532" i="2" s="1"/>
  <c r="DR532" i="2"/>
  <c r="DQ532" i="2"/>
  <c r="DP532" i="2"/>
  <c r="DM532" i="2"/>
  <c r="DL532" i="2"/>
  <c r="HC531" i="2"/>
  <c r="HB531" i="2"/>
  <c r="GW531" i="2"/>
  <c r="GV531" i="2"/>
  <c r="GU531" i="2"/>
  <c r="GT531" i="2"/>
  <c r="GQ531" i="2"/>
  <c r="GP531" i="2"/>
  <c r="GO531" i="2"/>
  <c r="GL531" i="2"/>
  <c r="GJ531" i="2"/>
  <c r="GI531" i="2"/>
  <c r="GB531" i="2"/>
  <c r="FY531" i="2"/>
  <c r="FX531" i="2"/>
  <c r="FT531" i="2"/>
  <c r="FS531" i="2"/>
  <c r="FQ531" i="2"/>
  <c r="FP531" i="2"/>
  <c r="FO531" i="2"/>
  <c r="FN531" i="2"/>
  <c r="FM531" i="2"/>
  <c r="FL531" i="2"/>
  <c r="FK531" i="2"/>
  <c r="FJ531" i="2"/>
  <c r="FI531" i="2"/>
  <c r="FH531" i="2"/>
  <c r="FG531" i="2"/>
  <c r="FF531" i="2"/>
  <c r="FE531" i="2"/>
  <c r="FD531" i="2"/>
  <c r="FC531" i="2"/>
  <c r="FB531" i="2"/>
  <c r="EZ531" i="2"/>
  <c r="EX531" i="2"/>
  <c r="EL531" i="2"/>
  <c r="EH531" i="2"/>
  <c r="EG531" i="2"/>
  <c r="EE531" i="2"/>
  <c r="ED531" i="2"/>
  <c r="EW531" i="2" s="1"/>
  <c r="EC531" i="2"/>
  <c r="EB531" i="2"/>
  <c r="EA531" i="2"/>
  <c r="DZ531" i="2"/>
  <c r="DY531" i="2"/>
  <c r="DX531" i="2"/>
  <c r="DW531" i="2"/>
  <c r="EP531" i="2" s="1"/>
  <c r="DV531" i="2"/>
  <c r="DU531" i="2"/>
  <c r="DT531" i="2"/>
  <c r="EM531" i="2" s="1"/>
  <c r="DS531" i="2"/>
  <c r="DR531" i="2"/>
  <c r="DQ531" i="2"/>
  <c r="DP531" i="2"/>
  <c r="DM531" i="2"/>
  <c r="DL531" i="2"/>
  <c r="HC530" i="2"/>
  <c r="HB530" i="2"/>
  <c r="GW530" i="2"/>
  <c r="GX530" i="2" s="1"/>
  <c r="GV530" i="2"/>
  <c r="GU530" i="2"/>
  <c r="GT530" i="2"/>
  <c r="GO530" i="2"/>
  <c r="GJ530" i="2"/>
  <c r="GI530" i="2"/>
  <c r="FY530" i="2"/>
  <c r="FX530" i="2"/>
  <c r="FT530" i="2"/>
  <c r="FS530" i="2"/>
  <c r="GL530" i="2" s="1"/>
  <c r="FQ530" i="2"/>
  <c r="FP530" i="2"/>
  <c r="FO530" i="2"/>
  <c r="FN530" i="2"/>
  <c r="FM530" i="2"/>
  <c r="FL530" i="2"/>
  <c r="FK530" i="2"/>
  <c r="FJ530" i="2"/>
  <c r="FI530" i="2"/>
  <c r="GB530" i="2" s="1"/>
  <c r="FH530" i="2"/>
  <c r="FG530" i="2"/>
  <c r="FF530" i="2"/>
  <c r="FE530" i="2"/>
  <c r="FD530" i="2"/>
  <c r="FC530" i="2"/>
  <c r="FB530" i="2"/>
  <c r="EZ530" i="2"/>
  <c r="EX530" i="2"/>
  <c r="EW530" i="2"/>
  <c r="EP530" i="2"/>
  <c r="EM530" i="2"/>
  <c r="EH530" i="2"/>
  <c r="EG530" i="2"/>
  <c r="EE530" i="2"/>
  <c r="ED530" i="2"/>
  <c r="EC530" i="2"/>
  <c r="EB530" i="2"/>
  <c r="EA530" i="2"/>
  <c r="DZ530" i="2"/>
  <c r="DY530" i="2"/>
  <c r="DX530" i="2"/>
  <c r="DW530" i="2"/>
  <c r="DV530" i="2"/>
  <c r="DU530" i="2"/>
  <c r="DT530" i="2"/>
  <c r="DS530" i="2"/>
  <c r="EL530" i="2" s="1"/>
  <c r="DR530" i="2"/>
  <c r="DQ530" i="2"/>
  <c r="DP530" i="2"/>
  <c r="DM530" i="2"/>
  <c r="DL530" i="2"/>
  <c r="HC529" i="2"/>
  <c r="HB529" i="2"/>
  <c r="GW529" i="2"/>
  <c r="GV529" i="2"/>
  <c r="GU529" i="2"/>
  <c r="GT529" i="2"/>
  <c r="GP529" i="2"/>
  <c r="GO529" i="2"/>
  <c r="GQ529" i="2" s="1"/>
  <c r="GL529" i="2"/>
  <c r="GB529" i="2"/>
  <c r="FY529" i="2"/>
  <c r="FX529" i="2"/>
  <c r="FT529" i="2"/>
  <c r="FS529" i="2"/>
  <c r="FQ529" i="2"/>
  <c r="GJ529" i="2" s="1"/>
  <c r="FP529" i="2"/>
  <c r="GI529" i="2" s="1"/>
  <c r="FO529" i="2"/>
  <c r="FN529" i="2"/>
  <c r="FM529" i="2"/>
  <c r="FL529" i="2"/>
  <c r="FK529" i="2"/>
  <c r="FJ529" i="2"/>
  <c r="FI529" i="2"/>
  <c r="FH529" i="2"/>
  <c r="FG529" i="2"/>
  <c r="FF529" i="2"/>
  <c r="FE529" i="2"/>
  <c r="FD529" i="2"/>
  <c r="FC529" i="2"/>
  <c r="FB529" i="2"/>
  <c r="EZ529" i="2"/>
  <c r="EW529" i="2"/>
  <c r="EP529" i="2"/>
  <c r="EM529" i="2"/>
  <c r="EH529" i="2"/>
  <c r="EG529" i="2"/>
  <c r="EE529" i="2"/>
  <c r="EX529" i="2" s="1"/>
  <c r="ED529" i="2"/>
  <c r="EC529" i="2"/>
  <c r="EB529" i="2"/>
  <c r="EA529" i="2"/>
  <c r="DZ529" i="2"/>
  <c r="DY529" i="2"/>
  <c r="DX529" i="2"/>
  <c r="DW529" i="2"/>
  <c r="DV529" i="2"/>
  <c r="DU529" i="2"/>
  <c r="DT529" i="2"/>
  <c r="DS529" i="2"/>
  <c r="EL529" i="2" s="1"/>
  <c r="DR529" i="2"/>
  <c r="DQ529" i="2"/>
  <c r="DP529" i="2"/>
  <c r="DM529" i="2"/>
  <c r="DL529" i="2"/>
  <c r="HC528" i="2"/>
  <c r="HB528" i="2"/>
  <c r="GW528" i="2"/>
  <c r="GV528" i="2"/>
  <c r="GU528" i="2"/>
  <c r="GT528" i="2"/>
  <c r="GO528" i="2"/>
  <c r="GP528" i="2" s="1"/>
  <c r="GQ528" i="2" s="1"/>
  <c r="GL528" i="2"/>
  <c r="GJ528" i="2"/>
  <c r="GI528" i="2"/>
  <c r="FX528" i="2"/>
  <c r="FT528" i="2"/>
  <c r="FS528" i="2"/>
  <c r="FQ528" i="2"/>
  <c r="FP528" i="2"/>
  <c r="FO528" i="2"/>
  <c r="FN528" i="2"/>
  <c r="FM528" i="2"/>
  <c r="FL528" i="2"/>
  <c r="FK528" i="2"/>
  <c r="FJ528" i="2"/>
  <c r="FI528" i="2"/>
  <c r="GB528" i="2" s="1"/>
  <c r="FH528" i="2"/>
  <c r="FG528" i="2"/>
  <c r="FF528" i="2"/>
  <c r="FY528" i="2" s="1"/>
  <c r="FE528" i="2"/>
  <c r="FD528" i="2"/>
  <c r="FC528" i="2"/>
  <c r="FB528" i="2"/>
  <c r="EZ528" i="2"/>
  <c r="EX528" i="2"/>
  <c r="EP528" i="2"/>
  <c r="EM528" i="2"/>
  <c r="EH528" i="2"/>
  <c r="EG528" i="2"/>
  <c r="EE528" i="2"/>
  <c r="ED528" i="2"/>
  <c r="EW528" i="2" s="1"/>
  <c r="EC528" i="2"/>
  <c r="EB528" i="2"/>
  <c r="EA528" i="2"/>
  <c r="DZ528" i="2"/>
  <c r="DY528" i="2"/>
  <c r="DX528" i="2"/>
  <c r="DW528" i="2"/>
  <c r="DV528" i="2"/>
  <c r="DU528" i="2"/>
  <c r="DT528" i="2"/>
  <c r="DS528" i="2"/>
  <c r="EL528" i="2" s="1"/>
  <c r="DR528" i="2"/>
  <c r="DQ528" i="2"/>
  <c r="DP528" i="2"/>
  <c r="DM528" i="2"/>
  <c r="DL528" i="2"/>
  <c r="HC527" i="2"/>
  <c r="HB527" i="2"/>
  <c r="GW527" i="2"/>
  <c r="GV527" i="2"/>
  <c r="GU527" i="2"/>
  <c r="GT527" i="2"/>
  <c r="GP527" i="2"/>
  <c r="GO527" i="2"/>
  <c r="GB527" i="2"/>
  <c r="FT527" i="2"/>
  <c r="FS527" i="2"/>
  <c r="GL527" i="2" s="1"/>
  <c r="FQ527" i="2"/>
  <c r="GJ527" i="2" s="1"/>
  <c r="FP527" i="2"/>
  <c r="GI527" i="2" s="1"/>
  <c r="FO527" i="2"/>
  <c r="FN527" i="2"/>
  <c r="FM527" i="2"/>
  <c r="FL527" i="2"/>
  <c r="FK527" i="2"/>
  <c r="FJ527" i="2"/>
  <c r="FI527" i="2"/>
  <c r="FH527" i="2"/>
  <c r="FG527" i="2"/>
  <c r="FF527" i="2"/>
  <c r="FY527" i="2" s="1"/>
  <c r="FE527" i="2"/>
  <c r="FX527" i="2" s="1"/>
  <c r="FD527" i="2"/>
  <c r="FC527" i="2"/>
  <c r="FB527" i="2"/>
  <c r="EZ527" i="2"/>
  <c r="EX527" i="2"/>
  <c r="EW527" i="2"/>
  <c r="EM527" i="2"/>
  <c r="EH527" i="2"/>
  <c r="EG527" i="2"/>
  <c r="EE527" i="2"/>
  <c r="ED527" i="2"/>
  <c r="EC527" i="2"/>
  <c r="EB527" i="2"/>
  <c r="EA527" i="2"/>
  <c r="DZ527" i="2"/>
  <c r="DY527" i="2"/>
  <c r="DX527" i="2"/>
  <c r="DW527" i="2"/>
  <c r="EP527" i="2" s="1"/>
  <c r="DV527" i="2"/>
  <c r="DU527" i="2"/>
  <c r="DT527" i="2"/>
  <c r="DS527" i="2"/>
  <c r="EL527" i="2" s="1"/>
  <c r="DR527" i="2"/>
  <c r="DQ527" i="2"/>
  <c r="DP527" i="2"/>
  <c r="DM527" i="2"/>
  <c r="DL527" i="2"/>
  <c r="HC526" i="2"/>
  <c r="HB526" i="2"/>
  <c r="GW526" i="2"/>
  <c r="GV526" i="2"/>
  <c r="GU526" i="2"/>
  <c r="GT526" i="2"/>
  <c r="GP526" i="2"/>
  <c r="GQ526" i="2" s="1"/>
  <c r="GO526" i="2"/>
  <c r="GL526" i="2"/>
  <c r="GJ526" i="2"/>
  <c r="FX526" i="2"/>
  <c r="FT526" i="2"/>
  <c r="FS526" i="2"/>
  <c r="FQ526" i="2"/>
  <c r="FP526" i="2"/>
  <c r="GI526" i="2" s="1"/>
  <c r="FO526" i="2"/>
  <c r="FN526" i="2"/>
  <c r="FM526" i="2"/>
  <c r="FL526" i="2"/>
  <c r="FK526" i="2"/>
  <c r="FJ526" i="2"/>
  <c r="FI526" i="2"/>
  <c r="GB526" i="2" s="1"/>
  <c r="FH526" i="2"/>
  <c r="FG526" i="2"/>
  <c r="FF526" i="2"/>
  <c r="FY526" i="2" s="1"/>
  <c r="FE526" i="2"/>
  <c r="FD526" i="2"/>
  <c r="FC526" i="2"/>
  <c r="FB526" i="2"/>
  <c r="EH526" i="2"/>
  <c r="EG526" i="2"/>
  <c r="EZ526" i="2" s="1"/>
  <c r="EE526" i="2"/>
  <c r="EX526" i="2" s="1"/>
  <c r="ED526" i="2"/>
  <c r="EW526" i="2" s="1"/>
  <c r="EC526" i="2"/>
  <c r="EB526" i="2"/>
  <c r="EA526" i="2"/>
  <c r="DZ526" i="2"/>
  <c r="DY526" i="2"/>
  <c r="DX526" i="2"/>
  <c r="DW526" i="2"/>
  <c r="EP526" i="2" s="1"/>
  <c r="DV526" i="2"/>
  <c r="DU526" i="2"/>
  <c r="DT526" i="2"/>
  <c r="EM526" i="2" s="1"/>
  <c r="DS526" i="2"/>
  <c r="EL526" i="2" s="1"/>
  <c r="DR526" i="2"/>
  <c r="DQ526" i="2"/>
  <c r="DP526" i="2"/>
  <c r="DM526" i="2"/>
  <c r="DL526" i="2"/>
  <c r="HC525" i="2"/>
  <c r="HB525" i="2"/>
  <c r="GW525" i="2"/>
  <c r="GV525" i="2"/>
  <c r="GU525" i="2"/>
  <c r="GT525" i="2"/>
  <c r="GO525" i="2"/>
  <c r="GL525" i="2"/>
  <c r="GJ525" i="2"/>
  <c r="GI525" i="2"/>
  <c r="FY525" i="2"/>
  <c r="FX525" i="2"/>
  <c r="FT525" i="2"/>
  <c r="FS525" i="2"/>
  <c r="FQ525" i="2"/>
  <c r="FP525" i="2"/>
  <c r="FO525" i="2"/>
  <c r="FN525" i="2"/>
  <c r="FM525" i="2"/>
  <c r="FL525" i="2"/>
  <c r="FK525" i="2"/>
  <c r="FJ525" i="2"/>
  <c r="FI525" i="2"/>
  <c r="GB525" i="2" s="1"/>
  <c r="FH525" i="2"/>
  <c r="FG525" i="2"/>
  <c r="FF525" i="2"/>
  <c r="FE525" i="2"/>
  <c r="FD525" i="2"/>
  <c r="FC525" i="2"/>
  <c r="FB525" i="2"/>
  <c r="EZ525" i="2"/>
  <c r="EX525" i="2"/>
  <c r="EW525" i="2"/>
  <c r="EP525" i="2"/>
  <c r="EM525" i="2"/>
  <c r="EH525" i="2"/>
  <c r="EG525" i="2"/>
  <c r="EE525" i="2"/>
  <c r="ED525" i="2"/>
  <c r="EC525" i="2"/>
  <c r="EB525" i="2"/>
  <c r="EA525" i="2"/>
  <c r="DZ525" i="2"/>
  <c r="DY525" i="2"/>
  <c r="DX525" i="2"/>
  <c r="DW525" i="2"/>
  <c r="DV525" i="2"/>
  <c r="DU525" i="2"/>
  <c r="DT525" i="2"/>
  <c r="DS525" i="2"/>
  <c r="EL525" i="2" s="1"/>
  <c r="DR525" i="2"/>
  <c r="DQ525" i="2"/>
  <c r="DP525" i="2"/>
  <c r="DM525" i="2"/>
  <c r="DL525" i="2"/>
  <c r="HC524" i="2"/>
  <c r="HB524" i="2"/>
  <c r="GW524" i="2"/>
  <c r="GV524" i="2"/>
  <c r="GU524" i="2"/>
  <c r="GT524" i="2"/>
  <c r="GP524" i="2"/>
  <c r="GO524" i="2"/>
  <c r="GQ524" i="2" s="1"/>
  <c r="GL524" i="2"/>
  <c r="GJ524" i="2"/>
  <c r="GI524" i="2"/>
  <c r="FX524" i="2"/>
  <c r="FT524" i="2"/>
  <c r="FS524" i="2"/>
  <c r="FQ524" i="2"/>
  <c r="FP524" i="2"/>
  <c r="FO524" i="2"/>
  <c r="FN524" i="2"/>
  <c r="FM524" i="2"/>
  <c r="FL524" i="2"/>
  <c r="FK524" i="2"/>
  <c r="FJ524" i="2"/>
  <c r="FI524" i="2"/>
  <c r="GB524" i="2" s="1"/>
  <c r="FH524" i="2"/>
  <c r="FG524" i="2"/>
  <c r="FF524" i="2"/>
  <c r="FY524" i="2" s="1"/>
  <c r="FE524" i="2"/>
  <c r="FD524" i="2"/>
  <c r="FC524" i="2"/>
  <c r="FB524" i="2"/>
  <c r="EZ524" i="2"/>
  <c r="EX524" i="2"/>
  <c r="EP524" i="2"/>
  <c r="EM524" i="2"/>
  <c r="EH524" i="2"/>
  <c r="EG524" i="2"/>
  <c r="EE524" i="2"/>
  <c r="ED524" i="2"/>
  <c r="EW524" i="2" s="1"/>
  <c r="EC524" i="2"/>
  <c r="EB524" i="2"/>
  <c r="EA524" i="2"/>
  <c r="DZ524" i="2"/>
  <c r="DY524" i="2"/>
  <c r="DX524" i="2"/>
  <c r="DW524" i="2"/>
  <c r="DV524" i="2"/>
  <c r="DU524" i="2"/>
  <c r="DT524" i="2"/>
  <c r="DS524" i="2"/>
  <c r="EL524" i="2" s="1"/>
  <c r="DR524" i="2"/>
  <c r="DQ524" i="2"/>
  <c r="DP524" i="2"/>
  <c r="DM524" i="2"/>
  <c r="DL524" i="2"/>
  <c r="HC523" i="2"/>
  <c r="HB523" i="2"/>
  <c r="GW523" i="2"/>
  <c r="GV523" i="2"/>
  <c r="GU523" i="2"/>
  <c r="GT523" i="2"/>
  <c r="GP523" i="2"/>
  <c r="GO523" i="2"/>
  <c r="GB523" i="2"/>
  <c r="FT523" i="2"/>
  <c r="FS523" i="2"/>
  <c r="GL523" i="2" s="1"/>
  <c r="FQ523" i="2"/>
  <c r="GJ523" i="2" s="1"/>
  <c r="FP523" i="2"/>
  <c r="GI523" i="2" s="1"/>
  <c r="FO523" i="2"/>
  <c r="FN523" i="2"/>
  <c r="FM523" i="2"/>
  <c r="FL523" i="2"/>
  <c r="FK523" i="2"/>
  <c r="FJ523" i="2"/>
  <c r="FI523" i="2"/>
  <c r="FH523" i="2"/>
  <c r="FG523" i="2"/>
  <c r="FF523" i="2"/>
  <c r="FY523" i="2" s="1"/>
  <c r="FE523" i="2"/>
  <c r="FX523" i="2" s="1"/>
  <c r="FD523" i="2"/>
  <c r="FC523" i="2"/>
  <c r="FB523" i="2"/>
  <c r="EZ523" i="2"/>
  <c r="EX523" i="2"/>
  <c r="EW523" i="2"/>
  <c r="EM523" i="2"/>
  <c r="EH523" i="2"/>
  <c r="EG523" i="2"/>
  <c r="EE523" i="2"/>
  <c r="ED523" i="2"/>
  <c r="EC523" i="2"/>
  <c r="EB523" i="2"/>
  <c r="EA523" i="2"/>
  <c r="DZ523" i="2"/>
  <c r="DY523" i="2"/>
  <c r="DX523" i="2"/>
  <c r="DW523" i="2"/>
  <c r="EP523" i="2" s="1"/>
  <c r="DV523" i="2"/>
  <c r="DU523" i="2"/>
  <c r="DT523" i="2"/>
  <c r="DS523" i="2"/>
  <c r="EL523" i="2" s="1"/>
  <c r="DR523" i="2"/>
  <c r="DQ523" i="2"/>
  <c r="DP523" i="2"/>
  <c r="DM523" i="2"/>
  <c r="DL523" i="2"/>
  <c r="HC522" i="2"/>
  <c r="HB522" i="2"/>
  <c r="GW522" i="2"/>
  <c r="GV522" i="2"/>
  <c r="GU522" i="2"/>
  <c r="GT522" i="2"/>
  <c r="GQ522" i="2"/>
  <c r="GP522" i="2"/>
  <c r="GO522" i="2"/>
  <c r="GL522" i="2"/>
  <c r="GJ522" i="2"/>
  <c r="FX522" i="2"/>
  <c r="FT522" i="2"/>
  <c r="FS522" i="2"/>
  <c r="FQ522" i="2"/>
  <c r="FP522" i="2"/>
  <c r="GI522" i="2" s="1"/>
  <c r="FO522" i="2"/>
  <c r="FN522" i="2"/>
  <c r="FM522" i="2"/>
  <c r="FL522" i="2"/>
  <c r="FK522" i="2"/>
  <c r="FJ522" i="2"/>
  <c r="FI522" i="2"/>
  <c r="GB522" i="2" s="1"/>
  <c r="FH522" i="2"/>
  <c r="FG522" i="2"/>
  <c r="FF522" i="2"/>
  <c r="FY522" i="2" s="1"/>
  <c r="FE522" i="2"/>
  <c r="FD522" i="2"/>
  <c r="FC522" i="2"/>
  <c r="FB522" i="2"/>
  <c r="EW522" i="2"/>
  <c r="EM522" i="2"/>
  <c r="EH522" i="2"/>
  <c r="EG522" i="2"/>
  <c r="EZ522" i="2" s="1"/>
  <c r="EE522" i="2"/>
  <c r="EX522" i="2" s="1"/>
  <c r="ED522" i="2"/>
  <c r="EC522" i="2"/>
  <c r="EB522" i="2"/>
  <c r="EA522" i="2"/>
  <c r="DZ522" i="2"/>
  <c r="DY522" i="2"/>
  <c r="DX522" i="2"/>
  <c r="DW522" i="2"/>
  <c r="EP522" i="2" s="1"/>
  <c r="DV522" i="2"/>
  <c r="DU522" i="2"/>
  <c r="DT522" i="2"/>
  <c r="DS522" i="2"/>
  <c r="EL522" i="2" s="1"/>
  <c r="DR522" i="2"/>
  <c r="DQ522" i="2"/>
  <c r="DP522" i="2"/>
  <c r="DM522" i="2"/>
  <c r="DL522" i="2"/>
  <c r="HC521" i="2"/>
  <c r="HB521" i="2"/>
  <c r="GW521" i="2"/>
  <c r="GV521" i="2"/>
  <c r="GU521" i="2"/>
  <c r="GT521" i="2"/>
  <c r="GO521" i="2"/>
  <c r="GL521" i="2"/>
  <c r="GJ521" i="2"/>
  <c r="GB521" i="2"/>
  <c r="FT521" i="2"/>
  <c r="FS521" i="2"/>
  <c r="FQ521" i="2"/>
  <c r="FP521" i="2"/>
  <c r="GI521" i="2" s="1"/>
  <c r="FO521" i="2"/>
  <c r="FN521" i="2"/>
  <c r="FM521" i="2"/>
  <c r="FL521" i="2"/>
  <c r="FK521" i="2"/>
  <c r="FJ521" i="2"/>
  <c r="FI521" i="2"/>
  <c r="FH521" i="2"/>
  <c r="FG521" i="2"/>
  <c r="FF521" i="2"/>
  <c r="FY521" i="2" s="1"/>
  <c r="FE521" i="2"/>
  <c r="FX521" i="2" s="1"/>
  <c r="FD521" i="2"/>
  <c r="FC521" i="2"/>
  <c r="FB521" i="2"/>
  <c r="EZ521" i="2"/>
  <c r="EX521" i="2"/>
  <c r="EW521" i="2"/>
  <c r="EM521" i="2"/>
  <c r="EH521" i="2"/>
  <c r="EG521" i="2"/>
  <c r="EE521" i="2"/>
  <c r="ED521" i="2"/>
  <c r="EC521" i="2"/>
  <c r="EB521" i="2"/>
  <c r="EA521" i="2"/>
  <c r="DZ521" i="2"/>
  <c r="DY521" i="2"/>
  <c r="DX521" i="2"/>
  <c r="DW521" i="2"/>
  <c r="EP521" i="2" s="1"/>
  <c r="DV521" i="2"/>
  <c r="DU521" i="2"/>
  <c r="DT521" i="2"/>
  <c r="DS521" i="2"/>
  <c r="EL521" i="2" s="1"/>
  <c r="DR521" i="2"/>
  <c r="DQ521" i="2"/>
  <c r="DP521" i="2"/>
  <c r="DM521" i="2"/>
  <c r="DL521" i="2"/>
  <c r="HC520" i="2"/>
  <c r="HB520" i="2"/>
  <c r="GW520" i="2"/>
  <c r="GV520" i="2"/>
  <c r="GU520" i="2"/>
  <c r="GT520" i="2"/>
  <c r="GP520" i="2"/>
  <c r="GQ520" i="2" s="1"/>
  <c r="GO520" i="2"/>
  <c r="FX520" i="2"/>
  <c r="FT520" i="2"/>
  <c r="FS520" i="2"/>
  <c r="GL520" i="2" s="1"/>
  <c r="FQ520" i="2"/>
  <c r="GJ520" i="2" s="1"/>
  <c r="FP520" i="2"/>
  <c r="GI520" i="2" s="1"/>
  <c r="FO520" i="2"/>
  <c r="FN520" i="2"/>
  <c r="FM520" i="2"/>
  <c r="FL520" i="2"/>
  <c r="FK520" i="2"/>
  <c r="FJ520" i="2"/>
  <c r="FI520" i="2"/>
  <c r="GB520" i="2" s="1"/>
  <c r="FH520" i="2"/>
  <c r="FG520" i="2"/>
  <c r="FF520" i="2"/>
  <c r="FY520" i="2" s="1"/>
  <c r="FE520" i="2"/>
  <c r="FD520" i="2"/>
  <c r="FC520" i="2"/>
  <c r="FB520" i="2"/>
  <c r="EZ520" i="2"/>
  <c r="EX520" i="2"/>
  <c r="EW520" i="2"/>
  <c r="EM520" i="2"/>
  <c r="EH520" i="2"/>
  <c r="EG520" i="2"/>
  <c r="EE520" i="2"/>
  <c r="ED520" i="2"/>
  <c r="EC520" i="2"/>
  <c r="EB520" i="2"/>
  <c r="EA520" i="2"/>
  <c r="DZ520" i="2"/>
  <c r="DY520" i="2"/>
  <c r="DX520" i="2"/>
  <c r="DW520" i="2"/>
  <c r="EP520" i="2" s="1"/>
  <c r="DV520" i="2"/>
  <c r="DU520" i="2"/>
  <c r="DT520" i="2"/>
  <c r="DS520" i="2"/>
  <c r="EL520" i="2" s="1"/>
  <c r="DR520" i="2"/>
  <c r="DQ520" i="2"/>
  <c r="DP520" i="2"/>
  <c r="DM520" i="2"/>
  <c r="DL520" i="2"/>
  <c r="HC519" i="2"/>
  <c r="HB519" i="2"/>
  <c r="GW519" i="2"/>
  <c r="GV519" i="2"/>
  <c r="GU519" i="2"/>
  <c r="GT519" i="2"/>
  <c r="GO519" i="2"/>
  <c r="GJ519" i="2"/>
  <c r="GI519" i="2"/>
  <c r="GB519" i="2"/>
  <c r="FY519" i="2"/>
  <c r="FX519" i="2"/>
  <c r="FT519" i="2"/>
  <c r="FS519" i="2"/>
  <c r="GL519" i="2" s="1"/>
  <c r="FQ519" i="2"/>
  <c r="FP519" i="2"/>
  <c r="FO519" i="2"/>
  <c r="FN519" i="2"/>
  <c r="FM519" i="2"/>
  <c r="FL519" i="2"/>
  <c r="FK519" i="2"/>
  <c r="FJ519" i="2"/>
  <c r="FI519" i="2"/>
  <c r="FH519" i="2"/>
  <c r="FG519" i="2"/>
  <c r="FF519" i="2"/>
  <c r="FE519" i="2"/>
  <c r="FD519" i="2"/>
  <c r="FC519" i="2"/>
  <c r="FB519" i="2"/>
  <c r="EW519" i="2"/>
  <c r="EM519" i="2"/>
  <c r="EL519" i="2"/>
  <c r="EH519" i="2"/>
  <c r="EG519" i="2"/>
  <c r="EZ519" i="2" s="1"/>
  <c r="EE519" i="2"/>
  <c r="EX519" i="2" s="1"/>
  <c r="ED519" i="2"/>
  <c r="EC519" i="2"/>
  <c r="EB519" i="2"/>
  <c r="EA519" i="2"/>
  <c r="DZ519" i="2"/>
  <c r="DY519" i="2"/>
  <c r="DX519" i="2"/>
  <c r="DW519" i="2"/>
  <c r="EP519" i="2" s="1"/>
  <c r="DV519" i="2"/>
  <c r="DU519" i="2"/>
  <c r="DT519" i="2"/>
  <c r="DS519" i="2"/>
  <c r="DR519" i="2"/>
  <c r="DQ519" i="2"/>
  <c r="DP519" i="2"/>
  <c r="DM519" i="2"/>
  <c r="DL519" i="2"/>
  <c r="HC518" i="2"/>
  <c r="HB518" i="2"/>
  <c r="GX518" i="2"/>
  <c r="GW518" i="2"/>
  <c r="GY518" i="2" s="1"/>
  <c r="GV518" i="2"/>
  <c r="GU518" i="2"/>
  <c r="GT518" i="2"/>
  <c r="GQ518" i="2"/>
  <c r="GP518" i="2"/>
  <c r="GO518" i="2"/>
  <c r="GL518" i="2"/>
  <c r="GI518" i="2"/>
  <c r="GB518" i="2"/>
  <c r="FY518" i="2"/>
  <c r="FX518" i="2"/>
  <c r="FT518" i="2"/>
  <c r="FS518" i="2"/>
  <c r="FQ518" i="2"/>
  <c r="GJ518" i="2" s="1"/>
  <c r="FP518" i="2"/>
  <c r="FO518" i="2"/>
  <c r="FN518" i="2"/>
  <c r="FM518" i="2"/>
  <c r="FL518" i="2"/>
  <c r="FK518" i="2"/>
  <c r="FJ518" i="2"/>
  <c r="FI518" i="2"/>
  <c r="FH518" i="2"/>
  <c r="FG518" i="2"/>
  <c r="FF518" i="2"/>
  <c r="FE518" i="2"/>
  <c r="FD518" i="2"/>
  <c r="FC518" i="2"/>
  <c r="FB518" i="2"/>
  <c r="EL518" i="2"/>
  <c r="EH518" i="2"/>
  <c r="EG518" i="2"/>
  <c r="EZ518" i="2" s="1"/>
  <c r="EE518" i="2"/>
  <c r="EX518" i="2" s="1"/>
  <c r="ED518" i="2"/>
  <c r="EW518" i="2" s="1"/>
  <c r="EC518" i="2"/>
  <c r="EB518" i="2"/>
  <c r="EA518" i="2"/>
  <c r="DZ518" i="2"/>
  <c r="DY518" i="2"/>
  <c r="DX518" i="2"/>
  <c r="DW518" i="2"/>
  <c r="EP518" i="2" s="1"/>
  <c r="DV518" i="2"/>
  <c r="DU518" i="2"/>
  <c r="DT518" i="2"/>
  <c r="EM518" i="2" s="1"/>
  <c r="DS518" i="2"/>
  <c r="DR518" i="2"/>
  <c r="DQ518" i="2"/>
  <c r="DP518" i="2"/>
  <c r="DM518" i="2"/>
  <c r="DL518" i="2"/>
  <c r="HC517" i="2"/>
  <c r="HB517" i="2"/>
  <c r="GW517" i="2"/>
  <c r="GT517" i="2"/>
  <c r="GB517" i="2"/>
  <c r="FT517" i="2"/>
  <c r="FS517" i="2"/>
  <c r="GL517" i="2" s="1"/>
  <c r="FQ517" i="2"/>
  <c r="GJ517" i="2" s="1"/>
  <c r="FP517" i="2"/>
  <c r="GI517" i="2" s="1"/>
  <c r="FO517" i="2"/>
  <c r="FN517" i="2"/>
  <c r="FM517" i="2"/>
  <c r="FL517" i="2"/>
  <c r="FK517" i="2"/>
  <c r="FJ517" i="2"/>
  <c r="FI517" i="2"/>
  <c r="FH517" i="2"/>
  <c r="FG517" i="2"/>
  <c r="FF517" i="2"/>
  <c r="FY517" i="2" s="1"/>
  <c r="FE517" i="2"/>
  <c r="FX517" i="2" s="1"/>
  <c r="FD517" i="2"/>
  <c r="FC517" i="2"/>
  <c r="FB517" i="2"/>
  <c r="BA517" i="2"/>
  <c r="AZ517" i="2"/>
  <c r="AY517" i="2"/>
  <c r="BJ517" i="2" s="1"/>
  <c r="AD517" i="2"/>
  <c r="HC516" i="2"/>
  <c r="HB516" i="2"/>
  <c r="GW516" i="2"/>
  <c r="GV516" i="2"/>
  <c r="GU516" i="2"/>
  <c r="GT516" i="2"/>
  <c r="GO516" i="2"/>
  <c r="FX516" i="2"/>
  <c r="FT516" i="2"/>
  <c r="FS516" i="2"/>
  <c r="GL516" i="2" s="1"/>
  <c r="FQ516" i="2"/>
  <c r="GJ516" i="2" s="1"/>
  <c r="FP516" i="2"/>
  <c r="GI516" i="2" s="1"/>
  <c r="FO516" i="2"/>
  <c r="FN516" i="2"/>
  <c r="FM516" i="2"/>
  <c r="FL516" i="2"/>
  <c r="FK516" i="2"/>
  <c r="FJ516" i="2"/>
  <c r="FI516" i="2"/>
  <c r="GB516" i="2" s="1"/>
  <c r="FH516" i="2"/>
  <c r="FG516" i="2"/>
  <c r="FF516" i="2"/>
  <c r="FY516" i="2" s="1"/>
  <c r="FE516" i="2"/>
  <c r="FD516" i="2"/>
  <c r="FC516" i="2"/>
  <c r="FB516" i="2"/>
  <c r="EZ516" i="2"/>
  <c r="EX516" i="2"/>
  <c r="EW516" i="2"/>
  <c r="EM516" i="2"/>
  <c r="EH516" i="2"/>
  <c r="EG516" i="2"/>
  <c r="EE516" i="2"/>
  <c r="ED516" i="2"/>
  <c r="EC516" i="2"/>
  <c r="EB516" i="2"/>
  <c r="EA516" i="2"/>
  <c r="DZ516" i="2"/>
  <c r="DY516" i="2"/>
  <c r="DX516" i="2"/>
  <c r="DW516" i="2"/>
  <c r="EP516" i="2" s="1"/>
  <c r="DV516" i="2"/>
  <c r="DU516" i="2"/>
  <c r="DT516" i="2"/>
  <c r="DS516" i="2"/>
  <c r="EL516" i="2" s="1"/>
  <c r="DR516" i="2"/>
  <c r="DQ516" i="2"/>
  <c r="DP516" i="2"/>
  <c r="DM516" i="2"/>
  <c r="DL516" i="2"/>
  <c r="HC515" i="2"/>
  <c r="HB515" i="2"/>
  <c r="GW515" i="2"/>
  <c r="GV515" i="2"/>
  <c r="GU515" i="2"/>
  <c r="GT515" i="2"/>
  <c r="GO515" i="2"/>
  <c r="GJ515" i="2"/>
  <c r="GI515" i="2"/>
  <c r="GB515" i="2"/>
  <c r="FY515" i="2"/>
  <c r="FX515" i="2"/>
  <c r="FT515" i="2"/>
  <c r="FS515" i="2"/>
  <c r="GL515" i="2" s="1"/>
  <c r="FQ515" i="2"/>
  <c r="FP515" i="2"/>
  <c r="FO515" i="2"/>
  <c r="FN515" i="2"/>
  <c r="FM515" i="2"/>
  <c r="FL515" i="2"/>
  <c r="FK515" i="2"/>
  <c r="FJ515" i="2"/>
  <c r="FI515" i="2"/>
  <c r="FH515" i="2"/>
  <c r="FG515" i="2"/>
  <c r="FF515" i="2"/>
  <c r="FE515" i="2"/>
  <c r="FD515" i="2"/>
  <c r="FC515" i="2"/>
  <c r="FB515" i="2"/>
  <c r="EW515" i="2"/>
  <c r="EM515" i="2"/>
  <c r="EL515" i="2"/>
  <c r="EH515" i="2"/>
  <c r="EG515" i="2"/>
  <c r="EZ515" i="2" s="1"/>
  <c r="EE515" i="2"/>
  <c r="EX515" i="2" s="1"/>
  <c r="ED515" i="2"/>
  <c r="EC515" i="2"/>
  <c r="EB515" i="2"/>
  <c r="EA515" i="2"/>
  <c r="DZ515" i="2"/>
  <c r="DY515" i="2"/>
  <c r="DX515" i="2"/>
  <c r="DW515" i="2"/>
  <c r="EP515" i="2" s="1"/>
  <c r="DV515" i="2"/>
  <c r="DU515" i="2"/>
  <c r="DT515" i="2"/>
  <c r="DS515" i="2"/>
  <c r="DR515" i="2"/>
  <c r="DQ515" i="2"/>
  <c r="DP515" i="2"/>
  <c r="DM515" i="2"/>
  <c r="DL515" i="2"/>
  <c r="HC514" i="2"/>
  <c r="HB514" i="2"/>
  <c r="GX514" i="2"/>
  <c r="GW514" i="2"/>
  <c r="GY514" i="2" s="1"/>
  <c r="GT514" i="2"/>
  <c r="GL514" i="2"/>
  <c r="GI514" i="2"/>
  <c r="GB514" i="2"/>
  <c r="FY514" i="2"/>
  <c r="FX514" i="2"/>
  <c r="FT514" i="2"/>
  <c r="FS514" i="2"/>
  <c r="FQ514" i="2"/>
  <c r="GJ514" i="2" s="1"/>
  <c r="FP514" i="2"/>
  <c r="FO514" i="2"/>
  <c r="FN514" i="2"/>
  <c r="FM514" i="2"/>
  <c r="FL514" i="2"/>
  <c r="FK514" i="2"/>
  <c r="FJ514" i="2"/>
  <c r="FI514" i="2"/>
  <c r="FH514" i="2"/>
  <c r="FG514" i="2"/>
  <c r="FF514" i="2"/>
  <c r="FE514" i="2"/>
  <c r="FD514" i="2"/>
  <c r="FC514" i="2"/>
  <c r="FB514" i="2"/>
  <c r="EH514" i="2"/>
  <c r="EG514" i="2"/>
  <c r="EZ514" i="2" s="1"/>
  <c r="DV514" i="2"/>
  <c r="BJ514" i="2"/>
  <c r="BI514" i="2"/>
  <c r="AY514" i="2"/>
  <c r="BG514" i="2" s="1"/>
  <c r="AL514" i="2"/>
  <c r="AF514" i="2"/>
  <c r="AD514" i="2"/>
  <c r="ED514" i="2" s="1"/>
  <c r="EW514" i="2" s="1"/>
  <c r="HC513" i="2"/>
  <c r="HB513" i="2"/>
  <c r="GW513" i="2"/>
  <c r="GV513" i="2"/>
  <c r="GU513" i="2"/>
  <c r="GT513" i="2"/>
  <c r="GO513" i="2"/>
  <c r="GP513" i="2" s="1"/>
  <c r="GQ513" i="2" s="1"/>
  <c r="GL513" i="2"/>
  <c r="GJ513" i="2"/>
  <c r="GB513" i="2"/>
  <c r="FT513" i="2"/>
  <c r="FS513" i="2"/>
  <c r="FQ513" i="2"/>
  <c r="FP513" i="2"/>
  <c r="GI513" i="2" s="1"/>
  <c r="FO513" i="2"/>
  <c r="FN513" i="2"/>
  <c r="FM513" i="2"/>
  <c r="FL513" i="2"/>
  <c r="FK513" i="2"/>
  <c r="FI513" i="2"/>
  <c r="FH513" i="2"/>
  <c r="FG513" i="2"/>
  <c r="FF513" i="2"/>
  <c r="FY513" i="2" s="1"/>
  <c r="FE513" i="2"/>
  <c r="FX513" i="2" s="1"/>
  <c r="FD513" i="2"/>
  <c r="FC513" i="2"/>
  <c r="FB513" i="2"/>
  <c r="EZ513" i="2"/>
  <c r="EX513" i="2"/>
  <c r="EL513" i="2"/>
  <c r="EH513" i="2"/>
  <c r="EG513" i="2"/>
  <c r="EE513" i="2"/>
  <c r="ED513" i="2"/>
  <c r="EW513" i="2" s="1"/>
  <c r="EC513" i="2"/>
  <c r="EB513" i="2"/>
  <c r="EA513" i="2"/>
  <c r="DZ513" i="2"/>
  <c r="DY513" i="2"/>
  <c r="DW513" i="2"/>
  <c r="EP513" i="2" s="1"/>
  <c r="DV513" i="2"/>
  <c r="DU513" i="2"/>
  <c r="DT513" i="2"/>
  <c r="EM513" i="2" s="1"/>
  <c r="DS513" i="2"/>
  <c r="DR513" i="2"/>
  <c r="DQ513" i="2"/>
  <c r="DP513" i="2"/>
  <c r="DM513" i="2"/>
  <c r="DL513" i="2"/>
  <c r="CX513" i="2"/>
  <c r="FJ513" i="2" s="1"/>
  <c r="CC513" i="2"/>
  <c r="BH513" i="2"/>
  <c r="AM513" i="2"/>
  <c r="DX513" i="2" s="1"/>
  <c r="HC512" i="2"/>
  <c r="HB512" i="2"/>
  <c r="GW512" i="2"/>
  <c r="GV512" i="2"/>
  <c r="GU512" i="2"/>
  <c r="GT512" i="2"/>
  <c r="GP512" i="2"/>
  <c r="GO512" i="2"/>
  <c r="GL512" i="2"/>
  <c r="GJ512" i="2"/>
  <c r="GI512" i="2"/>
  <c r="FY512" i="2"/>
  <c r="FX512" i="2"/>
  <c r="FT512" i="2"/>
  <c r="FS512" i="2"/>
  <c r="FQ512" i="2"/>
  <c r="FP512" i="2"/>
  <c r="FO512" i="2"/>
  <c r="FN512" i="2"/>
  <c r="FM512" i="2"/>
  <c r="FL512" i="2"/>
  <c r="FK512" i="2"/>
  <c r="FJ512" i="2"/>
  <c r="FI512" i="2"/>
  <c r="GB512" i="2" s="1"/>
  <c r="FH512" i="2"/>
  <c r="FG512" i="2"/>
  <c r="FF512" i="2"/>
  <c r="FE512" i="2"/>
  <c r="FD512" i="2"/>
  <c r="FC512" i="2"/>
  <c r="FB512" i="2"/>
  <c r="EX512" i="2"/>
  <c r="EW512" i="2"/>
  <c r="EM512" i="2"/>
  <c r="EH512" i="2"/>
  <c r="EG512" i="2"/>
  <c r="EZ512" i="2" s="1"/>
  <c r="EE512" i="2"/>
  <c r="ED512" i="2"/>
  <c r="EC512" i="2"/>
  <c r="EB512" i="2"/>
  <c r="EA512" i="2"/>
  <c r="DZ512" i="2"/>
  <c r="DY512" i="2"/>
  <c r="DX512" i="2"/>
  <c r="DW512" i="2"/>
  <c r="EP512" i="2" s="1"/>
  <c r="DV512" i="2"/>
  <c r="DU512" i="2"/>
  <c r="DT512" i="2"/>
  <c r="DS512" i="2"/>
  <c r="EL512" i="2" s="1"/>
  <c r="DR512" i="2"/>
  <c r="DQ512" i="2"/>
  <c r="DP512" i="2"/>
  <c r="DM512" i="2"/>
  <c r="DL512" i="2"/>
  <c r="HC511" i="2"/>
  <c r="HB511" i="2"/>
  <c r="GW511" i="2"/>
  <c r="GV511" i="2"/>
  <c r="GU511" i="2"/>
  <c r="GT511" i="2"/>
  <c r="GO511" i="2"/>
  <c r="GI511" i="2"/>
  <c r="FY511" i="2"/>
  <c r="FX511" i="2"/>
  <c r="FT511" i="2"/>
  <c r="FS511" i="2"/>
  <c r="GL511" i="2" s="1"/>
  <c r="FQ511" i="2"/>
  <c r="GJ511" i="2" s="1"/>
  <c r="FP511" i="2"/>
  <c r="FO511" i="2"/>
  <c r="FN511" i="2"/>
  <c r="FM511" i="2"/>
  <c r="FL511" i="2"/>
  <c r="FK511" i="2"/>
  <c r="FJ511" i="2"/>
  <c r="FI511" i="2"/>
  <c r="GB511" i="2" s="1"/>
  <c r="FH511" i="2"/>
  <c r="FG511" i="2"/>
  <c r="FF511" i="2"/>
  <c r="FE511" i="2"/>
  <c r="FD511" i="2"/>
  <c r="FC511" i="2"/>
  <c r="FB511" i="2"/>
  <c r="EZ511" i="2"/>
  <c r="EX511" i="2"/>
  <c r="EH511" i="2"/>
  <c r="EG511" i="2"/>
  <c r="EE511" i="2"/>
  <c r="ED511" i="2"/>
  <c r="EW511" i="2" s="1"/>
  <c r="EC511" i="2"/>
  <c r="EB511" i="2"/>
  <c r="EA511" i="2"/>
  <c r="DZ511" i="2"/>
  <c r="DY511" i="2"/>
  <c r="DX511" i="2"/>
  <c r="DW511" i="2"/>
  <c r="EP511" i="2" s="1"/>
  <c r="DV511" i="2"/>
  <c r="DU511" i="2"/>
  <c r="DT511" i="2"/>
  <c r="EM511" i="2" s="1"/>
  <c r="DS511" i="2"/>
  <c r="EL511" i="2" s="1"/>
  <c r="DR511" i="2"/>
  <c r="DQ511" i="2"/>
  <c r="DP511" i="2"/>
  <c r="DM511" i="2"/>
  <c r="DL511" i="2"/>
  <c r="HC510" i="2"/>
  <c r="HB510" i="2"/>
  <c r="GW510" i="2"/>
  <c r="GV510" i="2"/>
  <c r="GU510" i="2"/>
  <c r="GT510" i="2"/>
  <c r="GP510" i="2"/>
  <c r="GO510" i="2"/>
  <c r="GQ510" i="2" s="1"/>
  <c r="GJ510" i="2"/>
  <c r="GI510" i="2"/>
  <c r="FY510" i="2"/>
  <c r="FT510" i="2"/>
  <c r="FS510" i="2"/>
  <c r="GL510" i="2" s="1"/>
  <c r="FQ510" i="2"/>
  <c r="FP510" i="2"/>
  <c r="FO510" i="2"/>
  <c r="FN510" i="2"/>
  <c r="FM510" i="2"/>
  <c r="FL510" i="2"/>
  <c r="FK510" i="2"/>
  <c r="FJ510" i="2"/>
  <c r="FI510" i="2"/>
  <c r="GB510" i="2" s="1"/>
  <c r="FH510" i="2"/>
  <c r="FG510" i="2"/>
  <c r="FF510" i="2"/>
  <c r="FE510" i="2"/>
  <c r="FX510" i="2" s="1"/>
  <c r="FD510" i="2"/>
  <c r="FC510" i="2"/>
  <c r="FB510" i="2"/>
  <c r="EX510" i="2"/>
  <c r="EW510" i="2"/>
  <c r="EM510" i="2"/>
  <c r="EH510" i="2"/>
  <c r="EG510" i="2"/>
  <c r="EZ510" i="2" s="1"/>
  <c r="EE510" i="2"/>
  <c r="ED510" i="2"/>
  <c r="EC510" i="2"/>
  <c r="EB510" i="2"/>
  <c r="EA510" i="2"/>
  <c r="DZ510" i="2"/>
  <c r="DY510" i="2"/>
  <c r="DX510" i="2"/>
  <c r="DW510" i="2"/>
  <c r="EP510" i="2" s="1"/>
  <c r="DV510" i="2"/>
  <c r="DU510" i="2"/>
  <c r="DT510" i="2"/>
  <c r="DS510" i="2"/>
  <c r="EL510" i="2" s="1"/>
  <c r="DR510" i="2"/>
  <c r="DQ510" i="2"/>
  <c r="DP510" i="2"/>
  <c r="DM510" i="2"/>
  <c r="DL510" i="2"/>
  <c r="HC509" i="2"/>
  <c r="HB509" i="2"/>
  <c r="GW509" i="2"/>
  <c r="GV509" i="2"/>
  <c r="GU509" i="2"/>
  <c r="GT509" i="2"/>
  <c r="GQ509" i="2"/>
  <c r="GP509" i="2"/>
  <c r="GO509" i="2"/>
  <c r="GI509" i="2"/>
  <c r="FY509" i="2"/>
  <c r="FX509" i="2"/>
  <c r="FT509" i="2"/>
  <c r="FS509" i="2"/>
  <c r="GL509" i="2" s="1"/>
  <c r="FQ509" i="2"/>
  <c r="GJ509" i="2" s="1"/>
  <c r="FP509" i="2"/>
  <c r="FO509" i="2"/>
  <c r="FN509" i="2"/>
  <c r="FM509" i="2"/>
  <c r="FL509" i="2"/>
  <c r="FK509" i="2"/>
  <c r="FJ509" i="2"/>
  <c r="FI509" i="2"/>
  <c r="GB509" i="2" s="1"/>
  <c r="FH509" i="2"/>
  <c r="FG509" i="2"/>
  <c r="FF509" i="2"/>
  <c r="FE509" i="2"/>
  <c r="FD509" i="2"/>
  <c r="FC509" i="2"/>
  <c r="FB509" i="2"/>
  <c r="EZ509" i="2"/>
  <c r="EX509" i="2"/>
  <c r="EW509" i="2"/>
  <c r="EM509" i="2"/>
  <c r="EL509" i="2"/>
  <c r="EH509" i="2"/>
  <c r="EG509" i="2"/>
  <c r="EE509" i="2"/>
  <c r="ED509" i="2"/>
  <c r="EC509" i="2"/>
  <c r="EB509" i="2"/>
  <c r="EA509" i="2"/>
  <c r="DZ509" i="2"/>
  <c r="DY509" i="2"/>
  <c r="DX509" i="2"/>
  <c r="DW509" i="2"/>
  <c r="EP509" i="2" s="1"/>
  <c r="DV509" i="2"/>
  <c r="DU509" i="2"/>
  <c r="DT509" i="2"/>
  <c r="DS509" i="2"/>
  <c r="DR509" i="2"/>
  <c r="DQ509" i="2"/>
  <c r="DP509" i="2"/>
  <c r="DM509" i="2"/>
  <c r="DL509" i="2"/>
  <c r="HC508" i="2"/>
  <c r="HB508" i="2"/>
  <c r="GW508" i="2"/>
  <c r="GV508" i="2"/>
  <c r="GU508" i="2"/>
  <c r="GT508" i="2"/>
  <c r="GP508" i="2"/>
  <c r="GO508" i="2"/>
  <c r="GQ508" i="2" s="1"/>
  <c r="GJ508" i="2"/>
  <c r="GI508" i="2"/>
  <c r="FY508" i="2"/>
  <c r="FT508" i="2"/>
  <c r="FS508" i="2"/>
  <c r="GL508" i="2" s="1"/>
  <c r="FQ508" i="2"/>
  <c r="FP508" i="2"/>
  <c r="FO508" i="2"/>
  <c r="FN508" i="2"/>
  <c r="FM508" i="2"/>
  <c r="FL508" i="2"/>
  <c r="FK508" i="2"/>
  <c r="FJ508" i="2"/>
  <c r="FI508" i="2"/>
  <c r="GB508" i="2" s="1"/>
  <c r="FH508" i="2"/>
  <c r="FG508" i="2"/>
  <c r="FF508" i="2"/>
  <c r="FE508" i="2"/>
  <c r="FX508" i="2" s="1"/>
  <c r="FD508" i="2"/>
  <c r="FC508" i="2"/>
  <c r="FB508" i="2"/>
  <c r="EX508" i="2"/>
  <c r="EW508" i="2"/>
  <c r="EM508" i="2"/>
  <c r="EH508" i="2"/>
  <c r="EG508" i="2"/>
  <c r="EZ508" i="2" s="1"/>
  <c r="EE508" i="2"/>
  <c r="ED508" i="2"/>
  <c r="EC508" i="2"/>
  <c r="EB508" i="2"/>
  <c r="EA508" i="2"/>
  <c r="DZ508" i="2"/>
  <c r="DY508" i="2"/>
  <c r="DX508" i="2"/>
  <c r="DW508" i="2"/>
  <c r="EP508" i="2" s="1"/>
  <c r="DV508" i="2"/>
  <c r="DU508" i="2"/>
  <c r="DT508" i="2"/>
  <c r="DS508" i="2"/>
  <c r="EL508" i="2" s="1"/>
  <c r="DR508" i="2"/>
  <c r="DQ508" i="2"/>
  <c r="DP508" i="2"/>
  <c r="DM508" i="2"/>
  <c r="DL508" i="2"/>
  <c r="HC507" i="2"/>
  <c r="HB507" i="2"/>
  <c r="GW507" i="2"/>
  <c r="GV507" i="2"/>
  <c r="GU507" i="2"/>
  <c r="GT507" i="2"/>
  <c r="GO507" i="2"/>
  <c r="GP507" i="2" s="1"/>
  <c r="GQ507" i="2" s="1"/>
  <c r="GI507" i="2"/>
  <c r="GB507" i="2"/>
  <c r="FY507" i="2"/>
  <c r="FX507" i="2"/>
  <c r="FT507" i="2"/>
  <c r="FS507" i="2"/>
  <c r="GL507" i="2" s="1"/>
  <c r="FQ507" i="2"/>
  <c r="GJ507" i="2" s="1"/>
  <c r="FP507" i="2"/>
  <c r="FO507" i="2"/>
  <c r="FN507" i="2"/>
  <c r="FM507" i="2"/>
  <c r="FL507" i="2"/>
  <c r="FK507" i="2"/>
  <c r="FJ507" i="2"/>
  <c r="FI507" i="2"/>
  <c r="FH507" i="2"/>
  <c r="FG507" i="2"/>
  <c r="FF507" i="2"/>
  <c r="FE507" i="2"/>
  <c r="FD507" i="2"/>
  <c r="FC507" i="2"/>
  <c r="FB507" i="2"/>
  <c r="EZ507" i="2"/>
  <c r="EX507" i="2"/>
  <c r="EW507" i="2"/>
  <c r="EM507" i="2"/>
  <c r="EL507" i="2"/>
  <c r="EH507" i="2"/>
  <c r="EG507" i="2"/>
  <c r="EE507" i="2"/>
  <c r="ED507" i="2"/>
  <c r="EC507" i="2"/>
  <c r="EB507" i="2"/>
  <c r="EA507" i="2"/>
  <c r="DZ507" i="2"/>
  <c r="DY507" i="2"/>
  <c r="DX507" i="2"/>
  <c r="DW507" i="2"/>
  <c r="EP507" i="2" s="1"/>
  <c r="DV507" i="2"/>
  <c r="DU507" i="2"/>
  <c r="DT507" i="2"/>
  <c r="DS507" i="2"/>
  <c r="DR507" i="2"/>
  <c r="DQ507" i="2"/>
  <c r="DP507" i="2"/>
  <c r="DM507" i="2"/>
  <c r="DL507" i="2"/>
  <c r="HC506" i="2"/>
  <c r="HB506" i="2"/>
  <c r="GX506" i="2"/>
  <c r="GW506" i="2"/>
  <c r="GY506" i="2" s="1"/>
  <c r="GV506" i="2"/>
  <c r="GU506" i="2"/>
  <c r="GT506" i="2"/>
  <c r="GP506" i="2"/>
  <c r="GO506" i="2"/>
  <c r="FX506" i="2"/>
  <c r="FT506" i="2"/>
  <c r="FS506" i="2"/>
  <c r="GL506" i="2" s="1"/>
  <c r="FQ506" i="2"/>
  <c r="GJ506" i="2" s="1"/>
  <c r="FP506" i="2"/>
  <c r="GI506" i="2" s="1"/>
  <c r="FO506" i="2"/>
  <c r="FN506" i="2"/>
  <c r="FM506" i="2"/>
  <c r="FL506" i="2"/>
  <c r="FK506" i="2"/>
  <c r="FJ506" i="2"/>
  <c r="FI506" i="2"/>
  <c r="GB506" i="2" s="1"/>
  <c r="FH506" i="2"/>
  <c r="FG506" i="2"/>
  <c r="FF506" i="2"/>
  <c r="FY506" i="2" s="1"/>
  <c r="FE506" i="2"/>
  <c r="FD506" i="2"/>
  <c r="FC506" i="2"/>
  <c r="FB506" i="2"/>
  <c r="EX506" i="2"/>
  <c r="EW506" i="2"/>
  <c r="EM506" i="2"/>
  <c r="EH506" i="2"/>
  <c r="EG506" i="2"/>
  <c r="EZ506" i="2" s="1"/>
  <c r="EE506" i="2"/>
  <c r="ED506" i="2"/>
  <c r="EC506" i="2"/>
  <c r="EB506" i="2"/>
  <c r="EA506" i="2"/>
  <c r="DZ506" i="2"/>
  <c r="DY506" i="2"/>
  <c r="DX506" i="2"/>
  <c r="DW506" i="2"/>
  <c r="EP506" i="2" s="1"/>
  <c r="DV506" i="2"/>
  <c r="DU506" i="2"/>
  <c r="DT506" i="2"/>
  <c r="DS506" i="2"/>
  <c r="EL506" i="2" s="1"/>
  <c r="DR506" i="2"/>
  <c r="DQ506" i="2"/>
  <c r="DP506" i="2"/>
  <c r="DM506" i="2"/>
  <c r="DL506" i="2"/>
  <c r="HC505" i="2"/>
  <c r="HB505" i="2"/>
  <c r="GW505" i="2"/>
  <c r="GV505" i="2"/>
  <c r="GU505" i="2"/>
  <c r="GT505" i="2"/>
  <c r="GO505" i="2"/>
  <c r="GI505" i="2"/>
  <c r="GB505" i="2"/>
  <c r="FY505" i="2"/>
  <c r="FX505" i="2"/>
  <c r="FT505" i="2"/>
  <c r="FS505" i="2"/>
  <c r="GL505" i="2" s="1"/>
  <c r="FQ505" i="2"/>
  <c r="GJ505" i="2" s="1"/>
  <c r="FP505" i="2"/>
  <c r="FO505" i="2"/>
  <c r="FN505" i="2"/>
  <c r="FM505" i="2"/>
  <c r="FL505" i="2"/>
  <c r="FK505" i="2"/>
  <c r="FJ505" i="2"/>
  <c r="FI505" i="2"/>
  <c r="FH505" i="2"/>
  <c r="FG505" i="2"/>
  <c r="FF505" i="2"/>
  <c r="FE505" i="2"/>
  <c r="FD505" i="2"/>
  <c r="FC505" i="2"/>
  <c r="FB505" i="2"/>
  <c r="EW505" i="2"/>
  <c r="EM505" i="2"/>
  <c r="EL505" i="2"/>
  <c r="EH505" i="2"/>
  <c r="EG505" i="2"/>
  <c r="EZ505" i="2" s="1"/>
  <c r="EE505" i="2"/>
  <c r="EX505" i="2" s="1"/>
  <c r="ED505" i="2"/>
  <c r="EC505" i="2"/>
  <c r="EB505" i="2"/>
  <c r="EA505" i="2"/>
  <c r="DW505" i="2"/>
  <c r="EP505" i="2" s="1"/>
  <c r="DV505" i="2"/>
  <c r="DU505" i="2"/>
  <c r="DT505" i="2"/>
  <c r="DS505" i="2"/>
  <c r="DR505" i="2"/>
  <c r="DP505" i="2"/>
  <c r="DL505" i="2"/>
  <c r="BJ505" i="2"/>
  <c r="BI505" i="2"/>
  <c r="BH505" i="2"/>
  <c r="DX505" i="2" s="1"/>
  <c r="BB505" i="2"/>
  <c r="BA505" i="2"/>
  <c r="AO505" i="2"/>
  <c r="AN505" i="2"/>
  <c r="AM505" i="2"/>
  <c r="AG505" i="2"/>
  <c r="AF505" i="2"/>
  <c r="DQ505" i="2" s="1"/>
  <c r="HC504" i="2"/>
  <c r="HB504" i="2"/>
  <c r="GW504" i="2"/>
  <c r="GV504" i="2"/>
  <c r="GU504" i="2"/>
  <c r="GT504" i="2"/>
  <c r="GP504" i="2"/>
  <c r="GO504" i="2"/>
  <c r="GL504" i="2"/>
  <c r="FX504" i="2"/>
  <c r="FT504" i="2"/>
  <c r="FS504" i="2"/>
  <c r="FQ504" i="2"/>
  <c r="GJ504" i="2" s="1"/>
  <c r="FP504" i="2"/>
  <c r="GI504" i="2" s="1"/>
  <c r="FO504" i="2"/>
  <c r="FN504" i="2"/>
  <c r="FM504" i="2"/>
  <c r="FL504" i="2"/>
  <c r="FK504" i="2"/>
  <c r="FJ504" i="2"/>
  <c r="FI504" i="2"/>
  <c r="GB504" i="2" s="1"/>
  <c r="FH504" i="2"/>
  <c r="FG504" i="2"/>
  <c r="FF504" i="2"/>
  <c r="FY504" i="2" s="1"/>
  <c r="FE504" i="2"/>
  <c r="FD504" i="2"/>
  <c r="FC504" i="2"/>
  <c r="FB504" i="2"/>
  <c r="EX504" i="2"/>
  <c r="EW504" i="2"/>
  <c r="EM504" i="2"/>
  <c r="EL504" i="2"/>
  <c r="EH504" i="2"/>
  <c r="EG504" i="2"/>
  <c r="EZ504" i="2" s="1"/>
  <c r="EE504" i="2"/>
  <c r="ED504" i="2"/>
  <c r="EC504" i="2"/>
  <c r="EB504" i="2"/>
  <c r="EA504" i="2"/>
  <c r="DZ504" i="2"/>
  <c r="DW504" i="2"/>
  <c r="EP504" i="2" s="1"/>
  <c r="DV504" i="2"/>
  <c r="DU504" i="2"/>
  <c r="DT504" i="2"/>
  <c r="DS504" i="2"/>
  <c r="DR504" i="2"/>
  <c r="DP504" i="2"/>
  <c r="DL504" i="2"/>
  <c r="BJ504" i="2"/>
  <c r="BI504" i="2"/>
  <c r="BH504" i="2"/>
  <c r="BB504" i="2"/>
  <c r="BA504" i="2"/>
  <c r="AO504" i="2"/>
  <c r="AN504" i="2"/>
  <c r="AM504" i="2"/>
  <c r="AG504" i="2"/>
  <c r="AF504" i="2"/>
  <c r="T504" i="2"/>
  <c r="S504" i="2"/>
  <c r="DY504" i="2" s="1"/>
  <c r="R504" i="2"/>
  <c r="DM504" i="2" s="1"/>
  <c r="L504" i="2"/>
  <c r="K504" i="2"/>
  <c r="DQ504" i="2" s="1"/>
  <c r="HC503" i="2"/>
  <c r="HB503" i="2"/>
  <c r="GW503" i="2"/>
  <c r="GV503" i="2"/>
  <c r="GU503" i="2"/>
  <c r="GT503" i="2"/>
  <c r="GP503" i="2"/>
  <c r="GO503" i="2"/>
  <c r="FX503" i="2"/>
  <c r="FT503" i="2"/>
  <c r="FS503" i="2"/>
  <c r="GL503" i="2" s="1"/>
  <c r="FQ503" i="2"/>
  <c r="GJ503" i="2" s="1"/>
  <c r="FP503" i="2"/>
  <c r="GI503" i="2" s="1"/>
  <c r="FO503" i="2"/>
  <c r="FN503" i="2"/>
  <c r="FM503" i="2"/>
  <c r="FL503" i="2"/>
  <c r="FK503" i="2"/>
  <c r="FJ503" i="2"/>
  <c r="FI503" i="2"/>
  <c r="GB503" i="2" s="1"/>
  <c r="FH503" i="2"/>
  <c r="FG503" i="2"/>
  <c r="FF503" i="2"/>
  <c r="FY503" i="2" s="1"/>
  <c r="FE503" i="2"/>
  <c r="FD503" i="2"/>
  <c r="FC503" i="2"/>
  <c r="FB503" i="2"/>
  <c r="EX503" i="2"/>
  <c r="EW503" i="2"/>
  <c r="EM503" i="2"/>
  <c r="EH503" i="2"/>
  <c r="EG503" i="2"/>
  <c r="EZ503" i="2" s="1"/>
  <c r="EE503" i="2"/>
  <c r="ED503" i="2"/>
  <c r="EC503" i="2"/>
  <c r="EB503" i="2"/>
  <c r="EA503" i="2"/>
  <c r="DZ503" i="2"/>
  <c r="DY503" i="2"/>
  <c r="DX503" i="2"/>
  <c r="DW503" i="2"/>
  <c r="EP503" i="2" s="1"/>
  <c r="DV503" i="2"/>
  <c r="DU503" i="2"/>
  <c r="DT503" i="2"/>
  <c r="DS503" i="2"/>
  <c r="EL503" i="2" s="1"/>
  <c r="DR503" i="2"/>
  <c r="DQ503" i="2"/>
  <c r="DP503" i="2"/>
  <c r="DM503" i="2"/>
  <c r="DL503" i="2"/>
  <c r="HC502" i="2"/>
  <c r="HB502" i="2"/>
  <c r="GW502" i="2"/>
  <c r="GV502" i="2"/>
  <c r="GU502" i="2"/>
  <c r="GT502" i="2"/>
  <c r="GO502" i="2"/>
  <c r="GB502" i="2"/>
  <c r="FX502" i="2"/>
  <c r="FT502" i="2"/>
  <c r="FS502" i="2"/>
  <c r="GL502" i="2" s="1"/>
  <c r="FQ502" i="2"/>
  <c r="GJ502" i="2" s="1"/>
  <c r="FP502" i="2"/>
  <c r="GI502" i="2" s="1"/>
  <c r="FO502" i="2"/>
  <c r="FN502" i="2"/>
  <c r="FM502" i="2"/>
  <c r="FL502" i="2"/>
  <c r="FK502" i="2"/>
  <c r="FJ502" i="2"/>
  <c r="FI502" i="2"/>
  <c r="FH502" i="2"/>
  <c r="FG502" i="2"/>
  <c r="FF502" i="2"/>
  <c r="FY502" i="2" s="1"/>
  <c r="FE502" i="2"/>
  <c r="FD502" i="2"/>
  <c r="FC502" i="2"/>
  <c r="FB502" i="2"/>
  <c r="EW502" i="2"/>
  <c r="EM502" i="2"/>
  <c r="EL502" i="2"/>
  <c r="EH502" i="2"/>
  <c r="EG502" i="2"/>
  <c r="EZ502" i="2" s="1"/>
  <c r="EE502" i="2"/>
  <c r="EX502" i="2" s="1"/>
  <c r="ED502" i="2"/>
  <c r="EC502" i="2"/>
  <c r="EB502" i="2"/>
  <c r="EA502" i="2"/>
  <c r="DZ502" i="2"/>
  <c r="DY502" i="2"/>
  <c r="DX502" i="2"/>
  <c r="DW502" i="2"/>
  <c r="EP502" i="2" s="1"/>
  <c r="DV502" i="2"/>
  <c r="DU502" i="2"/>
  <c r="DT502" i="2"/>
  <c r="DS502" i="2"/>
  <c r="DR502" i="2"/>
  <c r="DQ502" i="2"/>
  <c r="DP502" i="2"/>
  <c r="DM502" i="2"/>
  <c r="DL502" i="2"/>
  <c r="HC501" i="2"/>
  <c r="HB501" i="2"/>
  <c r="GW501" i="2"/>
  <c r="GV501" i="2"/>
  <c r="GU501" i="2"/>
  <c r="GT501" i="2"/>
  <c r="GO501" i="2"/>
  <c r="FX501" i="2"/>
  <c r="FT501" i="2"/>
  <c r="FS501" i="2"/>
  <c r="GL501" i="2" s="1"/>
  <c r="FQ501" i="2"/>
  <c r="GJ501" i="2" s="1"/>
  <c r="FP501" i="2"/>
  <c r="GI501" i="2" s="1"/>
  <c r="FO501" i="2"/>
  <c r="FN501" i="2"/>
  <c r="FM501" i="2"/>
  <c r="FL501" i="2"/>
  <c r="FK501" i="2"/>
  <c r="FJ501" i="2"/>
  <c r="FI501" i="2"/>
  <c r="GB501" i="2" s="1"/>
  <c r="FH501" i="2"/>
  <c r="FG501" i="2"/>
  <c r="FF501" i="2"/>
  <c r="FY501" i="2" s="1"/>
  <c r="FE501" i="2"/>
  <c r="FD501" i="2"/>
  <c r="FC501" i="2"/>
  <c r="FB501" i="2"/>
  <c r="EW501" i="2"/>
  <c r="EP501" i="2"/>
  <c r="EH501" i="2"/>
  <c r="EG501" i="2"/>
  <c r="EZ501" i="2" s="1"/>
  <c r="EE501" i="2"/>
  <c r="EX501" i="2" s="1"/>
  <c r="ED501" i="2"/>
  <c r="EC501" i="2"/>
  <c r="EB501" i="2"/>
  <c r="EA501" i="2"/>
  <c r="DZ501" i="2"/>
  <c r="DY501" i="2"/>
  <c r="DX501" i="2"/>
  <c r="DW501" i="2"/>
  <c r="DV501" i="2"/>
  <c r="DU501" i="2"/>
  <c r="DT501" i="2"/>
  <c r="EM501" i="2" s="1"/>
  <c r="DS501" i="2"/>
  <c r="EL501" i="2" s="1"/>
  <c r="DR501" i="2"/>
  <c r="DQ501" i="2"/>
  <c r="DP501" i="2"/>
  <c r="DM501" i="2"/>
  <c r="DL501" i="2"/>
  <c r="HC500" i="2"/>
  <c r="HB500" i="2"/>
  <c r="GW500" i="2"/>
  <c r="GV500" i="2"/>
  <c r="GU500" i="2"/>
  <c r="GT500" i="2"/>
  <c r="GO500" i="2"/>
  <c r="GI500" i="2"/>
  <c r="GB500" i="2"/>
  <c r="FT500" i="2"/>
  <c r="FS500" i="2"/>
  <c r="GL500" i="2" s="1"/>
  <c r="FQ500" i="2"/>
  <c r="GJ500" i="2" s="1"/>
  <c r="FP500" i="2"/>
  <c r="FO500" i="2"/>
  <c r="FN500" i="2"/>
  <c r="FM500" i="2"/>
  <c r="FL500" i="2"/>
  <c r="FK500" i="2"/>
  <c r="FJ500" i="2"/>
  <c r="FI500" i="2"/>
  <c r="FH500" i="2"/>
  <c r="FG500" i="2"/>
  <c r="FF500" i="2"/>
  <c r="FY500" i="2" s="1"/>
  <c r="FE500" i="2"/>
  <c r="FX500" i="2" s="1"/>
  <c r="FD500" i="2"/>
  <c r="FC500" i="2"/>
  <c r="FB500" i="2"/>
  <c r="EW500" i="2"/>
  <c r="EM500" i="2"/>
  <c r="EL500" i="2"/>
  <c r="EH500" i="2"/>
  <c r="EG500" i="2"/>
  <c r="EZ500" i="2" s="1"/>
  <c r="EE500" i="2"/>
  <c r="EX500" i="2" s="1"/>
  <c r="ED500" i="2"/>
  <c r="EC500" i="2"/>
  <c r="EB500" i="2"/>
  <c r="EA500" i="2"/>
  <c r="DZ500" i="2"/>
  <c r="DY500" i="2"/>
  <c r="DX500" i="2"/>
  <c r="DW500" i="2"/>
  <c r="EP500" i="2" s="1"/>
  <c r="DV500" i="2"/>
  <c r="DU500" i="2"/>
  <c r="DT500" i="2"/>
  <c r="DS500" i="2"/>
  <c r="DR500" i="2"/>
  <c r="DQ500" i="2"/>
  <c r="DP500" i="2"/>
  <c r="DM500" i="2"/>
  <c r="DL500" i="2"/>
  <c r="HC499" i="2"/>
  <c r="HB499" i="2"/>
  <c r="GW499" i="2"/>
  <c r="GT499" i="2"/>
  <c r="GO499" i="2"/>
  <c r="GL499" i="2"/>
  <c r="GB499" i="2"/>
  <c r="FX499" i="2"/>
  <c r="FT499" i="2"/>
  <c r="FS499" i="2"/>
  <c r="FQ499" i="2"/>
  <c r="GJ499" i="2" s="1"/>
  <c r="FP499" i="2"/>
  <c r="GI499" i="2" s="1"/>
  <c r="FO499" i="2"/>
  <c r="FN499" i="2"/>
  <c r="FM499" i="2"/>
  <c r="FL499" i="2"/>
  <c r="FK499" i="2"/>
  <c r="FJ499" i="2"/>
  <c r="FI499" i="2"/>
  <c r="FH499" i="2"/>
  <c r="FG499" i="2"/>
  <c r="FF499" i="2"/>
  <c r="FY499" i="2" s="1"/>
  <c r="FE499" i="2"/>
  <c r="FD499" i="2"/>
  <c r="FC499" i="2"/>
  <c r="FB499" i="2"/>
  <c r="ED499" i="2"/>
  <c r="EW499" i="2" s="1"/>
  <c r="EC499" i="2"/>
  <c r="EB499" i="2"/>
  <c r="DR499" i="2"/>
  <c r="DP499" i="2"/>
  <c r="BJ499" i="2"/>
  <c r="BI499" i="2"/>
  <c r="BG499" i="2"/>
  <c r="GV499" i="2" s="1"/>
  <c r="AZ499" i="2"/>
  <c r="AY499" i="2"/>
  <c r="BH499" i="2" s="1"/>
  <c r="AO499" i="2"/>
  <c r="DZ499" i="2" s="1"/>
  <c r="AL499" i="2"/>
  <c r="AF499" i="2"/>
  <c r="AE499" i="2"/>
  <c r="AD499" i="2"/>
  <c r="DV499" i="2" s="1"/>
  <c r="HC498" i="2"/>
  <c r="HB498" i="2"/>
  <c r="GW498" i="2"/>
  <c r="GV498" i="2"/>
  <c r="GU498" i="2"/>
  <c r="GT498" i="2"/>
  <c r="GP498" i="2"/>
  <c r="GQ498" i="2" s="1"/>
  <c r="GO498" i="2"/>
  <c r="GL498" i="2"/>
  <c r="GJ498" i="2"/>
  <c r="GI498" i="2"/>
  <c r="FX498" i="2"/>
  <c r="FT498" i="2"/>
  <c r="FS498" i="2"/>
  <c r="FQ498" i="2"/>
  <c r="FP498" i="2"/>
  <c r="FO498" i="2"/>
  <c r="FN498" i="2"/>
  <c r="FM498" i="2"/>
  <c r="FL498" i="2"/>
  <c r="FK498" i="2"/>
  <c r="FJ498" i="2"/>
  <c r="FI498" i="2"/>
  <c r="GB498" i="2" s="1"/>
  <c r="FH498" i="2"/>
  <c r="FG498" i="2"/>
  <c r="FF498" i="2"/>
  <c r="FY498" i="2" s="1"/>
  <c r="FE498" i="2"/>
  <c r="FD498" i="2"/>
  <c r="FC498" i="2"/>
  <c r="FB498" i="2"/>
  <c r="EZ498" i="2"/>
  <c r="EX498" i="2"/>
  <c r="EP498" i="2"/>
  <c r="EH498" i="2"/>
  <c r="EG498" i="2"/>
  <c r="EE498" i="2"/>
  <c r="ED498" i="2"/>
  <c r="EW498" i="2" s="1"/>
  <c r="EC498" i="2"/>
  <c r="EB498" i="2"/>
  <c r="EA498" i="2"/>
  <c r="DZ498" i="2"/>
  <c r="DY498" i="2"/>
  <c r="DX498" i="2"/>
  <c r="DW498" i="2"/>
  <c r="DV498" i="2"/>
  <c r="DU498" i="2"/>
  <c r="DT498" i="2"/>
  <c r="EM498" i="2" s="1"/>
  <c r="DS498" i="2"/>
  <c r="EL498" i="2" s="1"/>
  <c r="DR498" i="2"/>
  <c r="DQ498" i="2"/>
  <c r="DP498" i="2"/>
  <c r="DM498" i="2"/>
  <c r="DL498" i="2"/>
  <c r="HC497" i="2"/>
  <c r="HB497" i="2"/>
  <c r="GX497" i="2"/>
  <c r="GY497" i="2" s="1"/>
  <c r="GW497" i="2"/>
  <c r="GV497" i="2"/>
  <c r="GO497" i="2"/>
  <c r="GI497" i="2"/>
  <c r="GB497" i="2"/>
  <c r="FY497" i="2"/>
  <c r="FT497" i="2"/>
  <c r="FS497" i="2"/>
  <c r="GL497" i="2" s="1"/>
  <c r="FQ497" i="2"/>
  <c r="GJ497" i="2" s="1"/>
  <c r="FP497" i="2"/>
  <c r="FO497" i="2"/>
  <c r="FN497" i="2"/>
  <c r="FM497" i="2"/>
  <c r="FL497" i="2"/>
  <c r="FK497" i="2"/>
  <c r="FJ497" i="2"/>
  <c r="FI497" i="2"/>
  <c r="FH497" i="2"/>
  <c r="FG497" i="2"/>
  <c r="FF497" i="2"/>
  <c r="FE497" i="2"/>
  <c r="FX497" i="2" s="1"/>
  <c r="FD497" i="2"/>
  <c r="FC497" i="2"/>
  <c r="FB497" i="2"/>
  <c r="EH497" i="2"/>
  <c r="AD497" i="2"/>
  <c r="DM497" i="2" s="1"/>
  <c r="Q497" i="2"/>
  <c r="I497" i="2"/>
  <c r="HC496" i="2"/>
  <c r="HB496" i="2"/>
  <c r="GW496" i="2"/>
  <c r="GV496" i="2"/>
  <c r="GU496" i="2"/>
  <c r="GT496" i="2"/>
  <c r="GQ496" i="2"/>
  <c r="GP496" i="2"/>
  <c r="GO496" i="2"/>
  <c r="FY496" i="2"/>
  <c r="FX496" i="2"/>
  <c r="FT496" i="2"/>
  <c r="FS496" i="2"/>
  <c r="GL496" i="2" s="1"/>
  <c r="FQ496" i="2"/>
  <c r="GJ496" i="2" s="1"/>
  <c r="FP496" i="2"/>
  <c r="GI496" i="2" s="1"/>
  <c r="FO496" i="2"/>
  <c r="FN496" i="2"/>
  <c r="FM496" i="2"/>
  <c r="FL496" i="2"/>
  <c r="FK496" i="2"/>
  <c r="FJ496" i="2"/>
  <c r="FI496" i="2"/>
  <c r="GB496" i="2" s="1"/>
  <c r="FH496" i="2"/>
  <c r="FG496" i="2"/>
  <c r="FF496" i="2"/>
  <c r="FE496" i="2"/>
  <c r="FD496" i="2"/>
  <c r="FC496" i="2"/>
  <c r="FB496" i="2"/>
  <c r="EZ496" i="2"/>
  <c r="EX496" i="2"/>
  <c r="EW496" i="2"/>
  <c r="EP496" i="2"/>
  <c r="EM496" i="2"/>
  <c r="EL496" i="2"/>
  <c r="EH496" i="2"/>
  <c r="EG496" i="2"/>
  <c r="EE496" i="2"/>
  <c r="ED496" i="2"/>
  <c r="EC496" i="2"/>
  <c r="EB496" i="2"/>
  <c r="EA496" i="2"/>
  <c r="DZ496" i="2"/>
  <c r="DY496" i="2"/>
  <c r="DX496" i="2"/>
  <c r="DW496" i="2"/>
  <c r="DV496" i="2"/>
  <c r="DU496" i="2"/>
  <c r="DT496" i="2"/>
  <c r="DS496" i="2"/>
  <c r="DR496" i="2"/>
  <c r="DQ496" i="2"/>
  <c r="DP496" i="2"/>
  <c r="DM496" i="2"/>
  <c r="DL496" i="2"/>
  <c r="HC495" i="2"/>
  <c r="HB495" i="2"/>
  <c r="GW495" i="2"/>
  <c r="GV495" i="2"/>
  <c r="GU495" i="2"/>
  <c r="GT495" i="2"/>
  <c r="GP495" i="2"/>
  <c r="GO495" i="2"/>
  <c r="GI495" i="2"/>
  <c r="FX495" i="2"/>
  <c r="FT495" i="2"/>
  <c r="FS495" i="2"/>
  <c r="GL495" i="2" s="1"/>
  <c r="FQ495" i="2"/>
  <c r="GJ495" i="2" s="1"/>
  <c r="FP495" i="2"/>
  <c r="FO495" i="2"/>
  <c r="FN495" i="2"/>
  <c r="FM495" i="2"/>
  <c r="FL495" i="2"/>
  <c r="FK495" i="2"/>
  <c r="FJ495" i="2"/>
  <c r="FI495" i="2"/>
  <c r="GB495" i="2" s="1"/>
  <c r="FH495" i="2"/>
  <c r="FG495" i="2"/>
  <c r="FF495" i="2"/>
  <c r="FY495" i="2" s="1"/>
  <c r="FE495" i="2"/>
  <c r="FD495" i="2"/>
  <c r="FC495" i="2"/>
  <c r="FB495" i="2"/>
  <c r="EX495" i="2"/>
  <c r="EW495" i="2"/>
  <c r="EP495" i="2"/>
  <c r="EM495" i="2"/>
  <c r="EL495" i="2"/>
  <c r="EH495" i="2"/>
  <c r="EG495" i="2"/>
  <c r="EZ495" i="2" s="1"/>
  <c r="EE495" i="2"/>
  <c r="ED495" i="2"/>
  <c r="EC495" i="2"/>
  <c r="EB495" i="2"/>
  <c r="EA495" i="2"/>
  <c r="DZ495" i="2"/>
  <c r="DY495" i="2"/>
  <c r="DX495" i="2"/>
  <c r="DW495" i="2"/>
  <c r="DV495" i="2"/>
  <c r="DU495" i="2"/>
  <c r="DT495" i="2"/>
  <c r="DS495" i="2"/>
  <c r="DR495" i="2"/>
  <c r="DQ495" i="2"/>
  <c r="DP495" i="2"/>
  <c r="DM495" i="2"/>
  <c r="DL495" i="2"/>
  <c r="HC494" i="2"/>
  <c r="HB494" i="2"/>
  <c r="GW494" i="2"/>
  <c r="GO494" i="2"/>
  <c r="GL494" i="2"/>
  <c r="GJ494" i="2"/>
  <c r="FT494" i="2"/>
  <c r="FS494" i="2"/>
  <c r="FQ494" i="2"/>
  <c r="FP494" i="2"/>
  <c r="GI494" i="2" s="1"/>
  <c r="FO494" i="2"/>
  <c r="FN494" i="2"/>
  <c r="FM494" i="2"/>
  <c r="FL494" i="2"/>
  <c r="FK494" i="2"/>
  <c r="FJ494" i="2"/>
  <c r="FI494" i="2"/>
  <c r="GB494" i="2" s="1"/>
  <c r="FH494" i="2"/>
  <c r="FG494" i="2"/>
  <c r="FF494" i="2"/>
  <c r="FY494" i="2" s="1"/>
  <c r="FE494" i="2"/>
  <c r="FX494" i="2" s="1"/>
  <c r="FD494" i="2"/>
  <c r="FC494" i="2"/>
  <c r="FB494" i="2"/>
  <c r="EH494" i="2"/>
  <c r="EG494" i="2"/>
  <c r="EZ494" i="2" s="1"/>
  <c r="EE494" i="2"/>
  <c r="EX494" i="2" s="1"/>
  <c r="ED494" i="2"/>
  <c r="EW494" i="2" s="1"/>
  <c r="EC494" i="2"/>
  <c r="EB494" i="2"/>
  <c r="EA494" i="2"/>
  <c r="DZ494" i="2"/>
  <c r="DY494" i="2"/>
  <c r="DX494" i="2"/>
  <c r="DV494" i="2"/>
  <c r="DU494" i="2"/>
  <c r="DT494" i="2"/>
  <c r="EM494" i="2" s="1"/>
  <c r="DS494" i="2"/>
  <c r="EL494" i="2" s="1"/>
  <c r="DR494" i="2"/>
  <c r="DQ494" i="2"/>
  <c r="DP494" i="2"/>
  <c r="DM494" i="2"/>
  <c r="BG494" i="2"/>
  <c r="GV494" i="2" s="1"/>
  <c r="AL494" i="2"/>
  <c r="GU494" i="2" s="1"/>
  <c r="Q494" i="2"/>
  <c r="HC493" i="2"/>
  <c r="HB493" i="2"/>
  <c r="GW493" i="2"/>
  <c r="GV493" i="2"/>
  <c r="GU493" i="2"/>
  <c r="GT493" i="2"/>
  <c r="GO493" i="2"/>
  <c r="GI493" i="2"/>
  <c r="FY493" i="2"/>
  <c r="FX493" i="2"/>
  <c r="FT493" i="2"/>
  <c r="FS493" i="2"/>
  <c r="GL493" i="2" s="1"/>
  <c r="FQ493" i="2"/>
  <c r="GJ493" i="2" s="1"/>
  <c r="FP493" i="2"/>
  <c r="FO493" i="2"/>
  <c r="FN493" i="2"/>
  <c r="FM493" i="2"/>
  <c r="FL493" i="2"/>
  <c r="FK493" i="2"/>
  <c r="FJ493" i="2"/>
  <c r="FI493" i="2"/>
  <c r="GB493" i="2" s="1"/>
  <c r="FH493" i="2"/>
  <c r="FG493" i="2"/>
  <c r="FF493" i="2"/>
  <c r="FE493" i="2"/>
  <c r="FD493" i="2"/>
  <c r="FC493" i="2"/>
  <c r="FB493" i="2"/>
  <c r="EZ493" i="2"/>
  <c r="EX493" i="2"/>
  <c r="EW493" i="2"/>
  <c r="EM493" i="2"/>
  <c r="EH493" i="2"/>
  <c r="EG493" i="2"/>
  <c r="EE493" i="2"/>
  <c r="ED493" i="2"/>
  <c r="EC493" i="2"/>
  <c r="EB493" i="2"/>
  <c r="EA493" i="2"/>
  <c r="DZ493" i="2"/>
  <c r="DY493" i="2"/>
  <c r="DX493" i="2"/>
  <c r="DW493" i="2"/>
  <c r="EP493" i="2" s="1"/>
  <c r="DV493" i="2"/>
  <c r="DU493" i="2"/>
  <c r="DT493" i="2"/>
  <c r="DS493" i="2"/>
  <c r="EL493" i="2" s="1"/>
  <c r="DR493" i="2"/>
  <c r="DQ493" i="2"/>
  <c r="DP493" i="2"/>
  <c r="DM493" i="2"/>
  <c r="DL493" i="2"/>
  <c r="HC492" i="2"/>
  <c r="HB492" i="2"/>
  <c r="GW492" i="2"/>
  <c r="GV492" i="2"/>
  <c r="GU492" i="2"/>
  <c r="GT492" i="2"/>
  <c r="GP492" i="2"/>
  <c r="GO492" i="2"/>
  <c r="GQ492" i="2" s="1"/>
  <c r="GJ492" i="2"/>
  <c r="GI492" i="2"/>
  <c r="FY492" i="2"/>
  <c r="FT492" i="2"/>
  <c r="FS492" i="2"/>
  <c r="GL492" i="2" s="1"/>
  <c r="FQ492" i="2"/>
  <c r="FP492" i="2"/>
  <c r="FO492" i="2"/>
  <c r="FN492" i="2"/>
  <c r="FM492" i="2"/>
  <c r="FL492" i="2"/>
  <c r="FK492" i="2"/>
  <c r="FJ492" i="2"/>
  <c r="FI492" i="2"/>
  <c r="GB492" i="2" s="1"/>
  <c r="FH492" i="2"/>
  <c r="FG492" i="2"/>
  <c r="FF492" i="2"/>
  <c r="FE492" i="2"/>
  <c r="FX492" i="2" s="1"/>
  <c r="FD492" i="2"/>
  <c r="FC492" i="2"/>
  <c r="FB492" i="2"/>
  <c r="EX492" i="2"/>
  <c r="EW492" i="2"/>
  <c r="EM492" i="2"/>
  <c r="EH492" i="2"/>
  <c r="EG492" i="2"/>
  <c r="EZ492" i="2" s="1"/>
  <c r="EE492" i="2"/>
  <c r="ED492" i="2"/>
  <c r="EC492" i="2"/>
  <c r="EB492" i="2"/>
  <c r="EA492" i="2"/>
  <c r="DZ492" i="2"/>
  <c r="DY492" i="2"/>
  <c r="DX492" i="2"/>
  <c r="DW492" i="2"/>
  <c r="EP492" i="2" s="1"/>
  <c r="DV492" i="2"/>
  <c r="DU492" i="2"/>
  <c r="DT492" i="2"/>
  <c r="DS492" i="2"/>
  <c r="EL492" i="2" s="1"/>
  <c r="DR492" i="2"/>
  <c r="DQ492" i="2"/>
  <c r="DP492" i="2"/>
  <c r="DM492" i="2"/>
  <c r="DL492" i="2"/>
  <c r="HC491" i="2"/>
  <c r="HB491" i="2"/>
  <c r="GW491" i="2"/>
  <c r="GT491" i="2"/>
  <c r="GI491" i="2"/>
  <c r="FY491" i="2"/>
  <c r="FX491" i="2"/>
  <c r="FT491" i="2"/>
  <c r="FS491" i="2"/>
  <c r="GL491" i="2" s="1"/>
  <c r="FQ491" i="2"/>
  <c r="GJ491" i="2" s="1"/>
  <c r="FP491" i="2"/>
  <c r="FO491" i="2"/>
  <c r="FN491" i="2"/>
  <c r="FM491" i="2"/>
  <c r="FL491" i="2"/>
  <c r="FK491" i="2"/>
  <c r="FJ491" i="2"/>
  <c r="FI491" i="2"/>
  <c r="GB491" i="2" s="1"/>
  <c r="FH491" i="2"/>
  <c r="FG491" i="2"/>
  <c r="FF491" i="2"/>
  <c r="FE491" i="2"/>
  <c r="FD491" i="2"/>
  <c r="FC491" i="2"/>
  <c r="FB491" i="2"/>
  <c r="BH491" i="2"/>
  <c r="BG491" i="2"/>
  <c r="GV491" i="2" s="1"/>
  <c r="AY491" i="2"/>
  <c r="AD491" i="2"/>
  <c r="EB491" i="2" s="1"/>
  <c r="HC490" i="2"/>
  <c r="HB490" i="2"/>
  <c r="GW490" i="2"/>
  <c r="GV490" i="2"/>
  <c r="GU490" i="2"/>
  <c r="GT490" i="2"/>
  <c r="GP490" i="2"/>
  <c r="GQ490" i="2" s="1"/>
  <c r="GO490" i="2"/>
  <c r="GJ490" i="2"/>
  <c r="GI490" i="2"/>
  <c r="FY490" i="2"/>
  <c r="FT490" i="2"/>
  <c r="FS490" i="2"/>
  <c r="GL490" i="2" s="1"/>
  <c r="FQ490" i="2"/>
  <c r="FP490" i="2"/>
  <c r="FO490" i="2"/>
  <c r="FN490" i="2"/>
  <c r="FM490" i="2"/>
  <c r="FL490" i="2"/>
  <c r="FK490" i="2"/>
  <c r="FJ490" i="2"/>
  <c r="FI490" i="2"/>
  <c r="GB490" i="2" s="1"/>
  <c r="FH490" i="2"/>
  <c r="FG490" i="2"/>
  <c r="FF490" i="2"/>
  <c r="FE490" i="2"/>
  <c r="FX490" i="2" s="1"/>
  <c r="FD490" i="2"/>
  <c r="FC490" i="2"/>
  <c r="FB490" i="2"/>
  <c r="EZ490" i="2"/>
  <c r="EX490" i="2"/>
  <c r="EP490" i="2"/>
  <c r="EH490" i="2"/>
  <c r="EG490" i="2"/>
  <c r="EE490" i="2"/>
  <c r="ED490" i="2"/>
  <c r="EW490" i="2" s="1"/>
  <c r="EC490" i="2"/>
  <c r="EB490" i="2"/>
  <c r="EA490" i="2"/>
  <c r="DZ490" i="2"/>
  <c r="DY490" i="2"/>
  <c r="DX490" i="2"/>
  <c r="DW490" i="2"/>
  <c r="DV490" i="2"/>
  <c r="DU490" i="2"/>
  <c r="DT490" i="2"/>
  <c r="EM490" i="2" s="1"/>
  <c r="DS490" i="2"/>
  <c r="EL490" i="2" s="1"/>
  <c r="DR490" i="2"/>
  <c r="DQ490" i="2"/>
  <c r="DP490" i="2"/>
  <c r="DM490" i="2"/>
  <c r="DL490" i="2"/>
  <c r="HC489" i="2"/>
  <c r="HB489" i="2"/>
  <c r="GW489" i="2"/>
  <c r="GV489" i="2"/>
  <c r="GU489" i="2"/>
  <c r="GT489" i="2"/>
  <c r="GO489" i="2"/>
  <c r="GP489" i="2" s="1"/>
  <c r="GQ489" i="2" s="1"/>
  <c r="GL489" i="2"/>
  <c r="GJ489" i="2"/>
  <c r="FT489" i="2"/>
  <c r="FS489" i="2"/>
  <c r="FQ489" i="2"/>
  <c r="FP489" i="2"/>
  <c r="GI489" i="2" s="1"/>
  <c r="FO489" i="2"/>
  <c r="FN489" i="2"/>
  <c r="FM489" i="2"/>
  <c r="FL489" i="2"/>
  <c r="FK489" i="2"/>
  <c r="FJ489" i="2"/>
  <c r="FI489" i="2"/>
  <c r="GB489" i="2" s="1"/>
  <c r="FH489" i="2"/>
  <c r="FG489" i="2"/>
  <c r="FF489" i="2"/>
  <c r="FY489" i="2" s="1"/>
  <c r="FE489" i="2"/>
  <c r="FX489" i="2" s="1"/>
  <c r="FD489" i="2"/>
  <c r="FC489" i="2"/>
  <c r="FB489" i="2"/>
  <c r="EZ489" i="2"/>
  <c r="EX489" i="2"/>
  <c r="EH489" i="2"/>
  <c r="EG489" i="2"/>
  <c r="EE489" i="2"/>
  <c r="ED489" i="2"/>
  <c r="EW489" i="2" s="1"/>
  <c r="EC489" i="2"/>
  <c r="EB489" i="2"/>
  <c r="EA489" i="2"/>
  <c r="DZ489" i="2"/>
  <c r="DY489" i="2"/>
  <c r="DX489" i="2"/>
  <c r="DW489" i="2"/>
  <c r="EP489" i="2" s="1"/>
  <c r="DV489" i="2"/>
  <c r="DU489" i="2"/>
  <c r="DT489" i="2"/>
  <c r="EM489" i="2" s="1"/>
  <c r="DS489" i="2"/>
  <c r="EL489" i="2" s="1"/>
  <c r="DR489" i="2"/>
  <c r="DQ489" i="2"/>
  <c r="DP489" i="2"/>
  <c r="DM489" i="2"/>
  <c r="DL489" i="2"/>
  <c r="HC488" i="2"/>
  <c r="HB488" i="2"/>
  <c r="GW488" i="2"/>
  <c r="GV488" i="2"/>
  <c r="GU488" i="2"/>
  <c r="GT488" i="2"/>
  <c r="GP488" i="2"/>
  <c r="GQ488" i="2" s="1"/>
  <c r="GO488" i="2"/>
  <c r="GJ488" i="2"/>
  <c r="GI488" i="2"/>
  <c r="FY488" i="2"/>
  <c r="FT488" i="2"/>
  <c r="FS488" i="2"/>
  <c r="GL488" i="2" s="1"/>
  <c r="FQ488" i="2"/>
  <c r="FP488" i="2"/>
  <c r="FO488" i="2"/>
  <c r="FN488" i="2"/>
  <c r="FM488" i="2"/>
  <c r="FL488" i="2"/>
  <c r="FK488" i="2"/>
  <c r="FJ488" i="2"/>
  <c r="FI488" i="2"/>
  <c r="GB488" i="2" s="1"/>
  <c r="FH488" i="2"/>
  <c r="FG488" i="2"/>
  <c r="FF488" i="2"/>
  <c r="FE488" i="2"/>
  <c r="FX488" i="2" s="1"/>
  <c r="FD488" i="2"/>
  <c r="FC488" i="2"/>
  <c r="FB488" i="2"/>
  <c r="EZ488" i="2"/>
  <c r="EX488" i="2"/>
  <c r="EP488" i="2"/>
  <c r="EH488" i="2"/>
  <c r="EG488" i="2"/>
  <c r="EE488" i="2"/>
  <c r="ED488" i="2"/>
  <c r="EW488" i="2" s="1"/>
  <c r="EC488" i="2"/>
  <c r="EB488" i="2"/>
  <c r="EA488" i="2"/>
  <c r="DZ488" i="2"/>
  <c r="DY488" i="2"/>
  <c r="DX488" i="2"/>
  <c r="DW488" i="2"/>
  <c r="DV488" i="2"/>
  <c r="DU488" i="2"/>
  <c r="DT488" i="2"/>
  <c r="EM488" i="2" s="1"/>
  <c r="DS488" i="2"/>
  <c r="EL488" i="2" s="1"/>
  <c r="DR488" i="2"/>
  <c r="DQ488" i="2"/>
  <c r="DP488" i="2"/>
  <c r="DM488" i="2"/>
  <c r="DL488" i="2"/>
  <c r="HC487" i="2"/>
  <c r="HB487" i="2"/>
  <c r="GW487" i="2"/>
  <c r="GV487" i="2"/>
  <c r="GU487" i="2"/>
  <c r="GT487" i="2"/>
  <c r="GO487" i="2"/>
  <c r="GP487" i="2" s="1"/>
  <c r="GQ487" i="2" s="1"/>
  <c r="GL487" i="2"/>
  <c r="GJ487" i="2"/>
  <c r="FT487" i="2"/>
  <c r="FS487" i="2"/>
  <c r="FQ487" i="2"/>
  <c r="FP487" i="2"/>
  <c r="GI487" i="2" s="1"/>
  <c r="FO487" i="2"/>
  <c r="FN487" i="2"/>
  <c r="FM487" i="2"/>
  <c r="FL487" i="2"/>
  <c r="FK487" i="2"/>
  <c r="FJ487" i="2"/>
  <c r="FI487" i="2"/>
  <c r="GB487" i="2" s="1"/>
  <c r="FH487" i="2"/>
  <c r="FG487" i="2"/>
  <c r="FF487" i="2"/>
  <c r="FY487" i="2" s="1"/>
  <c r="FE487" i="2"/>
  <c r="FX487" i="2" s="1"/>
  <c r="FD487" i="2"/>
  <c r="FC487" i="2"/>
  <c r="FB487" i="2"/>
  <c r="EZ487" i="2"/>
  <c r="EX487" i="2"/>
  <c r="EH487" i="2"/>
  <c r="EG487" i="2"/>
  <c r="EE487" i="2"/>
  <c r="ED487" i="2"/>
  <c r="EW487" i="2" s="1"/>
  <c r="EC487" i="2"/>
  <c r="EB487" i="2"/>
  <c r="EA487" i="2"/>
  <c r="DZ487" i="2"/>
  <c r="DY487" i="2"/>
  <c r="DX487" i="2"/>
  <c r="DW487" i="2"/>
  <c r="EP487" i="2" s="1"/>
  <c r="DV487" i="2"/>
  <c r="DU487" i="2"/>
  <c r="DT487" i="2"/>
  <c r="EM487" i="2" s="1"/>
  <c r="DS487" i="2"/>
  <c r="EL487" i="2" s="1"/>
  <c r="DR487" i="2"/>
  <c r="DQ487" i="2"/>
  <c r="DP487" i="2"/>
  <c r="DM487" i="2"/>
  <c r="DL487" i="2"/>
  <c r="HC486" i="2"/>
  <c r="HB486" i="2"/>
  <c r="GX486" i="2"/>
  <c r="GY486" i="2" s="1"/>
  <c r="GW486" i="2"/>
  <c r="GV486" i="2"/>
  <c r="GU486" i="2"/>
  <c r="GT486" i="2"/>
  <c r="GO486" i="2"/>
  <c r="GQ486" i="2" s="1"/>
  <c r="GJ486" i="2"/>
  <c r="GI486" i="2"/>
  <c r="FY486" i="2"/>
  <c r="FT486" i="2"/>
  <c r="FS486" i="2"/>
  <c r="GL486" i="2" s="1"/>
  <c r="FQ486" i="2"/>
  <c r="FP486" i="2"/>
  <c r="FO486" i="2"/>
  <c r="FN486" i="2"/>
  <c r="FM486" i="2"/>
  <c r="FL486" i="2"/>
  <c r="FK486" i="2"/>
  <c r="FJ486" i="2"/>
  <c r="FI486" i="2"/>
  <c r="GB486" i="2" s="1"/>
  <c r="FH486" i="2"/>
  <c r="FG486" i="2"/>
  <c r="FF486" i="2"/>
  <c r="FE486" i="2"/>
  <c r="FX486" i="2" s="1"/>
  <c r="FD486" i="2"/>
  <c r="FC486" i="2"/>
  <c r="FB486" i="2"/>
  <c r="EX486" i="2"/>
  <c r="EH486" i="2"/>
  <c r="EG486" i="2"/>
  <c r="EZ486" i="2" s="1"/>
  <c r="EE486" i="2"/>
  <c r="EC486" i="2"/>
  <c r="EB486" i="2"/>
  <c r="EA486" i="2"/>
  <c r="DZ486" i="2"/>
  <c r="DY486" i="2"/>
  <c r="DX486" i="2"/>
  <c r="DW486" i="2"/>
  <c r="EP486" i="2" s="1"/>
  <c r="DV486" i="2"/>
  <c r="DU486" i="2"/>
  <c r="DS486" i="2"/>
  <c r="EL486" i="2" s="1"/>
  <c r="DR486" i="2"/>
  <c r="DQ486" i="2"/>
  <c r="DM486" i="2"/>
  <c r="DL486" i="2"/>
  <c r="R486" i="2"/>
  <c r="Q486" i="2"/>
  <c r="GP486" i="2" s="1"/>
  <c r="J486" i="2"/>
  <c r="DP486" i="2" s="1"/>
  <c r="I486" i="2"/>
  <c r="ED486" i="2" s="1"/>
  <c r="EW486" i="2" s="1"/>
  <c r="HC485" i="2"/>
  <c r="GW485" i="2"/>
  <c r="GV485" i="2"/>
  <c r="GU485" i="2"/>
  <c r="GO485" i="2"/>
  <c r="GL485" i="2"/>
  <c r="FS485" i="2"/>
  <c r="FQ485" i="2"/>
  <c r="GJ485" i="2" s="1"/>
  <c r="FP485" i="2"/>
  <c r="GI485" i="2" s="1"/>
  <c r="FH485" i="2"/>
  <c r="FG485" i="2"/>
  <c r="FF485" i="2"/>
  <c r="FY485" i="2" s="1"/>
  <c r="EG485" i="2"/>
  <c r="EZ485" i="2" s="1"/>
  <c r="EB485" i="2"/>
  <c r="EA485" i="2"/>
  <c r="DZ485" i="2"/>
  <c r="DY485" i="2"/>
  <c r="DV485" i="2"/>
  <c r="DR485" i="2"/>
  <c r="DQ485" i="2"/>
  <c r="DP485" i="2"/>
  <c r="DM485" i="2"/>
  <c r="BT485" i="2"/>
  <c r="FO485" i="2" s="1"/>
  <c r="I485" i="2"/>
  <c r="DX485" i="2" s="1"/>
  <c r="HC484" i="2"/>
  <c r="HB484" i="2"/>
  <c r="GW484" i="2"/>
  <c r="GV484" i="2"/>
  <c r="GU484" i="2"/>
  <c r="GT484" i="2"/>
  <c r="GP484" i="2"/>
  <c r="GQ484" i="2" s="1"/>
  <c r="GO484" i="2"/>
  <c r="GL484" i="2"/>
  <c r="GJ484" i="2"/>
  <c r="GB484" i="2"/>
  <c r="FT484" i="2"/>
  <c r="FS484" i="2"/>
  <c r="FQ484" i="2"/>
  <c r="FP484" i="2"/>
  <c r="GI484" i="2" s="1"/>
  <c r="FO484" i="2"/>
  <c r="FN484" i="2"/>
  <c r="FM484" i="2"/>
  <c r="FL484" i="2"/>
  <c r="FK484" i="2"/>
  <c r="FJ484" i="2"/>
  <c r="FI484" i="2"/>
  <c r="FH484" i="2"/>
  <c r="FG484" i="2"/>
  <c r="FF484" i="2"/>
  <c r="FY484" i="2" s="1"/>
  <c r="FE484" i="2"/>
  <c r="FX484" i="2" s="1"/>
  <c r="FD484" i="2"/>
  <c r="FC484" i="2"/>
  <c r="FB484" i="2"/>
  <c r="EZ484" i="2"/>
  <c r="EP484" i="2"/>
  <c r="EL484" i="2"/>
  <c r="EH484" i="2"/>
  <c r="EG484" i="2"/>
  <c r="EE484" i="2"/>
  <c r="EX484" i="2" s="1"/>
  <c r="ED484" i="2"/>
  <c r="EW484" i="2" s="1"/>
  <c r="EC484" i="2"/>
  <c r="EB484" i="2"/>
  <c r="EA484" i="2"/>
  <c r="DZ484" i="2"/>
  <c r="DY484" i="2"/>
  <c r="DX484" i="2"/>
  <c r="DW484" i="2"/>
  <c r="DV484" i="2"/>
  <c r="DU484" i="2"/>
  <c r="DT484" i="2"/>
  <c r="EM484" i="2" s="1"/>
  <c r="DS484" i="2"/>
  <c r="DR484" i="2"/>
  <c r="DQ484" i="2"/>
  <c r="DP484" i="2"/>
  <c r="DM484" i="2"/>
  <c r="DL484" i="2"/>
  <c r="AO484" i="2"/>
  <c r="AN484" i="2"/>
  <c r="HC483" i="2"/>
  <c r="HB483" i="2"/>
  <c r="GW483" i="2"/>
  <c r="GV483" i="2"/>
  <c r="GU483" i="2"/>
  <c r="GT483" i="2"/>
  <c r="GO483" i="2"/>
  <c r="GL483" i="2"/>
  <c r="GB483" i="2"/>
  <c r="FT483" i="2"/>
  <c r="FS483" i="2"/>
  <c r="FQ483" i="2"/>
  <c r="GJ483" i="2" s="1"/>
  <c r="FP483" i="2"/>
  <c r="GI483" i="2" s="1"/>
  <c r="FO483" i="2"/>
  <c r="FN483" i="2"/>
  <c r="FM483" i="2"/>
  <c r="FL483" i="2"/>
  <c r="FK483" i="2"/>
  <c r="FI483" i="2"/>
  <c r="FH483" i="2"/>
  <c r="FG483" i="2"/>
  <c r="FF483" i="2"/>
  <c r="FY483" i="2" s="1"/>
  <c r="FE483" i="2"/>
  <c r="FX483" i="2" s="1"/>
  <c r="FD483" i="2"/>
  <c r="FC483" i="2"/>
  <c r="FB483" i="2"/>
  <c r="EW483" i="2"/>
  <c r="EP483" i="2"/>
  <c r="EM483" i="2"/>
  <c r="EL483" i="2"/>
  <c r="EH483" i="2"/>
  <c r="EG483" i="2"/>
  <c r="EZ483" i="2" s="1"/>
  <c r="EE483" i="2"/>
  <c r="EX483" i="2" s="1"/>
  <c r="ED483" i="2"/>
  <c r="EC483" i="2"/>
  <c r="EB483" i="2"/>
  <c r="EA483" i="2"/>
  <c r="DZ483" i="2"/>
  <c r="DY483" i="2"/>
  <c r="DW483" i="2"/>
  <c r="DV483" i="2"/>
  <c r="DU483" i="2"/>
  <c r="DT483" i="2"/>
  <c r="DS483" i="2"/>
  <c r="DR483" i="2"/>
  <c r="DQ483" i="2"/>
  <c r="DP483" i="2"/>
  <c r="DM483" i="2"/>
  <c r="DL483" i="2"/>
  <c r="CX483" i="2"/>
  <c r="CC483" i="2"/>
  <c r="FJ483" i="2" s="1"/>
  <c r="BH483" i="2"/>
  <c r="AM483" i="2"/>
  <c r="DX483" i="2" s="1"/>
  <c r="HC482" i="2"/>
  <c r="HB482" i="2"/>
  <c r="GW482" i="2"/>
  <c r="GV482" i="2"/>
  <c r="GU482" i="2"/>
  <c r="GT482" i="2"/>
  <c r="GP482" i="2"/>
  <c r="GQ482" i="2" s="1"/>
  <c r="GO482" i="2"/>
  <c r="GL482" i="2"/>
  <c r="GB482" i="2"/>
  <c r="FY482" i="2"/>
  <c r="FT482" i="2"/>
  <c r="FS482" i="2"/>
  <c r="FQ482" i="2"/>
  <c r="GJ482" i="2" s="1"/>
  <c r="FP482" i="2"/>
  <c r="GI482" i="2" s="1"/>
  <c r="FO482" i="2"/>
  <c r="FN482" i="2"/>
  <c r="FM482" i="2"/>
  <c r="FL482" i="2"/>
  <c r="FK482" i="2"/>
  <c r="FJ482" i="2"/>
  <c r="FI482" i="2"/>
  <c r="FH482" i="2"/>
  <c r="FG482" i="2"/>
  <c r="FF482" i="2"/>
  <c r="FE482" i="2"/>
  <c r="FX482" i="2" s="1"/>
  <c r="FD482" i="2"/>
  <c r="FC482" i="2"/>
  <c r="FB482" i="2"/>
  <c r="EZ482" i="2"/>
  <c r="EP482" i="2"/>
  <c r="EL482" i="2"/>
  <c r="EH482" i="2"/>
  <c r="EG482" i="2"/>
  <c r="EE482" i="2"/>
  <c r="EX482" i="2" s="1"/>
  <c r="ED482" i="2"/>
  <c r="EW482" i="2" s="1"/>
  <c r="EC482" i="2"/>
  <c r="EB482" i="2"/>
  <c r="EA482" i="2"/>
  <c r="DZ482" i="2"/>
  <c r="DY482" i="2"/>
  <c r="DX482" i="2"/>
  <c r="DW482" i="2"/>
  <c r="DV482" i="2"/>
  <c r="DU482" i="2"/>
  <c r="DT482" i="2"/>
  <c r="EM482" i="2" s="1"/>
  <c r="DS482" i="2"/>
  <c r="DR482" i="2"/>
  <c r="DQ482" i="2"/>
  <c r="DP482" i="2"/>
  <c r="DM482" i="2"/>
  <c r="DL482" i="2"/>
  <c r="HC481" i="2"/>
  <c r="HB481" i="2"/>
  <c r="GW481" i="2"/>
  <c r="GV481" i="2"/>
  <c r="GU481" i="2"/>
  <c r="GT481" i="2"/>
  <c r="GQ481" i="2"/>
  <c r="GP481" i="2"/>
  <c r="GO481" i="2"/>
  <c r="GL481" i="2"/>
  <c r="GJ481" i="2"/>
  <c r="FT481" i="2"/>
  <c r="FS481" i="2"/>
  <c r="FQ481" i="2"/>
  <c r="FP481" i="2"/>
  <c r="GI481" i="2" s="1"/>
  <c r="FO481" i="2"/>
  <c r="FN481" i="2"/>
  <c r="FM481" i="2"/>
  <c r="FL481" i="2"/>
  <c r="FK481" i="2"/>
  <c r="FJ481" i="2"/>
  <c r="FI481" i="2"/>
  <c r="GB481" i="2" s="1"/>
  <c r="FH481" i="2"/>
  <c r="FG481" i="2"/>
  <c r="FF481" i="2"/>
  <c r="FY481" i="2" s="1"/>
  <c r="FE481" i="2"/>
  <c r="FX481" i="2" s="1"/>
  <c r="FD481" i="2"/>
  <c r="FC481" i="2"/>
  <c r="FB481" i="2"/>
  <c r="EX481" i="2"/>
  <c r="EP481" i="2"/>
  <c r="EH481" i="2"/>
  <c r="EG481" i="2"/>
  <c r="EZ481" i="2" s="1"/>
  <c r="EE481" i="2"/>
  <c r="ED481" i="2"/>
  <c r="EW481" i="2" s="1"/>
  <c r="EC481" i="2"/>
  <c r="EB481" i="2"/>
  <c r="EA481" i="2"/>
  <c r="DZ481" i="2"/>
  <c r="DY481" i="2"/>
  <c r="DX481" i="2"/>
  <c r="DW481" i="2"/>
  <c r="DV481" i="2"/>
  <c r="DU481" i="2"/>
  <c r="DT481" i="2"/>
  <c r="EM481" i="2" s="1"/>
  <c r="DS481" i="2"/>
  <c r="EL481" i="2" s="1"/>
  <c r="DR481" i="2"/>
  <c r="DQ481" i="2"/>
  <c r="DP481" i="2"/>
  <c r="DM481" i="2"/>
  <c r="DL481" i="2"/>
  <c r="HC480" i="2"/>
  <c r="HB480" i="2"/>
  <c r="GW480" i="2"/>
  <c r="GV480" i="2"/>
  <c r="GU480" i="2"/>
  <c r="GT480" i="2"/>
  <c r="GP480" i="2"/>
  <c r="GQ480" i="2" s="1"/>
  <c r="GO480" i="2"/>
  <c r="GL480" i="2"/>
  <c r="GB480" i="2"/>
  <c r="FT480" i="2"/>
  <c r="FS480" i="2"/>
  <c r="FQ480" i="2"/>
  <c r="GJ480" i="2" s="1"/>
  <c r="FP480" i="2"/>
  <c r="GI480" i="2" s="1"/>
  <c r="FO480" i="2"/>
  <c r="FN480" i="2"/>
  <c r="FM480" i="2"/>
  <c r="FL480" i="2"/>
  <c r="FK480" i="2"/>
  <c r="FJ480" i="2"/>
  <c r="FI480" i="2"/>
  <c r="FH480" i="2"/>
  <c r="FG480" i="2"/>
  <c r="FF480" i="2"/>
  <c r="FY480" i="2" s="1"/>
  <c r="FE480" i="2"/>
  <c r="FX480" i="2" s="1"/>
  <c r="FD480" i="2"/>
  <c r="FC480" i="2"/>
  <c r="FB480" i="2"/>
  <c r="EZ480" i="2"/>
  <c r="EP480" i="2"/>
  <c r="EL480" i="2"/>
  <c r="EH480" i="2"/>
  <c r="EG480" i="2"/>
  <c r="EE480" i="2"/>
  <c r="EX480" i="2" s="1"/>
  <c r="ED480" i="2"/>
  <c r="EW480" i="2" s="1"/>
  <c r="EC480" i="2"/>
  <c r="EB480" i="2"/>
  <c r="EA480" i="2"/>
  <c r="DZ480" i="2"/>
  <c r="DY480" i="2"/>
  <c r="DX480" i="2"/>
  <c r="DW480" i="2"/>
  <c r="DV480" i="2"/>
  <c r="DU480" i="2"/>
  <c r="DT480" i="2"/>
  <c r="EM480" i="2" s="1"/>
  <c r="DS480" i="2"/>
  <c r="DR480" i="2"/>
  <c r="DQ480" i="2"/>
  <c r="DP480" i="2"/>
  <c r="DM480" i="2"/>
  <c r="DL480" i="2"/>
  <c r="HC479" i="2"/>
  <c r="HB479" i="2"/>
  <c r="GW479" i="2"/>
  <c r="GV479" i="2"/>
  <c r="GU479" i="2"/>
  <c r="GT479" i="2"/>
  <c r="GP479" i="2"/>
  <c r="GQ479" i="2" s="1"/>
  <c r="GO479" i="2"/>
  <c r="GL479" i="2"/>
  <c r="GJ479" i="2"/>
  <c r="FT479" i="2"/>
  <c r="FS479" i="2"/>
  <c r="FQ479" i="2"/>
  <c r="FP479" i="2"/>
  <c r="GI479" i="2" s="1"/>
  <c r="FO479" i="2"/>
  <c r="FN479" i="2"/>
  <c r="FM479" i="2"/>
  <c r="FL479" i="2"/>
  <c r="FK479" i="2"/>
  <c r="FJ479" i="2"/>
  <c r="FI479" i="2"/>
  <c r="GB479" i="2" s="1"/>
  <c r="FH479" i="2"/>
  <c r="FG479" i="2"/>
  <c r="FF479" i="2"/>
  <c r="FY479" i="2" s="1"/>
  <c r="FE479" i="2"/>
  <c r="FX479" i="2" s="1"/>
  <c r="FD479" i="2"/>
  <c r="FC479" i="2"/>
  <c r="FB479" i="2"/>
  <c r="EZ479" i="2"/>
  <c r="EP479" i="2"/>
  <c r="EH479" i="2"/>
  <c r="EG479" i="2"/>
  <c r="EE479" i="2"/>
  <c r="EX479" i="2" s="1"/>
  <c r="ED479" i="2"/>
  <c r="EW479" i="2" s="1"/>
  <c r="EC479" i="2"/>
  <c r="EB479" i="2"/>
  <c r="EA479" i="2"/>
  <c r="DZ479" i="2"/>
  <c r="DY479" i="2"/>
  <c r="DX479" i="2"/>
  <c r="DW479" i="2"/>
  <c r="DV479" i="2"/>
  <c r="DU479" i="2"/>
  <c r="DT479" i="2"/>
  <c r="EM479" i="2" s="1"/>
  <c r="DS479" i="2"/>
  <c r="EL479" i="2" s="1"/>
  <c r="DR479" i="2"/>
  <c r="DQ479" i="2"/>
  <c r="DP479" i="2"/>
  <c r="DM479" i="2"/>
  <c r="DL479" i="2"/>
  <c r="HC478" i="2"/>
  <c r="HB478" i="2"/>
  <c r="GW478" i="2"/>
  <c r="GV478" i="2"/>
  <c r="GU478" i="2"/>
  <c r="GT478" i="2"/>
  <c r="GP478" i="2"/>
  <c r="GQ478" i="2" s="1"/>
  <c r="GO478" i="2"/>
  <c r="GL478" i="2"/>
  <c r="GI478" i="2"/>
  <c r="FY478" i="2"/>
  <c r="FX478" i="2"/>
  <c r="FT478" i="2"/>
  <c r="FS478" i="2"/>
  <c r="FQ478" i="2"/>
  <c r="GJ478" i="2" s="1"/>
  <c r="FP478" i="2"/>
  <c r="FO478" i="2"/>
  <c r="FN478" i="2"/>
  <c r="FM478" i="2"/>
  <c r="FL478" i="2"/>
  <c r="FK478" i="2"/>
  <c r="FJ478" i="2"/>
  <c r="FI478" i="2"/>
  <c r="GB478" i="2" s="1"/>
  <c r="FH478" i="2"/>
  <c r="FG478" i="2"/>
  <c r="FF478" i="2"/>
  <c r="FE478" i="2"/>
  <c r="FD478" i="2"/>
  <c r="FC478" i="2"/>
  <c r="FB478" i="2"/>
  <c r="EZ478" i="2"/>
  <c r="EX478" i="2"/>
  <c r="EL478" i="2"/>
  <c r="EH478" i="2"/>
  <c r="EG478" i="2"/>
  <c r="EE478" i="2"/>
  <c r="ED478" i="2"/>
  <c r="EW478" i="2" s="1"/>
  <c r="EC478" i="2"/>
  <c r="EB478" i="2"/>
  <c r="EA478" i="2"/>
  <c r="DZ478" i="2"/>
  <c r="DY478" i="2"/>
  <c r="DX478" i="2"/>
  <c r="DW478" i="2"/>
  <c r="EP478" i="2" s="1"/>
  <c r="DV478" i="2"/>
  <c r="DU478" i="2"/>
  <c r="DT478" i="2"/>
  <c r="EM478" i="2" s="1"/>
  <c r="DS478" i="2"/>
  <c r="DR478" i="2"/>
  <c r="DQ478" i="2"/>
  <c r="DP478" i="2"/>
  <c r="DM478" i="2"/>
  <c r="DL478" i="2"/>
  <c r="HC477" i="2"/>
  <c r="HB477" i="2"/>
  <c r="GW477" i="2"/>
  <c r="GV477" i="2"/>
  <c r="GU477" i="2"/>
  <c r="GT477" i="2"/>
  <c r="GP477" i="2"/>
  <c r="GQ477" i="2" s="1"/>
  <c r="GO477" i="2"/>
  <c r="GJ477" i="2"/>
  <c r="FY477" i="2"/>
  <c r="FT477" i="2"/>
  <c r="FS477" i="2"/>
  <c r="GL477" i="2" s="1"/>
  <c r="FQ477" i="2"/>
  <c r="FP477" i="2"/>
  <c r="GI477" i="2" s="1"/>
  <c r="FO477" i="2"/>
  <c r="FN477" i="2"/>
  <c r="FM477" i="2"/>
  <c r="FL477" i="2"/>
  <c r="FK477" i="2"/>
  <c r="FJ477" i="2"/>
  <c r="FI477" i="2"/>
  <c r="GB477" i="2" s="1"/>
  <c r="FH477" i="2"/>
  <c r="FG477" i="2"/>
  <c r="FF477" i="2"/>
  <c r="FE477" i="2"/>
  <c r="FX477" i="2" s="1"/>
  <c r="FD477" i="2"/>
  <c r="FC477" i="2"/>
  <c r="FB477" i="2"/>
  <c r="EP477" i="2"/>
  <c r="EH477" i="2"/>
  <c r="EG477" i="2"/>
  <c r="EZ477" i="2" s="1"/>
  <c r="EE477" i="2"/>
  <c r="EX477" i="2" s="1"/>
  <c r="ED477" i="2"/>
  <c r="EW477" i="2" s="1"/>
  <c r="EC477" i="2"/>
  <c r="EB477" i="2"/>
  <c r="EA477" i="2"/>
  <c r="DZ477" i="2"/>
  <c r="DY477" i="2"/>
  <c r="DX477" i="2"/>
  <c r="DW477" i="2"/>
  <c r="DV477" i="2"/>
  <c r="DU477" i="2"/>
  <c r="DT477" i="2"/>
  <c r="EM477" i="2" s="1"/>
  <c r="DS477" i="2"/>
  <c r="EL477" i="2" s="1"/>
  <c r="DR477" i="2"/>
  <c r="DQ477" i="2"/>
  <c r="DP477" i="2"/>
  <c r="DM477" i="2"/>
  <c r="DL477" i="2"/>
  <c r="HC476" i="2"/>
  <c r="HB476" i="2"/>
  <c r="GW476" i="2"/>
  <c r="GV476" i="2"/>
  <c r="GU476" i="2"/>
  <c r="GT476" i="2"/>
  <c r="GP476" i="2"/>
  <c r="GQ476" i="2" s="1"/>
  <c r="GO476" i="2"/>
  <c r="GL476" i="2"/>
  <c r="FX476" i="2"/>
  <c r="FT476" i="2"/>
  <c r="FS476" i="2"/>
  <c r="FQ476" i="2"/>
  <c r="GJ476" i="2" s="1"/>
  <c r="FP476" i="2"/>
  <c r="GI476" i="2" s="1"/>
  <c r="FO476" i="2"/>
  <c r="FN476" i="2"/>
  <c r="FM476" i="2"/>
  <c r="FL476" i="2"/>
  <c r="FK476" i="2"/>
  <c r="FJ476" i="2"/>
  <c r="FI476" i="2"/>
  <c r="GB476" i="2" s="1"/>
  <c r="FH476" i="2"/>
  <c r="FG476" i="2"/>
  <c r="FF476" i="2"/>
  <c r="FY476" i="2" s="1"/>
  <c r="FE476" i="2"/>
  <c r="FD476" i="2"/>
  <c r="FC476" i="2"/>
  <c r="FB476" i="2"/>
  <c r="EZ476" i="2"/>
  <c r="EX476" i="2"/>
  <c r="EL476" i="2"/>
  <c r="EH476" i="2"/>
  <c r="EG476" i="2"/>
  <c r="EE476" i="2"/>
  <c r="ED476" i="2"/>
  <c r="EW476" i="2" s="1"/>
  <c r="EC476" i="2"/>
  <c r="EB476" i="2"/>
  <c r="EA476" i="2"/>
  <c r="DY476" i="2"/>
  <c r="DX476" i="2"/>
  <c r="DW476" i="2"/>
  <c r="EP476" i="2" s="1"/>
  <c r="DV476" i="2"/>
  <c r="DU476" i="2"/>
  <c r="DT476" i="2"/>
  <c r="EM476" i="2" s="1"/>
  <c r="DS476" i="2"/>
  <c r="DR476" i="2"/>
  <c r="DQ476" i="2"/>
  <c r="DP476" i="2"/>
  <c r="DM476" i="2"/>
  <c r="DL476" i="2"/>
  <c r="BJ476" i="2"/>
  <c r="DZ476" i="2" s="1"/>
  <c r="BI476" i="2"/>
  <c r="HC475" i="2"/>
  <c r="HB475" i="2"/>
  <c r="GW475" i="2"/>
  <c r="GV475" i="2"/>
  <c r="GU475" i="2"/>
  <c r="GT475" i="2"/>
  <c r="GQ475" i="2"/>
  <c r="GO475" i="2"/>
  <c r="GP475" i="2" s="1"/>
  <c r="GB475" i="2"/>
  <c r="FX475" i="2"/>
  <c r="FT475" i="2"/>
  <c r="FS475" i="2"/>
  <c r="GL475" i="2" s="1"/>
  <c r="FQ475" i="2"/>
  <c r="GJ475" i="2" s="1"/>
  <c r="FP475" i="2"/>
  <c r="GI475" i="2" s="1"/>
  <c r="FO475" i="2"/>
  <c r="FN475" i="2"/>
  <c r="FM475" i="2"/>
  <c r="FL475" i="2"/>
  <c r="FK475" i="2"/>
  <c r="FJ475" i="2"/>
  <c r="FI475" i="2"/>
  <c r="FH475" i="2"/>
  <c r="FG475" i="2"/>
  <c r="FF475" i="2"/>
  <c r="FY475" i="2" s="1"/>
  <c r="FE475" i="2"/>
  <c r="FD475" i="2"/>
  <c r="FC475" i="2"/>
  <c r="FB475" i="2"/>
  <c r="EP475" i="2"/>
  <c r="EL475" i="2"/>
  <c r="EH475" i="2"/>
  <c r="EG475" i="2"/>
  <c r="EZ475" i="2" s="1"/>
  <c r="EE475" i="2"/>
  <c r="EX475" i="2" s="1"/>
  <c r="ED475" i="2"/>
  <c r="EW475" i="2" s="1"/>
  <c r="EC475" i="2"/>
  <c r="EB475" i="2"/>
  <c r="EA475" i="2"/>
  <c r="DZ475" i="2"/>
  <c r="DY475" i="2"/>
  <c r="DX475" i="2"/>
  <c r="DW475" i="2"/>
  <c r="DV475" i="2"/>
  <c r="DU475" i="2"/>
  <c r="DT475" i="2"/>
  <c r="EM475" i="2" s="1"/>
  <c r="DS475" i="2"/>
  <c r="DR475" i="2"/>
  <c r="DQ475" i="2"/>
  <c r="DP475" i="2"/>
  <c r="DM475" i="2"/>
  <c r="DL475" i="2"/>
  <c r="HC474" i="2"/>
  <c r="HB474" i="2"/>
  <c r="GW474" i="2"/>
  <c r="GV474" i="2"/>
  <c r="GU474" i="2"/>
  <c r="GT474" i="2"/>
  <c r="GO474" i="2"/>
  <c r="FX474" i="2"/>
  <c r="FT474" i="2"/>
  <c r="FS474" i="2"/>
  <c r="GL474" i="2" s="1"/>
  <c r="FQ474" i="2"/>
  <c r="GJ474" i="2" s="1"/>
  <c r="FP474" i="2"/>
  <c r="GI474" i="2" s="1"/>
  <c r="FO474" i="2"/>
  <c r="FN474" i="2"/>
  <c r="FM474" i="2"/>
  <c r="FL474" i="2"/>
  <c r="FK474" i="2"/>
  <c r="FJ474" i="2"/>
  <c r="FI474" i="2"/>
  <c r="GB474" i="2" s="1"/>
  <c r="FH474" i="2"/>
  <c r="FG474" i="2"/>
  <c r="FF474" i="2"/>
  <c r="FY474" i="2" s="1"/>
  <c r="FE474" i="2"/>
  <c r="FD474" i="2"/>
  <c r="FC474" i="2"/>
  <c r="FB474" i="2"/>
  <c r="EW474" i="2"/>
  <c r="EM474" i="2"/>
  <c r="EL474" i="2"/>
  <c r="EH474" i="2"/>
  <c r="EG474" i="2"/>
  <c r="EZ474" i="2" s="1"/>
  <c r="EE474" i="2"/>
  <c r="EX474" i="2" s="1"/>
  <c r="ED474" i="2"/>
  <c r="EC474" i="2"/>
  <c r="EB474" i="2"/>
  <c r="EA474" i="2"/>
  <c r="DZ474" i="2"/>
  <c r="DY474" i="2"/>
  <c r="DX474" i="2"/>
  <c r="DW474" i="2"/>
  <c r="EP474" i="2" s="1"/>
  <c r="DV474" i="2"/>
  <c r="DU474" i="2"/>
  <c r="DT474" i="2"/>
  <c r="DS474" i="2"/>
  <c r="DR474" i="2"/>
  <c r="DQ474" i="2"/>
  <c r="DP474" i="2"/>
  <c r="DM474" i="2"/>
  <c r="DL474" i="2"/>
  <c r="HC473" i="2"/>
  <c r="HB473" i="2"/>
  <c r="GW473" i="2"/>
  <c r="GV473" i="2"/>
  <c r="GU473" i="2"/>
  <c r="GT473" i="2"/>
  <c r="GQ473" i="2"/>
  <c r="GO473" i="2"/>
  <c r="GP473" i="2" s="1"/>
  <c r="GL473" i="2"/>
  <c r="GI473" i="2"/>
  <c r="GB473" i="2"/>
  <c r="FX473" i="2"/>
  <c r="FT473" i="2"/>
  <c r="FS473" i="2"/>
  <c r="FQ473" i="2"/>
  <c r="GJ473" i="2" s="1"/>
  <c r="FP473" i="2"/>
  <c r="FO473" i="2"/>
  <c r="FN473" i="2"/>
  <c r="FM473" i="2"/>
  <c r="FL473" i="2"/>
  <c r="FK473" i="2"/>
  <c r="FJ473" i="2"/>
  <c r="FI473" i="2"/>
  <c r="FH473" i="2"/>
  <c r="FG473" i="2"/>
  <c r="FF473" i="2"/>
  <c r="FY473" i="2" s="1"/>
  <c r="FE473" i="2"/>
  <c r="FD473" i="2"/>
  <c r="FC473" i="2"/>
  <c r="FB473" i="2"/>
  <c r="EP473" i="2"/>
  <c r="EM473" i="2"/>
  <c r="EL473" i="2"/>
  <c r="EH473" i="2"/>
  <c r="EG473" i="2"/>
  <c r="EZ473" i="2" s="1"/>
  <c r="EE473" i="2"/>
  <c r="EX473" i="2" s="1"/>
  <c r="ED473" i="2"/>
  <c r="EW473" i="2" s="1"/>
  <c r="EC473" i="2"/>
  <c r="EB473" i="2"/>
  <c r="EA473" i="2"/>
  <c r="DZ473" i="2"/>
  <c r="DY473" i="2"/>
  <c r="DX473" i="2"/>
  <c r="DW473" i="2"/>
  <c r="DV473" i="2"/>
  <c r="DU473" i="2"/>
  <c r="DT473" i="2"/>
  <c r="DS473" i="2"/>
  <c r="DR473" i="2"/>
  <c r="DQ473" i="2"/>
  <c r="DP473" i="2"/>
  <c r="DM473" i="2"/>
  <c r="DL473" i="2"/>
  <c r="HC472" i="2"/>
  <c r="HB472" i="2"/>
  <c r="GW472" i="2"/>
  <c r="GV472" i="2"/>
  <c r="GU472" i="2"/>
  <c r="GT472" i="2"/>
  <c r="GP472" i="2"/>
  <c r="GO472" i="2"/>
  <c r="GB472" i="2"/>
  <c r="FT472" i="2"/>
  <c r="FS472" i="2"/>
  <c r="GL472" i="2" s="1"/>
  <c r="FQ472" i="2"/>
  <c r="GJ472" i="2" s="1"/>
  <c r="FP472" i="2"/>
  <c r="GI472" i="2" s="1"/>
  <c r="FO472" i="2"/>
  <c r="FN472" i="2"/>
  <c r="FM472" i="2"/>
  <c r="FL472" i="2"/>
  <c r="FK472" i="2"/>
  <c r="FJ472" i="2"/>
  <c r="FI472" i="2"/>
  <c r="FH472" i="2"/>
  <c r="FG472" i="2"/>
  <c r="FF472" i="2"/>
  <c r="FY472" i="2" s="1"/>
  <c r="FE472" i="2"/>
  <c r="FX472" i="2" s="1"/>
  <c r="FD472" i="2"/>
  <c r="FC472" i="2"/>
  <c r="FB472" i="2"/>
  <c r="EW472" i="2"/>
  <c r="EP472" i="2"/>
  <c r="EM472" i="2"/>
  <c r="EH472" i="2"/>
  <c r="EG472" i="2"/>
  <c r="EZ472" i="2" s="1"/>
  <c r="EE472" i="2"/>
  <c r="EX472" i="2" s="1"/>
  <c r="ED472" i="2"/>
  <c r="EC472" i="2"/>
  <c r="EB472" i="2"/>
  <c r="EA472" i="2"/>
  <c r="DZ472" i="2"/>
  <c r="DY472" i="2"/>
  <c r="DX472" i="2"/>
  <c r="DW472" i="2"/>
  <c r="DV472" i="2"/>
  <c r="DU472" i="2"/>
  <c r="DT472" i="2"/>
  <c r="DS472" i="2"/>
  <c r="EL472" i="2" s="1"/>
  <c r="DR472" i="2"/>
  <c r="DQ472" i="2"/>
  <c r="DP472" i="2"/>
  <c r="DM472" i="2"/>
  <c r="DL472" i="2"/>
  <c r="HC471" i="2"/>
  <c r="HB471" i="2"/>
  <c r="GW471" i="2"/>
  <c r="GU471" i="2"/>
  <c r="GT471" i="2"/>
  <c r="GI471" i="2"/>
  <c r="GB471" i="2"/>
  <c r="FY471" i="2"/>
  <c r="FX471" i="2"/>
  <c r="FT471" i="2"/>
  <c r="FS471" i="2"/>
  <c r="GL471" i="2" s="1"/>
  <c r="FQ471" i="2"/>
  <c r="GJ471" i="2" s="1"/>
  <c r="FP471" i="2"/>
  <c r="FO471" i="2"/>
  <c r="FN471" i="2"/>
  <c r="FM471" i="2"/>
  <c r="FL471" i="2"/>
  <c r="FK471" i="2"/>
  <c r="FJ471" i="2"/>
  <c r="FI471" i="2"/>
  <c r="FH471" i="2"/>
  <c r="FG471" i="2"/>
  <c r="FF471" i="2"/>
  <c r="FE471" i="2"/>
  <c r="FD471" i="2"/>
  <c r="FC471" i="2"/>
  <c r="FB471" i="2"/>
  <c r="EH471" i="2"/>
  <c r="EG471" i="2"/>
  <c r="EZ471" i="2" s="1"/>
  <c r="EE471" i="2"/>
  <c r="EX471" i="2" s="1"/>
  <c r="DX471" i="2"/>
  <c r="DW471" i="2"/>
  <c r="EP471" i="2" s="1"/>
  <c r="DV471" i="2"/>
  <c r="DU471" i="2"/>
  <c r="DT471" i="2"/>
  <c r="EM471" i="2" s="1"/>
  <c r="DR471" i="2"/>
  <c r="DP471" i="2"/>
  <c r="AY471" i="2"/>
  <c r="GO471" i="2" s="1"/>
  <c r="HC470" i="2"/>
  <c r="HB470" i="2"/>
  <c r="GW470" i="2"/>
  <c r="GU470" i="2"/>
  <c r="GT470" i="2"/>
  <c r="GQ470" i="2"/>
  <c r="GP470" i="2"/>
  <c r="GO470" i="2"/>
  <c r="GB470" i="2"/>
  <c r="FX470" i="2"/>
  <c r="FT470" i="2"/>
  <c r="FS470" i="2"/>
  <c r="GL470" i="2" s="1"/>
  <c r="FQ470" i="2"/>
  <c r="GJ470" i="2" s="1"/>
  <c r="FP470" i="2"/>
  <c r="GI470" i="2" s="1"/>
  <c r="FO470" i="2"/>
  <c r="FN470" i="2"/>
  <c r="FM470" i="2"/>
  <c r="FL470" i="2"/>
  <c r="FK470" i="2"/>
  <c r="FJ470" i="2"/>
  <c r="FI470" i="2"/>
  <c r="FH470" i="2"/>
  <c r="FG470" i="2"/>
  <c r="FF470" i="2"/>
  <c r="FY470" i="2" s="1"/>
  <c r="FE470" i="2"/>
  <c r="FD470" i="2"/>
  <c r="FC470" i="2"/>
  <c r="FB470" i="2"/>
  <c r="EW470" i="2"/>
  <c r="EG470" i="2"/>
  <c r="EZ470" i="2" s="1"/>
  <c r="ED470" i="2"/>
  <c r="EC470" i="2"/>
  <c r="EB470" i="2"/>
  <c r="EA470" i="2"/>
  <c r="DZ470" i="2"/>
  <c r="DX470" i="2"/>
  <c r="DV470" i="2"/>
  <c r="DT470" i="2"/>
  <c r="EM470" i="2" s="1"/>
  <c r="DS470" i="2"/>
  <c r="EL470" i="2" s="1"/>
  <c r="DR470" i="2"/>
  <c r="DQ470" i="2"/>
  <c r="DP470" i="2"/>
  <c r="DL470" i="2"/>
  <c r="AY470" i="2"/>
  <c r="GV470" i="2" s="1"/>
  <c r="HC469" i="2"/>
  <c r="HB469" i="2"/>
  <c r="GW469" i="2"/>
  <c r="GV469" i="2"/>
  <c r="GU469" i="2"/>
  <c r="GT469" i="2"/>
  <c r="GO469" i="2"/>
  <c r="GP469" i="2" s="1"/>
  <c r="GL469" i="2"/>
  <c r="GJ469" i="2"/>
  <c r="FY469" i="2"/>
  <c r="FX469" i="2"/>
  <c r="FT469" i="2"/>
  <c r="FS469" i="2"/>
  <c r="FQ469" i="2"/>
  <c r="FP469" i="2"/>
  <c r="GI469" i="2" s="1"/>
  <c r="FO469" i="2"/>
  <c r="FN469" i="2"/>
  <c r="FM469" i="2"/>
  <c r="FL469" i="2"/>
  <c r="FK469" i="2"/>
  <c r="FJ469" i="2"/>
  <c r="FI469" i="2"/>
  <c r="GB469" i="2" s="1"/>
  <c r="FH469" i="2"/>
  <c r="FG469" i="2"/>
  <c r="FF469" i="2"/>
  <c r="FE469" i="2"/>
  <c r="FD469" i="2"/>
  <c r="FC469" i="2"/>
  <c r="FB469" i="2"/>
  <c r="EX469" i="2"/>
  <c r="EH469" i="2"/>
  <c r="EG469" i="2"/>
  <c r="EZ469" i="2" s="1"/>
  <c r="EE469" i="2"/>
  <c r="ED469" i="2"/>
  <c r="EW469" i="2" s="1"/>
  <c r="EC469" i="2"/>
  <c r="EB469" i="2"/>
  <c r="EA469" i="2"/>
  <c r="DZ469" i="2"/>
  <c r="DY469" i="2"/>
  <c r="DX469" i="2"/>
  <c r="DW469" i="2"/>
  <c r="EP469" i="2" s="1"/>
  <c r="DV469" i="2"/>
  <c r="DU469" i="2"/>
  <c r="DT469" i="2"/>
  <c r="EM469" i="2" s="1"/>
  <c r="DS469" i="2"/>
  <c r="EL469" i="2" s="1"/>
  <c r="DR469" i="2"/>
  <c r="DQ469" i="2"/>
  <c r="DP469" i="2"/>
  <c r="DM469" i="2"/>
  <c r="DL469" i="2"/>
  <c r="HC468" i="2"/>
  <c r="HB468" i="2"/>
  <c r="GW468" i="2"/>
  <c r="GV468" i="2"/>
  <c r="GU468" i="2"/>
  <c r="GT468" i="2"/>
  <c r="GO468" i="2"/>
  <c r="GJ468" i="2"/>
  <c r="GI468" i="2"/>
  <c r="FY468" i="2"/>
  <c r="FX468" i="2"/>
  <c r="FT468" i="2"/>
  <c r="FS468" i="2"/>
  <c r="GL468" i="2" s="1"/>
  <c r="FQ468" i="2"/>
  <c r="FP468" i="2"/>
  <c r="FO468" i="2"/>
  <c r="FN468" i="2"/>
  <c r="FM468" i="2"/>
  <c r="FL468" i="2"/>
  <c r="FK468" i="2"/>
  <c r="FJ468" i="2"/>
  <c r="FI468" i="2"/>
  <c r="GB468" i="2" s="1"/>
  <c r="FH468" i="2"/>
  <c r="FG468" i="2"/>
  <c r="FF468" i="2"/>
  <c r="FE468" i="2"/>
  <c r="FD468" i="2"/>
  <c r="FC468" i="2"/>
  <c r="FB468" i="2"/>
  <c r="EZ468" i="2"/>
  <c r="EX468" i="2"/>
  <c r="EW468" i="2"/>
  <c r="EP468" i="2"/>
  <c r="EM468" i="2"/>
  <c r="EL468" i="2"/>
  <c r="EH468" i="2"/>
  <c r="EG468" i="2"/>
  <c r="EE468" i="2"/>
  <c r="ED468" i="2"/>
  <c r="EC468" i="2"/>
  <c r="EB468" i="2"/>
  <c r="EA468" i="2"/>
  <c r="DZ468" i="2"/>
  <c r="DY468" i="2"/>
  <c r="DX468" i="2"/>
  <c r="DW468" i="2"/>
  <c r="DV468" i="2"/>
  <c r="DU468" i="2"/>
  <c r="DT468" i="2"/>
  <c r="DS468" i="2"/>
  <c r="DR468" i="2"/>
  <c r="DQ468" i="2"/>
  <c r="DP468" i="2"/>
  <c r="DM468" i="2"/>
  <c r="DL468" i="2"/>
  <c r="HC467" i="2"/>
  <c r="HB467" i="2"/>
  <c r="GW467" i="2"/>
  <c r="GV467" i="2"/>
  <c r="GU467" i="2"/>
  <c r="GT467" i="2"/>
  <c r="GQ467" i="2"/>
  <c r="GP467" i="2"/>
  <c r="GO467" i="2"/>
  <c r="GI467" i="2"/>
  <c r="FY467" i="2"/>
  <c r="FX467" i="2"/>
  <c r="FT467" i="2"/>
  <c r="FS467" i="2"/>
  <c r="GL467" i="2" s="1"/>
  <c r="FQ467" i="2"/>
  <c r="GJ467" i="2" s="1"/>
  <c r="FP467" i="2"/>
  <c r="FO467" i="2"/>
  <c r="FN467" i="2"/>
  <c r="FM467" i="2"/>
  <c r="FL467" i="2"/>
  <c r="FK467" i="2"/>
  <c r="FJ467" i="2"/>
  <c r="FI467" i="2"/>
  <c r="GB467" i="2" s="1"/>
  <c r="FH467" i="2"/>
  <c r="FG467" i="2"/>
  <c r="FF467" i="2"/>
  <c r="FE467" i="2"/>
  <c r="FD467" i="2"/>
  <c r="FC467" i="2"/>
  <c r="FB467" i="2"/>
  <c r="EZ467" i="2"/>
  <c r="EX467" i="2"/>
  <c r="EW467" i="2"/>
  <c r="EL467" i="2"/>
  <c r="EH467" i="2"/>
  <c r="EG467" i="2"/>
  <c r="EE467" i="2"/>
  <c r="ED467" i="2"/>
  <c r="EC467" i="2"/>
  <c r="EB467" i="2"/>
  <c r="EA467" i="2"/>
  <c r="DZ467" i="2"/>
  <c r="DY467" i="2"/>
  <c r="DX467" i="2"/>
  <c r="DW467" i="2"/>
  <c r="EP467" i="2" s="1"/>
  <c r="DV467" i="2"/>
  <c r="DU467" i="2"/>
  <c r="DT467" i="2"/>
  <c r="EM467" i="2" s="1"/>
  <c r="DS467" i="2"/>
  <c r="DR467" i="2"/>
  <c r="DQ467" i="2"/>
  <c r="DP467" i="2"/>
  <c r="DM467" i="2"/>
  <c r="DL467" i="2"/>
  <c r="HC466" i="2"/>
  <c r="HB466" i="2"/>
  <c r="GW466" i="2"/>
  <c r="GV466" i="2"/>
  <c r="GU466" i="2"/>
  <c r="GT466" i="2"/>
  <c r="GO466" i="2"/>
  <c r="GP466" i="2" s="1"/>
  <c r="GQ466" i="2" s="1"/>
  <c r="GJ466" i="2"/>
  <c r="GI466" i="2"/>
  <c r="FY466" i="2"/>
  <c r="FX466" i="2"/>
  <c r="FT466" i="2"/>
  <c r="FS466" i="2"/>
  <c r="GL466" i="2" s="1"/>
  <c r="FQ466" i="2"/>
  <c r="FP466" i="2"/>
  <c r="FO466" i="2"/>
  <c r="FN466" i="2"/>
  <c r="FM466" i="2"/>
  <c r="FL466" i="2"/>
  <c r="FK466" i="2"/>
  <c r="FJ466" i="2"/>
  <c r="FI466" i="2"/>
  <c r="GB466" i="2" s="1"/>
  <c r="FH466" i="2"/>
  <c r="FG466" i="2"/>
  <c r="FF466" i="2"/>
  <c r="FE466" i="2"/>
  <c r="FD466" i="2"/>
  <c r="FC466" i="2"/>
  <c r="FB466" i="2"/>
  <c r="EZ466" i="2"/>
  <c r="EX466" i="2"/>
  <c r="EW466" i="2"/>
  <c r="EP466" i="2"/>
  <c r="EM466" i="2"/>
  <c r="EL466" i="2"/>
  <c r="EH466" i="2"/>
  <c r="EG466" i="2"/>
  <c r="EE466" i="2"/>
  <c r="ED466" i="2"/>
  <c r="EC466" i="2"/>
  <c r="EB466" i="2"/>
  <c r="EA466" i="2"/>
  <c r="DZ466" i="2"/>
  <c r="DY466" i="2"/>
  <c r="DX466" i="2"/>
  <c r="DW466" i="2"/>
  <c r="DV466" i="2"/>
  <c r="DU466" i="2"/>
  <c r="DT466" i="2"/>
  <c r="DS466" i="2"/>
  <c r="DR466" i="2"/>
  <c r="DQ466" i="2"/>
  <c r="DP466" i="2"/>
  <c r="DM466" i="2"/>
  <c r="DL466" i="2"/>
  <c r="HC465" i="2"/>
  <c r="HB465" i="2"/>
  <c r="GW465" i="2"/>
  <c r="GV465" i="2"/>
  <c r="GU465" i="2"/>
  <c r="GT465" i="2"/>
  <c r="GP465" i="2"/>
  <c r="GQ465" i="2" s="1"/>
  <c r="GO465" i="2"/>
  <c r="GL465" i="2"/>
  <c r="GI465" i="2"/>
  <c r="GB465" i="2"/>
  <c r="FY465" i="2"/>
  <c r="FX465" i="2"/>
  <c r="FT465" i="2"/>
  <c r="FS465" i="2"/>
  <c r="FQ465" i="2"/>
  <c r="GJ465" i="2" s="1"/>
  <c r="FP465" i="2"/>
  <c r="FO465" i="2"/>
  <c r="FN465" i="2"/>
  <c r="FM465" i="2"/>
  <c r="FJ465" i="2"/>
  <c r="FI465" i="2"/>
  <c r="FH465" i="2"/>
  <c r="FG465" i="2"/>
  <c r="FF465" i="2"/>
  <c r="FE465" i="2"/>
  <c r="FD465" i="2"/>
  <c r="FC465" i="2"/>
  <c r="FB465" i="2"/>
  <c r="EW465" i="2"/>
  <c r="EL465" i="2"/>
  <c r="EH465" i="2"/>
  <c r="EG465" i="2"/>
  <c r="EZ465" i="2" s="1"/>
  <c r="EE465" i="2"/>
  <c r="EX465" i="2" s="1"/>
  <c r="ED465" i="2"/>
  <c r="EC465" i="2"/>
  <c r="EB465" i="2"/>
  <c r="EA465" i="2"/>
  <c r="DX465" i="2"/>
  <c r="DW465" i="2"/>
  <c r="EP465" i="2" s="1"/>
  <c r="DV465" i="2"/>
  <c r="DU465" i="2"/>
  <c r="DT465" i="2"/>
  <c r="EM465" i="2" s="1"/>
  <c r="DS465" i="2"/>
  <c r="DR465" i="2"/>
  <c r="DQ465" i="2"/>
  <c r="DP465" i="2"/>
  <c r="DM465" i="2"/>
  <c r="DL465" i="2"/>
  <c r="CE465" i="2"/>
  <c r="FL465" i="2" s="1"/>
  <c r="CD465" i="2"/>
  <c r="FK465" i="2" s="1"/>
  <c r="T465" i="2"/>
  <c r="DZ465" i="2" s="1"/>
  <c r="S465" i="2"/>
  <c r="DY465" i="2" s="1"/>
  <c r="HC464" i="2"/>
  <c r="HB464" i="2"/>
  <c r="GW464" i="2"/>
  <c r="GV464" i="2"/>
  <c r="GU464" i="2"/>
  <c r="GT464" i="2"/>
  <c r="GQ464" i="2"/>
  <c r="GP464" i="2"/>
  <c r="GO464" i="2"/>
  <c r="GL464" i="2"/>
  <c r="GJ464" i="2"/>
  <c r="GI464" i="2"/>
  <c r="GB464" i="2"/>
  <c r="FX464" i="2"/>
  <c r="FT464" i="2"/>
  <c r="FS464" i="2"/>
  <c r="FQ464" i="2"/>
  <c r="FP464" i="2"/>
  <c r="FO464" i="2"/>
  <c r="FN464" i="2"/>
  <c r="FM464" i="2"/>
  <c r="FL464" i="2"/>
  <c r="FK464" i="2"/>
  <c r="FJ464" i="2"/>
  <c r="FI464" i="2"/>
  <c r="FH464" i="2"/>
  <c r="FG464" i="2"/>
  <c r="FF464" i="2"/>
  <c r="FY464" i="2" s="1"/>
  <c r="FE464" i="2"/>
  <c r="FD464" i="2"/>
  <c r="FC464" i="2"/>
  <c r="FB464" i="2"/>
  <c r="EP464" i="2"/>
  <c r="EH464" i="2"/>
  <c r="EG464" i="2"/>
  <c r="EZ464" i="2" s="1"/>
  <c r="EE464" i="2"/>
  <c r="EX464" i="2" s="1"/>
  <c r="ED464" i="2"/>
  <c r="EW464" i="2" s="1"/>
  <c r="EC464" i="2"/>
  <c r="EB464" i="2"/>
  <c r="EA464" i="2"/>
  <c r="DX464" i="2"/>
  <c r="DW464" i="2"/>
  <c r="DV464" i="2"/>
  <c r="DU464" i="2"/>
  <c r="DT464" i="2"/>
  <c r="EM464" i="2" s="1"/>
  <c r="DS464" i="2"/>
  <c r="EL464" i="2" s="1"/>
  <c r="DR464" i="2"/>
  <c r="DQ464" i="2"/>
  <c r="DP464" i="2"/>
  <c r="DM464" i="2"/>
  <c r="DL464" i="2"/>
  <c r="CE464" i="2"/>
  <c r="CD464" i="2"/>
  <c r="T464" i="2"/>
  <c r="DZ464" i="2" s="1"/>
  <c r="S464" i="2"/>
  <c r="DY464" i="2" s="1"/>
  <c r="HC463" i="2"/>
  <c r="HB463" i="2"/>
  <c r="GW463" i="2"/>
  <c r="GV463" i="2"/>
  <c r="GU463" i="2"/>
  <c r="GT463" i="2"/>
  <c r="GP463" i="2"/>
  <c r="GQ463" i="2" s="1"/>
  <c r="GO463" i="2"/>
  <c r="GJ463" i="2"/>
  <c r="FX463" i="2"/>
  <c r="FT463" i="2"/>
  <c r="FS463" i="2"/>
  <c r="GL463" i="2" s="1"/>
  <c r="FQ463" i="2"/>
  <c r="FP463" i="2"/>
  <c r="GI463" i="2" s="1"/>
  <c r="FO463" i="2"/>
  <c r="FN463" i="2"/>
  <c r="FM463" i="2"/>
  <c r="FL463" i="2"/>
  <c r="FK463" i="2"/>
  <c r="FJ463" i="2"/>
  <c r="FI463" i="2"/>
  <c r="GB463" i="2" s="1"/>
  <c r="FH463" i="2"/>
  <c r="FG463" i="2"/>
  <c r="FF463" i="2"/>
  <c r="FY463" i="2" s="1"/>
  <c r="FE463" i="2"/>
  <c r="FD463" i="2"/>
  <c r="FC463" i="2"/>
  <c r="FB463" i="2"/>
  <c r="EZ463" i="2"/>
  <c r="EX463" i="2"/>
  <c r="EW463" i="2"/>
  <c r="EP463" i="2"/>
  <c r="EM463" i="2"/>
  <c r="EH463" i="2"/>
  <c r="EG463" i="2"/>
  <c r="EE463" i="2"/>
  <c r="ED463" i="2"/>
  <c r="EC463" i="2"/>
  <c r="EB463" i="2"/>
  <c r="EA463" i="2"/>
  <c r="DZ463" i="2"/>
  <c r="DY463" i="2"/>
  <c r="DX463" i="2"/>
  <c r="DW463" i="2"/>
  <c r="DV463" i="2"/>
  <c r="DU463" i="2"/>
  <c r="DT463" i="2"/>
  <c r="DS463" i="2"/>
  <c r="EL463" i="2" s="1"/>
  <c r="DR463" i="2"/>
  <c r="DQ463" i="2"/>
  <c r="DP463" i="2"/>
  <c r="DM463" i="2"/>
  <c r="DL463" i="2"/>
  <c r="BJ463" i="2"/>
  <c r="BI463" i="2"/>
  <c r="HC462" i="2"/>
  <c r="HB462" i="2"/>
  <c r="GW462" i="2"/>
  <c r="GV462" i="2"/>
  <c r="GU462" i="2"/>
  <c r="GT462" i="2"/>
  <c r="GP462" i="2"/>
  <c r="GQ462" i="2" s="1"/>
  <c r="GO462" i="2"/>
  <c r="GL462" i="2"/>
  <c r="GJ462" i="2"/>
  <c r="FX462" i="2"/>
  <c r="FT462" i="2"/>
  <c r="FS462" i="2"/>
  <c r="FQ462" i="2"/>
  <c r="FP462" i="2"/>
  <c r="GI462" i="2" s="1"/>
  <c r="FO462" i="2"/>
  <c r="FN462" i="2"/>
  <c r="FM462" i="2"/>
  <c r="FL462" i="2"/>
  <c r="FK462" i="2"/>
  <c r="FJ462" i="2"/>
  <c r="FI462" i="2"/>
  <c r="GB462" i="2" s="1"/>
  <c r="FH462" i="2"/>
  <c r="FG462" i="2"/>
  <c r="FF462" i="2"/>
  <c r="FY462" i="2" s="1"/>
  <c r="FE462" i="2"/>
  <c r="FD462" i="2"/>
  <c r="FC462" i="2"/>
  <c r="FB462" i="2"/>
  <c r="EZ462" i="2"/>
  <c r="EX462" i="2"/>
  <c r="EP462" i="2"/>
  <c r="EM462" i="2"/>
  <c r="EH462" i="2"/>
  <c r="EG462" i="2"/>
  <c r="EE462" i="2"/>
  <c r="ED462" i="2"/>
  <c r="EW462" i="2" s="1"/>
  <c r="EC462" i="2"/>
  <c r="EB462" i="2"/>
  <c r="EA462" i="2"/>
  <c r="DZ462" i="2"/>
  <c r="DY462" i="2"/>
  <c r="DX462" i="2"/>
  <c r="DW462" i="2"/>
  <c r="DV462" i="2"/>
  <c r="DU462" i="2"/>
  <c r="DT462" i="2"/>
  <c r="DS462" i="2"/>
  <c r="EL462" i="2" s="1"/>
  <c r="DR462" i="2"/>
  <c r="DQ462" i="2"/>
  <c r="DP462" i="2"/>
  <c r="DM462" i="2"/>
  <c r="DL462" i="2"/>
  <c r="HC461" i="2"/>
  <c r="HB461" i="2"/>
  <c r="GW461" i="2"/>
  <c r="GV461" i="2"/>
  <c r="GU461" i="2"/>
  <c r="GT461" i="2"/>
  <c r="GO461" i="2"/>
  <c r="GL461" i="2"/>
  <c r="GI461" i="2"/>
  <c r="GB461" i="2"/>
  <c r="FY461" i="2"/>
  <c r="FX461" i="2"/>
  <c r="FT461" i="2"/>
  <c r="FS461" i="2"/>
  <c r="FQ461" i="2"/>
  <c r="GJ461" i="2" s="1"/>
  <c r="FP461" i="2"/>
  <c r="FO461" i="2"/>
  <c r="FN461" i="2"/>
  <c r="FM461" i="2"/>
  <c r="FL461" i="2"/>
  <c r="FK461" i="2"/>
  <c r="FJ461" i="2"/>
  <c r="FI461" i="2"/>
  <c r="FH461" i="2"/>
  <c r="FG461" i="2"/>
  <c r="FF461" i="2"/>
  <c r="FE461" i="2"/>
  <c r="FD461" i="2"/>
  <c r="FC461" i="2"/>
  <c r="FB461" i="2"/>
  <c r="EW461" i="2"/>
  <c r="EM461" i="2"/>
  <c r="EL461" i="2"/>
  <c r="EH461" i="2"/>
  <c r="EG461" i="2"/>
  <c r="EZ461" i="2" s="1"/>
  <c r="EE461" i="2"/>
  <c r="EX461" i="2" s="1"/>
  <c r="ED461" i="2"/>
  <c r="EC461" i="2"/>
  <c r="EB461" i="2"/>
  <c r="EA461" i="2"/>
  <c r="DZ461" i="2"/>
  <c r="DY461" i="2"/>
  <c r="DX461" i="2"/>
  <c r="DW461" i="2"/>
  <c r="EP461" i="2" s="1"/>
  <c r="DV461" i="2"/>
  <c r="DU461" i="2"/>
  <c r="DT461" i="2"/>
  <c r="DS461" i="2"/>
  <c r="DR461" i="2"/>
  <c r="DQ461" i="2"/>
  <c r="DP461" i="2"/>
  <c r="DM461" i="2"/>
  <c r="DL461" i="2"/>
  <c r="HC460" i="2"/>
  <c r="HB460" i="2"/>
  <c r="GW460" i="2"/>
  <c r="GV460" i="2"/>
  <c r="GU460" i="2"/>
  <c r="GT460" i="2"/>
  <c r="GP460" i="2"/>
  <c r="GO460" i="2"/>
  <c r="FX460" i="2"/>
  <c r="FT460" i="2"/>
  <c r="FS460" i="2"/>
  <c r="GL460" i="2" s="1"/>
  <c r="FQ460" i="2"/>
  <c r="GJ460" i="2" s="1"/>
  <c r="FP460" i="2"/>
  <c r="GI460" i="2" s="1"/>
  <c r="FO460" i="2"/>
  <c r="FN460" i="2"/>
  <c r="FM460" i="2"/>
  <c r="FL460" i="2"/>
  <c r="FK460" i="2"/>
  <c r="FJ460" i="2"/>
  <c r="FI460" i="2"/>
  <c r="GB460" i="2" s="1"/>
  <c r="FH460" i="2"/>
  <c r="FG460" i="2"/>
  <c r="FF460" i="2"/>
  <c r="FY460" i="2" s="1"/>
  <c r="FE460" i="2"/>
  <c r="FD460" i="2"/>
  <c r="FC460" i="2"/>
  <c r="FB460" i="2"/>
  <c r="EX460" i="2"/>
  <c r="EW460" i="2"/>
  <c r="EP460" i="2"/>
  <c r="EM460" i="2"/>
  <c r="EL460" i="2"/>
  <c r="EH460" i="2"/>
  <c r="EG460" i="2"/>
  <c r="EZ460" i="2" s="1"/>
  <c r="EE460" i="2"/>
  <c r="ED460" i="2"/>
  <c r="EC460" i="2"/>
  <c r="EB460" i="2"/>
  <c r="EA460" i="2"/>
  <c r="DZ460" i="2"/>
  <c r="DY460" i="2"/>
  <c r="DX460" i="2"/>
  <c r="DW460" i="2"/>
  <c r="DV460" i="2"/>
  <c r="DU460" i="2"/>
  <c r="DT460" i="2"/>
  <c r="DS460" i="2"/>
  <c r="DR460" i="2"/>
  <c r="DQ460" i="2"/>
  <c r="DP460" i="2"/>
  <c r="DM460" i="2"/>
  <c r="DL460" i="2"/>
  <c r="HC459" i="2"/>
  <c r="HB459" i="2"/>
  <c r="GW459" i="2"/>
  <c r="GV459" i="2"/>
  <c r="GU459" i="2"/>
  <c r="GT459" i="2"/>
  <c r="GO459" i="2"/>
  <c r="GL459" i="2"/>
  <c r="GI459" i="2"/>
  <c r="GB459" i="2"/>
  <c r="FY459" i="2"/>
  <c r="FX459" i="2"/>
  <c r="FT459" i="2"/>
  <c r="FS459" i="2"/>
  <c r="FQ459" i="2"/>
  <c r="GJ459" i="2" s="1"/>
  <c r="FP459" i="2"/>
  <c r="FO459" i="2"/>
  <c r="FN459" i="2"/>
  <c r="FM459" i="2"/>
  <c r="FL459" i="2"/>
  <c r="FK459" i="2"/>
  <c r="FJ459" i="2"/>
  <c r="FI459" i="2"/>
  <c r="FH459" i="2"/>
  <c r="FG459" i="2"/>
  <c r="FF459" i="2"/>
  <c r="FE459" i="2"/>
  <c r="FD459" i="2"/>
  <c r="FC459" i="2"/>
  <c r="FB459" i="2"/>
  <c r="EW459" i="2"/>
  <c r="EM459" i="2"/>
  <c r="EL459" i="2"/>
  <c r="EH459" i="2"/>
  <c r="EG459" i="2"/>
  <c r="EZ459" i="2" s="1"/>
  <c r="EE459" i="2"/>
  <c r="EX459" i="2" s="1"/>
  <c r="ED459" i="2"/>
  <c r="EC459" i="2"/>
  <c r="EB459" i="2"/>
  <c r="EA459" i="2"/>
  <c r="DZ459" i="2"/>
  <c r="DY459" i="2"/>
  <c r="DX459" i="2"/>
  <c r="DW459" i="2"/>
  <c r="EP459" i="2" s="1"/>
  <c r="DV459" i="2"/>
  <c r="DU459" i="2"/>
  <c r="DT459" i="2"/>
  <c r="DS459" i="2"/>
  <c r="DR459" i="2"/>
  <c r="DQ459" i="2"/>
  <c r="DP459" i="2"/>
  <c r="DM459" i="2"/>
  <c r="DL459" i="2"/>
  <c r="HC458" i="2"/>
  <c r="HB458" i="2"/>
  <c r="GW458" i="2"/>
  <c r="GT458" i="2"/>
  <c r="GB458" i="2"/>
  <c r="FX458" i="2"/>
  <c r="FT458" i="2"/>
  <c r="FS458" i="2"/>
  <c r="GL458" i="2" s="1"/>
  <c r="FQ458" i="2"/>
  <c r="GJ458" i="2" s="1"/>
  <c r="FP458" i="2"/>
  <c r="GI458" i="2" s="1"/>
  <c r="FO458" i="2"/>
  <c r="FN458" i="2"/>
  <c r="FM458" i="2"/>
  <c r="FL458" i="2"/>
  <c r="FK458" i="2"/>
  <c r="FJ458" i="2"/>
  <c r="FI458" i="2"/>
  <c r="FH458" i="2"/>
  <c r="FG458" i="2"/>
  <c r="FF458" i="2"/>
  <c r="FY458" i="2" s="1"/>
  <c r="FE458" i="2"/>
  <c r="FD458" i="2"/>
  <c r="FC458" i="2"/>
  <c r="FB458" i="2"/>
  <c r="EA458" i="2"/>
  <c r="DS458" i="2"/>
  <c r="EL458" i="2" s="1"/>
  <c r="DR458" i="2"/>
  <c r="BG458" i="2"/>
  <c r="GV458" i="2" s="1"/>
  <c r="AZ458" i="2"/>
  <c r="AY458" i="2"/>
  <c r="BJ458" i="2" s="1"/>
  <c r="AL458" i="2"/>
  <c r="AD458" i="2"/>
  <c r="HC457" i="2"/>
  <c r="HB457" i="2"/>
  <c r="GW457" i="2"/>
  <c r="GV457" i="2"/>
  <c r="GU457" i="2"/>
  <c r="GT457" i="2"/>
  <c r="GQ457" i="2"/>
  <c r="GP457" i="2"/>
  <c r="GO457" i="2"/>
  <c r="GJ457" i="2"/>
  <c r="GI457" i="2"/>
  <c r="FY457" i="2"/>
  <c r="FX457" i="2"/>
  <c r="FT457" i="2"/>
  <c r="FS457" i="2"/>
  <c r="GL457" i="2" s="1"/>
  <c r="FQ457" i="2"/>
  <c r="FP457" i="2"/>
  <c r="FO457" i="2"/>
  <c r="FN457" i="2"/>
  <c r="FM457" i="2"/>
  <c r="FL457" i="2"/>
  <c r="FK457" i="2"/>
  <c r="FJ457" i="2"/>
  <c r="FI457" i="2"/>
  <c r="GB457" i="2" s="1"/>
  <c r="FH457" i="2"/>
  <c r="FG457" i="2"/>
  <c r="FF457" i="2"/>
  <c r="FE457" i="2"/>
  <c r="FD457" i="2"/>
  <c r="FC457" i="2"/>
  <c r="FB457" i="2"/>
  <c r="EZ457" i="2"/>
  <c r="EX457" i="2"/>
  <c r="EP457" i="2"/>
  <c r="EH457" i="2"/>
  <c r="EG457" i="2"/>
  <c r="EE457" i="2"/>
  <c r="ED457" i="2"/>
  <c r="EW457" i="2" s="1"/>
  <c r="EC457" i="2"/>
  <c r="EB457" i="2"/>
  <c r="EA457" i="2"/>
  <c r="DZ457" i="2"/>
  <c r="DY457" i="2"/>
  <c r="DX457" i="2"/>
  <c r="DW457" i="2"/>
  <c r="DV457" i="2"/>
  <c r="DU457" i="2"/>
  <c r="DT457" i="2"/>
  <c r="EM457" i="2" s="1"/>
  <c r="DS457" i="2"/>
  <c r="EL457" i="2" s="1"/>
  <c r="DR457" i="2"/>
  <c r="DQ457" i="2"/>
  <c r="DP457" i="2"/>
  <c r="DM457" i="2"/>
  <c r="DL457" i="2"/>
  <c r="HC456" i="2"/>
  <c r="HB456" i="2"/>
  <c r="GW456" i="2"/>
  <c r="GV456" i="2"/>
  <c r="GU456" i="2"/>
  <c r="GT456" i="2"/>
  <c r="GO456" i="2"/>
  <c r="GL456" i="2"/>
  <c r="GJ456" i="2"/>
  <c r="GI456" i="2"/>
  <c r="FT456" i="2"/>
  <c r="FS456" i="2"/>
  <c r="FQ456" i="2"/>
  <c r="FP456" i="2"/>
  <c r="FO456" i="2"/>
  <c r="FN456" i="2"/>
  <c r="FM456" i="2"/>
  <c r="FL456" i="2"/>
  <c r="FK456" i="2"/>
  <c r="FJ456" i="2"/>
  <c r="FI456" i="2"/>
  <c r="GB456" i="2" s="1"/>
  <c r="FH456" i="2"/>
  <c r="FG456" i="2"/>
  <c r="FF456" i="2"/>
  <c r="FY456" i="2" s="1"/>
  <c r="FE456" i="2"/>
  <c r="FX456" i="2" s="1"/>
  <c r="FD456" i="2"/>
  <c r="FC456" i="2"/>
  <c r="FB456" i="2"/>
  <c r="EZ456" i="2"/>
  <c r="EX456" i="2"/>
  <c r="EW456" i="2"/>
  <c r="EM456" i="2"/>
  <c r="EH456" i="2"/>
  <c r="EG456" i="2"/>
  <c r="EE456" i="2"/>
  <c r="ED456" i="2"/>
  <c r="EC456" i="2"/>
  <c r="EB456" i="2"/>
  <c r="EA456" i="2"/>
  <c r="DZ456" i="2"/>
  <c r="DY456" i="2"/>
  <c r="DX456" i="2"/>
  <c r="DW456" i="2"/>
  <c r="EP456" i="2" s="1"/>
  <c r="DV456" i="2"/>
  <c r="DU456" i="2"/>
  <c r="DT456" i="2"/>
  <c r="DS456" i="2"/>
  <c r="EL456" i="2" s="1"/>
  <c r="DR456" i="2"/>
  <c r="DQ456" i="2"/>
  <c r="DP456" i="2"/>
  <c r="DM456" i="2"/>
  <c r="DL456" i="2"/>
  <c r="HC455" i="2"/>
  <c r="HB455" i="2"/>
  <c r="GW455" i="2"/>
  <c r="GV455" i="2"/>
  <c r="GU455" i="2"/>
  <c r="GT455" i="2"/>
  <c r="GQ455" i="2"/>
  <c r="GP455" i="2"/>
  <c r="GO455" i="2"/>
  <c r="GJ455" i="2"/>
  <c r="GI455" i="2"/>
  <c r="FY455" i="2"/>
  <c r="FX455" i="2"/>
  <c r="FT455" i="2"/>
  <c r="FS455" i="2"/>
  <c r="GL455" i="2" s="1"/>
  <c r="FQ455" i="2"/>
  <c r="FP455" i="2"/>
  <c r="FO455" i="2"/>
  <c r="FN455" i="2"/>
  <c r="FM455" i="2"/>
  <c r="FL455" i="2"/>
  <c r="FK455" i="2"/>
  <c r="FJ455" i="2"/>
  <c r="FI455" i="2"/>
  <c r="GB455" i="2" s="1"/>
  <c r="FH455" i="2"/>
  <c r="FG455" i="2"/>
  <c r="FF455" i="2"/>
  <c r="FE455" i="2"/>
  <c r="FD455" i="2"/>
  <c r="FC455" i="2"/>
  <c r="FB455" i="2"/>
  <c r="EZ455" i="2"/>
  <c r="EH455" i="2"/>
  <c r="EG455" i="2"/>
  <c r="EE455" i="2"/>
  <c r="EX455" i="2" s="1"/>
  <c r="ED455" i="2"/>
  <c r="EW455" i="2" s="1"/>
  <c r="EC455" i="2"/>
  <c r="EB455" i="2"/>
  <c r="EA455" i="2"/>
  <c r="DZ455" i="2"/>
  <c r="DY455" i="2"/>
  <c r="DX455" i="2"/>
  <c r="DW455" i="2"/>
  <c r="EP455" i="2" s="1"/>
  <c r="DV455" i="2"/>
  <c r="DU455" i="2"/>
  <c r="DT455" i="2"/>
  <c r="EM455" i="2" s="1"/>
  <c r="DS455" i="2"/>
  <c r="EL455" i="2" s="1"/>
  <c r="DR455" i="2"/>
  <c r="DQ455" i="2"/>
  <c r="DP455" i="2"/>
  <c r="DM455" i="2"/>
  <c r="DL455" i="2"/>
  <c r="HC454" i="2"/>
  <c r="HB454" i="2"/>
  <c r="GW454" i="2"/>
  <c r="GL454" i="2"/>
  <c r="GJ454" i="2"/>
  <c r="GI454" i="2"/>
  <c r="FY454" i="2"/>
  <c r="FT454" i="2"/>
  <c r="FS454" i="2"/>
  <c r="FQ454" i="2"/>
  <c r="FP454" i="2"/>
  <c r="FO454" i="2"/>
  <c r="FN454" i="2"/>
  <c r="FM454" i="2"/>
  <c r="FL454" i="2"/>
  <c r="FK454" i="2"/>
  <c r="FJ454" i="2"/>
  <c r="FI454" i="2"/>
  <c r="GB454" i="2" s="1"/>
  <c r="FH454" i="2"/>
  <c r="FG454" i="2"/>
  <c r="FF454" i="2"/>
  <c r="FE454" i="2"/>
  <c r="FX454" i="2" s="1"/>
  <c r="FD454" i="2"/>
  <c r="FC454" i="2"/>
  <c r="FB454" i="2"/>
  <c r="DX454" i="2"/>
  <c r="AY454" i="2"/>
  <c r="EB454" i="2" s="1"/>
  <c r="AO454" i="2"/>
  <c r="AN454" i="2"/>
  <c r="AL454" i="2"/>
  <c r="GU454" i="2" s="1"/>
  <c r="AF454" i="2"/>
  <c r="AD454" i="2"/>
  <c r="AE454" i="2" s="1"/>
  <c r="I454" i="2"/>
  <c r="HC453" i="2"/>
  <c r="HB453" i="2"/>
  <c r="GW453" i="2"/>
  <c r="GT453" i="2"/>
  <c r="GJ453" i="2"/>
  <c r="FT453" i="2"/>
  <c r="FQ453" i="2"/>
  <c r="FP453" i="2"/>
  <c r="GI453" i="2" s="1"/>
  <c r="FO453" i="2"/>
  <c r="FN453" i="2"/>
  <c r="FM453" i="2"/>
  <c r="FL453" i="2"/>
  <c r="FK453" i="2"/>
  <c r="FG453" i="2"/>
  <c r="FF453" i="2"/>
  <c r="FY453" i="2" s="1"/>
  <c r="FE453" i="2"/>
  <c r="FX453" i="2" s="1"/>
  <c r="FD453" i="2"/>
  <c r="FC453" i="2"/>
  <c r="EH453" i="2"/>
  <c r="CX453" i="2"/>
  <c r="FJ453" i="2" s="1"/>
  <c r="CW453" i="2"/>
  <c r="CP453" i="2"/>
  <c r="FB453" i="2" s="1"/>
  <c r="CO453" i="2"/>
  <c r="FS453" i="2" s="1"/>
  <c r="GL453" i="2" s="1"/>
  <c r="AY453" i="2"/>
  <c r="AM453" i="2"/>
  <c r="AD453" i="2"/>
  <c r="R453" i="2"/>
  <c r="Q453" i="2"/>
  <c r="J453" i="2"/>
  <c r="I453" i="2"/>
  <c r="HC452" i="2"/>
  <c r="HB452" i="2"/>
  <c r="GW452" i="2"/>
  <c r="GU452" i="2"/>
  <c r="GT452" i="2"/>
  <c r="GO452" i="2"/>
  <c r="GL452" i="2"/>
  <c r="GB452" i="2"/>
  <c r="FY452" i="2"/>
  <c r="FX452" i="2"/>
  <c r="FT452" i="2"/>
  <c r="FS452" i="2"/>
  <c r="FQ452" i="2"/>
  <c r="GJ452" i="2" s="1"/>
  <c r="FP452" i="2"/>
  <c r="GI452" i="2" s="1"/>
  <c r="FO452" i="2"/>
  <c r="FN452" i="2"/>
  <c r="FM452" i="2"/>
  <c r="FL452" i="2"/>
  <c r="FK452" i="2"/>
  <c r="FJ452" i="2"/>
  <c r="FI452" i="2"/>
  <c r="FH452" i="2"/>
  <c r="FG452" i="2"/>
  <c r="FF452" i="2"/>
  <c r="FE452" i="2"/>
  <c r="FD452" i="2"/>
  <c r="FC452" i="2"/>
  <c r="FB452" i="2"/>
  <c r="EH452" i="2"/>
  <c r="EG452" i="2"/>
  <c r="EZ452" i="2" s="1"/>
  <c r="EB452" i="2"/>
  <c r="EA452" i="2"/>
  <c r="DZ452" i="2"/>
  <c r="DY452" i="2"/>
  <c r="DV452" i="2"/>
  <c r="DR452" i="2"/>
  <c r="DQ452" i="2"/>
  <c r="BH452" i="2"/>
  <c r="DM452" i="2" s="1"/>
  <c r="BG452" i="2"/>
  <c r="AY452" i="2"/>
  <c r="EE452" i="2" s="1"/>
  <c r="EX452" i="2" s="1"/>
  <c r="HC451" i="2"/>
  <c r="HB451" i="2"/>
  <c r="GW451" i="2"/>
  <c r="GU451" i="2"/>
  <c r="GT451" i="2"/>
  <c r="GL451" i="2"/>
  <c r="GJ451" i="2"/>
  <c r="GB451" i="2"/>
  <c r="FX451" i="2"/>
  <c r="FT451" i="2"/>
  <c r="FS451" i="2"/>
  <c r="FQ451" i="2"/>
  <c r="FP451" i="2"/>
  <c r="GI451" i="2" s="1"/>
  <c r="FO451" i="2"/>
  <c r="FN451" i="2"/>
  <c r="FM451" i="2"/>
  <c r="FL451" i="2"/>
  <c r="FK451" i="2"/>
  <c r="FJ451" i="2"/>
  <c r="FI451" i="2"/>
  <c r="FH451" i="2"/>
  <c r="FG451" i="2"/>
  <c r="FF451" i="2"/>
  <c r="FY451" i="2" s="1"/>
  <c r="FE451" i="2"/>
  <c r="FD451" i="2"/>
  <c r="FC451" i="2"/>
  <c r="FB451" i="2"/>
  <c r="EL451" i="2"/>
  <c r="EH451" i="2"/>
  <c r="EG451" i="2"/>
  <c r="EZ451" i="2" s="1"/>
  <c r="EE451" i="2"/>
  <c r="EX451" i="2" s="1"/>
  <c r="ED451" i="2"/>
  <c r="EW451" i="2" s="1"/>
  <c r="EC451" i="2"/>
  <c r="EA451" i="2"/>
  <c r="DX451" i="2"/>
  <c r="DV451" i="2"/>
  <c r="DU451" i="2"/>
  <c r="DT451" i="2"/>
  <c r="EM451" i="2" s="1"/>
  <c r="DS451" i="2"/>
  <c r="DQ451" i="2"/>
  <c r="DP451" i="2"/>
  <c r="DM451" i="2"/>
  <c r="BJ451" i="2"/>
  <c r="DZ451" i="2" s="1"/>
  <c r="BI451" i="2"/>
  <c r="DY451" i="2" s="1"/>
  <c r="BG451" i="2"/>
  <c r="BA451" i="2"/>
  <c r="AZ451" i="2"/>
  <c r="AY451" i="2"/>
  <c r="GO451" i="2" s="1"/>
  <c r="HC450" i="2"/>
  <c r="HB450" i="2"/>
  <c r="GW450" i="2"/>
  <c r="GV450" i="2"/>
  <c r="GU450" i="2"/>
  <c r="GT450" i="2"/>
  <c r="GO450" i="2"/>
  <c r="GL450" i="2"/>
  <c r="GI450" i="2"/>
  <c r="GB450" i="2"/>
  <c r="FY450" i="2"/>
  <c r="FX450" i="2"/>
  <c r="FT450" i="2"/>
  <c r="FS450" i="2"/>
  <c r="FQ450" i="2"/>
  <c r="GJ450" i="2" s="1"/>
  <c r="FP450" i="2"/>
  <c r="FO450" i="2"/>
  <c r="FN450" i="2"/>
  <c r="FM450" i="2"/>
  <c r="FL450" i="2"/>
  <c r="FK450" i="2"/>
  <c r="FJ450" i="2"/>
  <c r="FI450" i="2"/>
  <c r="FH450" i="2"/>
  <c r="FG450" i="2"/>
  <c r="FF450" i="2"/>
  <c r="FE450" i="2"/>
  <c r="FD450" i="2"/>
  <c r="FC450" i="2"/>
  <c r="FB450" i="2"/>
  <c r="EW450" i="2"/>
  <c r="EM450" i="2"/>
  <c r="EL450" i="2"/>
  <c r="EH450" i="2"/>
  <c r="EG450" i="2"/>
  <c r="EZ450" i="2" s="1"/>
  <c r="EE450" i="2"/>
  <c r="EX450" i="2" s="1"/>
  <c r="ED450" i="2"/>
  <c r="EC450" i="2"/>
  <c r="EB450" i="2"/>
  <c r="EA450" i="2"/>
  <c r="DZ450" i="2"/>
  <c r="DY450" i="2"/>
  <c r="DX450" i="2"/>
  <c r="DW450" i="2"/>
  <c r="EP450" i="2" s="1"/>
  <c r="DV450" i="2"/>
  <c r="DU450" i="2"/>
  <c r="DT450" i="2"/>
  <c r="DS450" i="2"/>
  <c r="DR450" i="2"/>
  <c r="DQ450" i="2"/>
  <c r="DP450" i="2"/>
  <c r="DM450" i="2"/>
  <c r="DL450" i="2"/>
  <c r="HC449" i="2"/>
  <c r="HB449" i="2"/>
  <c r="GW449" i="2"/>
  <c r="GV449" i="2"/>
  <c r="GU449" i="2"/>
  <c r="GT449" i="2"/>
  <c r="GO449" i="2"/>
  <c r="FX449" i="2"/>
  <c r="FT449" i="2"/>
  <c r="FS449" i="2"/>
  <c r="GL449" i="2" s="1"/>
  <c r="FQ449" i="2"/>
  <c r="GJ449" i="2" s="1"/>
  <c r="FP449" i="2"/>
  <c r="GI449" i="2" s="1"/>
  <c r="FO449" i="2"/>
  <c r="FN449" i="2"/>
  <c r="FM449" i="2"/>
  <c r="FL449" i="2"/>
  <c r="FK449" i="2"/>
  <c r="FJ449" i="2"/>
  <c r="FI449" i="2"/>
  <c r="GB449" i="2" s="1"/>
  <c r="FH449" i="2"/>
  <c r="FG449" i="2"/>
  <c r="FF449" i="2"/>
  <c r="FY449" i="2" s="1"/>
  <c r="FE449" i="2"/>
  <c r="FD449" i="2"/>
  <c r="FC449" i="2"/>
  <c r="FB449" i="2"/>
  <c r="EW449" i="2"/>
  <c r="EM449" i="2"/>
  <c r="EL449" i="2"/>
  <c r="EH449" i="2"/>
  <c r="EG449" i="2"/>
  <c r="EZ449" i="2" s="1"/>
  <c r="EE449" i="2"/>
  <c r="EX449" i="2" s="1"/>
  <c r="ED449" i="2"/>
  <c r="EC449" i="2"/>
  <c r="EB449" i="2"/>
  <c r="EA449" i="2"/>
  <c r="DZ449" i="2"/>
  <c r="DY449" i="2"/>
  <c r="DX449" i="2"/>
  <c r="DW449" i="2"/>
  <c r="EP449" i="2" s="1"/>
  <c r="DV449" i="2"/>
  <c r="DU449" i="2"/>
  <c r="DT449" i="2"/>
  <c r="DS449" i="2"/>
  <c r="DR449" i="2"/>
  <c r="DQ449" i="2"/>
  <c r="DP449" i="2"/>
  <c r="DM449" i="2"/>
  <c r="DL449" i="2"/>
  <c r="HC448" i="2"/>
  <c r="HB448" i="2"/>
  <c r="GW448" i="2"/>
  <c r="GV448" i="2"/>
  <c r="GU448" i="2"/>
  <c r="GT448" i="2"/>
  <c r="GO448" i="2"/>
  <c r="GJ448" i="2"/>
  <c r="GI448" i="2"/>
  <c r="GB448" i="2"/>
  <c r="FY448" i="2"/>
  <c r="FX448" i="2"/>
  <c r="FT448" i="2"/>
  <c r="FS448" i="2"/>
  <c r="GL448" i="2" s="1"/>
  <c r="FQ448" i="2"/>
  <c r="FP448" i="2"/>
  <c r="FO448" i="2"/>
  <c r="FN448" i="2"/>
  <c r="FM448" i="2"/>
  <c r="FL448" i="2"/>
  <c r="FK448" i="2"/>
  <c r="FJ448" i="2"/>
  <c r="FI448" i="2"/>
  <c r="FH448" i="2"/>
  <c r="FG448" i="2"/>
  <c r="FF448" i="2"/>
  <c r="FE448" i="2"/>
  <c r="FD448" i="2"/>
  <c r="FC448" i="2"/>
  <c r="FB448" i="2"/>
  <c r="EW448" i="2"/>
  <c r="EM448" i="2"/>
  <c r="EL448" i="2"/>
  <c r="EH448" i="2"/>
  <c r="EG448" i="2"/>
  <c r="EZ448" i="2" s="1"/>
  <c r="EE448" i="2"/>
  <c r="EX448" i="2" s="1"/>
  <c r="ED448" i="2"/>
  <c r="EC448" i="2"/>
  <c r="EB448" i="2"/>
  <c r="EA448" i="2"/>
  <c r="DZ448" i="2"/>
  <c r="DY448" i="2"/>
  <c r="DX448" i="2"/>
  <c r="DW448" i="2"/>
  <c r="EP448" i="2" s="1"/>
  <c r="DV448" i="2"/>
  <c r="DU448" i="2"/>
  <c r="DT448" i="2"/>
  <c r="DS448" i="2"/>
  <c r="DR448" i="2"/>
  <c r="DQ448" i="2"/>
  <c r="DP448" i="2"/>
  <c r="DM448" i="2"/>
  <c r="DL448" i="2"/>
  <c r="HC447" i="2"/>
  <c r="HB447" i="2"/>
  <c r="GX447" i="2"/>
  <c r="GW447" i="2"/>
  <c r="GV447" i="2"/>
  <c r="GU447" i="2"/>
  <c r="GT447" i="2"/>
  <c r="GP447" i="2"/>
  <c r="GQ447" i="2" s="1"/>
  <c r="GO447" i="2"/>
  <c r="GL447" i="2"/>
  <c r="GB447" i="2"/>
  <c r="FY447" i="2"/>
  <c r="FT447" i="2"/>
  <c r="FS447" i="2"/>
  <c r="FQ447" i="2"/>
  <c r="GJ447" i="2" s="1"/>
  <c r="FP447" i="2"/>
  <c r="GI447" i="2" s="1"/>
  <c r="FO447" i="2"/>
  <c r="FN447" i="2"/>
  <c r="FM447" i="2"/>
  <c r="FL447" i="2"/>
  <c r="FK447" i="2"/>
  <c r="FJ447" i="2"/>
  <c r="FI447" i="2"/>
  <c r="FH447" i="2"/>
  <c r="FG447" i="2"/>
  <c r="FF447" i="2"/>
  <c r="FE447" i="2"/>
  <c r="FX447" i="2" s="1"/>
  <c r="FD447" i="2"/>
  <c r="FC447" i="2"/>
  <c r="FB447" i="2"/>
  <c r="EP447" i="2"/>
  <c r="EH447" i="2"/>
  <c r="EG447" i="2"/>
  <c r="EZ447" i="2" s="1"/>
  <c r="EE447" i="2"/>
  <c r="EX447" i="2" s="1"/>
  <c r="ED447" i="2"/>
  <c r="EW447" i="2" s="1"/>
  <c r="EC447" i="2"/>
  <c r="EB447" i="2"/>
  <c r="EA447" i="2"/>
  <c r="DZ447" i="2"/>
  <c r="DY447" i="2"/>
  <c r="DX447" i="2"/>
  <c r="DW447" i="2"/>
  <c r="DV447" i="2"/>
  <c r="DU447" i="2"/>
  <c r="DT447" i="2"/>
  <c r="EM447" i="2" s="1"/>
  <c r="DS447" i="2"/>
  <c r="EL447" i="2" s="1"/>
  <c r="DR447" i="2"/>
  <c r="DQ447" i="2"/>
  <c r="DP447" i="2"/>
  <c r="DM447" i="2"/>
  <c r="DL447" i="2"/>
  <c r="HC446" i="2"/>
  <c r="HB446" i="2"/>
  <c r="GW446" i="2"/>
  <c r="GV446" i="2"/>
  <c r="GU446" i="2"/>
  <c r="GT446" i="2"/>
  <c r="GQ446" i="2"/>
  <c r="GO446" i="2"/>
  <c r="GP446" i="2" s="1"/>
  <c r="GL446" i="2"/>
  <c r="GJ446" i="2"/>
  <c r="GI446" i="2"/>
  <c r="FX446" i="2"/>
  <c r="FT446" i="2"/>
  <c r="FS446" i="2"/>
  <c r="FQ446" i="2"/>
  <c r="FP446" i="2"/>
  <c r="FO446" i="2"/>
  <c r="FN446" i="2"/>
  <c r="FM446" i="2"/>
  <c r="FL446" i="2"/>
  <c r="FK446" i="2"/>
  <c r="FJ446" i="2"/>
  <c r="FI446" i="2"/>
  <c r="GB446" i="2" s="1"/>
  <c r="FH446" i="2"/>
  <c r="FG446" i="2"/>
  <c r="FF446" i="2"/>
  <c r="FY446" i="2" s="1"/>
  <c r="FE446" i="2"/>
  <c r="FD446" i="2"/>
  <c r="FC446" i="2"/>
  <c r="FB446" i="2"/>
  <c r="EP446" i="2"/>
  <c r="EH446" i="2"/>
  <c r="EG446" i="2"/>
  <c r="EZ446" i="2" s="1"/>
  <c r="EE446" i="2"/>
  <c r="EX446" i="2" s="1"/>
  <c r="ED446" i="2"/>
  <c r="EW446" i="2" s="1"/>
  <c r="EC446" i="2"/>
  <c r="EB446" i="2"/>
  <c r="EA446" i="2"/>
  <c r="DZ446" i="2"/>
  <c r="DY446" i="2"/>
  <c r="DX446" i="2"/>
  <c r="DW446" i="2"/>
  <c r="DV446" i="2"/>
  <c r="DU446" i="2"/>
  <c r="DT446" i="2"/>
  <c r="EM446" i="2" s="1"/>
  <c r="DS446" i="2"/>
  <c r="EL446" i="2" s="1"/>
  <c r="DR446" i="2"/>
  <c r="DQ446" i="2"/>
  <c r="DP446" i="2"/>
  <c r="DM446" i="2"/>
  <c r="DL446" i="2"/>
  <c r="HC445" i="2"/>
  <c r="HB445" i="2"/>
  <c r="GX445" i="2"/>
  <c r="GY445" i="2" s="1"/>
  <c r="GW445" i="2"/>
  <c r="GV445" i="2"/>
  <c r="GU445" i="2"/>
  <c r="GT445" i="2"/>
  <c r="GO445" i="2"/>
  <c r="GI445" i="2"/>
  <c r="GB445" i="2"/>
  <c r="FY445" i="2"/>
  <c r="FT445" i="2"/>
  <c r="FS445" i="2"/>
  <c r="GL445" i="2" s="1"/>
  <c r="FQ445" i="2"/>
  <c r="GJ445" i="2" s="1"/>
  <c r="FP445" i="2"/>
  <c r="FO445" i="2"/>
  <c r="FN445" i="2"/>
  <c r="FM445" i="2"/>
  <c r="FL445" i="2"/>
  <c r="FK445" i="2"/>
  <c r="FJ445" i="2"/>
  <c r="FI445" i="2"/>
  <c r="FH445" i="2"/>
  <c r="FG445" i="2"/>
  <c r="FF445" i="2"/>
  <c r="FE445" i="2"/>
  <c r="FX445" i="2" s="1"/>
  <c r="FD445" i="2"/>
  <c r="FC445" i="2"/>
  <c r="FB445" i="2"/>
  <c r="EZ445" i="2"/>
  <c r="EX445" i="2"/>
  <c r="EW445" i="2"/>
  <c r="EM445" i="2"/>
  <c r="EL445" i="2"/>
  <c r="EH445" i="2"/>
  <c r="EG445" i="2"/>
  <c r="EE445" i="2"/>
  <c r="ED445" i="2"/>
  <c r="EC445" i="2"/>
  <c r="EB445" i="2"/>
  <c r="EA445" i="2"/>
  <c r="DZ445" i="2"/>
  <c r="DY445" i="2"/>
  <c r="DX445" i="2"/>
  <c r="DW445" i="2"/>
  <c r="EP445" i="2" s="1"/>
  <c r="DV445" i="2"/>
  <c r="DU445" i="2"/>
  <c r="DT445" i="2"/>
  <c r="DS445" i="2"/>
  <c r="DR445" i="2"/>
  <c r="DQ445" i="2"/>
  <c r="DP445" i="2"/>
  <c r="DM445" i="2"/>
  <c r="DL445" i="2"/>
  <c r="HC444" i="2"/>
  <c r="GU444" i="2"/>
  <c r="GT444" i="2"/>
  <c r="FT444" i="2"/>
  <c r="FJ444" i="2"/>
  <c r="FI444" i="2"/>
  <c r="GB444" i="2" s="1"/>
  <c r="FH444" i="2"/>
  <c r="EW444" i="2"/>
  <c r="EL444" i="2"/>
  <c r="ED444" i="2"/>
  <c r="EC444" i="2"/>
  <c r="EB444" i="2"/>
  <c r="EA444" i="2"/>
  <c r="DZ444" i="2"/>
  <c r="DX444" i="2"/>
  <c r="DS444" i="2"/>
  <c r="DR444" i="2"/>
  <c r="DQ444" i="2"/>
  <c r="DP444" i="2"/>
  <c r="DL444" i="2"/>
  <c r="CZ444" i="2"/>
  <c r="CY444" i="2"/>
  <c r="CO444" i="2"/>
  <c r="CE444" i="2"/>
  <c r="CD444" i="2"/>
  <c r="BT444" i="2"/>
  <c r="GW444" i="2" s="1"/>
  <c r="BJ444" i="2"/>
  <c r="BI444" i="2"/>
  <c r="AY444" i="2"/>
  <c r="GV444" i="2" s="1"/>
  <c r="AO444" i="2"/>
  <c r="AN444" i="2"/>
  <c r="AD444" i="2"/>
  <c r="T444" i="2"/>
  <c r="S444" i="2"/>
  <c r="I444" i="2"/>
  <c r="DM444" i="2" s="1"/>
  <c r="HC443" i="2"/>
  <c r="HB443" i="2"/>
  <c r="GW443" i="2"/>
  <c r="GU443" i="2"/>
  <c r="GT443" i="2"/>
  <c r="GO443" i="2"/>
  <c r="GL443" i="2"/>
  <c r="GJ443" i="2"/>
  <c r="GB443" i="2"/>
  <c r="FY443" i="2"/>
  <c r="FT443" i="2"/>
  <c r="FS443" i="2"/>
  <c r="FQ443" i="2"/>
  <c r="FP443" i="2"/>
  <c r="GI443" i="2" s="1"/>
  <c r="FO443" i="2"/>
  <c r="FN443" i="2"/>
  <c r="FL443" i="2"/>
  <c r="FK443" i="2"/>
  <c r="FJ443" i="2"/>
  <c r="FI443" i="2"/>
  <c r="FH443" i="2"/>
  <c r="FG443" i="2"/>
  <c r="FF443" i="2"/>
  <c r="FE443" i="2"/>
  <c r="FX443" i="2" s="1"/>
  <c r="FD443" i="2"/>
  <c r="FB443" i="2"/>
  <c r="EL443" i="2"/>
  <c r="EH443" i="2"/>
  <c r="EC443" i="2"/>
  <c r="EB443" i="2"/>
  <c r="DZ443" i="2"/>
  <c r="DY443" i="2"/>
  <c r="DX443" i="2"/>
  <c r="DW443" i="2"/>
  <c r="EP443" i="2" s="1"/>
  <c r="DS443" i="2"/>
  <c r="DR443" i="2"/>
  <c r="DM443" i="2"/>
  <c r="DL443" i="2"/>
  <c r="DA443" i="2"/>
  <c r="CQ443" i="2"/>
  <c r="CI443" i="2"/>
  <c r="CF443" i="2"/>
  <c r="FM443" i="2" s="1"/>
  <c r="BV443" i="2"/>
  <c r="FC443" i="2" s="1"/>
  <c r="BN443" i="2"/>
  <c r="BK443" i="2"/>
  <c r="BH443" i="2"/>
  <c r="BG443" i="2"/>
  <c r="GV443" i="2" s="1"/>
  <c r="BA443" i="2"/>
  <c r="AZ443" i="2"/>
  <c r="DP443" i="2" s="1"/>
  <c r="AY443" i="2"/>
  <c r="EE443" i="2" s="1"/>
  <c r="EX443" i="2" s="1"/>
  <c r="AS443" i="2"/>
  <c r="AP443" i="2"/>
  <c r="AF443" i="2"/>
  <c r="X443" i="2"/>
  <c r="ED443" i="2" s="1"/>
  <c r="EW443" i="2" s="1"/>
  <c r="U443" i="2"/>
  <c r="EA443" i="2" s="1"/>
  <c r="K443" i="2"/>
  <c r="HC442" i="2"/>
  <c r="HB442" i="2"/>
  <c r="GW442" i="2"/>
  <c r="GU442" i="2"/>
  <c r="GT442" i="2"/>
  <c r="GO442" i="2"/>
  <c r="GL442" i="2"/>
  <c r="GB442" i="2"/>
  <c r="FT442" i="2"/>
  <c r="FS442" i="2"/>
  <c r="FQ442" i="2"/>
  <c r="GJ442" i="2" s="1"/>
  <c r="FP442" i="2"/>
  <c r="GI442" i="2" s="1"/>
  <c r="FO442" i="2"/>
  <c r="FN442" i="2"/>
  <c r="FM442" i="2"/>
  <c r="FL442" i="2"/>
  <c r="FK442" i="2"/>
  <c r="FJ442" i="2"/>
  <c r="FI442" i="2"/>
  <c r="FH442" i="2"/>
  <c r="FG442" i="2"/>
  <c r="FF442" i="2"/>
  <c r="FY442" i="2" s="1"/>
  <c r="FE442" i="2"/>
  <c r="FX442" i="2" s="1"/>
  <c r="FD442" i="2"/>
  <c r="FC442" i="2"/>
  <c r="FB442" i="2"/>
  <c r="EZ442" i="2"/>
  <c r="EW442" i="2"/>
  <c r="EM442" i="2"/>
  <c r="EL442" i="2"/>
  <c r="EH442" i="2"/>
  <c r="EG442" i="2"/>
  <c r="EE442" i="2"/>
  <c r="EX442" i="2" s="1"/>
  <c r="ED442" i="2"/>
  <c r="EC442" i="2"/>
  <c r="EB442" i="2"/>
  <c r="EA442" i="2"/>
  <c r="DZ442" i="2"/>
  <c r="DX442" i="2"/>
  <c r="DV442" i="2"/>
  <c r="DU442" i="2"/>
  <c r="DT442" i="2"/>
  <c r="DS442" i="2"/>
  <c r="DR442" i="2"/>
  <c r="DQ442" i="2"/>
  <c r="DP442" i="2"/>
  <c r="DM442" i="2"/>
  <c r="BJ442" i="2"/>
  <c r="BI442" i="2"/>
  <c r="DY442" i="2" s="1"/>
  <c r="BG442" i="2"/>
  <c r="GV442" i="2" s="1"/>
  <c r="BA442" i="2"/>
  <c r="AZ442" i="2"/>
  <c r="HC441" i="2"/>
  <c r="HB441" i="2"/>
  <c r="GW441" i="2"/>
  <c r="GV441" i="2"/>
  <c r="GU441" i="2"/>
  <c r="GT441" i="2"/>
  <c r="GO441" i="2"/>
  <c r="GL441" i="2"/>
  <c r="GB441" i="2"/>
  <c r="FT441" i="2"/>
  <c r="FS441" i="2"/>
  <c r="FQ441" i="2"/>
  <c r="GJ441" i="2" s="1"/>
  <c r="FP441" i="2"/>
  <c r="GI441" i="2" s="1"/>
  <c r="FO441" i="2"/>
  <c r="FN441" i="2"/>
  <c r="FM441" i="2"/>
  <c r="FL441" i="2"/>
  <c r="FK441" i="2"/>
  <c r="FJ441" i="2"/>
  <c r="FI441" i="2"/>
  <c r="FH441" i="2"/>
  <c r="FG441" i="2"/>
  <c r="FF441" i="2"/>
  <c r="FY441" i="2" s="1"/>
  <c r="FE441" i="2"/>
  <c r="FX441" i="2" s="1"/>
  <c r="FD441" i="2"/>
  <c r="FC441" i="2"/>
  <c r="FB441" i="2"/>
  <c r="EZ441" i="2"/>
  <c r="EW441" i="2"/>
  <c r="EP441" i="2"/>
  <c r="EM441" i="2"/>
  <c r="EL441" i="2"/>
  <c r="EH441" i="2"/>
  <c r="EG441" i="2"/>
  <c r="EE441" i="2"/>
  <c r="EX441" i="2" s="1"/>
  <c r="ED441" i="2"/>
  <c r="EC441" i="2"/>
  <c r="EB441" i="2"/>
  <c r="EA441" i="2"/>
  <c r="DZ441" i="2"/>
  <c r="DY441" i="2"/>
  <c r="DX441" i="2"/>
  <c r="DW441" i="2"/>
  <c r="DV441" i="2"/>
  <c r="DU441" i="2"/>
  <c r="DT441" i="2"/>
  <c r="DS441" i="2"/>
  <c r="DR441" i="2"/>
  <c r="DQ441" i="2"/>
  <c r="DP441" i="2"/>
  <c r="DM441" i="2"/>
  <c r="DL441" i="2"/>
  <c r="HC440" i="2"/>
  <c r="HB440" i="2"/>
  <c r="GW440" i="2"/>
  <c r="GV440" i="2"/>
  <c r="GU440" i="2"/>
  <c r="GT440" i="2"/>
  <c r="GQ440" i="2"/>
  <c r="GP440" i="2"/>
  <c r="GO440" i="2"/>
  <c r="GL440" i="2"/>
  <c r="GJ440" i="2"/>
  <c r="GB440" i="2"/>
  <c r="FX440" i="2"/>
  <c r="FT440" i="2"/>
  <c r="FS440" i="2"/>
  <c r="FQ440" i="2"/>
  <c r="FP440" i="2"/>
  <c r="GI440" i="2" s="1"/>
  <c r="FO440" i="2"/>
  <c r="FN440" i="2"/>
  <c r="FM440" i="2"/>
  <c r="FL440" i="2"/>
  <c r="FK440" i="2"/>
  <c r="FJ440" i="2"/>
  <c r="FI440" i="2"/>
  <c r="FH440" i="2"/>
  <c r="FG440" i="2"/>
  <c r="FF440" i="2"/>
  <c r="FY440" i="2" s="1"/>
  <c r="FE440" i="2"/>
  <c r="FD440" i="2"/>
  <c r="FC440" i="2"/>
  <c r="FB440" i="2"/>
  <c r="EP440" i="2"/>
  <c r="EL440" i="2"/>
  <c r="EH440" i="2"/>
  <c r="EG440" i="2"/>
  <c r="EZ440" i="2" s="1"/>
  <c r="EE440" i="2"/>
  <c r="EX440" i="2" s="1"/>
  <c r="ED440" i="2"/>
  <c r="EW440" i="2" s="1"/>
  <c r="EC440" i="2"/>
  <c r="EB440" i="2"/>
  <c r="EA440" i="2"/>
  <c r="DZ440" i="2"/>
  <c r="DY440" i="2"/>
  <c r="DX440" i="2"/>
  <c r="DW440" i="2"/>
  <c r="DV440" i="2"/>
  <c r="DU440" i="2"/>
  <c r="DT440" i="2"/>
  <c r="EM440" i="2" s="1"/>
  <c r="DS440" i="2"/>
  <c r="DR440" i="2"/>
  <c r="DQ440" i="2"/>
  <c r="DP440" i="2"/>
  <c r="DM440" i="2"/>
  <c r="DL440" i="2"/>
  <c r="HC439" i="2"/>
  <c r="HB439" i="2"/>
  <c r="GW439" i="2"/>
  <c r="GV439" i="2"/>
  <c r="GU439" i="2"/>
  <c r="GT439" i="2"/>
  <c r="GO439" i="2"/>
  <c r="GL439" i="2"/>
  <c r="GB439" i="2"/>
  <c r="FT439" i="2"/>
  <c r="FS439" i="2"/>
  <c r="FQ439" i="2"/>
  <c r="GJ439" i="2" s="1"/>
  <c r="FP439" i="2"/>
  <c r="GI439" i="2" s="1"/>
  <c r="FO439" i="2"/>
  <c r="FN439" i="2"/>
  <c r="FM439" i="2"/>
  <c r="FL439" i="2"/>
  <c r="FK439" i="2"/>
  <c r="FJ439" i="2"/>
  <c r="FI439" i="2"/>
  <c r="FH439" i="2"/>
  <c r="FG439" i="2"/>
  <c r="FF439" i="2"/>
  <c r="FY439" i="2" s="1"/>
  <c r="FE439" i="2"/>
  <c r="FX439" i="2" s="1"/>
  <c r="FD439" i="2"/>
  <c r="FC439" i="2"/>
  <c r="FB439" i="2"/>
  <c r="EZ439" i="2"/>
  <c r="EW439" i="2"/>
  <c r="EP439" i="2"/>
  <c r="EM439" i="2"/>
  <c r="EL439" i="2"/>
  <c r="EH439" i="2"/>
  <c r="EG439" i="2"/>
  <c r="EE439" i="2"/>
  <c r="EX439" i="2" s="1"/>
  <c r="ED439" i="2"/>
  <c r="EC439" i="2"/>
  <c r="EB439" i="2"/>
  <c r="EA439" i="2"/>
  <c r="DZ439" i="2"/>
  <c r="DY439" i="2"/>
  <c r="DX439" i="2"/>
  <c r="DW439" i="2"/>
  <c r="DV439" i="2"/>
  <c r="DU439" i="2"/>
  <c r="DT439" i="2"/>
  <c r="DS439" i="2"/>
  <c r="DR439" i="2"/>
  <c r="DQ439" i="2"/>
  <c r="DP439" i="2"/>
  <c r="DM439" i="2"/>
  <c r="DL439" i="2"/>
  <c r="HC438" i="2"/>
  <c r="HB438" i="2"/>
  <c r="GW438" i="2"/>
  <c r="GV438" i="2"/>
  <c r="GU438" i="2"/>
  <c r="GT438" i="2"/>
  <c r="GQ438" i="2"/>
  <c r="GP438" i="2"/>
  <c r="GO438" i="2"/>
  <c r="GL438" i="2"/>
  <c r="GJ438" i="2"/>
  <c r="GB438" i="2"/>
  <c r="FT438" i="2"/>
  <c r="FS438" i="2"/>
  <c r="FQ438" i="2"/>
  <c r="FP438" i="2"/>
  <c r="GI438" i="2" s="1"/>
  <c r="FO438" i="2"/>
  <c r="FN438" i="2"/>
  <c r="FM438" i="2"/>
  <c r="FL438" i="2"/>
  <c r="FK438" i="2"/>
  <c r="FJ438" i="2"/>
  <c r="FI438" i="2"/>
  <c r="FH438" i="2"/>
  <c r="FG438" i="2"/>
  <c r="FF438" i="2"/>
  <c r="FY438" i="2" s="1"/>
  <c r="FE438" i="2"/>
  <c r="FX438" i="2" s="1"/>
  <c r="FD438" i="2"/>
  <c r="FC438" i="2"/>
  <c r="FB438" i="2"/>
  <c r="EZ438" i="2"/>
  <c r="EX438" i="2"/>
  <c r="EL438" i="2"/>
  <c r="EH438" i="2"/>
  <c r="EG438" i="2"/>
  <c r="EE438" i="2"/>
  <c r="ED438" i="2"/>
  <c r="EW438" i="2" s="1"/>
  <c r="EC438" i="2"/>
  <c r="EB438" i="2"/>
  <c r="EA438" i="2"/>
  <c r="DZ438" i="2"/>
  <c r="DY438" i="2"/>
  <c r="DX438" i="2"/>
  <c r="DW438" i="2"/>
  <c r="EP438" i="2" s="1"/>
  <c r="DV438" i="2"/>
  <c r="DU438" i="2"/>
  <c r="DT438" i="2"/>
  <c r="EM438" i="2" s="1"/>
  <c r="DS438" i="2"/>
  <c r="DR438" i="2"/>
  <c r="DQ438" i="2"/>
  <c r="DP438" i="2"/>
  <c r="DM438" i="2"/>
  <c r="DL438" i="2"/>
  <c r="HC437" i="2"/>
  <c r="HB437" i="2"/>
  <c r="GW437" i="2"/>
  <c r="GV437" i="2"/>
  <c r="GU437" i="2"/>
  <c r="GT437" i="2"/>
  <c r="GQ437" i="2"/>
  <c r="GP437" i="2"/>
  <c r="GO437" i="2"/>
  <c r="GJ437" i="2"/>
  <c r="GI437" i="2"/>
  <c r="FY437" i="2"/>
  <c r="FT437" i="2"/>
  <c r="FS437" i="2"/>
  <c r="GL437" i="2" s="1"/>
  <c r="FQ437" i="2"/>
  <c r="FP437" i="2"/>
  <c r="FO437" i="2"/>
  <c r="FN437" i="2"/>
  <c r="FM437" i="2"/>
  <c r="FL437" i="2"/>
  <c r="FK437" i="2"/>
  <c r="FJ437" i="2"/>
  <c r="FI437" i="2"/>
  <c r="GB437" i="2" s="1"/>
  <c r="FH437" i="2"/>
  <c r="FG437" i="2"/>
  <c r="FF437" i="2"/>
  <c r="FE437" i="2"/>
  <c r="FX437" i="2" s="1"/>
  <c r="FD437" i="2"/>
  <c r="FC437" i="2"/>
  <c r="FB437" i="2"/>
  <c r="EZ437" i="2"/>
  <c r="EP437" i="2"/>
  <c r="EH437" i="2"/>
  <c r="EG437" i="2"/>
  <c r="EE437" i="2"/>
  <c r="EX437" i="2" s="1"/>
  <c r="ED437" i="2"/>
  <c r="EW437" i="2" s="1"/>
  <c r="EC437" i="2"/>
  <c r="EB437" i="2"/>
  <c r="EA437" i="2"/>
  <c r="DZ437" i="2"/>
  <c r="DY437" i="2"/>
  <c r="DX437" i="2"/>
  <c r="DW437" i="2"/>
  <c r="DV437" i="2"/>
  <c r="DU437" i="2"/>
  <c r="DT437" i="2"/>
  <c r="EM437" i="2" s="1"/>
  <c r="DS437" i="2"/>
  <c r="EL437" i="2" s="1"/>
  <c r="DR437" i="2"/>
  <c r="DQ437" i="2"/>
  <c r="DP437" i="2"/>
  <c r="DM437" i="2"/>
  <c r="DL437" i="2"/>
  <c r="HC436" i="2"/>
  <c r="HB436" i="2"/>
  <c r="GX436" i="2"/>
  <c r="GY436" i="2" s="1"/>
  <c r="GW436" i="2"/>
  <c r="GV436" i="2"/>
  <c r="GU436" i="2"/>
  <c r="GT436" i="2"/>
  <c r="GP436" i="2"/>
  <c r="GQ436" i="2" s="1"/>
  <c r="GO436" i="2"/>
  <c r="GI436" i="2"/>
  <c r="FY436" i="2"/>
  <c r="FX436" i="2"/>
  <c r="FT436" i="2"/>
  <c r="FS436" i="2"/>
  <c r="GL436" i="2" s="1"/>
  <c r="FQ436" i="2"/>
  <c r="GJ436" i="2" s="1"/>
  <c r="FP436" i="2"/>
  <c r="FO436" i="2"/>
  <c r="FN436" i="2"/>
  <c r="FM436" i="2"/>
  <c r="FL436" i="2"/>
  <c r="FK436" i="2"/>
  <c r="FJ436" i="2"/>
  <c r="FI436" i="2"/>
  <c r="GB436" i="2" s="1"/>
  <c r="FH436" i="2"/>
  <c r="FG436" i="2"/>
  <c r="FF436" i="2"/>
  <c r="FE436" i="2"/>
  <c r="FD436" i="2"/>
  <c r="FC436" i="2"/>
  <c r="FB436" i="2"/>
  <c r="EZ436" i="2"/>
  <c r="EP436" i="2"/>
  <c r="EH436" i="2"/>
  <c r="EG436" i="2"/>
  <c r="EE436" i="2"/>
  <c r="EX436" i="2" s="1"/>
  <c r="ED436" i="2"/>
  <c r="EW436" i="2" s="1"/>
  <c r="EC436" i="2"/>
  <c r="EB436" i="2"/>
  <c r="EA436" i="2"/>
  <c r="DZ436" i="2"/>
  <c r="DY436" i="2"/>
  <c r="DX436" i="2"/>
  <c r="DW436" i="2"/>
  <c r="DV436" i="2"/>
  <c r="DU436" i="2"/>
  <c r="DT436" i="2"/>
  <c r="EM436" i="2" s="1"/>
  <c r="DS436" i="2"/>
  <c r="EL436" i="2" s="1"/>
  <c r="DR436" i="2"/>
  <c r="DQ436" i="2"/>
  <c r="DP436" i="2"/>
  <c r="DM436" i="2"/>
  <c r="DL436" i="2"/>
  <c r="HC435" i="2"/>
  <c r="HB435" i="2"/>
  <c r="GW435" i="2"/>
  <c r="GV435" i="2"/>
  <c r="GU435" i="2"/>
  <c r="GT435" i="2"/>
  <c r="GP435" i="2"/>
  <c r="GO435" i="2"/>
  <c r="GQ435" i="2" s="1"/>
  <c r="GL435" i="2"/>
  <c r="GJ435" i="2"/>
  <c r="FY435" i="2"/>
  <c r="FT435" i="2"/>
  <c r="FS435" i="2"/>
  <c r="FQ435" i="2"/>
  <c r="FP435" i="2"/>
  <c r="GI435" i="2" s="1"/>
  <c r="FO435" i="2"/>
  <c r="FN435" i="2"/>
  <c r="FM435" i="2"/>
  <c r="FL435" i="2"/>
  <c r="FK435" i="2"/>
  <c r="FJ435" i="2"/>
  <c r="FI435" i="2"/>
  <c r="GB435" i="2" s="1"/>
  <c r="FH435" i="2"/>
  <c r="FG435" i="2"/>
  <c r="FF435" i="2"/>
  <c r="FE435" i="2"/>
  <c r="FX435" i="2" s="1"/>
  <c r="FD435" i="2"/>
  <c r="FC435" i="2"/>
  <c r="FB435" i="2"/>
  <c r="EX435" i="2"/>
  <c r="EW435" i="2"/>
  <c r="EM435" i="2"/>
  <c r="EH435" i="2"/>
  <c r="EG435" i="2"/>
  <c r="EZ435" i="2" s="1"/>
  <c r="EE435" i="2"/>
  <c r="ED435" i="2"/>
  <c r="EC435" i="2"/>
  <c r="EB435" i="2"/>
  <c r="EA435" i="2"/>
  <c r="DZ435" i="2"/>
  <c r="DY435" i="2"/>
  <c r="DX435" i="2"/>
  <c r="DW435" i="2"/>
  <c r="EP435" i="2" s="1"/>
  <c r="DV435" i="2"/>
  <c r="DU435" i="2"/>
  <c r="DT435" i="2"/>
  <c r="DS435" i="2"/>
  <c r="EL435" i="2" s="1"/>
  <c r="DR435" i="2"/>
  <c r="DQ435" i="2"/>
  <c r="DP435" i="2"/>
  <c r="DM435" i="2"/>
  <c r="DL435" i="2"/>
  <c r="HC434" i="2"/>
  <c r="HB434" i="2"/>
  <c r="GY434" i="2"/>
  <c r="GX434" i="2"/>
  <c r="GW434" i="2"/>
  <c r="GV434" i="2"/>
  <c r="GU434" i="2"/>
  <c r="GT434" i="2"/>
  <c r="GO434" i="2"/>
  <c r="GJ434" i="2"/>
  <c r="GI434" i="2"/>
  <c r="GB434" i="2"/>
  <c r="FY434" i="2"/>
  <c r="FT434" i="2"/>
  <c r="FS434" i="2"/>
  <c r="GL434" i="2" s="1"/>
  <c r="FQ434" i="2"/>
  <c r="FP434" i="2"/>
  <c r="FO434" i="2"/>
  <c r="FN434" i="2"/>
  <c r="FM434" i="2"/>
  <c r="FL434" i="2"/>
  <c r="FK434" i="2"/>
  <c r="FJ434" i="2"/>
  <c r="FI434" i="2"/>
  <c r="FH434" i="2"/>
  <c r="FG434" i="2"/>
  <c r="FF434" i="2"/>
  <c r="FE434" i="2"/>
  <c r="FX434" i="2" s="1"/>
  <c r="FD434" i="2"/>
  <c r="FC434" i="2"/>
  <c r="FB434" i="2"/>
  <c r="EW434" i="2"/>
  <c r="EM434" i="2"/>
  <c r="EL434" i="2"/>
  <c r="EH434" i="2"/>
  <c r="EG434" i="2"/>
  <c r="EZ434" i="2" s="1"/>
  <c r="EE434" i="2"/>
  <c r="EX434" i="2" s="1"/>
  <c r="ED434" i="2"/>
  <c r="EC434" i="2"/>
  <c r="EB434" i="2"/>
  <c r="EA434" i="2"/>
  <c r="DZ434" i="2"/>
  <c r="DY434" i="2"/>
  <c r="DX434" i="2"/>
  <c r="DW434" i="2"/>
  <c r="EP434" i="2" s="1"/>
  <c r="DV434" i="2"/>
  <c r="DU434" i="2"/>
  <c r="DT434" i="2"/>
  <c r="DS434" i="2"/>
  <c r="DR434" i="2"/>
  <c r="DQ434" i="2"/>
  <c r="DP434" i="2"/>
  <c r="DM434" i="2"/>
  <c r="DL434" i="2"/>
  <c r="HC433" i="2"/>
  <c r="HB433" i="2"/>
  <c r="GX433" i="2"/>
  <c r="GW433" i="2"/>
  <c r="GY433" i="2" s="1"/>
  <c r="GV433" i="2"/>
  <c r="GU433" i="2"/>
  <c r="GT433" i="2"/>
  <c r="GO433" i="2"/>
  <c r="GL433" i="2"/>
  <c r="GI433" i="2"/>
  <c r="GB433" i="2"/>
  <c r="FY433" i="2"/>
  <c r="FX433" i="2"/>
  <c r="FT433" i="2"/>
  <c r="FS433" i="2"/>
  <c r="FQ433" i="2"/>
  <c r="GJ433" i="2" s="1"/>
  <c r="FP433" i="2"/>
  <c r="FO433" i="2"/>
  <c r="FN433" i="2"/>
  <c r="FM433" i="2"/>
  <c r="FL433" i="2"/>
  <c r="FK433" i="2"/>
  <c r="FJ433" i="2"/>
  <c r="FI433" i="2"/>
  <c r="FH433" i="2"/>
  <c r="FG433" i="2"/>
  <c r="FF433" i="2"/>
  <c r="FE433" i="2"/>
  <c r="FD433" i="2"/>
  <c r="FC433" i="2"/>
  <c r="FB433" i="2"/>
  <c r="EL433" i="2"/>
  <c r="EH433" i="2"/>
  <c r="EG433" i="2"/>
  <c r="EZ433" i="2" s="1"/>
  <c r="EE433" i="2"/>
  <c r="EX433" i="2" s="1"/>
  <c r="ED433" i="2"/>
  <c r="EW433" i="2" s="1"/>
  <c r="EC433" i="2"/>
  <c r="EB433" i="2"/>
  <c r="EA433" i="2"/>
  <c r="DZ433" i="2"/>
  <c r="DY433" i="2"/>
  <c r="DX433" i="2"/>
  <c r="DW433" i="2"/>
  <c r="EP433" i="2" s="1"/>
  <c r="DV433" i="2"/>
  <c r="DU433" i="2"/>
  <c r="DT433" i="2"/>
  <c r="EM433" i="2" s="1"/>
  <c r="DS433" i="2"/>
  <c r="DR433" i="2"/>
  <c r="DQ433" i="2"/>
  <c r="DP433" i="2"/>
  <c r="DM433" i="2"/>
  <c r="DL433" i="2"/>
  <c r="HC432" i="2"/>
  <c r="HB432" i="2"/>
  <c r="GW432" i="2"/>
  <c r="GV432" i="2"/>
  <c r="GU432" i="2"/>
  <c r="GT432" i="2"/>
  <c r="GP432" i="2"/>
  <c r="GO432" i="2"/>
  <c r="FT432" i="2"/>
  <c r="FS432" i="2"/>
  <c r="GL432" i="2" s="1"/>
  <c r="FQ432" i="2"/>
  <c r="GJ432" i="2" s="1"/>
  <c r="FP432" i="2"/>
  <c r="GI432" i="2" s="1"/>
  <c r="FO432" i="2"/>
  <c r="FN432" i="2"/>
  <c r="FM432" i="2"/>
  <c r="FL432" i="2"/>
  <c r="FK432" i="2"/>
  <c r="FJ432" i="2"/>
  <c r="FI432" i="2"/>
  <c r="GB432" i="2" s="1"/>
  <c r="FH432" i="2"/>
  <c r="FG432" i="2"/>
  <c r="FF432" i="2"/>
  <c r="FY432" i="2" s="1"/>
  <c r="FE432" i="2"/>
  <c r="FX432" i="2" s="1"/>
  <c r="FD432" i="2"/>
  <c r="FC432" i="2"/>
  <c r="FB432" i="2"/>
  <c r="EX432" i="2"/>
  <c r="EW432" i="2"/>
  <c r="EP432" i="2"/>
  <c r="EM432" i="2"/>
  <c r="EL432" i="2"/>
  <c r="EH432" i="2"/>
  <c r="EG432" i="2"/>
  <c r="EZ432" i="2" s="1"/>
  <c r="EE432" i="2"/>
  <c r="ED432" i="2"/>
  <c r="EC432" i="2"/>
  <c r="EB432" i="2"/>
  <c r="EA432" i="2"/>
  <c r="DZ432" i="2"/>
  <c r="DY432" i="2"/>
  <c r="DX432" i="2"/>
  <c r="DW432" i="2"/>
  <c r="DV432" i="2"/>
  <c r="DU432" i="2"/>
  <c r="DT432" i="2"/>
  <c r="DS432" i="2"/>
  <c r="DR432" i="2"/>
  <c r="DQ432" i="2"/>
  <c r="DP432" i="2"/>
  <c r="DM432" i="2"/>
  <c r="DL432" i="2"/>
  <c r="HC431" i="2"/>
  <c r="HB431" i="2"/>
  <c r="GW431" i="2"/>
  <c r="GV431" i="2"/>
  <c r="GU431" i="2"/>
  <c r="GT431" i="2"/>
  <c r="GO431" i="2"/>
  <c r="GL431" i="2"/>
  <c r="GI431" i="2"/>
  <c r="GB431" i="2"/>
  <c r="FY431" i="2"/>
  <c r="FX431" i="2"/>
  <c r="FT431" i="2"/>
  <c r="FS431" i="2"/>
  <c r="FQ431" i="2"/>
  <c r="GJ431" i="2" s="1"/>
  <c r="FP431" i="2"/>
  <c r="FO431" i="2"/>
  <c r="FN431" i="2"/>
  <c r="FM431" i="2"/>
  <c r="FL431" i="2"/>
  <c r="FK431" i="2"/>
  <c r="FJ431" i="2"/>
  <c r="FI431" i="2"/>
  <c r="FH431" i="2"/>
  <c r="FG431" i="2"/>
  <c r="FF431" i="2"/>
  <c r="FE431" i="2"/>
  <c r="FD431" i="2"/>
  <c r="FC431" i="2"/>
  <c r="FB431" i="2"/>
  <c r="EL431" i="2"/>
  <c r="EH431" i="2"/>
  <c r="EG431" i="2"/>
  <c r="EZ431" i="2" s="1"/>
  <c r="EE431" i="2"/>
  <c r="EX431" i="2" s="1"/>
  <c r="ED431" i="2"/>
  <c r="EW431" i="2" s="1"/>
  <c r="EC431" i="2"/>
  <c r="EB431" i="2"/>
  <c r="EA431" i="2"/>
  <c r="DZ431" i="2"/>
  <c r="DY431" i="2"/>
  <c r="DX431" i="2"/>
  <c r="DW431" i="2"/>
  <c r="EP431" i="2" s="1"/>
  <c r="DV431" i="2"/>
  <c r="DU431" i="2"/>
  <c r="DT431" i="2"/>
  <c r="EM431" i="2" s="1"/>
  <c r="DS431" i="2"/>
  <c r="DR431" i="2"/>
  <c r="DQ431" i="2"/>
  <c r="DP431" i="2"/>
  <c r="DM431" i="2"/>
  <c r="DL431" i="2"/>
  <c r="HC430" i="2"/>
  <c r="HB430" i="2"/>
  <c r="GW430" i="2"/>
  <c r="GV430" i="2"/>
  <c r="GU430" i="2"/>
  <c r="GT430" i="2"/>
  <c r="GO430" i="2"/>
  <c r="FT430" i="2"/>
  <c r="FS430" i="2"/>
  <c r="GL430" i="2" s="1"/>
  <c r="FQ430" i="2"/>
  <c r="GJ430" i="2" s="1"/>
  <c r="FP430" i="2"/>
  <c r="GI430" i="2" s="1"/>
  <c r="FO430" i="2"/>
  <c r="FN430" i="2"/>
  <c r="FM430" i="2"/>
  <c r="FL430" i="2"/>
  <c r="FK430" i="2"/>
  <c r="FJ430" i="2"/>
  <c r="FI430" i="2"/>
  <c r="GB430" i="2" s="1"/>
  <c r="FH430" i="2"/>
  <c r="FG430" i="2"/>
  <c r="FF430" i="2"/>
  <c r="FY430" i="2" s="1"/>
  <c r="FE430" i="2"/>
  <c r="FX430" i="2" s="1"/>
  <c r="FD430" i="2"/>
  <c r="FC430" i="2"/>
  <c r="FB430" i="2"/>
  <c r="EX430" i="2"/>
  <c r="EW430" i="2"/>
  <c r="EP430" i="2"/>
  <c r="EM430" i="2"/>
  <c r="EH430" i="2"/>
  <c r="EG430" i="2"/>
  <c r="EZ430" i="2" s="1"/>
  <c r="EE430" i="2"/>
  <c r="ED430" i="2"/>
  <c r="EC430" i="2"/>
  <c r="EB430" i="2"/>
  <c r="EA430" i="2"/>
  <c r="DZ430" i="2"/>
  <c r="DY430" i="2"/>
  <c r="DX430" i="2"/>
  <c r="DW430" i="2"/>
  <c r="DV430" i="2"/>
  <c r="DU430" i="2"/>
  <c r="DT430" i="2"/>
  <c r="DS430" i="2"/>
  <c r="EL430" i="2" s="1"/>
  <c r="DR430" i="2"/>
  <c r="DQ430" i="2"/>
  <c r="DP430" i="2"/>
  <c r="DM430" i="2"/>
  <c r="DL430" i="2"/>
  <c r="HC429" i="2"/>
  <c r="HB429" i="2"/>
  <c r="GW429" i="2"/>
  <c r="GV429" i="2"/>
  <c r="GU429" i="2"/>
  <c r="GT429" i="2"/>
  <c r="GO429" i="2"/>
  <c r="GL429" i="2"/>
  <c r="GI429" i="2"/>
  <c r="GB429" i="2"/>
  <c r="FY429" i="2"/>
  <c r="FX429" i="2"/>
  <c r="FT429" i="2"/>
  <c r="FS429" i="2"/>
  <c r="FQ429" i="2"/>
  <c r="GJ429" i="2" s="1"/>
  <c r="FP429" i="2"/>
  <c r="FO429" i="2"/>
  <c r="FN429" i="2"/>
  <c r="FM429" i="2"/>
  <c r="FL429" i="2"/>
  <c r="FK429" i="2"/>
  <c r="FJ429" i="2"/>
  <c r="FI429" i="2"/>
  <c r="FH429" i="2"/>
  <c r="FG429" i="2"/>
  <c r="FF429" i="2"/>
  <c r="FE429" i="2"/>
  <c r="FD429" i="2"/>
  <c r="FC429" i="2"/>
  <c r="FB429" i="2"/>
  <c r="EL429" i="2"/>
  <c r="EH429" i="2"/>
  <c r="EG429" i="2"/>
  <c r="EZ429" i="2" s="1"/>
  <c r="EE429" i="2"/>
  <c r="EX429" i="2" s="1"/>
  <c r="ED429" i="2"/>
  <c r="EW429" i="2" s="1"/>
  <c r="EC429" i="2"/>
  <c r="EB429" i="2"/>
  <c r="EA429" i="2"/>
  <c r="DZ429" i="2"/>
  <c r="DY429" i="2"/>
  <c r="DX429" i="2"/>
  <c r="DW429" i="2"/>
  <c r="EP429" i="2" s="1"/>
  <c r="DV429" i="2"/>
  <c r="DU429" i="2"/>
  <c r="DT429" i="2"/>
  <c r="EM429" i="2" s="1"/>
  <c r="DS429" i="2"/>
  <c r="DR429" i="2"/>
  <c r="DQ429" i="2"/>
  <c r="DP429" i="2"/>
  <c r="DM429" i="2"/>
  <c r="DL429" i="2"/>
  <c r="HC428" i="2"/>
  <c r="HB428" i="2"/>
  <c r="GW428" i="2"/>
  <c r="GV428" i="2"/>
  <c r="GU428" i="2"/>
  <c r="GT428" i="2"/>
  <c r="GQ428" i="2"/>
  <c r="GP428" i="2"/>
  <c r="GO428" i="2"/>
  <c r="GL428" i="2"/>
  <c r="GJ428" i="2"/>
  <c r="FX428" i="2"/>
  <c r="FT428" i="2"/>
  <c r="FS428" i="2"/>
  <c r="FQ428" i="2"/>
  <c r="FP428" i="2"/>
  <c r="GI428" i="2" s="1"/>
  <c r="FO428" i="2"/>
  <c r="FN428" i="2"/>
  <c r="FM428" i="2"/>
  <c r="FL428" i="2"/>
  <c r="FK428" i="2"/>
  <c r="FJ428" i="2"/>
  <c r="FI428" i="2"/>
  <c r="GB428" i="2" s="1"/>
  <c r="FH428" i="2"/>
  <c r="FG428" i="2"/>
  <c r="FF428" i="2"/>
  <c r="FY428" i="2" s="1"/>
  <c r="FE428" i="2"/>
  <c r="FD428" i="2"/>
  <c r="FC428" i="2"/>
  <c r="FB428" i="2"/>
  <c r="EH428" i="2"/>
  <c r="EG428" i="2"/>
  <c r="EZ428" i="2" s="1"/>
  <c r="EE428" i="2"/>
  <c r="EX428" i="2" s="1"/>
  <c r="ED428" i="2"/>
  <c r="EW428" i="2" s="1"/>
  <c r="EC428" i="2"/>
  <c r="EB428" i="2"/>
  <c r="EA428" i="2"/>
  <c r="DZ428" i="2"/>
  <c r="DY428" i="2"/>
  <c r="DX428" i="2"/>
  <c r="DW428" i="2"/>
  <c r="EP428" i="2" s="1"/>
  <c r="DV428" i="2"/>
  <c r="DU428" i="2"/>
  <c r="DT428" i="2"/>
  <c r="EM428" i="2" s="1"/>
  <c r="DS428" i="2"/>
  <c r="EL428" i="2" s="1"/>
  <c r="DR428" i="2"/>
  <c r="DQ428" i="2"/>
  <c r="DP428" i="2"/>
  <c r="DM428" i="2"/>
  <c r="DL428" i="2"/>
  <c r="HC427" i="2"/>
  <c r="HB427" i="2"/>
  <c r="GW427" i="2"/>
  <c r="GV427" i="2"/>
  <c r="GU427" i="2"/>
  <c r="GT427" i="2"/>
  <c r="GQ427" i="2"/>
  <c r="GP427" i="2"/>
  <c r="GO427" i="2"/>
  <c r="GL427" i="2"/>
  <c r="GJ427" i="2"/>
  <c r="GI427" i="2"/>
  <c r="FY427" i="2"/>
  <c r="FT427" i="2"/>
  <c r="FS427" i="2"/>
  <c r="FQ427" i="2"/>
  <c r="FP427" i="2"/>
  <c r="FO427" i="2"/>
  <c r="FN427" i="2"/>
  <c r="FM427" i="2"/>
  <c r="FL427" i="2"/>
  <c r="FK427" i="2"/>
  <c r="FJ427" i="2"/>
  <c r="FI427" i="2"/>
  <c r="GB427" i="2" s="1"/>
  <c r="FH427" i="2"/>
  <c r="FG427" i="2"/>
  <c r="FF427" i="2"/>
  <c r="FE427" i="2"/>
  <c r="FX427" i="2" s="1"/>
  <c r="FD427" i="2"/>
  <c r="FC427" i="2"/>
  <c r="FB427" i="2"/>
  <c r="EP427" i="2"/>
  <c r="EH427" i="2"/>
  <c r="EG427" i="2"/>
  <c r="EZ427" i="2" s="1"/>
  <c r="EE427" i="2"/>
  <c r="EX427" i="2" s="1"/>
  <c r="ED427" i="2"/>
  <c r="EW427" i="2" s="1"/>
  <c r="EC427" i="2"/>
  <c r="EB427" i="2"/>
  <c r="EA427" i="2"/>
  <c r="DZ427" i="2"/>
  <c r="DY427" i="2"/>
  <c r="DX427" i="2"/>
  <c r="DW427" i="2"/>
  <c r="DV427" i="2"/>
  <c r="DU427" i="2"/>
  <c r="DT427" i="2"/>
  <c r="EM427" i="2" s="1"/>
  <c r="DS427" i="2"/>
  <c r="EL427" i="2" s="1"/>
  <c r="DR427" i="2"/>
  <c r="DQ427" i="2"/>
  <c r="DP427" i="2"/>
  <c r="DM427" i="2"/>
  <c r="DL427" i="2"/>
  <c r="HC426" i="2"/>
  <c r="HB426" i="2"/>
  <c r="GY426" i="2"/>
  <c r="GX426" i="2"/>
  <c r="GW426" i="2"/>
  <c r="GV426" i="2"/>
  <c r="GU426" i="2"/>
  <c r="GT426" i="2"/>
  <c r="GQ426" i="2"/>
  <c r="GP426" i="2"/>
  <c r="GO426" i="2"/>
  <c r="GJ426" i="2"/>
  <c r="GI426" i="2"/>
  <c r="FY426" i="2"/>
  <c r="FX426" i="2"/>
  <c r="FT426" i="2"/>
  <c r="FS426" i="2"/>
  <c r="GL426" i="2" s="1"/>
  <c r="FQ426" i="2"/>
  <c r="FP426" i="2"/>
  <c r="FO426" i="2"/>
  <c r="FN426" i="2"/>
  <c r="FM426" i="2"/>
  <c r="FL426" i="2"/>
  <c r="FK426" i="2"/>
  <c r="FJ426" i="2"/>
  <c r="FI426" i="2"/>
  <c r="GB426" i="2" s="1"/>
  <c r="FH426" i="2"/>
  <c r="FG426" i="2"/>
  <c r="FF426" i="2"/>
  <c r="FE426" i="2"/>
  <c r="FD426" i="2"/>
  <c r="FC426" i="2"/>
  <c r="FB426" i="2"/>
  <c r="EZ426" i="2"/>
  <c r="EP426" i="2"/>
  <c r="EH426" i="2"/>
  <c r="EG426" i="2"/>
  <c r="EE426" i="2"/>
  <c r="EX426" i="2" s="1"/>
  <c r="ED426" i="2"/>
  <c r="EW426" i="2" s="1"/>
  <c r="EC426" i="2"/>
  <c r="EB426" i="2"/>
  <c r="EA426" i="2"/>
  <c r="DZ426" i="2"/>
  <c r="DY426" i="2"/>
  <c r="DX426" i="2"/>
  <c r="DW426" i="2"/>
  <c r="DV426" i="2"/>
  <c r="DU426" i="2"/>
  <c r="DT426" i="2"/>
  <c r="EM426" i="2" s="1"/>
  <c r="DS426" i="2"/>
  <c r="EL426" i="2" s="1"/>
  <c r="DR426" i="2"/>
  <c r="DQ426" i="2"/>
  <c r="DP426" i="2"/>
  <c r="DM426" i="2"/>
  <c r="DL426" i="2"/>
  <c r="HC425" i="2"/>
  <c r="HB425" i="2"/>
  <c r="GY425" i="2"/>
  <c r="GX425" i="2"/>
  <c r="GW425" i="2"/>
  <c r="GV425" i="2"/>
  <c r="GU425" i="2"/>
  <c r="GT425" i="2"/>
  <c r="GP425" i="2"/>
  <c r="GO425" i="2"/>
  <c r="GQ425" i="2" s="1"/>
  <c r="GI425" i="2"/>
  <c r="FY425" i="2"/>
  <c r="FX425" i="2"/>
  <c r="FT425" i="2"/>
  <c r="FS425" i="2"/>
  <c r="GL425" i="2" s="1"/>
  <c r="FQ425" i="2"/>
  <c r="GJ425" i="2" s="1"/>
  <c r="FP425" i="2"/>
  <c r="FO425" i="2"/>
  <c r="FN425" i="2"/>
  <c r="FM425" i="2"/>
  <c r="FL425" i="2"/>
  <c r="FK425" i="2"/>
  <c r="FJ425" i="2"/>
  <c r="FI425" i="2"/>
  <c r="GB425" i="2" s="1"/>
  <c r="FH425" i="2"/>
  <c r="FG425" i="2"/>
  <c r="FF425" i="2"/>
  <c r="FE425" i="2"/>
  <c r="FD425" i="2"/>
  <c r="FC425" i="2"/>
  <c r="FB425" i="2"/>
  <c r="EZ425" i="2"/>
  <c r="EX425" i="2"/>
  <c r="EW425" i="2"/>
  <c r="EM425" i="2"/>
  <c r="EH425" i="2"/>
  <c r="EG425" i="2"/>
  <c r="EE425" i="2"/>
  <c r="ED425" i="2"/>
  <c r="EC425" i="2"/>
  <c r="EB425" i="2"/>
  <c r="EA425" i="2"/>
  <c r="DZ425" i="2"/>
  <c r="DY425" i="2"/>
  <c r="DX425" i="2"/>
  <c r="DW425" i="2"/>
  <c r="EP425" i="2" s="1"/>
  <c r="DV425" i="2"/>
  <c r="DU425" i="2"/>
  <c r="DT425" i="2"/>
  <c r="DS425" i="2"/>
  <c r="EL425" i="2" s="1"/>
  <c r="DR425" i="2"/>
  <c r="DQ425" i="2"/>
  <c r="DP425" i="2"/>
  <c r="DM425" i="2"/>
  <c r="DL425" i="2"/>
  <c r="HC424" i="2"/>
  <c r="HB424" i="2"/>
  <c r="GX424" i="2"/>
  <c r="GY424" i="2" s="1"/>
  <c r="GW424" i="2"/>
  <c r="GV424" i="2"/>
  <c r="GU424" i="2"/>
  <c r="GT424" i="2"/>
  <c r="GO424" i="2"/>
  <c r="FX424" i="2"/>
  <c r="FT424" i="2"/>
  <c r="FS424" i="2"/>
  <c r="GL424" i="2" s="1"/>
  <c r="FQ424" i="2"/>
  <c r="GJ424" i="2" s="1"/>
  <c r="FP424" i="2"/>
  <c r="GI424" i="2" s="1"/>
  <c r="FO424" i="2"/>
  <c r="FN424" i="2"/>
  <c r="FM424" i="2"/>
  <c r="FL424" i="2"/>
  <c r="FK424" i="2"/>
  <c r="FJ424" i="2"/>
  <c r="FI424" i="2"/>
  <c r="GB424" i="2" s="1"/>
  <c r="FH424" i="2"/>
  <c r="FG424" i="2"/>
  <c r="FF424" i="2"/>
  <c r="FY424" i="2" s="1"/>
  <c r="FE424" i="2"/>
  <c r="FD424" i="2"/>
  <c r="FC424" i="2"/>
  <c r="FB424" i="2"/>
  <c r="EX424" i="2"/>
  <c r="EW424" i="2"/>
  <c r="EP424" i="2"/>
  <c r="EM424" i="2"/>
  <c r="EL424" i="2"/>
  <c r="EH424" i="2"/>
  <c r="EG424" i="2"/>
  <c r="EZ424" i="2" s="1"/>
  <c r="EE424" i="2"/>
  <c r="ED424" i="2"/>
  <c r="EC424" i="2"/>
  <c r="EB424" i="2"/>
  <c r="EA424" i="2"/>
  <c r="DZ424" i="2"/>
  <c r="DY424" i="2"/>
  <c r="DX424" i="2"/>
  <c r="DW424" i="2"/>
  <c r="DV424" i="2"/>
  <c r="DU424" i="2"/>
  <c r="DT424" i="2"/>
  <c r="DS424" i="2"/>
  <c r="DR424" i="2"/>
  <c r="DQ424" i="2"/>
  <c r="DP424" i="2"/>
  <c r="DM424" i="2"/>
  <c r="DL424" i="2"/>
  <c r="HC423" i="2"/>
  <c r="HB423" i="2"/>
  <c r="GW423" i="2"/>
  <c r="GV423" i="2"/>
  <c r="GU423" i="2"/>
  <c r="GT423" i="2"/>
  <c r="GO423" i="2"/>
  <c r="GL423" i="2"/>
  <c r="GI423" i="2"/>
  <c r="GB423" i="2"/>
  <c r="FY423" i="2"/>
  <c r="FX423" i="2"/>
  <c r="FT423" i="2"/>
  <c r="FS423" i="2"/>
  <c r="FQ423" i="2"/>
  <c r="GJ423" i="2" s="1"/>
  <c r="FP423" i="2"/>
  <c r="FO423" i="2"/>
  <c r="FN423" i="2"/>
  <c r="FM423" i="2"/>
  <c r="FL423" i="2"/>
  <c r="FK423" i="2"/>
  <c r="FJ423" i="2"/>
  <c r="FI423" i="2"/>
  <c r="FH423" i="2"/>
  <c r="FG423" i="2"/>
  <c r="FF423" i="2"/>
  <c r="FE423" i="2"/>
  <c r="FD423" i="2"/>
  <c r="FC423" i="2"/>
  <c r="FB423" i="2"/>
  <c r="EW423" i="2"/>
  <c r="EM423" i="2"/>
  <c r="EL423" i="2"/>
  <c r="EH423" i="2"/>
  <c r="EG423" i="2"/>
  <c r="EZ423" i="2" s="1"/>
  <c r="EE423" i="2"/>
  <c r="EX423" i="2" s="1"/>
  <c r="ED423" i="2"/>
  <c r="EC423" i="2"/>
  <c r="EB423" i="2"/>
  <c r="EA423" i="2"/>
  <c r="DZ423" i="2"/>
  <c r="DY423" i="2"/>
  <c r="DX423" i="2"/>
  <c r="DW423" i="2"/>
  <c r="EP423" i="2" s="1"/>
  <c r="DV423" i="2"/>
  <c r="DU423" i="2"/>
  <c r="DT423" i="2"/>
  <c r="DS423" i="2"/>
  <c r="DR423" i="2"/>
  <c r="DQ423" i="2"/>
  <c r="DP423" i="2"/>
  <c r="DM423" i="2"/>
  <c r="DL423" i="2"/>
  <c r="HC422" i="2"/>
  <c r="HB422" i="2"/>
  <c r="GW422" i="2"/>
  <c r="GV422" i="2"/>
  <c r="GU422" i="2"/>
  <c r="GT422" i="2"/>
  <c r="GO422" i="2"/>
  <c r="FX422" i="2"/>
  <c r="FT422" i="2"/>
  <c r="FS422" i="2"/>
  <c r="GL422" i="2" s="1"/>
  <c r="FQ422" i="2"/>
  <c r="GJ422" i="2" s="1"/>
  <c r="FP422" i="2"/>
  <c r="GI422" i="2" s="1"/>
  <c r="FO422" i="2"/>
  <c r="FN422" i="2"/>
  <c r="FM422" i="2"/>
  <c r="FL422" i="2"/>
  <c r="FK422" i="2"/>
  <c r="FJ422" i="2"/>
  <c r="FI422" i="2"/>
  <c r="GB422" i="2" s="1"/>
  <c r="FH422" i="2"/>
  <c r="FG422" i="2"/>
  <c r="FF422" i="2"/>
  <c r="FY422" i="2" s="1"/>
  <c r="FE422" i="2"/>
  <c r="FD422" i="2"/>
  <c r="FC422" i="2"/>
  <c r="FB422" i="2"/>
  <c r="EX422" i="2"/>
  <c r="EW422" i="2"/>
  <c r="EP422" i="2"/>
  <c r="EM422" i="2"/>
  <c r="EL422" i="2"/>
  <c r="EH422" i="2"/>
  <c r="EG422" i="2"/>
  <c r="EZ422" i="2" s="1"/>
  <c r="EE422" i="2"/>
  <c r="ED422" i="2"/>
  <c r="EC422" i="2"/>
  <c r="EB422" i="2"/>
  <c r="EA422" i="2"/>
  <c r="DZ422" i="2"/>
  <c r="DY422" i="2"/>
  <c r="DX422" i="2"/>
  <c r="DW422" i="2"/>
  <c r="DV422" i="2"/>
  <c r="DU422" i="2"/>
  <c r="DT422" i="2"/>
  <c r="DS422" i="2"/>
  <c r="DR422" i="2"/>
  <c r="DQ422" i="2"/>
  <c r="DP422" i="2"/>
  <c r="DM422" i="2"/>
  <c r="DL422" i="2"/>
  <c r="HC421" i="2"/>
  <c r="HB421" i="2"/>
  <c r="GW421" i="2"/>
  <c r="GV421" i="2"/>
  <c r="GU421" i="2"/>
  <c r="GT421" i="2"/>
  <c r="GO421" i="2"/>
  <c r="GL421" i="2"/>
  <c r="GI421" i="2"/>
  <c r="GB421" i="2"/>
  <c r="FX421" i="2"/>
  <c r="FT421" i="2"/>
  <c r="FS421" i="2"/>
  <c r="FQ421" i="2"/>
  <c r="GJ421" i="2" s="1"/>
  <c r="FP421" i="2"/>
  <c r="FO421" i="2"/>
  <c r="FN421" i="2"/>
  <c r="FM421" i="2"/>
  <c r="FL421" i="2"/>
  <c r="FK421" i="2"/>
  <c r="FJ421" i="2"/>
  <c r="FI421" i="2"/>
  <c r="FH421" i="2"/>
  <c r="FG421" i="2"/>
  <c r="FF421" i="2"/>
  <c r="FY421" i="2" s="1"/>
  <c r="FE421" i="2"/>
  <c r="FD421" i="2"/>
  <c r="FC421" i="2"/>
  <c r="FB421" i="2"/>
  <c r="EW421" i="2"/>
  <c r="EM421" i="2"/>
  <c r="EL421" i="2"/>
  <c r="EH421" i="2"/>
  <c r="EG421" i="2"/>
  <c r="EZ421" i="2" s="1"/>
  <c r="EE421" i="2"/>
  <c r="EX421" i="2" s="1"/>
  <c r="ED421" i="2"/>
  <c r="EC421" i="2"/>
  <c r="EB421" i="2"/>
  <c r="EA421" i="2"/>
  <c r="DZ421" i="2"/>
  <c r="DY421" i="2"/>
  <c r="DX421" i="2"/>
  <c r="DW421" i="2"/>
  <c r="EP421" i="2" s="1"/>
  <c r="DV421" i="2"/>
  <c r="DU421" i="2"/>
  <c r="DT421" i="2"/>
  <c r="DS421" i="2"/>
  <c r="DR421" i="2"/>
  <c r="DQ421" i="2"/>
  <c r="DP421" i="2"/>
  <c r="DM421" i="2"/>
  <c r="DL421" i="2"/>
  <c r="HC420" i="2"/>
  <c r="HB420" i="2"/>
  <c r="GW420" i="2"/>
  <c r="GV420" i="2"/>
  <c r="GU420" i="2"/>
  <c r="GT420" i="2"/>
  <c r="GQ420" i="2"/>
  <c r="GP420" i="2"/>
  <c r="GO420" i="2"/>
  <c r="GL420" i="2"/>
  <c r="GJ420" i="2"/>
  <c r="GB420" i="2"/>
  <c r="FX420" i="2"/>
  <c r="FT420" i="2"/>
  <c r="FS420" i="2"/>
  <c r="FQ420" i="2"/>
  <c r="FP420" i="2"/>
  <c r="GI420" i="2" s="1"/>
  <c r="FO420" i="2"/>
  <c r="FN420" i="2"/>
  <c r="FM420" i="2"/>
  <c r="FL420" i="2"/>
  <c r="FK420" i="2"/>
  <c r="FJ420" i="2"/>
  <c r="FI420" i="2"/>
  <c r="FH420" i="2"/>
  <c r="FG420" i="2"/>
  <c r="FF420" i="2"/>
  <c r="FY420" i="2" s="1"/>
  <c r="FE420" i="2"/>
  <c r="FD420" i="2"/>
  <c r="FC420" i="2"/>
  <c r="FB420" i="2"/>
  <c r="EL420" i="2"/>
  <c r="EH420" i="2"/>
  <c r="EG420" i="2"/>
  <c r="EZ420" i="2" s="1"/>
  <c r="EE420" i="2"/>
  <c r="EX420" i="2" s="1"/>
  <c r="ED420" i="2"/>
  <c r="EW420" i="2" s="1"/>
  <c r="EC420" i="2"/>
  <c r="EB420" i="2"/>
  <c r="EA420" i="2"/>
  <c r="DZ420" i="2"/>
  <c r="DY420" i="2"/>
  <c r="DX420" i="2"/>
  <c r="DW420" i="2"/>
  <c r="EP420" i="2" s="1"/>
  <c r="DV420" i="2"/>
  <c r="DU420" i="2"/>
  <c r="DT420" i="2"/>
  <c r="EM420" i="2" s="1"/>
  <c r="DS420" i="2"/>
  <c r="DR420" i="2"/>
  <c r="DQ420" i="2"/>
  <c r="DP420" i="2"/>
  <c r="DM420" i="2"/>
  <c r="DL420" i="2"/>
  <c r="HC419" i="2"/>
  <c r="HB419" i="2"/>
  <c r="GW419" i="2"/>
  <c r="GV419" i="2"/>
  <c r="GU419" i="2"/>
  <c r="GT419" i="2"/>
  <c r="GP419" i="2"/>
  <c r="GQ419" i="2" s="1"/>
  <c r="GO419" i="2"/>
  <c r="GL419" i="2"/>
  <c r="GJ419" i="2"/>
  <c r="GI419" i="2"/>
  <c r="FY419" i="2"/>
  <c r="FT419" i="2"/>
  <c r="FS419" i="2"/>
  <c r="FQ419" i="2"/>
  <c r="FP419" i="2"/>
  <c r="FO419" i="2"/>
  <c r="FN419" i="2"/>
  <c r="FM419" i="2"/>
  <c r="FL419" i="2"/>
  <c r="FK419" i="2"/>
  <c r="FJ419" i="2"/>
  <c r="FI419" i="2"/>
  <c r="GB419" i="2" s="1"/>
  <c r="FH419" i="2"/>
  <c r="FG419" i="2"/>
  <c r="FF419" i="2"/>
  <c r="FE419" i="2"/>
  <c r="FX419" i="2" s="1"/>
  <c r="FD419" i="2"/>
  <c r="FC419" i="2"/>
  <c r="FB419" i="2"/>
  <c r="EZ419" i="2"/>
  <c r="EP419" i="2"/>
  <c r="EH419" i="2"/>
  <c r="EG419" i="2"/>
  <c r="EE419" i="2"/>
  <c r="EX419" i="2" s="1"/>
  <c r="ED419" i="2"/>
  <c r="EW419" i="2" s="1"/>
  <c r="EC419" i="2"/>
  <c r="EB419" i="2"/>
  <c r="EA419" i="2"/>
  <c r="DZ419" i="2"/>
  <c r="DY419" i="2"/>
  <c r="DX419" i="2"/>
  <c r="DW419" i="2"/>
  <c r="DV419" i="2"/>
  <c r="DU419" i="2"/>
  <c r="DT419" i="2"/>
  <c r="EM419" i="2" s="1"/>
  <c r="DS419" i="2"/>
  <c r="EL419" i="2" s="1"/>
  <c r="DR419" i="2"/>
  <c r="DQ419" i="2"/>
  <c r="DP419" i="2"/>
  <c r="DM419" i="2"/>
  <c r="DL419" i="2"/>
  <c r="HC418" i="2"/>
  <c r="HB418" i="2"/>
  <c r="GY418" i="2"/>
  <c r="GX418" i="2"/>
  <c r="GW418" i="2"/>
  <c r="GV418" i="2"/>
  <c r="GU418" i="2"/>
  <c r="GT418" i="2"/>
  <c r="GO418" i="2"/>
  <c r="GJ418" i="2"/>
  <c r="GI418" i="2"/>
  <c r="FY418" i="2"/>
  <c r="FX418" i="2"/>
  <c r="FT418" i="2"/>
  <c r="FS418" i="2"/>
  <c r="GL418" i="2" s="1"/>
  <c r="FQ418" i="2"/>
  <c r="FP418" i="2"/>
  <c r="FO418" i="2"/>
  <c r="FN418" i="2"/>
  <c r="FM418" i="2"/>
  <c r="FL418" i="2"/>
  <c r="FK418" i="2"/>
  <c r="FJ418" i="2"/>
  <c r="FI418" i="2"/>
  <c r="GB418" i="2" s="1"/>
  <c r="FH418" i="2"/>
  <c r="FG418" i="2"/>
  <c r="FF418" i="2"/>
  <c r="FE418" i="2"/>
  <c r="FD418" i="2"/>
  <c r="FC418" i="2"/>
  <c r="FB418" i="2"/>
  <c r="EW418" i="2"/>
  <c r="EP418" i="2"/>
  <c r="EH418" i="2"/>
  <c r="EG418" i="2"/>
  <c r="EZ418" i="2" s="1"/>
  <c r="EE418" i="2"/>
  <c r="EX418" i="2" s="1"/>
  <c r="ED418" i="2"/>
  <c r="EC418" i="2"/>
  <c r="EB418" i="2"/>
  <c r="EA418" i="2"/>
  <c r="DZ418" i="2"/>
  <c r="DY418" i="2"/>
  <c r="DX418" i="2"/>
  <c r="DW418" i="2"/>
  <c r="DV418" i="2"/>
  <c r="DU418" i="2"/>
  <c r="DT418" i="2"/>
  <c r="EM418" i="2" s="1"/>
  <c r="DS418" i="2"/>
  <c r="EL418" i="2" s="1"/>
  <c r="DR418" i="2"/>
  <c r="DQ418" i="2"/>
  <c r="DP418" i="2"/>
  <c r="DM418" i="2"/>
  <c r="DL418" i="2"/>
  <c r="HC417" i="2"/>
  <c r="HB417" i="2"/>
  <c r="GW417" i="2"/>
  <c r="GV417" i="2"/>
  <c r="GU417" i="2"/>
  <c r="GT417" i="2"/>
  <c r="GO417" i="2"/>
  <c r="GI417" i="2"/>
  <c r="GB417" i="2"/>
  <c r="FT417" i="2"/>
  <c r="FS417" i="2"/>
  <c r="GL417" i="2" s="1"/>
  <c r="FQ417" i="2"/>
  <c r="GJ417" i="2" s="1"/>
  <c r="FP417" i="2"/>
  <c r="FO417" i="2"/>
  <c r="FN417" i="2"/>
  <c r="FM417" i="2"/>
  <c r="FL417" i="2"/>
  <c r="FK417" i="2"/>
  <c r="FJ417" i="2"/>
  <c r="FI417" i="2"/>
  <c r="FH417" i="2"/>
  <c r="FG417" i="2"/>
  <c r="FF417" i="2"/>
  <c r="FY417" i="2" s="1"/>
  <c r="FE417" i="2"/>
  <c r="FX417" i="2" s="1"/>
  <c r="FD417" i="2"/>
  <c r="FC417" i="2"/>
  <c r="FB417" i="2"/>
  <c r="EZ417" i="2"/>
  <c r="EX417" i="2"/>
  <c r="EW417" i="2"/>
  <c r="EM417" i="2"/>
  <c r="EH417" i="2"/>
  <c r="EG417" i="2"/>
  <c r="EE417" i="2"/>
  <c r="ED417" i="2"/>
  <c r="EC417" i="2"/>
  <c r="EB417" i="2"/>
  <c r="EA417" i="2"/>
  <c r="DZ417" i="2"/>
  <c r="DY417" i="2"/>
  <c r="DX417" i="2"/>
  <c r="DW417" i="2"/>
  <c r="EP417" i="2" s="1"/>
  <c r="DV417" i="2"/>
  <c r="DU417" i="2"/>
  <c r="DT417" i="2"/>
  <c r="DS417" i="2"/>
  <c r="EL417" i="2" s="1"/>
  <c r="DR417" i="2"/>
  <c r="DQ417" i="2"/>
  <c r="DP417" i="2"/>
  <c r="DM417" i="2"/>
  <c r="DL417" i="2"/>
  <c r="HC416" i="2"/>
  <c r="HB416" i="2"/>
  <c r="GW416" i="2"/>
  <c r="GV416" i="2"/>
  <c r="GU416" i="2"/>
  <c r="GT416" i="2"/>
  <c r="GP416" i="2"/>
  <c r="GO416" i="2"/>
  <c r="GQ416" i="2" s="1"/>
  <c r="GJ416" i="2"/>
  <c r="GI416" i="2"/>
  <c r="FY416" i="2"/>
  <c r="FX416" i="2"/>
  <c r="FT416" i="2"/>
  <c r="FS416" i="2"/>
  <c r="GL416" i="2" s="1"/>
  <c r="FQ416" i="2"/>
  <c r="FP416" i="2"/>
  <c r="FO416" i="2"/>
  <c r="FN416" i="2"/>
  <c r="FM416" i="2"/>
  <c r="FL416" i="2"/>
  <c r="FK416" i="2"/>
  <c r="FJ416" i="2"/>
  <c r="FI416" i="2"/>
  <c r="GB416" i="2" s="1"/>
  <c r="FH416" i="2"/>
  <c r="FG416" i="2"/>
  <c r="FF416" i="2"/>
  <c r="FE416" i="2"/>
  <c r="FD416" i="2"/>
  <c r="FC416" i="2"/>
  <c r="FB416" i="2"/>
  <c r="EX416" i="2"/>
  <c r="EW416" i="2"/>
  <c r="EM416" i="2"/>
  <c r="EH416" i="2"/>
  <c r="EG416" i="2"/>
  <c r="EZ416" i="2" s="1"/>
  <c r="EE416" i="2"/>
  <c r="ED416" i="2"/>
  <c r="EC416" i="2"/>
  <c r="EB416" i="2"/>
  <c r="EA416" i="2"/>
  <c r="DZ416" i="2"/>
  <c r="DY416" i="2"/>
  <c r="DX416" i="2"/>
  <c r="DW416" i="2"/>
  <c r="EP416" i="2" s="1"/>
  <c r="DV416" i="2"/>
  <c r="DU416" i="2"/>
  <c r="DT416" i="2"/>
  <c r="DS416" i="2"/>
  <c r="EL416" i="2" s="1"/>
  <c r="DR416" i="2"/>
  <c r="DQ416" i="2"/>
  <c r="DP416" i="2"/>
  <c r="DM416" i="2"/>
  <c r="DL416" i="2"/>
  <c r="HC415" i="2"/>
  <c r="HB415" i="2"/>
  <c r="GX415" i="2"/>
  <c r="GY415" i="2" s="1"/>
  <c r="GW415" i="2"/>
  <c r="GV415" i="2"/>
  <c r="GU415" i="2"/>
  <c r="GT415" i="2"/>
  <c r="GO415" i="2"/>
  <c r="GI415" i="2"/>
  <c r="FY415" i="2"/>
  <c r="FX415" i="2"/>
  <c r="FT415" i="2"/>
  <c r="FS415" i="2"/>
  <c r="GL415" i="2" s="1"/>
  <c r="FQ415" i="2"/>
  <c r="GJ415" i="2" s="1"/>
  <c r="FP415" i="2"/>
  <c r="FO415" i="2"/>
  <c r="FN415" i="2"/>
  <c r="FM415" i="2"/>
  <c r="FL415" i="2"/>
  <c r="FK415" i="2"/>
  <c r="FJ415" i="2"/>
  <c r="FI415" i="2"/>
  <c r="GB415" i="2" s="1"/>
  <c r="FH415" i="2"/>
  <c r="FG415" i="2"/>
  <c r="FF415" i="2"/>
  <c r="FE415" i="2"/>
  <c r="FD415" i="2"/>
  <c r="FC415" i="2"/>
  <c r="FB415" i="2"/>
  <c r="EZ415" i="2"/>
  <c r="EX415" i="2"/>
  <c r="EW415" i="2"/>
  <c r="EP415" i="2"/>
  <c r="EM415" i="2"/>
  <c r="EL415" i="2"/>
  <c r="EH415" i="2"/>
  <c r="EG415" i="2"/>
  <c r="EE415" i="2"/>
  <c r="ED415" i="2"/>
  <c r="EC415" i="2"/>
  <c r="EB415" i="2"/>
  <c r="EA415" i="2"/>
  <c r="DZ415" i="2"/>
  <c r="DY415" i="2"/>
  <c r="DX415" i="2"/>
  <c r="DW415" i="2"/>
  <c r="DV415" i="2"/>
  <c r="DU415" i="2"/>
  <c r="DT415" i="2"/>
  <c r="DS415" i="2"/>
  <c r="DR415" i="2"/>
  <c r="DQ415" i="2"/>
  <c r="DP415" i="2"/>
  <c r="DM415" i="2"/>
  <c r="DL415" i="2"/>
  <c r="HC414" i="2"/>
  <c r="HB414" i="2"/>
  <c r="GW414" i="2"/>
  <c r="GV414" i="2"/>
  <c r="GU414" i="2"/>
  <c r="GT414" i="2"/>
  <c r="GP414" i="2"/>
  <c r="GO414" i="2"/>
  <c r="GI414" i="2"/>
  <c r="FY414" i="2"/>
  <c r="FX414" i="2"/>
  <c r="FT414" i="2"/>
  <c r="FS414" i="2"/>
  <c r="GL414" i="2" s="1"/>
  <c r="FQ414" i="2"/>
  <c r="GJ414" i="2" s="1"/>
  <c r="FP414" i="2"/>
  <c r="FO414" i="2"/>
  <c r="FN414" i="2"/>
  <c r="FM414" i="2"/>
  <c r="FL414" i="2"/>
  <c r="FK414" i="2"/>
  <c r="FJ414" i="2"/>
  <c r="FI414" i="2"/>
  <c r="GB414" i="2" s="1"/>
  <c r="FH414" i="2"/>
  <c r="FG414" i="2"/>
  <c r="FF414" i="2"/>
  <c r="FE414" i="2"/>
  <c r="FD414" i="2"/>
  <c r="FC414" i="2"/>
  <c r="FB414" i="2"/>
  <c r="EW414" i="2"/>
  <c r="EP414" i="2"/>
  <c r="EM414" i="2"/>
  <c r="EL414" i="2"/>
  <c r="EH414" i="2"/>
  <c r="EG414" i="2"/>
  <c r="EZ414" i="2" s="1"/>
  <c r="EE414" i="2"/>
  <c r="EX414" i="2" s="1"/>
  <c r="ED414" i="2"/>
  <c r="EC414" i="2"/>
  <c r="EB414" i="2"/>
  <c r="EA414" i="2"/>
  <c r="DZ414" i="2"/>
  <c r="DY414" i="2"/>
  <c r="DX414" i="2"/>
  <c r="DW414" i="2"/>
  <c r="DV414" i="2"/>
  <c r="DU414" i="2"/>
  <c r="DT414" i="2"/>
  <c r="DS414" i="2"/>
  <c r="DR414" i="2"/>
  <c r="DQ414" i="2"/>
  <c r="DP414" i="2"/>
  <c r="DM414" i="2"/>
  <c r="DL414" i="2"/>
  <c r="HC413" i="2"/>
  <c r="HB413" i="2"/>
  <c r="GX413" i="2"/>
  <c r="GY413" i="2" s="1"/>
  <c r="GW413" i="2"/>
  <c r="GV413" i="2"/>
  <c r="GU413" i="2"/>
  <c r="GT413" i="2"/>
  <c r="GO413" i="2"/>
  <c r="GP413" i="2" s="1"/>
  <c r="GL413" i="2"/>
  <c r="GI413" i="2"/>
  <c r="GB413" i="2"/>
  <c r="FX413" i="2"/>
  <c r="FT413" i="2"/>
  <c r="FS413" i="2"/>
  <c r="FQ413" i="2"/>
  <c r="GJ413" i="2" s="1"/>
  <c r="FP413" i="2"/>
  <c r="FO413" i="2"/>
  <c r="FN413" i="2"/>
  <c r="FM413" i="2"/>
  <c r="FL413" i="2"/>
  <c r="FK413" i="2"/>
  <c r="FJ413" i="2"/>
  <c r="FI413" i="2"/>
  <c r="FH413" i="2"/>
  <c r="FG413" i="2"/>
  <c r="FF413" i="2"/>
  <c r="FY413" i="2" s="1"/>
  <c r="FE413" i="2"/>
  <c r="FD413" i="2"/>
  <c r="FC413" i="2"/>
  <c r="FB413" i="2"/>
  <c r="EP413" i="2"/>
  <c r="EH413" i="2"/>
  <c r="EG413" i="2"/>
  <c r="EZ413" i="2" s="1"/>
  <c r="EE413" i="2"/>
  <c r="EX413" i="2" s="1"/>
  <c r="ED413" i="2"/>
  <c r="EW413" i="2" s="1"/>
  <c r="EC413" i="2"/>
  <c r="EB413" i="2"/>
  <c r="EA413" i="2"/>
  <c r="DZ413" i="2"/>
  <c r="DY413" i="2"/>
  <c r="DX413" i="2"/>
  <c r="DW413" i="2"/>
  <c r="DV413" i="2"/>
  <c r="DU413" i="2"/>
  <c r="DT413" i="2"/>
  <c r="EM413" i="2" s="1"/>
  <c r="DS413" i="2"/>
  <c r="EL413" i="2" s="1"/>
  <c r="DR413" i="2"/>
  <c r="DQ413" i="2"/>
  <c r="DP413" i="2"/>
  <c r="DM413" i="2"/>
  <c r="DL413" i="2"/>
  <c r="HC412" i="2"/>
  <c r="HB412" i="2"/>
  <c r="GW412" i="2"/>
  <c r="GX412" i="2" s="1"/>
  <c r="GY412" i="2" s="1"/>
  <c r="GV412" i="2"/>
  <c r="GU412" i="2"/>
  <c r="GT412" i="2"/>
  <c r="GP412" i="2"/>
  <c r="GO412" i="2"/>
  <c r="GQ412" i="2" s="1"/>
  <c r="GJ412" i="2"/>
  <c r="GI412" i="2"/>
  <c r="FY412" i="2"/>
  <c r="FX412" i="2"/>
  <c r="FT412" i="2"/>
  <c r="FS412" i="2"/>
  <c r="GL412" i="2" s="1"/>
  <c r="FQ412" i="2"/>
  <c r="FP412" i="2"/>
  <c r="FO412" i="2"/>
  <c r="FN412" i="2"/>
  <c r="FM412" i="2"/>
  <c r="FL412" i="2"/>
  <c r="FK412" i="2"/>
  <c r="FJ412" i="2"/>
  <c r="FI412" i="2"/>
  <c r="GB412" i="2" s="1"/>
  <c r="FH412" i="2"/>
  <c r="FG412" i="2"/>
  <c r="FF412" i="2"/>
  <c r="FE412" i="2"/>
  <c r="FD412" i="2"/>
  <c r="FC412" i="2"/>
  <c r="FB412" i="2"/>
  <c r="EZ412" i="2"/>
  <c r="EX412" i="2"/>
  <c r="EW412" i="2"/>
  <c r="EH412" i="2"/>
  <c r="EG412" i="2"/>
  <c r="EE412" i="2"/>
  <c r="ED412" i="2"/>
  <c r="EC412" i="2"/>
  <c r="EB412" i="2"/>
  <c r="EA412" i="2"/>
  <c r="DZ412" i="2"/>
  <c r="DY412" i="2"/>
  <c r="DX412" i="2"/>
  <c r="DW412" i="2"/>
  <c r="EP412" i="2" s="1"/>
  <c r="DV412" i="2"/>
  <c r="DU412" i="2"/>
  <c r="DT412" i="2"/>
  <c r="EM412" i="2" s="1"/>
  <c r="DS412" i="2"/>
  <c r="EL412" i="2" s="1"/>
  <c r="DR412" i="2"/>
  <c r="DQ412" i="2"/>
  <c r="DP412" i="2"/>
  <c r="DM412" i="2"/>
  <c r="DL412" i="2"/>
  <c r="HC411" i="2"/>
  <c r="HB411" i="2"/>
  <c r="GX411" i="2"/>
  <c r="GY411" i="2" s="1"/>
  <c r="GW411" i="2"/>
  <c r="GV411" i="2"/>
  <c r="GU411" i="2"/>
  <c r="GT411" i="2"/>
  <c r="GP411" i="2"/>
  <c r="GO411" i="2"/>
  <c r="GI411" i="2"/>
  <c r="FY411" i="2"/>
  <c r="FX411" i="2"/>
  <c r="FT411" i="2"/>
  <c r="FS411" i="2"/>
  <c r="GL411" i="2" s="1"/>
  <c r="FQ411" i="2"/>
  <c r="GJ411" i="2" s="1"/>
  <c r="FP411" i="2"/>
  <c r="FO411" i="2"/>
  <c r="FN411" i="2"/>
  <c r="FM411" i="2"/>
  <c r="FL411" i="2"/>
  <c r="FK411" i="2"/>
  <c r="FJ411" i="2"/>
  <c r="FI411" i="2"/>
  <c r="GB411" i="2" s="1"/>
  <c r="FH411" i="2"/>
  <c r="FG411" i="2"/>
  <c r="FF411" i="2"/>
  <c r="FE411" i="2"/>
  <c r="FD411" i="2"/>
  <c r="FC411" i="2"/>
  <c r="FB411" i="2"/>
  <c r="EX411" i="2"/>
  <c r="EW411" i="2"/>
  <c r="EM411" i="2"/>
  <c r="EH411" i="2"/>
  <c r="EG411" i="2"/>
  <c r="EZ411" i="2" s="1"/>
  <c r="EE411" i="2"/>
  <c r="ED411" i="2"/>
  <c r="EC411" i="2"/>
  <c r="EB411" i="2"/>
  <c r="EA411" i="2"/>
  <c r="DZ411" i="2"/>
  <c r="DY411" i="2"/>
  <c r="DX411" i="2"/>
  <c r="DW411" i="2"/>
  <c r="EP411" i="2" s="1"/>
  <c r="DV411" i="2"/>
  <c r="DU411" i="2"/>
  <c r="DT411" i="2"/>
  <c r="DS411" i="2"/>
  <c r="EL411" i="2" s="1"/>
  <c r="DR411" i="2"/>
  <c r="DQ411" i="2"/>
  <c r="DP411" i="2"/>
  <c r="DM411" i="2"/>
  <c r="DL411" i="2"/>
  <c r="HC410" i="2"/>
  <c r="HB410" i="2"/>
  <c r="GW410" i="2"/>
  <c r="GV410" i="2"/>
  <c r="GU410" i="2"/>
  <c r="GT410" i="2"/>
  <c r="GO410" i="2"/>
  <c r="GI410" i="2"/>
  <c r="GB410" i="2"/>
  <c r="FY410" i="2"/>
  <c r="FX410" i="2"/>
  <c r="FT410" i="2"/>
  <c r="FS410" i="2"/>
  <c r="GL410" i="2" s="1"/>
  <c r="FQ410" i="2"/>
  <c r="GJ410" i="2" s="1"/>
  <c r="FP410" i="2"/>
  <c r="FO410" i="2"/>
  <c r="FN410" i="2"/>
  <c r="FM410" i="2"/>
  <c r="FL410" i="2"/>
  <c r="FK410" i="2"/>
  <c r="FJ410" i="2"/>
  <c r="FI410" i="2"/>
  <c r="FH410" i="2"/>
  <c r="FG410" i="2"/>
  <c r="FF410" i="2"/>
  <c r="FE410" i="2"/>
  <c r="FD410" i="2"/>
  <c r="FC410" i="2"/>
  <c r="FB410" i="2"/>
  <c r="EX410" i="2"/>
  <c r="EW410" i="2"/>
  <c r="EM410" i="2"/>
  <c r="EL410" i="2"/>
  <c r="EH410" i="2"/>
  <c r="EG410" i="2"/>
  <c r="EZ410" i="2" s="1"/>
  <c r="EE410" i="2"/>
  <c r="ED410" i="2"/>
  <c r="EC410" i="2"/>
  <c r="EB410" i="2"/>
  <c r="EA410" i="2"/>
  <c r="DZ410" i="2"/>
  <c r="DY410" i="2"/>
  <c r="DX410" i="2"/>
  <c r="DW410" i="2"/>
  <c r="EP410" i="2" s="1"/>
  <c r="DV410" i="2"/>
  <c r="DU410" i="2"/>
  <c r="DT410" i="2"/>
  <c r="DS410" i="2"/>
  <c r="DR410" i="2"/>
  <c r="DQ410" i="2"/>
  <c r="DP410" i="2"/>
  <c r="DM410" i="2"/>
  <c r="DL410" i="2"/>
  <c r="HC409" i="2"/>
  <c r="HB409" i="2"/>
  <c r="GW409" i="2"/>
  <c r="GV409" i="2"/>
  <c r="GU409" i="2"/>
  <c r="GT409" i="2"/>
  <c r="GP409" i="2"/>
  <c r="GO409" i="2"/>
  <c r="GI409" i="2"/>
  <c r="FY409" i="2"/>
  <c r="FX409" i="2"/>
  <c r="FT409" i="2"/>
  <c r="FS409" i="2"/>
  <c r="GL409" i="2" s="1"/>
  <c r="FQ409" i="2"/>
  <c r="GJ409" i="2" s="1"/>
  <c r="FP409" i="2"/>
  <c r="FO409" i="2"/>
  <c r="FN409" i="2"/>
  <c r="FM409" i="2"/>
  <c r="FL409" i="2"/>
  <c r="FK409" i="2"/>
  <c r="FJ409" i="2"/>
  <c r="FI409" i="2"/>
  <c r="GB409" i="2" s="1"/>
  <c r="FH409" i="2"/>
  <c r="FG409" i="2"/>
  <c r="FF409" i="2"/>
  <c r="FE409" i="2"/>
  <c r="FD409" i="2"/>
  <c r="FC409" i="2"/>
  <c r="FB409" i="2"/>
  <c r="EX409" i="2"/>
  <c r="EW409" i="2"/>
  <c r="EM409" i="2"/>
  <c r="EH409" i="2"/>
  <c r="EG409" i="2"/>
  <c r="EZ409" i="2" s="1"/>
  <c r="EE409" i="2"/>
  <c r="ED409" i="2"/>
  <c r="EC409" i="2"/>
  <c r="EB409" i="2"/>
  <c r="EA409" i="2"/>
  <c r="DZ409" i="2"/>
  <c r="DY409" i="2"/>
  <c r="DX409" i="2"/>
  <c r="DW409" i="2"/>
  <c r="EP409" i="2" s="1"/>
  <c r="DV409" i="2"/>
  <c r="DU409" i="2"/>
  <c r="DT409" i="2"/>
  <c r="DS409" i="2"/>
  <c r="EL409" i="2" s="1"/>
  <c r="DR409" i="2"/>
  <c r="DQ409" i="2"/>
  <c r="DP409" i="2"/>
  <c r="DM409" i="2"/>
  <c r="DL409" i="2"/>
  <c r="HC408" i="2"/>
  <c r="HB408" i="2"/>
  <c r="GW408" i="2"/>
  <c r="GV408" i="2"/>
  <c r="GU408" i="2"/>
  <c r="GT408" i="2"/>
  <c r="GO408" i="2"/>
  <c r="GI408" i="2"/>
  <c r="GB408" i="2"/>
  <c r="FY408" i="2"/>
  <c r="FX408" i="2"/>
  <c r="FT408" i="2"/>
  <c r="FS408" i="2"/>
  <c r="GL408" i="2" s="1"/>
  <c r="FQ408" i="2"/>
  <c r="GJ408" i="2" s="1"/>
  <c r="FP408" i="2"/>
  <c r="FO408" i="2"/>
  <c r="FN408" i="2"/>
  <c r="FM408" i="2"/>
  <c r="FL408" i="2"/>
  <c r="FK408" i="2"/>
  <c r="FJ408" i="2"/>
  <c r="FI408" i="2"/>
  <c r="FH408" i="2"/>
  <c r="FG408" i="2"/>
  <c r="FF408" i="2"/>
  <c r="FE408" i="2"/>
  <c r="FD408" i="2"/>
  <c r="FC408" i="2"/>
  <c r="FB408" i="2"/>
  <c r="EX408" i="2"/>
  <c r="EW408" i="2"/>
  <c r="EM408" i="2"/>
  <c r="EL408" i="2"/>
  <c r="EH408" i="2"/>
  <c r="EG408" i="2"/>
  <c r="EZ408" i="2" s="1"/>
  <c r="EE408" i="2"/>
  <c r="ED408" i="2"/>
  <c r="EC408" i="2"/>
  <c r="EB408" i="2"/>
  <c r="EA408" i="2"/>
  <c r="DZ408" i="2"/>
  <c r="DY408" i="2"/>
  <c r="DX408" i="2"/>
  <c r="DW408" i="2"/>
  <c r="EP408" i="2" s="1"/>
  <c r="DV408" i="2"/>
  <c r="DU408" i="2"/>
  <c r="DT408" i="2"/>
  <c r="DS408" i="2"/>
  <c r="DR408" i="2"/>
  <c r="DQ408" i="2"/>
  <c r="DP408" i="2"/>
  <c r="DM408" i="2"/>
  <c r="DL408" i="2"/>
  <c r="HC407" i="2"/>
  <c r="HB407" i="2"/>
  <c r="GX407" i="2"/>
  <c r="GW407" i="2"/>
  <c r="GY407" i="2" s="1"/>
  <c r="GV407" i="2"/>
  <c r="GU407" i="2"/>
  <c r="GT407" i="2"/>
  <c r="GP407" i="2"/>
  <c r="GO407" i="2"/>
  <c r="GQ407" i="2" s="1"/>
  <c r="GL407" i="2"/>
  <c r="GB407" i="2"/>
  <c r="FX407" i="2"/>
  <c r="FT407" i="2"/>
  <c r="FS407" i="2"/>
  <c r="FQ407" i="2"/>
  <c r="GJ407" i="2" s="1"/>
  <c r="FP407" i="2"/>
  <c r="GI407" i="2" s="1"/>
  <c r="FO407" i="2"/>
  <c r="FN407" i="2"/>
  <c r="FM407" i="2"/>
  <c r="FL407" i="2"/>
  <c r="FK407" i="2"/>
  <c r="FJ407" i="2"/>
  <c r="FI407" i="2"/>
  <c r="FH407" i="2"/>
  <c r="FG407" i="2"/>
  <c r="FF407" i="2"/>
  <c r="FY407" i="2" s="1"/>
  <c r="FE407" i="2"/>
  <c r="FD407" i="2"/>
  <c r="FC407" i="2"/>
  <c r="FB407" i="2"/>
  <c r="EW407" i="2"/>
  <c r="EM407" i="2"/>
  <c r="EL407" i="2"/>
  <c r="EH407" i="2"/>
  <c r="EG407" i="2"/>
  <c r="EZ407" i="2" s="1"/>
  <c r="EE407" i="2"/>
  <c r="EX407" i="2" s="1"/>
  <c r="ED407" i="2"/>
  <c r="EC407" i="2"/>
  <c r="EB407" i="2"/>
  <c r="EA407" i="2"/>
  <c r="DZ407" i="2"/>
  <c r="DY407" i="2"/>
  <c r="DX407" i="2"/>
  <c r="DW407" i="2"/>
  <c r="EP407" i="2" s="1"/>
  <c r="DV407" i="2"/>
  <c r="DU407" i="2"/>
  <c r="DT407" i="2"/>
  <c r="DS407" i="2"/>
  <c r="DR407" i="2"/>
  <c r="DQ407" i="2"/>
  <c r="DP407" i="2"/>
  <c r="DM407" i="2"/>
  <c r="DL407" i="2"/>
  <c r="HC406" i="2"/>
  <c r="HB406" i="2"/>
  <c r="GW406" i="2"/>
  <c r="GV406" i="2"/>
  <c r="GU406" i="2"/>
  <c r="GT406" i="2"/>
  <c r="GO406" i="2"/>
  <c r="GL406" i="2"/>
  <c r="GB406" i="2"/>
  <c r="FX406" i="2"/>
  <c r="FT406" i="2"/>
  <c r="FS406" i="2"/>
  <c r="FQ406" i="2"/>
  <c r="GJ406" i="2" s="1"/>
  <c r="FP406" i="2"/>
  <c r="GI406" i="2" s="1"/>
  <c r="FO406" i="2"/>
  <c r="FN406" i="2"/>
  <c r="FM406" i="2"/>
  <c r="FL406" i="2"/>
  <c r="FK406" i="2"/>
  <c r="FJ406" i="2"/>
  <c r="FI406" i="2"/>
  <c r="FH406" i="2"/>
  <c r="FG406" i="2"/>
  <c r="FF406" i="2"/>
  <c r="FY406" i="2" s="1"/>
  <c r="FE406" i="2"/>
  <c r="FD406" i="2"/>
  <c r="FC406" i="2"/>
  <c r="FB406" i="2"/>
  <c r="EW406" i="2"/>
  <c r="EP406" i="2"/>
  <c r="EM406" i="2"/>
  <c r="EL406" i="2"/>
  <c r="EH406" i="2"/>
  <c r="EG406" i="2"/>
  <c r="EZ406" i="2" s="1"/>
  <c r="EE406" i="2"/>
  <c r="EX406" i="2" s="1"/>
  <c r="ED406" i="2"/>
  <c r="EC406" i="2"/>
  <c r="EB406" i="2"/>
  <c r="EA406" i="2"/>
  <c r="DZ406" i="2"/>
  <c r="DY406" i="2"/>
  <c r="DX406" i="2"/>
  <c r="DW406" i="2"/>
  <c r="DV406" i="2"/>
  <c r="DU406" i="2"/>
  <c r="DT406" i="2"/>
  <c r="DS406" i="2"/>
  <c r="DR406" i="2"/>
  <c r="DQ406" i="2"/>
  <c r="DP406" i="2"/>
  <c r="DM406" i="2"/>
  <c r="DL406" i="2"/>
  <c r="HC405" i="2"/>
  <c r="HB405" i="2"/>
  <c r="GW405" i="2"/>
  <c r="GV405" i="2"/>
  <c r="GU405" i="2"/>
  <c r="GT405" i="2"/>
  <c r="GP405" i="2"/>
  <c r="GO405" i="2"/>
  <c r="GQ405" i="2" s="1"/>
  <c r="GL405" i="2"/>
  <c r="GB405" i="2"/>
  <c r="FX405" i="2"/>
  <c r="FT405" i="2"/>
  <c r="FS405" i="2"/>
  <c r="FQ405" i="2"/>
  <c r="GJ405" i="2" s="1"/>
  <c r="FP405" i="2"/>
  <c r="GI405" i="2" s="1"/>
  <c r="FO405" i="2"/>
  <c r="FN405" i="2"/>
  <c r="FM405" i="2"/>
  <c r="FL405" i="2"/>
  <c r="FK405" i="2"/>
  <c r="FJ405" i="2"/>
  <c r="FI405" i="2"/>
  <c r="FH405" i="2"/>
  <c r="FG405" i="2"/>
  <c r="FF405" i="2"/>
  <c r="FY405" i="2" s="1"/>
  <c r="FE405" i="2"/>
  <c r="FD405" i="2"/>
  <c r="FC405" i="2"/>
  <c r="FB405" i="2"/>
  <c r="EW405" i="2"/>
  <c r="EM405" i="2"/>
  <c r="EL405" i="2"/>
  <c r="EH405" i="2"/>
  <c r="EG405" i="2"/>
  <c r="EZ405" i="2" s="1"/>
  <c r="EE405" i="2"/>
  <c r="EX405" i="2" s="1"/>
  <c r="ED405" i="2"/>
  <c r="EC405" i="2"/>
  <c r="EB405" i="2"/>
  <c r="EA405" i="2"/>
  <c r="DZ405" i="2"/>
  <c r="DY405" i="2"/>
  <c r="DX405" i="2"/>
  <c r="DW405" i="2"/>
  <c r="EP405" i="2" s="1"/>
  <c r="DV405" i="2"/>
  <c r="DU405" i="2"/>
  <c r="DT405" i="2"/>
  <c r="DS405" i="2"/>
  <c r="DR405" i="2"/>
  <c r="DQ405" i="2"/>
  <c r="DP405" i="2"/>
  <c r="DM405" i="2"/>
  <c r="DL405" i="2"/>
  <c r="HC404" i="2"/>
  <c r="HB404" i="2"/>
  <c r="GW404" i="2"/>
  <c r="GV404" i="2"/>
  <c r="GU404" i="2"/>
  <c r="GT404" i="2"/>
  <c r="GO404" i="2"/>
  <c r="GP404" i="2" s="1"/>
  <c r="GQ404" i="2" s="1"/>
  <c r="GL404" i="2"/>
  <c r="GJ404" i="2"/>
  <c r="GB404" i="2"/>
  <c r="FT404" i="2"/>
  <c r="FS404" i="2"/>
  <c r="FQ404" i="2"/>
  <c r="FP404" i="2"/>
  <c r="GI404" i="2" s="1"/>
  <c r="FO404" i="2"/>
  <c r="FN404" i="2"/>
  <c r="FM404" i="2"/>
  <c r="FL404" i="2"/>
  <c r="FK404" i="2"/>
  <c r="FJ404" i="2"/>
  <c r="FI404" i="2"/>
  <c r="FH404" i="2"/>
  <c r="FG404" i="2"/>
  <c r="FF404" i="2"/>
  <c r="FY404" i="2" s="1"/>
  <c r="FE404" i="2"/>
  <c r="FX404" i="2" s="1"/>
  <c r="FD404" i="2"/>
  <c r="FC404" i="2"/>
  <c r="FB404" i="2"/>
  <c r="EZ404" i="2"/>
  <c r="EP404" i="2"/>
  <c r="EL404" i="2"/>
  <c r="EH404" i="2"/>
  <c r="EG404" i="2"/>
  <c r="EE404" i="2"/>
  <c r="EX404" i="2" s="1"/>
  <c r="ED404" i="2"/>
  <c r="EW404" i="2" s="1"/>
  <c r="EC404" i="2"/>
  <c r="EB404" i="2"/>
  <c r="EA404" i="2"/>
  <c r="DZ404" i="2"/>
  <c r="DY404" i="2"/>
  <c r="DX404" i="2"/>
  <c r="DW404" i="2"/>
  <c r="DV404" i="2"/>
  <c r="DU404" i="2"/>
  <c r="DT404" i="2"/>
  <c r="EM404" i="2" s="1"/>
  <c r="DS404" i="2"/>
  <c r="DR404" i="2"/>
  <c r="DQ404" i="2"/>
  <c r="DP404" i="2"/>
  <c r="DM404" i="2"/>
  <c r="DL404" i="2"/>
  <c r="HC403" i="2"/>
  <c r="HB403" i="2"/>
  <c r="GW403" i="2"/>
  <c r="GV403" i="2"/>
  <c r="GU403" i="2"/>
  <c r="GT403" i="2"/>
  <c r="GP403" i="2"/>
  <c r="GQ403" i="2" s="1"/>
  <c r="GO403" i="2"/>
  <c r="GL403" i="2"/>
  <c r="GB403" i="2"/>
  <c r="FT403" i="2"/>
  <c r="FS403" i="2"/>
  <c r="FQ403" i="2"/>
  <c r="GJ403" i="2" s="1"/>
  <c r="FP403" i="2"/>
  <c r="GI403" i="2" s="1"/>
  <c r="FO403" i="2"/>
  <c r="FN403" i="2"/>
  <c r="FM403" i="2"/>
  <c r="FL403" i="2"/>
  <c r="FK403" i="2"/>
  <c r="FJ403" i="2"/>
  <c r="FI403" i="2"/>
  <c r="FH403" i="2"/>
  <c r="FG403" i="2"/>
  <c r="FF403" i="2"/>
  <c r="FY403" i="2" s="1"/>
  <c r="FE403" i="2"/>
  <c r="FX403" i="2" s="1"/>
  <c r="FD403" i="2"/>
  <c r="FC403" i="2"/>
  <c r="FB403" i="2"/>
  <c r="EZ403" i="2"/>
  <c r="EP403" i="2"/>
  <c r="EL403" i="2"/>
  <c r="EH403" i="2"/>
  <c r="EG403" i="2"/>
  <c r="EE403" i="2"/>
  <c r="EX403" i="2" s="1"/>
  <c r="ED403" i="2"/>
  <c r="EW403" i="2" s="1"/>
  <c r="EC403" i="2"/>
  <c r="EB403" i="2"/>
  <c r="EA403" i="2"/>
  <c r="DZ403" i="2"/>
  <c r="DY403" i="2"/>
  <c r="DX403" i="2"/>
  <c r="DW403" i="2"/>
  <c r="DV403" i="2"/>
  <c r="DU403" i="2"/>
  <c r="DT403" i="2"/>
  <c r="EM403" i="2" s="1"/>
  <c r="DS403" i="2"/>
  <c r="DR403" i="2"/>
  <c r="DQ403" i="2"/>
  <c r="DP403" i="2"/>
  <c r="DM403" i="2"/>
  <c r="DL403" i="2"/>
  <c r="HC402" i="2"/>
  <c r="HB402" i="2"/>
  <c r="GW402" i="2"/>
  <c r="GV402" i="2"/>
  <c r="GU402" i="2"/>
  <c r="GT402" i="2"/>
  <c r="GQ402" i="2"/>
  <c r="GO402" i="2"/>
  <c r="GP402" i="2" s="1"/>
  <c r="GL402" i="2"/>
  <c r="GJ402" i="2"/>
  <c r="GB402" i="2"/>
  <c r="FT402" i="2"/>
  <c r="FS402" i="2"/>
  <c r="FQ402" i="2"/>
  <c r="FP402" i="2"/>
  <c r="GI402" i="2" s="1"/>
  <c r="FO402" i="2"/>
  <c r="FN402" i="2"/>
  <c r="FM402" i="2"/>
  <c r="FL402" i="2"/>
  <c r="FK402" i="2"/>
  <c r="FJ402" i="2"/>
  <c r="FI402" i="2"/>
  <c r="FH402" i="2"/>
  <c r="FG402" i="2"/>
  <c r="FF402" i="2"/>
  <c r="FY402" i="2" s="1"/>
  <c r="FE402" i="2"/>
  <c r="FX402" i="2" s="1"/>
  <c r="FD402" i="2"/>
  <c r="FC402" i="2"/>
  <c r="FB402" i="2"/>
  <c r="EP402" i="2"/>
  <c r="EL402" i="2"/>
  <c r="EH402" i="2"/>
  <c r="EG402" i="2"/>
  <c r="EZ402" i="2" s="1"/>
  <c r="EE402" i="2"/>
  <c r="EX402" i="2" s="1"/>
  <c r="ED402" i="2"/>
  <c r="EW402" i="2" s="1"/>
  <c r="EC402" i="2"/>
  <c r="EB402" i="2"/>
  <c r="EA402" i="2"/>
  <c r="DZ402" i="2"/>
  <c r="DY402" i="2"/>
  <c r="DX402" i="2"/>
  <c r="DW402" i="2"/>
  <c r="DV402" i="2"/>
  <c r="DU402" i="2"/>
  <c r="DT402" i="2"/>
  <c r="EM402" i="2" s="1"/>
  <c r="DS402" i="2"/>
  <c r="DR402" i="2"/>
  <c r="DQ402" i="2"/>
  <c r="DP402" i="2"/>
  <c r="DM402" i="2"/>
  <c r="DL402" i="2"/>
  <c r="HC401" i="2"/>
  <c r="HB401" i="2"/>
  <c r="GW401" i="2"/>
  <c r="GV401" i="2"/>
  <c r="GU401" i="2"/>
  <c r="GT401" i="2"/>
  <c r="GP401" i="2"/>
  <c r="GQ401" i="2" s="1"/>
  <c r="GO401" i="2"/>
  <c r="GL401" i="2"/>
  <c r="GJ401" i="2"/>
  <c r="GB401" i="2"/>
  <c r="FT401" i="2"/>
  <c r="FS401" i="2"/>
  <c r="FQ401" i="2"/>
  <c r="FP401" i="2"/>
  <c r="GI401" i="2" s="1"/>
  <c r="FO401" i="2"/>
  <c r="FN401" i="2"/>
  <c r="FM401" i="2"/>
  <c r="FL401" i="2"/>
  <c r="FK401" i="2"/>
  <c r="FJ401" i="2"/>
  <c r="FI401" i="2"/>
  <c r="FH401" i="2"/>
  <c r="FG401" i="2"/>
  <c r="FF401" i="2"/>
  <c r="FY401" i="2" s="1"/>
  <c r="FE401" i="2"/>
  <c r="FX401" i="2" s="1"/>
  <c r="FD401" i="2"/>
  <c r="FC401" i="2"/>
  <c r="FB401" i="2"/>
  <c r="EZ401" i="2"/>
  <c r="EP401" i="2"/>
  <c r="EL401" i="2"/>
  <c r="EH401" i="2"/>
  <c r="EG401" i="2"/>
  <c r="EE401" i="2"/>
  <c r="EX401" i="2" s="1"/>
  <c r="ED401" i="2"/>
  <c r="EW401" i="2" s="1"/>
  <c r="EC401" i="2"/>
  <c r="EB401" i="2"/>
  <c r="EA401" i="2"/>
  <c r="DZ401" i="2"/>
  <c r="DY401" i="2"/>
  <c r="DX401" i="2"/>
  <c r="DW401" i="2"/>
  <c r="DV401" i="2"/>
  <c r="DU401" i="2"/>
  <c r="DT401" i="2"/>
  <c r="EM401" i="2" s="1"/>
  <c r="DS401" i="2"/>
  <c r="DR401" i="2"/>
  <c r="DQ401" i="2"/>
  <c r="DP401" i="2"/>
  <c r="DM401" i="2"/>
  <c r="DL401" i="2"/>
  <c r="HC400" i="2"/>
  <c r="HB400" i="2"/>
  <c r="GW400" i="2"/>
  <c r="GV400" i="2"/>
  <c r="GU400" i="2"/>
  <c r="GT400" i="2"/>
  <c r="GO400" i="2"/>
  <c r="GP400" i="2" s="1"/>
  <c r="GQ400" i="2" s="1"/>
  <c r="GL400" i="2"/>
  <c r="GJ400" i="2"/>
  <c r="GB400" i="2"/>
  <c r="FT400" i="2"/>
  <c r="FS400" i="2"/>
  <c r="FQ400" i="2"/>
  <c r="FP400" i="2"/>
  <c r="GI400" i="2" s="1"/>
  <c r="FO400" i="2"/>
  <c r="FN400" i="2"/>
  <c r="FM400" i="2"/>
  <c r="FL400" i="2"/>
  <c r="FK400" i="2"/>
  <c r="FJ400" i="2"/>
  <c r="FI400" i="2"/>
  <c r="FH400" i="2"/>
  <c r="FG400" i="2"/>
  <c r="FF400" i="2"/>
  <c r="FY400" i="2" s="1"/>
  <c r="FE400" i="2"/>
  <c r="FX400" i="2" s="1"/>
  <c r="FD400" i="2"/>
  <c r="FC400" i="2"/>
  <c r="FB400" i="2"/>
  <c r="EZ400" i="2"/>
  <c r="EP400" i="2"/>
  <c r="EL400" i="2"/>
  <c r="EH400" i="2"/>
  <c r="EG400" i="2"/>
  <c r="EE400" i="2"/>
  <c r="EX400" i="2" s="1"/>
  <c r="ED400" i="2"/>
  <c r="EW400" i="2" s="1"/>
  <c r="EC400" i="2"/>
  <c r="EB400" i="2"/>
  <c r="EA400" i="2"/>
  <c r="DZ400" i="2"/>
  <c r="DY400" i="2"/>
  <c r="DX400" i="2"/>
  <c r="DW400" i="2"/>
  <c r="DV400" i="2"/>
  <c r="DU400" i="2"/>
  <c r="DT400" i="2"/>
  <c r="EM400" i="2" s="1"/>
  <c r="DS400" i="2"/>
  <c r="DR400" i="2"/>
  <c r="DQ400" i="2"/>
  <c r="DP400" i="2"/>
  <c r="DM400" i="2"/>
  <c r="DL400" i="2"/>
  <c r="HC399" i="2"/>
  <c r="HB399" i="2"/>
  <c r="GW399" i="2"/>
  <c r="GV399" i="2"/>
  <c r="GU399" i="2"/>
  <c r="GT399" i="2"/>
  <c r="GP399" i="2"/>
  <c r="GQ399" i="2" s="1"/>
  <c r="GO399" i="2"/>
  <c r="GL399" i="2"/>
  <c r="GJ399" i="2"/>
  <c r="GB399" i="2"/>
  <c r="FT399" i="2"/>
  <c r="FS399" i="2"/>
  <c r="FQ399" i="2"/>
  <c r="FP399" i="2"/>
  <c r="GI399" i="2" s="1"/>
  <c r="FO399" i="2"/>
  <c r="FN399" i="2"/>
  <c r="FM399" i="2"/>
  <c r="FL399" i="2"/>
  <c r="FK399" i="2"/>
  <c r="FJ399" i="2"/>
  <c r="FI399" i="2"/>
  <c r="FH399" i="2"/>
  <c r="FG399" i="2"/>
  <c r="FF399" i="2"/>
  <c r="FY399" i="2" s="1"/>
  <c r="FE399" i="2"/>
  <c r="FX399" i="2" s="1"/>
  <c r="FD399" i="2"/>
  <c r="FC399" i="2"/>
  <c r="FB399" i="2"/>
  <c r="EZ399" i="2"/>
  <c r="EP399" i="2"/>
  <c r="EL399" i="2"/>
  <c r="EH399" i="2"/>
  <c r="EG399" i="2"/>
  <c r="EE399" i="2"/>
  <c r="EX399" i="2" s="1"/>
  <c r="ED399" i="2"/>
  <c r="EW399" i="2" s="1"/>
  <c r="EC399" i="2"/>
  <c r="EB399" i="2"/>
  <c r="EA399" i="2"/>
  <c r="DZ399" i="2"/>
  <c r="DY399" i="2"/>
  <c r="DX399" i="2"/>
  <c r="DW399" i="2"/>
  <c r="DV399" i="2"/>
  <c r="DU399" i="2"/>
  <c r="DT399" i="2"/>
  <c r="EM399" i="2" s="1"/>
  <c r="DS399" i="2"/>
  <c r="DR399" i="2"/>
  <c r="DQ399" i="2"/>
  <c r="DP399" i="2"/>
  <c r="DM399" i="2"/>
  <c r="DL399" i="2"/>
  <c r="HB398" i="2"/>
  <c r="GV398" i="2"/>
  <c r="GU398" i="2"/>
  <c r="GT398" i="2"/>
  <c r="GO398" i="2"/>
  <c r="EZ398" i="2"/>
  <c r="EG398" i="2"/>
  <c r="EB398" i="2"/>
  <c r="DZ398" i="2"/>
  <c r="DX398" i="2"/>
  <c r="DV398" i="2"/>
  <c r="DT398" i="2"/>
  <c r="EM398" i="2" s="1"/>
  <c r="DR398" i="2"/>
  <c r="DP398" i="2"/>
  <c r="DM398" i="2"/>
  <c r="DL398" i="2"/>
  <c r="CO398" i="2"/>
  <c r="FD398" i="2" s="1"/>
  <c r="BN398" i="2"/>
  <c r="AS398" i="2"/>
  <c r="AO398" i="2"/>
  <c r="AL398" i="2"/>
  <c r="DW398" i="2" s="1"/>
  <c r="EP398" i="2" s="1"/>
  <c r="AE398" i="2"/>
  <c r="AD398" i="2"/>
  <c r="EH398" i="2" s="1"/>
  <c r="X398" i="2"/>
  <c r="HC397" i="2"/>
  <c r="HB397" i="2"/>
  <c r="GW397" i="2"/>
  <c r="GV397" i="2"/>
  <c r="GU397" i="2"/>
  <c r="GT397" i="2"/>
  <c r="GP397" i="2"/>
  <c r="GO397" i="2"/>
  <c r="GI397" i="2"/>
  <c r="FY397" i="2"/>
  <c r="FT397" i="2"/>
  <c r="FS397" i="2"/>
  <c r="GL397" i="2" s="1"/>
  <c r="FQ397" i="2"/>
  <c r="GJ397" i="2" s="1"/>
  <c r="FP397" i="2"/>
  <c r="FO397" i="2"/>
  <c r="FN397" i="2"/>
  <c r="FM397" i="2"/>
  <c r="FL397" i="2"/>
  <c r="FK397" i="2"/>
  <c r="FJ397" i="2"/>
  <c r="FI397" i="2"/>
  <c r="GB397" i="2" s="1"/>
  <c r="FH397" i="2"/>
  <c r="FG397" i="2"/>
  <c r="FF397" i="2"/>
  <c r="FE397" i="2"/>
  <c r="FX397" i="2" s="1"/>
  <c r="FD397" i="2"/>
  <c r="FC397" i="2"/>
  <c r="FB397" i="2"/>
  <c r="EX397" i="2"/>
  <c r="EW397" i="2"/>
  <c r="EM397" i="2"/>
  <c r="EH397" i="2"/>
  <c r="EG397" i="2"/>
  <c r="EZ397" i="2" s="1"/>
  <c r="EE397" i="2"/>
  <c r="ED397" i="2"/>
  <c r="EC397" i="2"/>
  <c r="EB397" i="2"/>
  <c r="EA397" i="2"/>
  <c r="DZ397" i="2"/>
  <c r="DY397" i="2"/>
  <c r="DX397" i="2"/>
  <c r="DW397" i="2"/>
  <c r="EP397" i="2" s="1"/>
  <c r="DV397" i="2"/>
  <c r="DU397" i="2"/>
  <c r="DT397" i="2"/>
  <c r="DS397" i="2"/>
  <c r="EL397" i="2" s="1"/>
  <c r="DR397" i="2"/>
  <c r="DQ397" i="2"/>
  <c r="DP397" i="2"/>
  <c r="DM397" i="2"/>
  <c r="DL397" i="2"/>
  <c r="HC396" i="2"/>
  <c r="HB396" i="2"/>
  <c r="GW396" i="2"/>
  <c r="GV396" i="2"/>
  <c r="GU396" i="2"/>
  <c r="GT396" i="2"/>
  <c r="GO396" i="2"/>
  <c r="GB396" i="2"/>
  <c r="FX396" i="2"/>
  <c r="FT396" i="2"/>
  <c r="FS396" i="2"/>
  <c r="GL396" i="2" s="1"/>
  <c r="FQ396" i="2"/>
  <c r="GJ396" i="2" s="1"/>
  <c r="FP396" i="2"/>
  <c r="GI396" i="2" s="1"/>
  <c r="FO396" i="2"/>
  <c r="FN396" i="2"/>
  <c r="FM396" i="2"/>
  <c r="FL396" i="2"/>
  <c r="FK396" i="2"/>
  <c r="FJ396" i="2"/>
  <c r="FI396" i="2"/>
  <c r="FH396" i="2"/>
  <c r="FG396" i="2"/>
  <c r="FF396" i="2"/>
  <c r="FY396" i="2" s="1"/>
  <c r="FE396" i="2"/>
  <c r="FD396" i="2"/>
  <c r="FC396" i="2"/>
  <c r="FB396" i="2"/>
  <c r="EW396" i="2"/>
  <c r="EP396" i="2"/>
  <c r="EM396" i="2"/>
  <c r="EL396" i="2"/>
  <c r="EH396" i="2"/>
  <c r="EG396" i="2"/>
  <c r="EZ396" i="2" s="1"/>
  <c r="EE396" i="2"/>
  <c r="EX396" i="2" s="1"/>
  <c r="ED396" i="2"/>
  <c r="EC396" i="2"/>
  <c r="EB396" i="2"/>
  <c r="EA396" i="2"/>
  <c r="DZ396" i="2"/>
  <c r="DY396" i="2"/>
  <c r="DX396" i="2"/>
  <c r="DW396" i="2"/>
  <c r="DV396" i="2"/>
  <c r="DU396" i="2"/>
  <c r="DT396" i="2"/>
  <c r="DS396" i="2"/>
  <c r="DR396" i="2"/>
  <c r="DQ396" i="2"/>
  <c r="DP396" i="2"/>
  <c r="DM396" i="2"/>
  <c r="DL396" i="2"/>
  <c r="HC395" i="2"/>
  <c r="HB395" i="2"/>
  <c r="GW395" i="2"/>
  <c r="GV395" i="2"/>
  <c r="GU395" i="2"/>
  <c r="GT395" i="2"/>
  <c r="GP395" i="2"/>
  <c r="GO395" i="2"/>
  <c r="GQ395" i="2" s="1"/>
  <c r="GL395" i="2"/>
  <c r="FX395" i="2"/>
  <c r="FT395" i="2"/>
  <c r="FS395" i="2"/>
  <c r="FQ395" i="2"/>
  <c r="GJ395" i="2" s="1"/>
  <c r="FP395" i="2"/>
  <c r="GI395" i="2" s="1"/>
  <c r="FO395" i="2"/>
  <c r="FN395" i="2"/>
  <c r="FM395" i="2"/>
  <c r="FL395" i="2"/>
  <c r="FK395" i="2"/>
  <c r="FJ395" i="2"/>
  <c r="FI395" i="2"/>
  <c r="GB395" i="2" s="1"/>
  <c r="FH395" i="2"/>
  <c r="FG395" i="2"/>
  <c r="FF395" i="2"/>
  <c r="FY395" i="2" s="1"/>
  <c r="FE395" i="2"/>
  <c r="FD395" i="2"/>
  <c r="FC395" i="2"/>
  <c r="FB395" i="2"/>
  <c r="EW395" i="2"/>
  <c r="EP395" i="2"/>
  <c r="EM395" i="2"/>
  <c r="EH395" i="2"/>
  <c r="EG395" i="2"/>
  <c r="EZ395" i="2" s="1"/>
  <c r="EE395" i="2"/>
  <c r="EX395" i="2" s="1"/>
  <c r="ED395" i="2"/>
  <c r="EC395" i="2"/>
  <c r="EB395" i="2"/>
  <c r="EA395" i="2"/>
  <c r="DZ395" i="2"/>
  <c r="DY395" i="2"/>
  <c r="DX395" i="2"/>
  <c r="DW395" i="2"/>
  <c r="DV395" i="2"/>
  <c r="DU395" i="2"/>
  <c r="DT395" i="2"/>
  <c r="DS395" i="2"/>
  <c r="EL395" i="2" s="1"/>
  <c r="DR395" i="2"/>
  <c r="DQ395" i="2"/>
  <c r="DP395" i="2"/>
  <c r="DM395" i="2"/>
  <c r="DL395" i="2"/>
  <c r="HC394" i="2"/>
  <c r="HB394" i="2"/>
  <c r="GW394" i="2"/>
  <c r="GV394" i="2"/>
  <c r="GU394" i="2"/>
  <c r="GT394" i="2"/>
  <c r="GO394" i="2"/>
  <c r="GB394" i="2"/>
  <c r="FX394" i="2"/>
  <c r="FT394" i="2"/>
  <c r="FS394" i="2"/>
  <c r="GL394" i="2" s="1"/>
  <c r="FQ394" i="2"/>
  <c r="GJ394" i="2" s="1"/>
  <c r="FP394" i="2"/>
  <c r="GI394" i="2" s="1"/>
  <c r="FO394" i="2"/>
  <c r="FN394" i="2"/>
  <c r="FM394" i="2"/>
  <c r="FL394" i="2"/>
  <c r="FK394" i="2"/>
  <c r="FJ394" i="2"/>
  <c r="FI394" i="2"/>
  <c r="FH394" i="2"/>
  <c r="FG394" i="2"/>
  <c r="FF394" i="2"/>
  <c r="FY394" i="2" s="1"/>
  <c r="FE394" i="2"/>
  <c r="FD394" i="2"/>
  <c r="FC394" i="2"/>
  <c r="FB394" i="2"/>
  <c r="EW394" i="2"/>
  <c r="EP394" i="2"/>
  <c r="EM394" i="2"/>
  <c r="EL394" i="2"/>
  <c r="EH394" i="2"/>
  <c r="EG394" i="2"/>
  <c r="EZ394" i="2" s="1"/>
  <c r="EE394" i="2"/>
  <c r="EX394" i="2" s="1"/>
  <c r="ED394" i="2"/>
  <c r="EC394" i="2"/>
  <c r="EB394" i="2"/>
  <c r="EA394" i="2"/>
  <c r="DZ394" i="2"/>
  <c r="DY394" i="2"/>
  <c r="DX394" i="2"/>
  <c r="DW394" i="2"/>
  <c r="DV394" i="2"/>
  <c r="DU394" i="2"/>
  <c r="DT394" i="2"/>
  <c r="DS394" i="2"/>
  <c r="DR394" i="2"/>
  <c r="DQ394" i="2"/>
  <c r="DP394" i="2"/>
  <c r="DM394" i="2"/>
  <c r="DL394" i="2"/>
  <c r="HC393" i="2"/>
  <c r="HB393" i="2"/>
  <c r="GW393" i="2"/>
  <c r="GV393" i="2"/>
  <c r="GU393" i="2"/>
  <c r="GT393" i="2"/>
  <c r="GP393" i="2"/>
  <c r="GO393" i="2"/>
  <c r="GQ393" i="2" s="1"/>
  <c r="GL393" i="2"/>
  <c r="FX393" i="2"/>
  <c r="FT393" i="2"/>
  <c r="FS393" i="2"/>
  <c r="FQ393" i="2"/>
  <c r="GJ393" i="2" s="1"/>
  <c r="FP393" i="2"/>
  <c r="GI393" i="2" s="1"/>
  <c r="FO393" i="2"/>
  <c r="FN393" i="2"/>
  <c r="FM393" i="2"/>
  <c r="FL393" i="2"/>
  <c r="FK393" i="2"/>
  <c r="FJ393" i="2"/>
  <c r="FI393" i="2"/>
  <c r="GB393" i="2" s="1"/>
  <c r="FH393" i="2"/>
  <c r="FG393" i="2"/>
  <c r="FF393" i="2"/>
  <c r="FY393" i="2" s="1"/>
  <c r="FE393" i="2"/>
  <c r="FD393" i="2"/>
  <c r="FC393" i="2"/>
  <c r="FB393" i="2"/>
  <c r="EH393" i="2"/>
  <c r="EG393" i="2"/>
  <c r="EZ393" i="2" s="1"/>
  <c r="EE393" i="2"/>
  <c r="EX393" i="2" s="1"/>
  <c r="ED393" i="2"/>
  <c r="EW393" i="2" s="1"/>
  <c r="EC393" i="2"/>
  <c r="EB393" i="2"/>
  <c r="EA393" i="2"/>
  <c r="DZ393" i="2"/>
  <c r="DY393" i="2"/>
  <c r="DX393" i="2"/>
  <c r="DW393" i="2"/>
  <c r="EP393" i="2" s="1"/>
  <c r="DV393" i="2"/>
  <c r="DU393" i="2"/>
  <c r="DT393" i="2"/>
  <c r="EM393" i="2" s="1"/>
  <c r="DS393" i="2"/>
  <c r="EL393" i="2" s="1"/>
  <c r="DR393" i="2"/>
  <c r="DQ393" i="2"/>
  <c r="DP393" i="2"/>
  <c r="DM393" i="2"/>
  <c r="DL393" i="2"/>
  <c r="HC392" i="2"/>
  <c r="HB392" i="2"/>
  <c r="GW392" i="2"/>
  <c r="GX392" i="2" s="1"/>
  <c r="GY392" i="2" s="1"/>
  <c r="GV392" i="2"/>
  <c r="GU392" i="2"/>
  <c r="GT392" i="2"/>
  <c r="GO392" i="2"/>
  <c r="GP392" i="2" s="1"/>
  <c r="GQ392" i="2" s="1"/>
  <c r="GJ392" i="2"/>
  <c r="FT392" i="2"/>
  <c r="FS392" i="2"/>
  <c r="GL392" i="2" s="1"/>
  <c r="FQ392" i="2"/>
  <c r="FP392" i="2"/>
  <c r="GI392" i="2" s="1"/>
  <c r="FO392" i="2"/>
  <c r="FN392" i="2"/>
  <c r="FM392" i="2"/>
  <c r="FL392" i="2"/>
  <c r="FK392" i="2"/>
  <c r="FJ392" i="2"/>
  <c r="FI392" i="2"/>
  <c r="GB392" i="2" s="1"/>
  <c r="FH392" i="2"/>
  <c r="FG392" i="2"/>
  <c r="FF392" i="2"/>
  <c r="FY392" i="2" s="1"/>
  <c r="FE392" i="2"/>
  <c r="FX392" i="2" s="1"/>
  <c r="FD392" i="2"/>
  <c r="FC392" i="2"/>
  <c r="FB392" i="2"/>
  <c r="EZ392" i="2"/>
  <c r="EP392" i="2"/>
  <c r="EH392" i="2"/>
  <c r="EG392" i="2"/>
  <c r="EE392" i="2"/>
  <c r="EX392" i="2" s="1"/>
  <c r="ED392" i="2"/>
  <c r="EW392" i="2" s="1"/>
  <c r="EC392" i="2"/>
  <c r="EB392" i="2"/>
  <c r="EA392" i="2"/>
  <c r="DZ392" i="2"/>
  <c r="DY392" i="2"/>
  <c r="DX392" i="2"/>
  <c r="DW392" i="2"/>
  <c r="DV392" i="2"/>
  <c r="DU392" i="2"/>
  <c r="DT392" i="2"/>
  <c r="EM392" i="2" s="1"/>
  <c r="DS392" i="2"/>
  <c r="EL392" i="2" s="1"/>
  <c r="DR392" i="2"/>
  <c r="DQ392" i="2"/>
  <c r="DP392" i="2"/>
  <c r="DM392" i="2"/>
  <c r="DL392" i="2"/>
  <c r="HC391" i="2"/>
  <c r="HB391" i="2"/>
  <c r="GX391" i="2"/>
  <c r="GY391" i="2" s="1"/>
  <c r="GW391" i="2"/>
  <c r="GV391" i="2"/>
  <c r="GU391" i="2"/>
  <c r="GT391" i="2"/>
  <c r="GQ391" i="2"/>
  <c r="GP391" i="2"/>
  <c r="GO391" i="2"/>
  <c r="GI391" i="2"/>
  <c r="FY391" i="2"/>
  <c r="FT391" i="2"/>
  <c r="FS391" i="2"/>
  <c r="GL391" i="2" s="1"/>
  <c r="FQ391" i="2"/>
  <c r="GJ391" i="2" s="1"/>
  <c r="FP391" i="2"/>
  <c r="FO391" i="2"/>
  <c r="FN391" i="2"/>
  <c r="FM391" i="2"/>
  <c r="FL391" i="2"/>
  <c r="FK391" i="2"/>
  <c r="FJ391" i="2"/>
  <c r="FI391" i="2"/>
  <c r="GB391" i="2" s="1"/>
  <c r="FH391" i="2"/>
  <c r="FG391" i="2"/>
  <c r="FF391" i="2"/>
  <c r="FE391" i="2"/>
  <c r="FX391" i="2" s="1"/>
  <c r="FD391" i="2"/>
  <c r="FC391" i="2"/>
  <c r="FB391" i="2"/>
  <c r="EZ391" i="2"/>
  <c r="EP391" i="2"/>
  <c r="EH391" i="2"/>
  <c r="EG391" i="2"/>
  <c r="EE391" i="2"/>
  <c r="EX391" i="2" s="1"/>
  <c r="ED391" i="2"/>
  <c r="EW391" i="2" s="1"/>
  <c r="EC391" i="2"/>
  <c r="EB391" i="2"/>
  <c r="EA391" i="2"/>
  <c r="DZ391" i="2"/>
  <c r="DY391" i="2"/>
  <c r="DX391" i="2"/>
  <c r="DW391" i="2"/>
  <c r="DV391" i="2"/>
  <c r="DU391" i="2"/>
  <c r="DT391" i="2"/>
  <c r="EM391" i="2" s="1"/>
  <c r="DS391" i="2"/>
  <c r="EL391" i="2" s="1"/>
  <c r="DR391" i="2"/>
  <c r="DQ391" i="2"/>
  <c r="DP391" i="2"/>
  <c r="DM391" i="2"/>
  <c r="DL391" i="2"/>
  <c r="HC390" i="2"/>
  <c r="HB390" i="2"/>
  <c r="GW390" i="2"/>
  <c r="GX390" i="2" s="1"/>
  <c r="GY390" i="2" s="1"/>
  <c r="GV390" i="2"/>
  <c r="GU390" i="2"/>
  <c r="GT390" i="2"/>
  <c r="GO390" i="2"/>
  <c r="FX390" i="2"/>
  <c r="FT390" i="2"/>
  <c r="FS390" i="2"/>
  <c r="GL390" i="2" s="1"/>
  <c r="FQ390" i="2"/>
  <c r="GJ390" i="2" s="1"/>
  <c r="FP390" i="2"/>
  <c r="GI390" i="2" s="1"/>
  <c r="FO390" i="2"/>
  <c r="FN390" i="2"/>
  <c r="FM390" i="2"/>
  <c r="FL390" i="2"/>
  <c r="FK390" i="2"/>
  <c r="FJ390" i="2"/>
  <c r="FI390" i="2"/>
  <c r="GB390" i="2" s="1"/>
  <c r="FH390" i="2"/>
  <c r="FG390" i="2"/>
  <c r="FF390" i="2"/>
  <c r="FY390" i="2" s="1"/>
  <c r="FE390" i="2"/>
  <c r="FD390" i="2"/>
  <c r="FC390" i="2"/>
  <c r="FB390" i="2"/>
  <c r="EZ390" i="2"/>
  <c r="EX390" i="2"/>
  <c r="EH390" i="2"/>
  <c r="EG390" i="2"/>
  <c r="EE390" i="2"/>
  <c r="ED390" i="2"/>
  <c r="EW390" i="2" s="1"/>
  <c r="EC390" i="2"/>
  <c r="EB390" i="2"/>
  <c r="EA390" i="2"/>
  <c r="DZ390" i="2"/>
  <c r="DY390" i="2"/>
  <c r="DX390" i="2"/>
  <c r="DW390" i="2"/>
  <c r="EP390" i="2" s="1"/>
  <c r="DV390" i="2"/>
  <c r="DU390" i="2"/>
  <c r="DT390" i="2"/>
  <c r="EM390" i="2" s="1"/>
  <c r="DS390" i="2"/>
  <c r="EL390" i="2" s="1"/>
  <c r="DR390" i="2"/>
  <c r="DQ390" i="2"/>
  <c r="DP390" i="2"/>
  <c r="DM390" i="2"/>
  <c r="DL390" i="2"/>
  <c r="HC389" i="2"/>
  <c r="HB389" i="2"/>
  <c r="GW389" i="2"/>
  <c r="GV389" i="2"/>
  <c r="GU389" i="2"/>
  <c r="GT389" i="2"/>
  <c r="GP389" i="2"/>
  <c r="GO389" i="2"/>
  <c r="GQ389" i="2" s="1"/>
  <c r="GJ389" i="2"/>
  <c r="GI389" i="2"/>
  <c r="FY389" i="2"/>
  <c r="FX389" i="2"/>
  <c r="FT389" i="2"/>
  <c r="FS389" i="2"/>
  <c r="GL389" i="2" s="1"/>
  <c r="FQ389" i="2"/>
  <c r="FP389" i="2"/>
  <c r="FO389" i="2"/>
  <c r="FN389" i="2"/>
  <c r="FM389" i="2"/>
  <c r="FL389" i="2"/>
  <c r="FK389" i="2"/>
  <c r="FJ389" i="2"/>
  <c r="FI389" i="2"/>
  <c r="GB389" i="2" s="1"/>
  <c r="FH389" i="2"/>
  <c r="FG389" i="2"/>
  <c r="FF389" i="2"/>
  <c r="FE389" i="2"/>
  <c r="FD389" i="2"/>
  <c r="FC389" i="2"/>
  <c r="FB389" i="2"/>
  <c r="EM389" i="2"/>
  <c r="EH389" i="2"/>
  <c r="EG389" i="2"/>
  <c r="EZ389" i="2" s="1"/>
  <c r="EE389" i="2"/>
  <c r="EX389" i="2" s="1"/>
  <c r="EC389" i="2"/>
  <c r="EB389" i="2"/>
  <c r="EA389" i="2"/>
  <c r="DZ389" i="2"/>
  <c r="DY389" i="2"/>
  <c r="DX389" i="2"/>
  <c r="DW389" i="2"/>
  <c r="EP389" i="2" s="1"/>
  <c r="DV389" i="2"/>
  <c r="DU389" i="2"/>
  <c r="DT389" i="2"/>
  <c r="DS389" i="2"/>
  <c r="EL389" i="2" s="1"/>
  <c r="DR389" i="2"/>
  <c r="DQ389" i="2"/>
  <c r="DP389" i="2"/>
  <c r="DM389" i="2"/>
  <c r="DL389" i="2"/>
  <c r="BN389" i="2"/>
  <c r="AS389" i="2"/>
  <c r="X389" i="2"/>
  <c r="ED389" i="2" s="1"/>
  <c r="EW389" i="2" s="1"/>
  <c r="HC388" i="2"/>
  <c r="HB388" i="2"/>
  <c r="GW388" i="2"/>
  <c r="GV388" i="2"/>
  <c r="GU388" i="2"/>
  <c r="GT388" i="2"/>
  <c r="GP388" i="2"/>
  <c r="GQ388" i="2" s="1"/>
  <c r="GO388" i="2"/>
  <c r="GL388" i="2"/>
  <c r="FX388" i="2"/>
  <c r="FT388" i="2"/>
  <c r="FS388" i="2"/>
  <c r="FQ388" i="2"/>
  <c r="GJ388" i="2" s="1"/>
  <c r="FP388" i="2"/>
  <c r="GI388" i="2" s="1"/>
  <c r="FO388" i="2"/>
  <c r="FN388" i="2"/>
  <c r="FM388" i="2"/>
  <c r="FL388" i="2"/>
  <c r="FK388" i="2"/>
  <c r="FJ388" i="2"/>
  <c r="FI388" i="2"/>
  <c r="GB388" i="2" s="1"/>
  <c r="FH388" i="2"/>
  <c r="FG388" i="2"/>
  <c r="FF388" i="2"/>
  <c r="FY388" i="2" s="1"/>
  <c r="FE388" i="2"/>
  <c r="FD388" i="2"/>
  <c r="FC388" i="2"/>
  <c r="FB388" i="2"/>
  <c r="EH388" i="2"/>
  <c r="EG388" i="2"/>
  <c r="EZ388" i="2" s="1"/>
  <c r="EE388" i="2"/>
  <c r="EX388" i="2" s="1"/>
  <c r="ED388" i="2"/>
  <c r="EW388" i="2" s="1"/>
  <c r="EC388" i="2"/>
  <c r="EB388" i="2"/>
  <c r="EA388" i="2"/>
  <c r="DZ388" i="2"/>
  <c r="DY388" i="2"/>
  <c r="DX388" i="2"/>
  <c r="DW388" i="2"/>
  <c r="EP388" i="2" s="1"/>
  <c r="DV388" i="2"/>
  <c r="DU388" i="2"/>
  <c r="DT388" i="2"/>
  <c r="EM388" i="2" s="1"/>
  <c r="DS388" i="2"/>
  <c r="EL388" i="2" s="1"/>
  <c r="DR388" i="2"/>
  <c r="DQ388" i="2"/>
  <c r="DP388" i="2"/>
  <c r="DM388" i="2"/>
  <c r="DL388" i="2"/>
  <c r="HC387" i="2"/>
  <c r="HB387" i="2"/>
  <c r="GW387" i="2"/>
  <c r="GV387" i="2"/>
  <c r="GU387" i="2"/>
  <c r="GT387" i="2"/>
  <c r="GO387" i="2"/>
  <c r="GB387" i="2"/>
  <c r="FT387" i="2"/>
  <c r="FS387" i="2"/>
  <c r="GL387" i="2" s="1"/>
  <c r="FQ387" i="2"/>
  <c r="GJ387" i="2" s="1"/>
  <c r="FP387" i="2"/>
  <c r="GI387" i="2" s="1"/>
  <c r="FO387" i="2"/>
  <c r="FN387" i="2"/>
  <c r="FM387" i="2"/>
  <c r="FL387" i="2"/>
  <c r="FK387" i="2"/>
  <c r="FJ387" i="2"/>
  <c r="FI387" i="2"/>
  <c r="FH387" i="2"/>
  <c r="FG387" i="2"/>
  <c r="FF387" i="2"/>
  <c r="FY387" i="2" s="1"/>
  <c r="FE387" i="2"/>
  <c r="FX387" i="2" s="1"/>
  <c r="FD387" i="2"/>
  <c r="FC387" i="2"/>
  <c r="FB387" i="2"/>
  <c r="EW387" i="2"/>
  <c r="EP387" i="2"/>
  <c r="EM387" i="2"/>
  <c r="EL387" i="2"/>
  <c r="EH387" i="2"/>
  <c r="EG387" i="2"/>
  <c r="EZ387" i="2" s="1"/>
  <c r="EE387" i="2"/>
  <c r="EX387" i="2" s="1"/>
  <c r="ED387" i="2"/>
  <c r="EC387" i="2"/>
  <c r="EB387" i="2"/>
  <c r="EA387" i="2"/>
  <c r="DZ387" i="2"/>
  <c r="DY387" i="2"/>
  <c r="DX387" i="2"/>
  <c r="DW387" i="2"/>
  <c r="DV387" i="2"/>
  <c r="DU387" i="2"/>
  <c r="DT387" i="2"/>
  <c r="DS387" i="2"/>
  <c r="DR387" i="2"/>
  <c r="DQ387" i="2"/>
  <c r="DP387" i="2"/>
  <c r="DM387" i="2"/>
  <c r="DL387" i="2"/>
  <c r="HC386" i="2"/>
  <c r="HB386" i="2"/>
  <c r="GW386" i="2"/>
  <c r="GV386" i="2"/>
  <c r="GU386" i="2"/>
  <c r="GT386" i="2"/>
  <c r="GP386" i="2"/>
  <c r="GQ386" i="2" s="1"/>
  <c r="GO386" i="2"/>
  <c r="GL386" i="2"/>
  <c r="GB386" i="2"/>
  <c r="FX386" i="2"/>
  <c r="FT386" i="2"/>
  <c r="FS386" i="2"/>
  <c r="FQ386" i="2"/>
  <c r="GJ386" i="2" s="1"/>
  <c r="FP386" i="2"/>
  <c r="GI386" i="2" s="1"/>
  <c r="FO386" i="2"/>
  <c r="FN386" i="2"/>
  <c r="FM386" i="2"/>
  <c r="FL386" i="2"/>
  <c r="FK386" i="2"/>
  <c r="FJ386" i="2"/>
  <c r="FI386" i="2"/>
  <c r="FH386" i="2"/>
  <c r="FG386" i="2"/>
  <c r="FF386" i="2"/>
  <c r="FY386" i="2" s="1"/>
  <c r="FE386" i="2"/>
  <c r="FD386" i="2"/>
  <c r="FC386" i="2"/>
  <c r="FB386" i="2"/>
  <c r="EL386" i="2"/>
  <c r="EH386" i="2"/>
  <c r="EG386" i="2"/>
  <c r="EZ386" i="2" s="1"/>
  <c r="EE386" i="2"/>
  <c r="EX386" i="2" s="1"/>
  <c r="EC386" i="2"/>
  <c r="EB386" i="2"/>
  <c r="EA386" i="2"/>
  <c r="DZ386" i="2"/>
  <c r="DY386" i="2"/>
  <c r="DX386" i="2"/>
  <c r="DW386" i="2"/>
  <c r="EP386" i="2" s="1"/>
  <c r="DV386" i="2"/>
  <c r="DU386" i="2"/>
  <c r="DT386" i="2"/>
  <c r="EM386" i="2" s="1"/>
  <c r="DS386" i="2"/>
  <c r="DR386" i="2"/>
  <c r="DQ386" i="2"/>
  <c r="DP386" i="2"/>
  <c r="DM386" i="2"/>
  <c r="DL386" i="2"/>
  <c r="BN386" i="2"/>
  <c r="ED386" i="2" s="1"/>
  <c r="EW386" i="2" s="1"/>
  <c r="HC385" i="2"/>
  <c r="HB385" i="2"/>
  <c r="GW385" i="2"/>
  <c r="GT385" i="2"/>
  <c r="GO385" i="2"/>
  <c r="FT385" i="2"/>
  <c r="FS385" i="2"/>
  <c r="GL385" i="2" s="1"/>
  <c r="FQ385" i="2"/>
  <c r="GJ385" i="2" s="1"/>
  <c r="FP385" i="2"/>
  <c r="GI385" i="2" s="1"/>
  <c r="FO385" i="2"/>
  <c r="FN385" i="2"/>
  <c r="FM385" i="2"/>
  <c r="FL385" i="2"/>
  <c r="FK385" i="2"/>
  <c r="FJ385" i="2"/>
  <c r="FI385" i="2"/>
  <c r="GB385" i="2" s="1"/>
  <c r="FH385" i="2"/>
  <c r="FG385" i="2"/>
  <c r="FF385" i="2"/>
  <c r="FY385" i="2" s="1"/>
  <c r="FE385" i="2"/>
  <c r="FX385" i="2" s="1"/>
  <c r="FD385" i="2"/>
  <c r="FC385" i="2"/>
  <c r="FB385" i="2"/>
  <c r="EX385" i="2"/>
  <c r="EW385" i="2"/>
  <c r="EM385" i="2"/>
  <c r="EL385" i="2"/>
  <c r="EH385" i="2"/>
  <c r="EG385" i="2"/>
  <c r="EZ385" i="2" s="1"/>
  <c r="EE385" i="2"/>
  <c r="ED385" i="2"/>
  <c r="EC385" i="2"/>
  <c r="EB385" i="2"/>
  <c r="EA385" i="2"/>
  <c r="DZ385" i="2"/>
  <c r="DY385" i="2"/>
  <c r="DX385" i="2"/>
  <c r="DV385" i="2"/>
  <c r="DU385" i="2"/>
  <c r="DT385" i="2"/>
  <c r="DS385" i="2"/>
  <c r="DR385" i="2"/>
  <c r="DQ385" i="2"/>
  <c r="DP385" i="2"/>
  <c r="DM385" i="2"/>
  <c r="BG385" i="2"/>
  <c r="AL385" i="2"/>
  <c r="GU385" i="2" s="1"/>
  <c r="Q385" i="2"/>
  <c r="HC384" i="2"/>
  <c r="HB384" i="2"/>
  <c r="GW384" i="2"/>
  <c r="GU384" i="2"/>
  <c r="GL384" i="2"/>
  <c r="GB384" i="2"/>
  <c r="FY384" i="2"/>
  <c r="FX384" i="2"/>
  <c r="FT384" i="2"/>
  <c r="FS384" i="2"/>
  <c r="FQ384" i="2"/>
  <c r="GJ384" i="2" s="1"/>
  <c r="FP384" i="2"/>
  <c r="GI384" i="2" s="1"/>
  <c r="FO384" i="2"/>
  <c r="FN384" i="2"/>
  <c r="FM384" i="2"/>
  <c r="FL384" i="2"/>
  <c r="FK384" i="2"/>
  <c r="FJ384" i="2"/>
  <c r="FI384" i="2"/>
  <c r="FH384" i="2"/>
  <c r="FG384" i="2"/>
  <c r="FF384" i="2"/>
  <c r="FE384" i="2"/>
  <c r="FD384" i="2"/>
  <c r="FC384" i="2"/>
  <c r="FB384" i="2"/>
  <c r="AY384" i="2"/>
  <c r="GV384" i="2" s="1"/>
  <c r="AD384" i="2"/>
  <c r="I384" i="2"/>
  <c r="HC383" i="2"/>
  <c r="HB383" i="2"/>
  <c r="GW383" i="2"/>
  <c r="GV383" i="2"/>
  <c r="GU383" i="2"/>
  <c r="GT383" i="2"/>
  <c r="GP383" i="2"/>
  <c r="GO383" i="2"/>
  <c r="GQ383" i="2" s="1"/>
  <c r="GJ383" i="2"/>
  <c r="GI383" i="2"/>
  <c r="GB383" i="2"/>
  <c r="FY383" i="2"/>
  <c r="FX383" i="2"/>
  <c r="FT383" i="2"/>
  <c r="FS383" i="2"/>
  <c r="GL383" i="2" s="1"/>
  <c r="FQ383" i="2"/>
  <c r="FP383" i="2"/>
  <c r="FO383" i="2"/>
  <c r="FN383" i="2"/>
  <c r="FM383" i="2"/>
  <c r="FL383" i="2"/>
  <c r="FK383" i="2"/>
  <c r="FJ383" i="2"/>
  <c r="FI383" i="2"/>
  <c r="FH383" i="2"/>
  <c r="FG383" i="2"/>
  <c r="FF383" i="2"/>
  <c r="FE383" i="2"/>
  <c r="FD383" i="2"/>
  <c r="FC383" i="2"/>
  <c r="FB383" i="2"/>
  <c r="EW383" i="2"/>
  <c r="EP383" i="2"/>
  <c r="EM383" i="2"/>
  <c r="EH383" i="2"/>
  <c r="EG383" i="2"/>
  <c r="EZ383" i="2" s="1"/>
  <c r="EE383" i="2"/>
  <c r="EX383" i="2" s="1"/>
  <c r="ED383" i="2"/>
  <c r="EC383" i="2"/>
  <c r="EB383" i="2"/>
  <c r="EA383" i="2"/>
  <c r="DZ383" i="2"/>
  <c r="DY383" i="2"/>
  <c r="DX383" i="2"/>
  <c r="DW383" i="2"/>
  <c r="DV383" i="2"/>
  <c r="DU383" i="2"/>
  <c r="DT383" i="2"/>
  <c r="DS383" i="2"/>
  <c r="EL383" i="2" s="1"/>
  <c r="DR383" i="2"/>
  <c r="DQ383" i="2"/>
  <c r="DP383" i="2"/>
  <c r="DM383" i="2"/>
  <c r="DL383" i="2"/>
  <c r="HC382" i="2"/>
  <c r="HB382" i="2"/>
  <c r="GW382" i="2"/>
  <c r="GV382" i="2"/>
  <c r="GU382" i="2"/>
  <c r="GT382" i="2"/>
  <c r="GO382" i="2"/>
  <c r="GL382" i="2"/>
  <c r="GI382" i="2"/>
  <c r="GB382" i="2"/>
  <c r="FX382" i="2"/>
  <c r="FT382" i="2"/>
  <c r="FS382" i="2"/>
  <c r="FQ382" i="2"/>
  <c r="GJ382" i="2" s="1"/>
  <c r="FP382" i="2"/>
  <c r="FO382" i="2"/>
  <c r="FN382" i="2"/>
  <c r="FM382" i="2"/>
  <c r="FL382" i="2"/>
  <c r="FK382" i="2"/>
  <c r="FJ382" i="2"/>
  <c r="FI382" i="2"/>
  <c r="FH382" i="2"/>
  <c r="FG382" i="2"/>
  <c r="FF382" i="2"/>
  <c r="FY382" i="2" s="1"/>
  <c r="FE382" i="2"/>
  <c r="FD382" i="2"/>
  <c r="FC382" i="2"/>
  <c r="FB382" i="2"/>
  <c r="EP382" i="2"/>
  <c r="EH382" i="2"/>
  <c r="EG382" i="2"/>
  <c r="EZ382" i="2" s="1"/>
  <c r="EE382" i="2"/>
  <c r="EX382" i="2" s="1"/>
  <c r="ED382" i="2"/>
  <c r="EW382" i="2" s="1"/>
  <c r="EC382" i="2"/>
  <c r="EB382" i="2"/>
  <c r="EA382" i="2"/>
  <c r="DZ382" i="2"/>
  <c r="DY382" i="2"/>
  <c r="DX382" i="2"/>
  <c r="DW382" i="2"/>
  <c r="DV382" i="2"/>
  <c r="DU382" i="2"/>
  <c r="DT382" i="2"/>
  <c r="EM382" i="2" s="1"/>
  <c r="DS382" i="2"/>
  <c r="EL382" i="2" s="1"/>
  <c r="DR382" i="2"/>
  <c r="DQ382" i="2"/>
  <c r="DP382" i="2"/>
  <c r="DM382" i="2"/>
  <c r="DL382" i="2"/>
  <c r="HC381" i="2"/>
  <c r="HB381" i="2"/>
  <c r="GW381" i="2"/>
  <c r="GV381" i="2"/>
  <c r="GU381" i="2"/>
  <c r="GT381" i="2"/>
  <c r="GO381" i="2"/>
  <c r="GL381" i="2"/>
  <c r="GJ381" i="2"/>
  <c r="GI381" i="2"/>
  <c r="GB381" i="2"/>
  <c r="FY381" i="2"/>
  <c r="FX381" i="2"/>
  <c r="FT381" i="2"/>
  <c r="FS381" i="2"/>
  <c r="FQ381" i="2"/>
  <c r="FP381" i="2"/>
  <c r="FO381" i="2"/>
  <c r="FN381" i="2"/>
  <c r="FM381" i="2"/>
  <c r="FL381" i="2"/>
  <c r="FK381" i="2"/>
  <c r="FJ381" i="2"/>
  <c r="FI381" i="2"/>
  <c r="FH381" i="2"/>
  <c r="FG381" i="2"/>
  <c r="FF381" i="2"/>
  <c r="FE381" i="2"/>
  <c r="FD381" i="2"/>
  <c r="FC381" i="2"/>
  <c r="FB381" i="2"/>
  <c r="EW381" i="2"/>
  <c r="EP381" i="2"/>
  <c r="EM381" i="2"/>
  <c r="EH381" i="2"/>
  <c r="EG381" i="2"/>
  <c r="EZ381" i="2" s="1"/>
  <c r="EE381" i="2"/>
  <c r="EX381" i="2" s="1"/>
  <c r="ED381" i="2"/>
  <c r="EC381" i="2"/>
  <c r="EB381" i="2"/>
  <c r="EA381" i="2"/>
  <c r="DZ381" i="2"/>
  <c r="DY381" i="2"/>
  <c r="DX381" i="2"/>
  <c r="DW381" i="2"/>
  <c r="DV381" i="2"/>
  <c r="DU381" i="2"/>
  <c r="DT381" i="2"/>
  <c r="DS381" i="2"/>
  <c r="EL381" i="2" s="1"/>
  <c r="DR381" i="2"/>
  <c r="DQ381" i="2"/>
  <c r="DP381" i="2"/>
  <c r="DM381" i="2"/>
  <c r="DL381" i="2"/>
  <c r="HC380" i="2"/>
  <c r="HB380" i="2"/>
  <c r="GY380" i="2"/>
  <c r="GX380" i="2"/>
  <c r="GW380" i="2"/>
  <c r="GV380" i="2"/>
  <c r="GU380" i="2"/>
  <c r="GT380" i="2"/>
  <c r="GO380" i="2"/>
  <c r="GP380" i="2" s="1"/>
  <c r="GI380" i="2"/>
  <c r="FY380" i="2"/>
  <c r="FX380" i="2"/>
  <c r="FT380" i="2"/>
  <c r="FS380" i="2"/>
  <c r="GL380" i="2" s="1"/>
  <c r="FQ380" i="2"/>
  <c r="GJ380" i="2" s="1"/>
  <c r="FP380" i="2"/>
  <c r="FO380" i="2"/>
  <c r="FN380" i="2"/>
  <c r="FM380" i="2"/>
  <c r="FL380" i="2"/>
  <c r="FK380" i="2"/>
  <c r="FJ380" i="2"/>
  <c r="FI380" i="2"/>
  <c r="GB380" i="2" s="1"/>
  <c r="FH380" i="2"/>
  <c r="FG380" i="2"/>
  <c r="FF380" i="2"/>
  <c r="FE380" i="2"/>
  <c r="FD380" i="2"/>
  <c r="FC380" i="2"/>
  <c r="FB380" i="2"/>
  <c r="EZ380" i="2"/>
  <c r="EX380" i="2"/>
  <c r="EH380" i="2"/>
  <c r="EG380" i="2"/>
  <c r="EE380" i="2"/>
  <c r="ED380" i="2"/>
  <c r="EW380" i="2" s="1"/>
  <c r="EC380" i="2"/>
  <c r="EB380" i="2"/>
  <c r="EA380" i="2"/>
  <c r="DZ380" i="2"/>
  <c r="DY380" i="2"/>
  <c r="DX380" i="2"/>
  <c r="DW380" i="2"/>
  <c r="EP380" i="2" s="1"/>
  <c r="DV380" i="2"/>
  <c r="DU380" i="2"/>
  <c r="DT380" i="2"/>
  <c r="EM380" i="2" s="1"/>
  <c r="DS380" i="2"/>
  <c r="EL380" i="2" s="1"/>
  <c r="DR380" i="2"/>
  <c r="DQ380" i="2"/>
  <c r="DP380" i="2"/>
  <c r="DM380" i="2"/>
  <c r="DL380" i="2"/>
  <c r="HC379" i="2"/>
  <c r="HB379" i="2"/>
  <c r="GX379" i="2"/>
  <c r="GY379" i="2" s="1"/>
  <c r="GW379" i="2"/>
  <c r="GV379" i="2"/>
  <c r="GU379" i="2"/>
  <c r="GT379" i="2"/>
  <c r="GP379" i="2"/>
  <c r="GO379" i="2"/>
  <c r="GQ379" i="2" s="1"/>
  <c r="GB379" i="2"/>
  <c r="FX379" i="2"/>
  <c r="FT379" i="2"/>
  <c r="FS379" i="2"/>
  <c r="GL379" i="2" s="1"/>
  <c r="FQ379" i="2"/>
  <c r="GJ379" i="2" s="1"/>
  <c r="FP379" i="2"/>
  <c r="GI379" i="2" s="1"/>
  <c r="FO379" i="2"/>
  <c r="FN379" i="2"/>
  <c r="FM379" i="2"/>
  <c r="FL379" i="2"/>
  <c r="FK379" i="2"/>
  <c r="FJ379" i="2"/>
  <c r="FI379" i="2"/>
  <c r="FH379" i="2"/>
  <c r="FG379" i="2"/>
  <c r="FF379" i="2"/>
  <c r="FY379" i="2" s="1"/>
  <c r="FE379" i="2"/>
  <c r="FD379" i="2"/>
  <c r="FC379" i="2"/>
  <c r="FB379" i="2"/>
  <c r="EX379" i="2"/>
  <c r="EW379" i="2"/>
  <c r="EP379" i="2"/>
  <c r="EM379" i="2"/>
  <c r="EH379" i="2"/>
  <c r="EG379" i="2"/>
  <c r="EZ379" i="2" s="1"/>
  <c r="EE379" i="2"/>
  <c r="ED379" i="2"/>
  <c r="EC379" i="2"/>
  <c r="EB379" i="2"/>
  <c r="EA379" i="2"/>
  <c r="DZ379" i="2"/>
  <c r="DY379" i="2"/>
  <c r="DX379" i="2"/>
  <c r="DW379" i="2"/>
  <c r="DV379" i="2"/>
  <c r="DU379" i="2"/>
  <c r="DT379" i="2"/>
  <c r="DS379" i="2"/>
  <c r="EL379" i="2" s="1"/>
  <c r="DR379" i="2"/>
  <c r="DQ379" i="2"/>
  <c r="DP379" i="2"/>
  <c r="DM379" i="2"/>
  <c r="DL379" i="2"/>
  <c r="HC378" i="2"/>
  <c r="HB378" i="2"/>
  <c r="GW378" i="2"/>
  <c r="GX378" i="2" s="1"/>
  <c r="GV378" i="2"/>
  <c r="GU378" i="2"/>
  <c r="GT378" i="2"/>
  <c r="GO378" i="2"/>
  <c r="GB378" i="2"/>
  <c r="FT378" i="2"/>
  <c r="FS378" i="2"/>
  <c r="GL378" i="2" s="1"/>
  <c r="FQ378" i="2"/>
  <c r="GJ378" i="2" s="1"/>
  <c r="FP378" i="2"/>
  <c r="GI378" i="2" s="1"/>
  <c r="FO378" i="2"/>
  <c r="FN378" i="2"/>
  <c r="FM378" i="2"/>
  <c r="FL378" i="2"/>
  <c r="FK378" i="2"/>
  <c r="FJ378" i="2"/>
  <c r="FI378" i="2"/>
  <c r="FH378" i="2"/>
  <c r="FG378" i="2"/>
  <c r="FF378" i="2"/>
  <c r="FY378" i="2" s="1"/>
  <c r="FE378" i="2"/>
  <c r="FX378" i="2" s="1"/>
  <c r="FD378" i="2"/>
  <c r="FC378" i="2"/>
  <c r="FB378" i="2"/>
  <c r="EZ378" i="2"/>
  <c r="EW378" i="2"/>
  <c r="EP378" i="2"/>
  <c r="EM378" i="2"/>
  <c r="EL378" i="2"/>
  <c r="EH378" i="2"/>
  <c r="EG378" i="2"/>
  <c r="EE378" i="2"/>
  <c r="EX378" i="2" s="1"/>
  <c r="ED378" i="2"/>
  <c r="EC378" i="2"/>
  <c r="EB378" i="2"/>
  <c r="EA378" i="2"/>
  <c r="DZ378" i="2"/>
  <c r="DY378" i="2"/>
  <c r="DX378" i="2"/>
  <c r="DW378" i="2"/>
  <c r="DV378" i="2"/>
  <c r="DU378" i="2"/>
  <c r="DT378" i="2"/>
  <c r="DS378" i="2"/>
  <c r="DR378" i="2"/>
  <c r="DQ378" i="2"/>
  <c r="DP378" i="2"/>
  <c r="DM378" i="2"/>
  <c r="DL378" i="2"/>
  <c r="HC377" i="2"/>
  <c r="HB377" i="2"/>
  <c r="GW377" i="2"/>
  <c r="GV377" i="2"/>
  <c r="GU377" i="2"/>
  <c r="GT377" i="2"/>
  <c r="GQ377" i="2"/>
  <c r="GP377" i="2"/>
  <c r="GO377" i="2"/>
  <c r="GL377" i="2"/>
  <c r="GJ377" i="2"/>
  <c r="GB377" i="2"/>
  <c r="FX377" i="2"/>
  <c r="FT377" i="2"/>
  <c r="FS377" i="2"/>
  <c r="FQ377" i="2"/>
  <c r="FP377" i="2"/>
  <c r="GI377" i="2" s="1"/>
  <c r="FO377" i="2"/>
  <c r="FN377" i="2"/>
  <c r="FM377" i="2"/>
  <c r="FL377" i="2"/>
  <c r="FK377" i="2"/>
  <c r="FJ377" i="2"/>
  <c r="FI377" i="2"/>
  <c r="FH377" i="2"/>
  <c r="FG377" i="2"/>
  <c r="FF377" i="2"/>
  <c r="FY377" i="2" s="1"/>
  <c r="FE377" i="2"/>
  <c r="FD377" i="2"/>
  <c r="FC377" i="2"/>
  <c r="FB377" i="2"/>
  <c r="EP377" i="2"/>
  <c r="EL377" i="2"/>
  <c r="EH377" i="2"/>
  <c r="EG377" i="2"/>
  <c r="EZ377" i="2" s="1"/>
  <c r="EE377" i="2"/>
  <c r="EX377" i="2" s="1"/>
  <c r="ED377" i="2"/>
  <c r="EW377" i="2" s="1"/>
  <c r="EC377" i="2"/>
  <c r="EB377" i="2"/>
  <c r="EA377" i="2"/>
  <c r="DZ377" i="2"/>
  <c r="DY377" i="2"/>
  <c r="DX377" i="2"/>
  <c r="DW377" i="2"/>
  <c r="DV377" i="2"/>
  <c r="DU377" i="2"/>
  <c r="DT377" i="2"/>
  <c r="EM377" i="2" s="1"/>
  <c r="DS377" i="2"/>
  <c r="DR377" i="2"/>
  <c r="DQ377" i="2"/>
  <c r="DP377" i="2"/>
  <c r="DM377" i="2"/>
  <c r="DL377" i="2"/>
  <c r="HC376" i="2"/>
  <c r="HB376" i="2"/>
  <c r="GW376" i="2"/>
  <c r="GV376" i="2"/>
  <c r="GU376" i="2"/>
  <c r="GT376" i="2"/>
  <c r="GQ376" i="2"/>
  <c r="GP376" i="2"/>
  <c r="GO376" i="2"/>
  <c r="GL376" i="2"/>
  <c r="GJ376" i="2"/>
  <c r="GI376" i="2"/>
  <c r="FY376" i="2"/>
  <c r="FX376" i="2"/>
  <c r="FT376" i="2"/>
  <c r="FS376" i="2"/>
  <c r="FQ376" i="2"/>
  <c r="FP376" i="2"/>
  <c r="FO376" i="2"/>
  <c r="FN376" i="2"/>
  <c r="FM376" i="2"/>
  <c r="FL376" i="2"/>
  <c r="FK376" i="2"/>
  <c r="FJ376" i="2"/>
  <c r="FI376" i="2"/>
  <c r="GB376" i="2" s="1"/>
  <c r="FH376" i="2"/>
  <c r="FG376" i="2"/>
  <c r="FF376" i="2"/>
  <c r="FE376" i="2"/>
  <c r="FD376" i="2"/>
  <c r="FC376" i="2"/>
  <c r="FB376" i="2"/>
  <c r="EZ376" i="2"/>
  <c r="EP376" i="2"/>
  <c r="EH376" i="2"/>
  <c r="EG376" i="2"/>
  <c r="EE376" i="2"/>
  <c r="EX376" i="2" s="1"/>
  <c r="ED376" i="2"/>
  <c r="EW376" i="2" s="1"/>
  <c r="EC376" i="2"/>
  <c r="EB376" i="2"/>
  <c r="EA376" i="2"/>
  <c r="DZ376" i="2"/>
  <c r="DY376" i="2"/>
  <c r="DX376" i="2"/>
  <c r="DW376" i="2"/>
  <c r="DV376" i="2"/>
  <c r="DU376" i="2"/>
  <c r="DT376" i="2"/>
  <c r="EM376" i="2" s="1"/>
  <c r="DS376" i="2"/>
  <c r="EL376" i="2" s="1"/>
  <c r="DR376" i="2"/>
  <c r="DQ376" i="2"/>
  <c r="DP376" i="2"/>
  <c r="DM376" i="2"/>
  <c r="DL376" i="2"/>
  <c r="HB375" i="2"/>
  <c r="GW375" i="2"/>
  <c r="GJ375" i="2"/>
  <c r="GI375" i="2"/>
  <c r="FY375" i="2"/>
  <c r="FX375" i="2"/>
  <c r="FT375" i="2"/>
  <c r="FS375" i="2"/>
  <c r="GL375" i="2" s="1"/>
  <c r="FQ375" i="2"/>
  <c r="FP375" i="2"/>
  <c r="FO375" i="2"/>
  <c r="FN375" i="2"/>
  <c r="FM375" i="2"/>
  <c r="FL375" i="2"/>
  <c r="FK375" i="2"/>
  <c r="FI375" i="2"/>
  <c r="GB375" i="2" s="1"/>
  <c r="FH375" i="2"/>
  <c r="FG375" i="2"/>
  <c r="FF375" i="2"/>
  <c r="FE375" i="2"/>
  <c r="FD375" i="2"/>
  <c r="FC375" i="2"/>
  <c r="FB375" i="2"/>
  <c r="EE375" i="2"/>
  <c r="EX375" i="2" s="1"/>
  <c r="ED375" i="2"/>
  <c r="EW375" i="2" s="1"/>
  <c r="EC375" i="2"/>
  <c r="EB375" i="2"/>
  <c r="DU375" i="2"/>
  <c r="DT375" i="2"/>
  <c r="EM375" i="2" s="1"/>
  <c r="DS375" i="2"/>
  <c r="EL375" i="2" s="1"/>
  <c r="DR375" i="2"/>
  <c r="CX375" i="2"/>
  <c r="CW375" i="2"/>
  <c r="GX375" i="2" s="1"/>
  <c r="GY375" i="2" s="1"/>
  <c r="CC375" i="2"/>
  <c r="FJ375" i="2" s="1"/>
  <c r="BH375" i="2"/>
  <c r="BG375" i="2"/>
  <c r="AO375" i="2"/>
  <c r="AM375" i="2"/>
  <c r="AL375" i="2"/>
  <c r="AD375" i="2"/>
  <c r="GO375" i="2" s="1"/>
  <c r="T375" i="2"/>
  <c r="DZ375" i="2" s="1"/>
  <c r="S375" i="2"/>
  <c r="R375" i="2"/>
  <c r="Q375" i="2"/>
  <c r="I375" i="2"/>
  <c r="EA375" i="2" s="1"/>
  <c r="HC374" i="2"/>
  <c r="HB374" i="2"/>
  <c r="GW374" i="2"/>
  <c r="GV374" i="2"/>
  <c r="GU374" i="2"/>
  <c r="GT374" i="2"/>
  <c r="GO374" i="2"/>
  <c r="GL374" i="2"/>
  <c r="GJ374" i="2"/>
  <c r="GI374" i="2"/>
  <c r="GB374" i="2"/>
  <c r="FY374" i="2"/>
  <c r="FT374" i="2"/>
  <c r="FS374" i="2"/>
  <c r="FQ374" i="2"/>
  <c r="FP374" i="2"/>
  <c r="FO374" i="2"/>
  <c r="FN374" i="2"/>
  <c r="FM374" i="2"/>
  <c r="FL374" i="2"/>
  <c r="FK374" i="2"/>
  <c r="FJ374" i="2"/>
  <c r="FI374" i="2"/>
  <c r="FH374" i="2"/>
  <c r="FG374" i="2"/>
  <c r="FF374" i="2"/>
  <c r="FE374" i="2"/>
  <c r="FX374" i="2" s="1"/>
  <c r="FD374" i="2"/>
  <c r="FC374" i="2"/>
  <c r="FB374" i="2"/>
  <c r="EX374" i="2"/>
  <c r="EW374" i="2"/>
  <c r="EM374" i="2"/>
  <c r="EL374" i="2"/>
  <c r="EH374" i="2"/>
  <c r="EG374" i="2"/>
  <c r="EZ374" i="2" s="1"/>
  <c r="EE374" i="2"/>
  <c r="ED374" i="2"/>
  <c r="EC374" i="2"/>
  <c r="EB374" i="2"/>
  <c r="EA374" i="2"/>
  <c r="DZ374" i="2"/>
  <c r="DY374" i="2"/>
  <c r="DX374" i="2"/>
  <c r="DW374" i="2"/>
  <c r="EP374" i="2" s="1"/>
  <c r="DV374" i="2"/>
  <c r="DU374" i="2"/>
  <c r="DT374" i="2"/>
  <c r="DS374" i="2"/>
  <c r="DR374" i="2"/>
  <c r="DQ374" i="2"/>
  <c r="DP374" i="2"/>
  <c r="DM374" i="2"/>
  <c r="DL374" i="2"/>
  <c r="HC373" i="2"/>
  <c r="HB373" i="2"/>
  <c r="GW373" i="2"/>
  <c r="GV373" i="2"/>
  <c r="GU373" i="2"/>
  <c r="GT373" i="2"/>
  <c r="GO373" i="2"/>
  <c r="GP373" i="2" s="1"/>
  <c r="GI373" i="2"/>
  <c r="FY373" i="2"/>
  <c r="FX373" i="2"/>
  <c r="FT373" i="2"/>
  <c r="FS373" i="2"/>
  <c r="GL373" i="2" s="1"/>
  <c r="FQ373" i="2"/>
  <c r="GJ373" i="2" s="1"/>
  <c r="FP373" i="2"/>
  <c r="FO373" i="2"/>
  <c r="FN373" i="2"/>
  <c r="FM373" i="2"/>
  <c r="FL373" i="2"/>
  <c r="FK373" i="2"/>
  <c r="FJ373" i="2"/>
  <c r="FI373" i="2"/>
  <c r="GB373" i="2" s="1"/>
  <c r="FH373" i="2"/>
  <c r="FG373" i="2"/>
  <c r="FF373" i="2"/>
  <c r="FE373" i="2"/>
  <c r="FD373" i="2"/>
  <c r="FC373" i="2"/>
  <c r="FB373" i="2"/>
  <c r="EZ373" i="2"/>
  <c r="EX373" i="2"/>
  <c r="EP373" i="2"/>
  <c r="EH373" i="2"/>
  <c r="EG373" i="2"/>
  <c r="EE373" i="2"/>
  <c r="ED373" i="2"/>
  <c r="EW373" i="2" s="1"/>
  <c r="EC373" i="2"/>
  <c r="EB373" i="2"/>
  <c r="EA373" i="2"/>
  <c r="DZ373" i="2"/>
  <c r="DY373" i="2"/>
  <c r="DX373" i="2"/>
  <c r="DW373" i="2"/>
  <c r="DV373" i="2"/>
  <c r="DU373" i="2"/>
  <c r="DT373" i="2"/>
  <c r="EM373" i="2" s="1"/>
  <c r="DS373" i="2"/>
  <c r="EL373" i="2" s="1"/>
  <c r="DR373" i="2"/>
  <c r="DQ373" i="2"/>
  <c r="DP373" i="2"/>
  <c r="DM373" i="2"/>
  <c r="DL373" i="2"/>
  <c r="HC372" i="2"/>
  <c r="HB372" i="2"/>
  <c r="GW372" i="2"/>
  <c r="GV372" i="2"/>
  <c r="GU372" i="2"/>
  <c r="GT372" i="2"/>
  <c r="GO372" i="2"/>
  <c r="GL372" i="2"/>
  <c r="GJ372" i="2"/>
  <c r="GI372" i="2"/>
  <c r="GB372" i="2"/>
  <c r="FY372" i="2"/>
  <c r="FX372" i="2"/>
  <c r="FT372" i="2"/>
  <c r="FS372" i="2"/>
  <c r="FQ372" i="2"/>
  <c r="FP372" i="2"/>
  <c r="FO372" i="2"/>
  <c r="FN372" i="2"/>
  <c r="FM372" i="2"/>
  <c r="FL372" i="2"/>
  <c r="FK372" i="2"/>
  <c r="FJ372" i="2"/>
  <c r="FI372" i="2"/>
  <c r="FH372" i="2"/>
  <c r="FG372" i="2"/>
  <c r="FF372" i="2"/>
  <c r="FE372" i="2"/>
  <c r="FD372" i="2"/>
  <c r="FC372" i="2"/>
  <c r="FB372" i="2"/>
  <c r="EX372" i="2"/>
  <c r="EW372" i="2"/>
  <c r="EM372" i="2"/>
  <c r="EL372" i="2"/>
  <c r="EH372" i="2"/>
  <c r="EG372" i="2"/>
  <c r="EZ372" i="2" s="1"/>
  <c r="EE372" i="2"/>
  <c r="ED372" i="2"/>
  <c r="EC372" i="2"/>
  <c r="EB372" i="2"/>
  <c r="EA372" i="2"/>
  <c r="DZ372" i="2"/>
  <c r="DY372" i="2"/>
  <c r="DX372" i="2"/>
  <c r="DW372" i="2"/>
  <c r="EP372" i="2" s="1"/>
  <c r="DV372" i="2"/>
  <c r="DU372" i="2"/>
  <c r="DT372" i="2"/>
  <c r="DS372" i="2"/>
  <c r="DR372" i="2"/>
  <c r="DQ372" i="2"/>
  <c r="DP372" i="2"/>
  <c r="DM372" i="2"/>
  <c r="DL372" i="2"/>
  <c r="HC371" i="2"/>
  <c r="HB371" i="2"/>
  <c r="GW371" i="2"/>
  <c r="GV371" i="2"/>
  <c r="GU371" i="2"/>
  <c r="GL371" i="2"/>
  <c r="GJ371" i="2"/>
  <c r="GI371" i="2"/>
  <c r="GB371" i="2"/>
  <c r="FY371" i="2"/>
  <c r="FX371" i="2"/>
  <c r="FT371" i="2"/>
  <c r="FS371" i="2"/>
  <c r="FQ371" i="2"/>
  <c r="FP371" i="2"/>
  <c r="FO371" i="2"/>
  <c r="FN371" i="2"/>
  <c r="FM371" i="2"/>
  <c r="FL371" i="2"/>
  <c r="FK371" i="2"/>
  <c r="FJ371" i="2"/>
  <c r="FI371" i="2"/>
  <c r="FH371" i="2"/>
  <c r="FG371" i="2"/>
  <c r="FF371" i="2"/>
  <c r="FE371" i="2"/>
  <c r="FD371" i="2"/>
  <c r="FC371" i="2"/>
  <c r="FB371" i="2"/>
  <c r="AO371" i="2"/>
  <c r="AN371" i="2"/>
  <c r="AL371" i="2"/>
  <c r="AD371" i="2"/>
  <c r="AF371" i="2" s="1"/>
  <c r="K371" i="2"/>
  <c r="DQ371" i="2" s="1"/>
  <c r="I371" i="2"/>
  <c r="HC370" i="2"/>
  <c r="HB370" i="2"/>
  <c r="GW370" i="2"/>
  <c r="GV370" i="2"/>
  <c r="GU370" i="2"/>
  <c r="GT370" i="2"/>
  <c r="GP370" i="2"/>
  <c r="GQ370" i="2" s="1"/>
  <c r="GO370" i="2"/>
  <c r="GJ370" i="2"/>
  <c r="GI370" i="2"/>
  <c r="FY370" i="2"/>
  <c r="FX370" i="2"/>
  <c r="FT370" i="2"/>
  <c r="FS370" i="2"/>
  <c r="GL370" i="2" s="1"/>
  <c r="FQ370" i="2"/>
  <c r="FP370" i="2"/>
  <c r="FO370" i="2"/>
  <c r="FN370" i="2"/>
  <c r="FM370" i="2"/>
  <c r="FL370" i="2"/>
  <c r="FK370" i="2"/>
  <c r="FJ370" i="2"/>
  <c r="FI370" i="2"/>
  <c r="GB370" i="2" s="1"/>
  <c r="FH370" i="2"/>
  <c r="FG370" i="2"/>
  <c r="FF370" i="2"/>
  <c r="FE370" i="2"/>
  <c r="FD370" i="2"/>
  <c r="FC370" i="2"/>
  <c r="FB370" i="2"/>
  <c r="EZ370" i="2"/>
  <c r="EX370" i="2"/>
  <c r="EP370" i="2"/>
  <c r="EH370" i="2"/>
  <c r="EG370" i="2"/>
  <c r="EE370" i="2"/>
  <c r="ED370" i="2"/>
  <c r="EW370" i="2" s="1"/>
  <c r="EC370" i="2"/>
  <c r="EB370" i="2"/>
  <c r="EA370" i="2"/>
  <c r="DZ370" i="2"/>
  <c r="DY370" i="2"/>
  <c r="DX370" i="2"/>
  <c r="DW370" i="2"/>
  <c r="DV370" i="2"/>
  <c r="DU370" i="2"/>
  <c r="DT370" i="2"/>
  <c r="EM370" i="2" s="1"/>
  <c r="DS370" i="2"/>
  <c r="EL370" i="2" s="1"/>
  <c r="DR370" i="2"/>
  <c r="DQ370" i="2"/>
  <c r="DP370" i="2"/>
  <c r="DM370" i="2"/>
  <c r="DL370" i="2"/>
  <c r="HC369" i="2"/>
  <c r="HB369" i="2"/>
  <c r="GW369" i="2"/>
  <c r="GV369" i="2"/>
  <c r="GU369" i="2"/>
  <c r="GT369" i="2"/>
  <c r="GL369" i="2"/>
  <c r="GJ369" i="2"/>
  <c r="GI369" i="2"/>
  <c r="GB369" i="2"/>
  <c r="FT369" i="2"/>
  <c r="FS369" i="2"/>
  <c r="FQ369" i="2"/>
  <c r="FP369" i="2"/>
  <c r="FO369" i="2"/>
  <c r="FN369" i="2"/>
  <c r="FM369" i="2"/>
  <c r="FL369" i="2"/>
  <c r="FK369" i="2"/>
  <c r="FJ369" i="2"/>
  <c r="FI369" i="2"/>
  <c r="FH369" i="2"/>
  <c r="FG369" i="2"/>
  <c r="FF369" i="2"/>
  <c r="FY369" i="2" s="1"/>
  <c r="FE369" i="2"/>
  <c r="FX369" i="2" s="1"/>
  <c r="FD369" i="2"/>
  <c r="FC369" i="2"/>
  <c r="FB369" i="2"/>
  <c r="DZ369" i="2"/>
  <c r="DY369" i="2"/>
  <c r="DX369" i="2"/>
  <c r="DP369" i="2"/>
  <c r="DM369" i="2"/>
  <c r="DL369" i="2"/>
  <c r="AY369" i="2"/>
  <c r="EH369" i="2" s="1"/>
  <c r="D369" i="2"/>
  <c r="C369" i="2"/>
  <c r="HC368" i="2"/>
  <c r="HB368" i="2"/>
  <c r="GW368" i="2"/>
  <c r="GV368" i="2"/>
  <c r="GU368" i="2"/>
  <c r="GT368" i="2"/>
  <c r="GO368" i="2"/>
  <c r="GL368" i="2"/>
  <c r="GJ368" i="2"/>
  <c r="GI368" i="2"/>
  <c r="GB368" i="2"/>
  <c r="FY368" i="2"/>
  <c r="FX368" i="2"/>
  <c r="FT368" i="2"/>
  <c r="FS368" i="2"/>
  <c r="FQ368" i="2"/>
  <c r="FP368" i="2"/>
  <c r="FO368" i="2"/>
  <c r="FN368" i="2"/>
  <c r="FM368" i="2"/>
  <c r="FL368" i="2"/>
  <c r="FK368" i="2"/>
  <c r="FJ368" i="2"/>
  <c r="FI368" i="2"/>
  <c r="FH368" i="2"/>
  <c r="FG368" i="2"/>
  <c r="FF368" i="2"/>
  <c r="FE368" i="2"/>
  <c r="FD368" i="2"/>
  <c r="FC368" i="2"/>
  <c r="FB368" i="2"/>
  <c r="EW368" i="2"/>
  <c r="EM368" i="2"/>
  <c r="EL368" i="2"/>
  <c r="EH368" i="2"/>
  <c r="EG368" i="2"/>
  <c r="EZ368" i="2" s="1"/>
  <c r="EE368" i="2"/>
  <c r="EX368" i="2" s="1"/>
  <c r="ED368" i="2"/>
  <c r="EC368" i="2"/>
  <c r="EB368" i="2"/>
  <c r="EA368" i="2"/>
  <c r="DZ368" i="2"/>
  <c r="DY368" i="2"/>
  <c r="DX368" i="2"/>
  <c r="DW368" i="2"/>
  <c r="EP368" i="2" s="1"/>
  <c r="DV368" i="2"/>
  <c r="DU368" i="2"/>
  <c r="DT368" i="2"/>
  <c r="DS368" i="2"/>
  <c r="DR368" i="2"/>
  <c r="DQ368" i="2"/>
  <c r="DP368" i="2"/>
  <c r="DM368" i="2"/>
  <c r="DL368" i="2"/>
  <c r="HC367" i="2"/>
  <c r="HB367" i="2"/>
  <c r="GW367" i="2"/>
  <c r="GV367" i="2"/>
  <c r="GU367" i="2"/>
  <c r="GT367" i="2"/>
  <c r="GO367" i="2"/>
  <c r="GB367" i="2"/>
  <c r="FX367" i="2"/>
  <c r="FT367" i="2"/>
  <c r="FS367" i="2"/>
  <c r="GL367" i="2" s="1"/>
  <c r="FQ367" i="2"/>
  <c r="GJ367" i="2" s="1"/>
  <c r="FP367" i="2"/>
  <c r="GI367" i="2" s="1"/>
  <c r="FO367" i="2"/>
  <c r="FN367" i="2"/>
  <c r="FM367" i="2"/>
  <c r="FL367" i="2"/>
  <c r="FK367" i="2"/>
  <c r="FJ367" i="2"/>
  <c r="FI367" i="2"/>
  <c r="FH367" i="2"/>
  <c r="FG367" i="2"/>
  <c r="FF367" i="2"/>
  <c r="FY367" i="2" s="1"/>
  <c r="FE367" i="2"/>
  <c r="FD367" i="2"/>
  <c r="FC367" i="2"/>
  <c r="FB367" i="2"/>
  <c r="EZ367" i="2"/>
  <c r="EX367" i="2"/>
  <c r="EW367" i="2"/>
  <c r="EP367" i="2"/>
  <c r="EM367" i="2"/>
  <c r="EH367" i="2"/>
  <c r="EG367" i="2"/>
  <c r="EE367" i="2"/>
  <c r="ED367" i="2"/>
  <c r="EC367" i="2"/>
  <c r="EB367" i="2"/>
  <c r="EA367" i="2"/>
  <c r="DZ367" i="2"/>
  <c r="DY367" i="2"/>
  <c r="DX367" i="2"/>
  <c r="DW367" i="2"/>
  <c r="DV367" i="2"/>
  <c r="DU367" i="2"/>
  <c r="DT367" i="2"/>
  <c r="DS367" i="2"/>
  <c r="EL367" i="2" s="1"/>
  <c r="DR367" i="2"/>
  <c r="DQ367" i="2"/>
  <c r="DP367" i="2"/>
  <c r="DM367" i="2"/>
  <c r="DL367" i="2"/>
  <c r="HC366" i="2"/>
  <c r="HB366" i="2"/>
  <c r="GW366" i="2"/>
  <c r="GV366" i="2"/>
  <c r="GU366" i="2"/>
  <c r="GT366" i="2"/>
  <c r="GO366" i="2"/>
  <c r="GL366" i="2"/>
  <c r="GJ366" i="2"/>
  <c r="GI366" i="2"/>
  <c r="GB366" i="2"/>
  <c r="FY366" i="2"/>
  <c r="FX366" i="2"/>
  <c r="FT366" i="2"/>
  <c r="FS366" i="2"/>
  <c r="FQ366" i="2"/>
  <c r="FP366" i="2"/>
  <c r="FO366" i="2"/>
  <c r="FN366" i="2"/>
  <c r="FM366" i="2"/>
  <c r="FL366" i="2"/>
  <c r="FK366" i="2"/>
  <c r="FJ366" i="2"/>
  <c r="FI366" i="2"/>
  <c r="FH366" i="2"/>
  <c r="FG366" i="2"/>
  <c r="FF366" i="2"/>
  <c r="FE366" i="2"/>
  <c r="FD366" i="2"/>
  <c r="FC366" i="2"/>
  <c r="FB366" i="2"/>
  <c r="EW366" i="2"/>
  <c r="EM366" i="2"/>
  <c r="EL366" i="2"/>
  <c r="EH366" i="2"/>
  <c r="EG366" i="2"/>
  <c r="EZ366" i="2" s="1"/>
  <c r="EE366" i="2"/>
  <c r="EX366" i="2" s="1"/>
  <c r="ED366" i="2"/>
  <c r="EC366" i="2"/>
  <c r="EB366" i="2"/>
  <c r="EA366" i="2"/>
  <c r="DZ366" i="2"/>
  <c r="DY366" i="2"/>
  <c r="DX366" i="2"/>
  <c r="DW366" i="2"/>
  <c r="EP366" i="2" s="1"/>
  <c r="DV366" i="2"/>
  <c r="DU366" i="2"/>
  <c r="DT366" i="2"/>
  <c r="DS366" i="2"/>
  <c r="DR366" i="2"/>
  <c r="DQ366" i="2"/>
  <c r="DP366" i="2"/>
  <c r="DM366" i="2"/>
  <c r="DL366" i="2"/>
  <c r="D366" i="2"/>
  <c r="C366" i="2"/>
  <c r="HC365" i="2"/>
  <c r="HB365" i="2"/>
  <c r="GW365" i="2"/>
  <c r="GV365" i="2"/>
  <c r="GU365" i="2"/>
  <c r="GT365" i="2"/>
  <c r="GP365" i="2"/>
  <c r="GQ365" i="2" s="1"/>
  <c r="GO365" i="2"/>
  <c r="GJ365" i="2"/>
  <c r="GI365" i="2"/>
  <c r="FY365" i="2"/>
  <c r="FX365" i="2"/>
  <c r="FT365" i="2"/>
  <c r="FS365" i="2"/>
  <c r="GL365" i="2" s="1"/>
  <c r="FQ365" i="2"/>
  <c r="FP365" i="2"/>
  <c r="FO365" i="2"/>
  <c r="FN365" i="2"/>
  <c r="FM365" i="2"/>
  <c r="FL365" i="2"/>
  <c r="FK365" i="2"/>
  <c r="FJ365" i="2"/>
  <c r="FI365" i="2"/>
  <c r="GB365" i="2" s="1"/>
  <c r="FH365" i="2"/>
  <c r="FG365" i="2"/>
  <c r="FF365" i="2"/>
  <c r="FE365" i="2"/>
  <c r="FD365" i="2"/>
  <c r="FC365" i="2"/>
  <c r="FB365" i="2"/>
  <c r="EZ365" i="2"/>
  <c r="EX365" i="2"/>
  <c r="EP365" i="2"/>
  <c r="EH365" i="2"/>
  <c r="EG365" i="2"/>
  <c r="EE365" i="2"/>
  <c r="ED365" i="2"/>
  <c r="EW365" i="2" s="1"/>
  <c r="EC365" i="2"/>
  <c r="EB365" i="2"/>
  <c r="EA365" i="2"/>
  <c r="DZ365" i="2"/>
  <c r="DY365" i="2"/>
  <c r="DX365" i="2"/>
  <c r="DW365" i="2"/>
  <c r="DV365" i="2"/>
  <c r="DU365" i="2"/>
  <c r="DT365" i="2"/>
  <c r="EM365" i="2" s="1"/>
  <c r="DS365" i="2"/>
  <c r="EL365" i="2" s="1"/>
  <c r="DR365" i="2"/>
  <c r="DQ365" i="2"/>
  <c r="DP365" i="2"/>
  <c r="DM365" i="2"/>
  <c r="DL365" i="2"/>
  <c r="D365" i="2"/>
  <c r="C365" i="2"/>
  <c r="HC364" i="2"/>
  <c r="HB364" i="2"/>
  <c r="GW364" i="2"/>
  <c r="GV364" i="2"/>
  <c r="GU364" i="2"/>
  <c r="GT364" i="2"/>
  <c r="GO364" i="2"/>
  <c r="GB364" i="2"/>
  <c r="FT364" i="2"/>
  <c r="FS364" i="2"/>
  <c r="GL364" i="2" s="1"/>
  <c r="FQ364" i="2"/>
  <c r="GJ364" i="2" s="1"/>
  <c r="FP364" i="2"/>
  <c r="GI364" i="2" s="1"/>
  <c r="FO364" i="2"/>
  <c r="FN364" i="2"/>
  <c r="FM364" i="2"/>
  <c r="FL364" i="2"/>
  <c r="FK364" i="2"/>
  <c r="FJ364" i="2"/>
  <c r="FI364" i="2"/>
  <c r="FH364" i="2"/>
  <c r="FG364" i="2"/>
  <c r="FF364" i="2"/>
  <c r="FY364" i="2" s="1"/>
  <c r="FE364" i="2"/>
  <c r="FX364" i="2" s="1"/>
  <c r="FD364" i="2"/>
  <c r="FC364" i="2"/>
  <c r="FB364" i="2"/>
  <c r="EZ364" i="2"/>
  <c r="EX364" i="2"/>
  <c r="EW364" i="2"/>
  <c r="EP364" i="2"/>
  <c r="EM364" i="2"/>
  <c r="EL364" i="2"/>
  <c r="EH364" i="2"/>
  <c r="EG364" i="2"/>
  <c r="EE364" i="2"/>
  <c r="ED364" i="2"/>
  <c r="EC364" i="2"/>
  <c r="EB364" i="2"/>
  <c r="EA364" i="2"/>
  <c r="DZ364" i="2"/>
  <c r="DY364" i="2"/>
  <c r="DX364" i="2"/>
  <c r="DW364" i="2"/>
  <c r="DV364" i="2"/>
  <c r="DU364" i="2"/>
  <c r="DT364" i="2"/>
  <c r="DS364" i="2"/>
  <c r="DR364" i="2"/>
  <c r="DQ364" i="2"/>
  <c r="DP364" i="2"/>
  <c r="DM364" i="2"/>
  <c r="DL364" i="2"/>
  <c r="BJ364" i="2"/>
  <c r="BI364" i="2"/>
  <c r="BB364" i="2"/>
  <c r="BA364" i="2"/>
  <c r="D364" i="2"/>
  <c r="C364" i="2"/>
  <c r="HC363" i="2"/>
  <c r="HB363" i="2"/>
  <c r="GW363" i="2"/>
  <c r="GV363" i="2"/>
  <c r="GU363" i="2"/>
  <c r="GT363" i="2"/>
  <c r="GP363" i="2"/>
  <c r="GO363" i="2"/>
  <c r="FX363" i="2"/>
  <c r="FT363" i="2"/>
  <c r="FS363" i="2"/>
  <c r="GL363" i="2" s="1"/>
  <c r="FQ363" i="2"/>
  <c r="GJ363" i="2" s="1"/>
  <c r="FP363" i="2"/>
  <c r="GI363" i="2" s="1"/>
  <c r="FO363" i="2"/>
  <c r="FN363" i="2"/>
  <c r="FM363" i="2"/>
  <c r="FL363" i="2"/>
  <c r="FK363" i="2"/>
  <c r="FJ363" i="2"/>
  <c r="FI363" i="2"/>
  <c r="GB363" i="2" s="1"/>
  <c r="FH363" i="2"/>
  <c r="FG363" i="2"/>
  <c r="FF363" i="2"/>
  <c r="FY363" i="2" s="1"/>
  <c r="FE363" i="2"/>
  <c r="FD363" i="2"/>
  <c r="FC363" i="2"/>
  <c r="FB363" i="2"/>
  <c r="EX363" i="2"/>
  <c r="EW363" i="2"/>
  <c r="EP363" i="2"/>
  <c r="EM363" i="2"/>
  <c r="EL363" i="2"/>
  <c r="EH363" i="2"/>
  <c r="EG363" i="2"/>
  <c r="EZ363" i="2" s="1"/>
  <c r="EE363" i="2"/>
  <c r="ED363" i="2"/>
  <c r="EC363" i="2"/>
  <c r="EB363" i="2"/>
  <c r="EA363" i="2"/>
  <c r="DZ363" i="2"/>
  <c r="DY363" i="2"/>
  <c r="DX363" i="2"/>
  <c r="DW363" i="2"/>
  <c r="DV363" i="2"/>
  <c r="DU363" i="2"/>
  <c r="DT363" i="2"/>
  <c r="DS363" i="2"/>
  <c r="DR363" i="2"/>
  <c r="DQ363" i="2"/>
  <c r="DP363" i="2"/>
  <c r="DM363" i="2"/>
  <c r="DL363" i="2"/>
  <c r="D363" i="2"/>
  <c r="C363" i="2"/>
  <c r="HC362" i="2"/>
  <c r="HB362" i="2"/>
  <c r="GW362" i="2"/>
  <c r="GV362" i="2"/>
  <c r="GU362" i="2"/>
  <c r="GT362" i="2"/>
  <c r="GO362" i="2"/>
  <c r="GL362" i="2"/>
  <c r="GJ362" i="2"/>
  <c r="GI362" i="2"/>
  <c r="FT362" i="2"/>
  <c r="FS362" i="2"/>
  <c r="FQ362" i="2"/>
  <c r="FP362" i="2"/>
  <c r="FO362" i="2"/>
  <c r="FN362" i="2"/>
  <c r="FM362" i="2"/>
  <c r="FL362" i="2"/>
  <c r="FK362" i="2"/>
  <c r="FJ362" i="2"/>
  <c r="FI362" i="2"/>
  <c r="GB362" i="2" s="1"/>
  <c r="FH362" i="2"/>
  <c r="FG362" i="2"/>
  <c r="FF362" i="2"/>
  <c r="FY362" i="2" s="1"/>
  <c r="FE362" i="2"/>
  <c r="FX362" i="2" s="1"/>
  <c r="FD362" i="2"/>
  <c r="FC362" i="2"/>
  <c r="FB362" i="2"/>
  <c r="EZ362" i="2"/>
  <c r="EX362" i="2"/>
  <c r="EW362" i="2"/>
  <c r="EM362" i="2"/>
  <c r="EH362" i="2"/>
  <c r="EG362" i="2"/>
  <c r="EE362" i="2"/>
  <c r="ED362" i="2"/>
  <c r="EC362" i="2"/>
  <c r="EB362" i="2"/>
  <c r="EA362" i="2"/>
  <c r="DZ362" i="2"/>
  <c r="DY362" i="2"/>
  <c r="DX362" i="2"/>
  <c r="DW362" i="2"/>
  <c r="EP362" i="2" s="1"/>
  <c r="DV362" i="2"/>
  <c r="DU362" i="2"/>
  <c r="DT362" i="2"/>
  <c r="DS362" i="2"/>
  <c r="EL362" i="2" s="1"/>
  <c r="DR362" i="2"/>
  <c r="DQ362" i="2"/>
  <c r="DP362" i="2"/>
  <c r="DM362" i="2"/>
  <c r="DL362" i="2"/>
  <c r="D362" i="2"/>
  <c r="C362" i="2"/>
  <c r="HC361" i="2"/>
  <c r="HB361" i="2"/>
  <c r="GW361" i="2"/>
  <c r="GV361" i="2"/>
  <c r="GT361" i="2"/>
  <c r="GL361" i="2"/>
  <c r="GJ361" i="2"/>
  <c r="GB361" i="2"/>
  <c r="FX361" i="2"/>
  <c r="FT361" i="2"/>
  <c r="FS361" i="2"/>
  <c r="FQ361" i="2"/>
  <c r="FP361" i="2"/>
  <c r="GI361" i="2" s="1"/>
  <c r="FO361" i="2"/>
  <c r="FN361" i="2"/>
  <c r="FM361" i="2"/>
  <c r="FL361" i="2"/>
  <c r="FK361" i="2"/>
  <c r="FJ361" i="2"/>
  <c r="FI361" i="2"/>
  <c r="FH361" i="2"/>
  <c r="FG361" i="2"/>
  <c r="FF361" i="2"/>
  <c r="FY361" i="2" s="1"/>
  <c r="FE361" i="2"/>
  <c r="FD361" i="2"/>
  <c r="FC361" i="2"/>
  <c r="FB361" i="2"/>
  <c r="EH361" i="2"/>
  <c r="EG361" i="2"/>
  <c r="EZ361" i="2" s="1"/>
  <c r="EE361" i="2"/>
  <c r="EX361" i="2" s="1"/>
  <c r="ED361" i="2"/>
  <c r="EW361" i="2" s="1"/>
  <c r="DV361" i="2"/>
  <c r="DU361" i="2"/>
  <c r="DT361" i="2"/>
  <c r="EM361" i="2" s="1"/>
  <c r="DM361" i="2"/>
  <c r="BJ361" i="2"/>
  <c r="BI361" i="2"/>
  <c r="AO361" i="2"/>
  <c r="AN361" i="2"/>
  <c r="DY361" i="2" s="1"/>
  <c r="AD361" i="2"/>
  <c r="T361" i="2"/>
  <c r="S361" i="2"/>
  <c r="D361" i="2"/>
  <c r="C361" i="2"/>
  <c r="HC360" i="2"/>
  <c r="HB360" i="2"/>
  <c r="GW360" i="2"/>
  <c r="GV360" i="2"/>
  <c r="GU360" i="2"/>
  <c r="GT360" i="2"/>
  <c r="GP360" i="2"/>
  <c r="GO360" i="2"/>
  <c r="GQ360" i="2" s="1"/>
  <c r="GI360" i="2"/>
  <c r="FY360" i="2"/>
  <c r="FX360" i="2"/>
  <c r="FT360" i="2"/>
  <c r="FS360" i="2"/>
  <c r="GL360" i="2" s="1"/>
  <c r="FQ360" i="2"/>
  <c r="GJ360" i="2" s="1"/>
  <c r="FP360" i="2"/>
  <c r="FO360" i="2"/>
  <c r="FN360" i="2"/>
  <c r="FM360" i="2"/>
  <c r="FL360" i="2"/>
  <c r="FK360" i="2"/>
  <c r="FJ360" i="2"/>
  <c r="FI360" i="2"/>
  <c r="GB360" i="2" s="1"/>
  <c r="FH360" i="2"/>
  <c r="FG360" i="2"/>
  <c r="FF360" i="2"/>
  <c r="FE360" i="2"/>
  <c r="FD360" i="2"/>
  <c r="FC360" i="2"/>
  <c r="FB360" i="2"/>
  <c r="EZ360" i="2"/>
  <c r="EX360" i="2"/>
  <c r="EW360" i="2"/>
  <c r="EM360" i="2"/>
  <c r="EH360" i="2"/>
  <c r="EG360" i="2"/>
  <c r="EE360" i="2"/>
  <c r="ED360" i="2"/>
  <c r="EC360" i="2"/>
  <c r="EB360" i="2"/>
  <c r="EA360" i="2"/>
  <c r="DZ360" i="2"/>
  <c r="DY360" i="2"/>
  <c r="DX360" i="2"/>
  <c r="DW360" i="2"/>
  <c r="EP360" i="2" s="1"/>
  <c r="DV360" i="2"/>
  <c r="DU360" i="2"/>
  <c r="DT360" i="2"/>
  <c r="DS360" i="2"/>
  <c r="EL360" i="2" s="1"/>
  <c r="DR360" i="2"/>
  <c r="DQ360" i="2"/>
  <c r="DP360" i="2"/>
  <c r="DM360" i="2"/>
  <c r="DL360" i="2"/>
  <c r="D360" i="2"/>
  <c r="C360" i="2"/>
  <c r="HC359" i="2"/>
  <c r="GV359" i="2"/>
  <c r="GT359" i="2"/>
  <c r="GQ359" i="2"/>
  <c r="GP359" i="2"/>
  <c r="GO359" i="2"/>
  <c r="EZ359" i="2"/>
  <c r="EH359" i="2"/>
  <c r="EG359" i="2"/>
  <c r="EE359" i="2"/>
  <c r="EX359" i="2" s="1"/>
  <c r="ED359" i="2"/>
  <c r="EW359" i="2" s="1"/>
  <c r="EC359" i="2"/>
  <c r="EB359" i="2"/>
  <c r="DY359" i="2"/>
  <c r="DV359" i="2"/>
  <c r="DU359" i="2"/>
  <c r="DT359" i="2"/>
  <c r="EM359" i="2" s="1"/>
  <c r="DS359" i="2"/>
  <c r="EL359" i="2" s="1"/>
  <c r="DR359" i="2"/>
  <c r="BT359" i="2"/>
  <c r="AM359" i="2"/>
  <c r="AL359" i="2"/>
  <c r="AE359" i="2"/>
  <c r="DP359" i="2" s="1"/>
  <c r="AD359" i="2"/>
  <c r="EA359" i="2" s="1"/>
  <c r="D359" i="2"/>
  <c r="C359" i="2"/>
  <c r="HC358" i="2"/>
  <c r="HB358" i="2"/>
  <c r="GX358" i="2"/>
  <c r="GY358" i="2" s="1"/>
  <c r="GW358" i="2"/>
  <c r="GV358" i="2"/>
  <c r="GU358" i="2"/>
  <c r="GT358" i="2"/>
  <c r="GO358" i="2"/>
  <c r="GL358" i="2"/>
  <c r="GB358" i="2"/>
  <c r="FX358" i="2"/>
  <c r="FT358" i="2"/>
  <c r="FS358" i="2"/>
  <c r="FQ358" i="2"/>
  <c r="GJ358" i="2" s="1"/>
  <c r="FP358" i="2"/>
  <c r="GI358" i="2" s="1"/>
  <c r="FO358" i="2"/>
  <c r="FN358" i="2"/>
  <c r="FM358" i="2"/>
  <c r="FL358" i="2"/>
  <c r="FK358" i="2"/>
  <c r="FJ358" i="2"/>
  <c r="FI358" i="2"/>
  <c r="FH358" i="2"/>
  <c r="FG358" i="2"/>
  <c r="FF358" i="2"/>
  <c r="FY358" i="2" s="1"/>
  <c r="FE358" i="2"/>
  <c r="FD358" i="2"/>
  <c r="FC358" i="2"/>
  <c r="FB358" i="2"/>
  <c r="EX358" i="2"/>
  <c r="EW358" i="2"/>
  <c r="EP358" i="2"/>
  <c r="EM358" i="2"/>
  <c r="EL358" i="2"/>
  <c r="EH358" i="2"/>
  <c r="EG358" i="2"/>
  <c r="EZ358" i="2" s="1"/>
  <c r="EE358" i="2"/>
  <c r="ED358" i="2"/>
  <c r="EC358" i="2"/>
  <c r="EB358" i="2"/>
  <c r="EA358" i="2"/>
  <c r="DZ358" i="2"/>
  <c r="DY358" i="2"/>
  <c r="DX358" i="2"/>
  <c r="DW358" i="2"/>
  <c r="DV358" i="2"/>
  <c r="DU358" i="2"/>
  <c r="DT358" i="2"/>
  <c r="DS358" i="2"/>
  <c r="DR358" i="2"/>
  <c r="DQ358" i="2"/>
  <c r="DP358" i="2"/>
  <c r="DM358" i="2"/>
  <c r="DL358" i="2"/>
  <c r="D358" i="2"/>
  <c r="C358" i="2"/>
  <c r="HC357" i="2"/>
  <c r="HB357" i="2"/>
  <c r="GY357" i="2"/>
  <c r="GX357" i="2"/>
  <c r="GW357" i="2"/>
  <c r="GV357" i="2"/>
  <c r="GU357" i="2"/>
  <c r="GT357" i="2"/>
  <c r="GO357" i="2"/>
  <c r="GI357" i="2"/>
  <c r="GB357" i="2"/>
  <c r="FY357" i="2"/>
  <c r="FX357" i="2"/>
  <c r="FT357" i="2"/>
  <c r="FS357" i="2"/>
  <c r="GL357" i="2" s="1"/>
  <c r="FQ357" i="2"/>
  <c r="GJ357" i="2" s="1"/>
  <c r="FP357" i="2"/>
  <c r="FO357" i="2"/>
  <c r="FN357" i="2"/>
  <c r="FM357" i="2"/>
  <c r="FL357" i="2"/>
  <c r="FK357" i="2"/>
  <c r="FJ357" i="2"/>
  <c r="FI357" i="2"/>
  <c r="FH357" i="2"/>
  <c r="FG357" i="2"/>
  <c r="FF357" i="2"/>
  <c r="FE357" i="2"/>
  <c r="FD357" i="2"/>
  <c r="FC357" i="2"/>
  <c r="FB357" i="2"/>
  <c r="EZ357" i="2"/>
  <c r="EX357" i="2"/>
  <c r="EW357" i="2"/>
  <c r="EM357" i="2"/>
  <c r="EL357" i="2"/>
  <c r="EH357" i="2"/>
  <c r="EG357" i="2"/>
  <c r="EE357" i="2"/>
  <c r="ED357" i="2"/>
  <c r="EC357" i="2"/>
  <c r="EB357" i="2"/>
  <c r="EA357" i="2"/>
  <c r="DZ357" i="2"/>
  <c r="DY357" i="2"/>
  <c r="DX357" i="2"/>
  <c r="DW357" i="2"/>
  <c r="EP357" i="2" s="1"/>
  <c r="DV357" i="2"/>
  <c r="DU357" i="2"/>
  <c r="DT357" i="2"/>
  <c r="DS357" i="2"/>
  <c r="DR357" i="2"/>
  <c r="DQ357" i="2"/>
  <c r="DP357" i="2"/>
  <c r="DM357" i="2"/>
  <c r="DL357" i="2"/>
  <c r="D357" i="2"/>
  <c r="C357" i="2"/>
  <c r="HC356" i="2"/>
  <c r="HB356" i="2"/>
  <c r="GW356" i="2"/>
  <c r="GV356" i="2"/>
  <c r="GU356" i="2"/>
  <c r="GT356" i="2"/>
  <c r="GP356" i="2"/>
  <c r="GQ356" i="2" s="1"/>
  <c r="GO356" i="2"/>
  <c r="GL356" i="2"/>
  <c r="GI356" i="2"/>
  <c r="FY356" i="2"/>
  <c r="FT356" i="2"/>
  <c r="FS356" i="2"/>
  <c r="FQ356" i="2"/>
  <c r="GJ356" i="2" s="1"/>
  <c r="FP356" i="2"/>
  <c r="FO356" i="2"/>
  <c r="FN356" i="2"/>
  <c r="FM356" i="2"/>
  <c r="FL356" i="2"/>
  <c r="FK356" i="2"/>
  <c r="FJ356" i="2"/>
  <c r="FI356" i="2"/>
  <c r="GB356" i="2" s="1"/>
  <c r="FH356" i="2"/>
  <c r="FG356" i="2"/>
  <c r="FF356" i="2"/>
  <c r="FE356" i="2"/>
  <c r="FX356" i="2" s="1"/>
  <c r="FD356" i="2"/>
  <c r="FC356" i="2"/>
  <c r="FB356" i="2"/>
  <c r="EZ356" i="2"/>
  <c r="EX356" i="2"/>
  <c r="EP356" i="2"/>
  <c r="EL356" i="2"/>
  <c r="EH356" i="2"/>
  <c r="EG356" i="2"/>
  <c r="EE356" i="2"/>
  <c r="ED356" i="2"/>
  <c r="EW356" i="2" s="1"/>
  <c r="EC356" i="2"/>
  <c r="EB356" i="2"/>
  <c r="EA356" i="2"/>
  <c r="DZ356" i="2"/>
  <c r="DY356" i="2"/>
  <c r="DX356" i="2"/>
  <c r="DW356" i="2"/>
  <c r="DV356" i="2"/>
  <c r="DU356" i="2"/>
  <c r="DT356" i="2"/>
  <c r="EM356" i="2" s="1"/>
  <c r="DS356" i="2"/>
  <c r="DR356" i="2"/>
  <c r="DQ356" i="2"/>
  <c r="DP356" i="2"/>
  <c r="DM356" i="2"/>
  <c r="DL356" i="2"/>
  <c r="HC355" i="2"/>
  <c r="HB355" i="2"/>
  <c r="GW355" i="2"/>
  <c r="GV355" i="2"/>
  <c r="GU355" i="2"/>
  <c r="GT355" i="2"/>
  <c r="GQ355" i="2"/>
  <c r="GP355" i="2"/>
  <c r="GO355" i="2"/>
  <c r="GL355" i="2"/>
  <c r="GJ355" i="2"/>
  <c r="GI355" i="2"/>
  <c r="FY355" i="2"/>
  <c r="FT355" i="2"/>
  <c r="FS355" i="2"/>
  <c r="FQ355" i="2"/>
  <c r="FP355" i="2"/>
  <c r="FO355" i="2"/>
  <c r="FN355" i="2"/>
  <c r="FM355" i="2"/>
  <c r="FL355" i="2"/>
  <c r="FK355" i="2"/>
  <c r="FJ355" i="2"/>
  <c r="FI355" i="2"/>
  <c r="GB355" i="2" s="1"/>
  <c r="FH355" i="2"/>
  <c r="FG355" i="2"/>
  <c r="FF355" i="2"/>
  <c r="FE355" i="2"/>
  <c r="FX355" i="2" s="1"/>
  <c r="FD355" i="2"/>
  <c r="FC355" i="2"/>
  <c r="FB355" i="2"/>
  <c r="EP355" i="2"/>
  <c r="EH355" i="2"/>
  <c r="EG355" i="2"/>
  <c r="EZ355" i="2" s="1"/>
  <c r="EE355" i="2"/>
  <c r="EX355" i="2" s="1"/>
  <c r="ED355" i="2"/>
  <c r="EW355" i="2" s="1"/>
  <c r="EC355" i="2"/>
  <c r="EB355" i="2"/>
  <c r="EA355" i="2"/>
  <c r="DZ355" i="2"/>
  <c r="DY355" i="2"/>
  <c r="DX355" i="2"/>
  <c r="DW355" i="2"/>
  <c r="DV355" i="2"/>
  <c r="DU355" i="2"/>
  <c r="DT355" i="2"/>
  <c r="EM355" i="2" s="1"/>
  <c r="DS355" i="2"/>
  <c r="EL355" i="2" s="1"/>
  <c r="DR355" i="2"/>
  <c r="DQ355" i="2"/>
  <c r="DP355" i="2"/>
  <c r="DM355" i="2"/>
  <c r="DL355" i="2"/>
  <c r="HC354" i="2"/>
  <c r="HB354" i="2"/>
  <c r="GW354" i="2"/>
  <c r="GV354" i="2"/>
  <c r="GU354" i="2"/>
  <c r="GT354" i="2"/>
  <c r="GP354" i="2"/>
  <c r="GQ354" i="2" s="1"/>
  <c r="GO354" i="2"/>
  <c r="GL354" i="2"/>
  <c r="GI354" i="2"/>
  <c r="FT354" i="2"/>
  <c r="FS354" i="2"/>
  <c r="FQ354" i="2"/>
  <c r="GJ354" i="2" s="1"/>
  <c r="FP354" i="2"/>
  <c r="FO354" i="2"/>
  <c r="FN354" i="2"/>
  <c r="FM354" i="2"/>
  <c r="FL354" i="2"/>
  <c r="FK354" i="2"/>
  <c r="FJ354" i="2"/>
  <c r="FI354" i="2"/>
  <c r="GB354" i="2" s="1"/>
  <c r="FH354" i="2"/>
  <c r="FG354" i="2"/>
  <c r="FF354" i="2"/>
  <c r="FY354" i="2" s="1"/>
  <c r="FE354" i="2"/>
  <c r="FX354" i="2" s="1"/>
  <c r="FD354" i="2"/>
  <c r="FC354" i="2"/>
  <c r="FB354" i="2"/>
  <c r="EZ354" i="2"/>
  <c r="EX354" i="2"/>
  <c r="EW354" i="2"/>
  <c r="EL354" i="2"/>
  <c r="EH354" i="2"/>
  <c r="EG354" i="2"/>
  <c r="EE354" i="2"/>
  <c r="ED354" i="2"/>
  <c r="EC354" i="2"/>
  <c r="EB354" i="2"/>
  <c r="EA354" i="2"/>
  <c r="DZ354" i="2"/>
  <c r="DY354" i="2"/>
  <c r="DX354" i="2"/>
  <c r="DW354" i="2"/>
  <c r="EP354" i="2" s="1"/>
  <c r="DV354" i="2"/>
  <c r="DU354" i="2"/>
  <c r="DT354" i="2"/>
  <c r="EM354" i="2" s="1"/>
  <c r="DS354" i="2"/>
  <c r="DR354" i="2"/>
  <c r="DQ354" i="2"/>
  <c r="DP354" i="2"/>
  <c r="DM354" i="2"/>
  <c r="DL354" i="2"/>
  <c r="HC353" i="2"/>
  <c r="HB353" i="2"/>
  <c r="GW353" i="2"/>
  <c r="GV353" i="2"/>
  <c r="GU353" i="2"/>
  <c r="GT353" i="2"/>
  <c r="GO353" i="2"/>
  <c r="GJ353" i="2"/>
  <c r="GI353" i="2"/>
  <c r="FY353" i="2"/>
  <c r="FX353" i="2"/>
  <c r="FT353" i="2"/>
  <c r="FS353" i="2"/>
  <c r="GL353" i="2" s="1"/>
  <c r="FQ353" i="2"/>
  <c r="FP353" i="2"/>
  <c r="FO353" i="2"/>
  <c r="FN353" i="2"/>
  <c r="FM353" i="2"/>
  <c r="FL353" i="2"/>
  <c r="FK353" i="2"/>
  <c r="FJ353" i="2"/>
  <c r="FI353" i="2"/>
  <c r="GB353" i="2" s="1"/>
  <c r="FH353" i="2"/>
  <c r="FG353" i="2"/>
  <c r="FF353" i="2"/>
  <c r="FE353" i="2"/>
  <c r="FD353" i="2"/>
  <c r="FC353" i="2"/>
  <c r="FB353" i="2"/>
  <c r="EP353" i="2"/>
  <c r="EH353" i="2"/>
  <c r="EG353" i="2"/>
  <c r="EZ353" i="2" s="1"/>
  <c r="EE353" i="2"/>
  <c r="EX353" i="2" s="1"/>
  <c r="ED353" i="2"/>
  <c r="EW353" i="2" s="1"/>
  <c r="EC353" i="2"/>
  <c r="EB353" i="2"/>
  <c r="EA353" i="2"/>
  <c r="DZ353" i="2"/>
  <c r="DY353" i="2"/>
  <c r="DX353" i="2"/>
  <c r="DW353" i="2"/>
  <c r="DV353" i="2"/>
  <c r="DU353" i="2"/>
  <c r="DT353" i="2"/>
  <c r="EM353" i="2" s="1"/>
  <c r="DS353" i="2"/>
  <c r="EL353" i="2" s="1"/>
  <c r="DR353" i="2"/>
  <c r="DQ353" i="2"/>
  <c r="DP353" i="2"/>
  <c r="DM353" i="2"/>
  <c r="DL353" i="2"/>
  <c r="HC352" i="2"/>
  <c r="HB352" i="2"/>
  <c r="GW352" i="2"/>
  <c r="GV352" i="2"/>
  <c r="GU352" i="2"/>
  <c r="GT352" i="2"/>
  <c r="GO352" i="2"/>
  <c r="GL352" i="2"/>
  <c r="GJ352" i="2"/>
  <c r="GI352" i="2"/>
  <c r="GB352" i="2"/>
  <c r="FY352" i="2"/>
  <c r="FX352" i="2"/>
  <c r="FT352" i="2"/>
  <c r="FS352" i="2"/>
  <c r="FQ352" i="2"/>
  <c r="FP352" i="2"/>
  <c r="FO352" i="2"/>
  <c r="FN352" i="2"/>
  <c r="FM352" i="2"/>
  <c r="FL352" i="2"/>
  <c r="FK352" i="2"/>
  <c r="FJ352" i="2"/>
  <c r="FI352" i="2"/>
  <c r="FH352" i="2"/>
  <c r="FG352" i="2"/>
  <c r="FF352" i="2"/>
  <c r="FE352" i="2"/>
  <c r="FD352" i="2"/>
  <c r="FC352" i="2"/>
  <c r="FB352" i="2"/>
  <c r="EZ352" i="2"/>
  <c r="EP352" i="2"/>
  <c r="EH352" i="2"/>
  <c r="EG352" i="2"/>
  <c r="EE352" i="2"/>
  <c r="EX352" i="2" s="1"/>
  <c r="ED352" i="2"/>
  <c r="EW352" i="2" s="1"/>
  <c r="EC352" i="2"/>
  <c r="EB352" i="2"/>
  <c r="EA352" i="2"/>
  <c r="DZ352" i="2"/>
  <c r="DY352" i="2"/>
  <c r="DX352" i="2"/>
  <c r="DW352" i="2"/>
  <c r="DV352" i="2"/>
  <c r="DU352" i="2"/>
  <c r="DT352" i="2"/>
  <c r="EM352" i="2" s="1"/>
  <c r="DS352" i="2"/>
  <c r="EL352" i="2" s="1"/>
  <c r="DR352" i="2"/>
  <c r="DQ352" i="2"/>
  <c r="DP352" i="2"/>
  <c r="DM352" i="2"/>
  <c r="DL352" i="2"/>
  <c r="HC351" i="2"/>
  <c r="HB351" i="2"/>
  <c r="GW351" i="2"/>
  <c r="GV351" i="2"/>
  <c r="GU351" i="2"/>
  <c r="GT351" i="2"/>
  <c r="GP351" i="2"/>
  <c r="GO351" i="2"/>
  <c r="GQ351" i="2" s="1"/>
  <c r="GL351" i="2"/>
  <c r="GJ351" i="2"/>
  <c r="GI351" i="2"/>
  <c r="FY351" i="2"/>
  <c r="FT351" i="2"/>
  <c r="FS351" i="2"/>
  <c r="FQ351" i="2"/>
  <c r="FP351" i="2"/>
  <c r="FO351" i="2"/>
  <c r="FN351" i="2"/>
  <c r="FM351" i="2"/>
  <c r="FL351" i="2"/>
  <c r="FK351" i="2"/>
  <c r="FJ351" i="2"/>
  <c r="FI351" i="2"/>
  <c r="GB351" i="2" s="1"/>
  <c r="FH351" i="2"/>
  <c r="FG351" i="2"/>
  <c r="FF351" i="2"/>
  <c r="FE351" i="2"/>
  <c r="FX351" i="2" s="1"/>
  <c r="FD351" i="2"/>
  <c r="FC351" i="2"/>
  <c r="FB351" i="2"/>
  <c r="EW351" i="2"/>
  <c r="EM351" i="2"/>
  <c r="EH351" i="2"/>
  <c r="EG351" i="2"/>
  <c r="EZ351" i="2" s="1"/>
  <c r="EE351" i="2"/>
  <c r="EX351" i="2" s="1"/>
  <c r="ED351" i="2"/>
  <c r="EC351" i="2"/>
  <c r="EB351" i="2"/>
  <c r="EA351" i="2"/>
  <c r="DZ351" i="2"/>
  <c r="DY351" i="2"/>
  <c r="DX351" i="2"/>
  <c r="DW351" i="2"/>
  <c r="EP351" i="2" s="1"/>
  <c r="DV351" i="2"/>
  <c r="DU351" i="2"/>
  <c r="DT351" i="2"/>
  <c r="DS351" i="2"/>
  <c r="EL351" i="2" s="1"/>
  <c r="DR351" i="2"/>
  <c r="DQ351" i="2"/>
  <c r="DP351" i="2"/>
  <c r="DM351" i="2"/>
  <c r="DL351" i="2"/>
  <c r="HC350" i="2"/>
  <c r="HB350" i="2"/>
  <c r="GW350" i="2"/>
  <c r="GV350" i="2"/>
  <c r="GU350" i="2"/>
  <c r="GT350" i="2"/>
  <c r="GP350" i="2"/>
  <c r="GO350" i="2"/>
  <c r="GQ350" i="2" s="1"/>
  <c r="GL350" i="2"/>
  <c r="GB350" i="2"/>
  <c r="FY350" i="2"/>
  <c r="FT350" i="2"/>
  <c r="FS350" i="2"/>
  <c r="FQ350" i="2"/>
  <c r="GJ350" i="2" s="1"/>
  <c r="FP350" i="2"/>
  <c r="GI350" i="2" s="1"/>
  <c r="FO350" i="2"/>
  <c r="FN350" i="2"/>
  <c r="FM350" i="2"/>
  <c r="FL350" i="2"/>
  <c r="FK350" i="2"/>
  <c r="FJ350" i="2"/>
  <c r="FI350" i="2"/>
  <c r="FH350" i="2"/>
  <c r="FG350" i="2"/>
  <c r="FF350" i="2"/>
  <c r="FE350" i="2"/>
  <c r="FX350" i="2" s="1"/>
  <c r="FD350" i="2"/>
  <c r="FC350" i="2"/>
  <c r="FB350" i="2"/>
  <c r="EZ350" i="2"/>
  <c r="EX350" i="2"/>
  <c r="EW350" i="2"/>
  <c r="EM350" i="2"/>
  <c r="EL350" i="2"/>
  <c r="EH350" i="2"/>
  <c r="EG350" i="2"/>
  <c r="EE350" i="2"/>
  <c r="ED350" i="2"/>
  <c r="EC350" i="2"/>
  <c r="EB350" i="2"/>
  <c r="EA350" i="2"/>
  <c r="DZ350" i="2"/>
  <c r="DY350" i="2"/>
  <c r="DX350" i="2"/>
  <c r="DW350" i="2"/>
  <c r="EP350" i="2" s="1"/>
  <c r="DV350" i="2"/>
  <c r="DU350" i="2"/>
  <c r="DT350" i="2"/>
  <c r="DS350" i="2"/>
  <c r="DR350" i="2"/>
  <c r="DQ350" i="2"/>
  <c r="DP350" i="2"/>
  <c r="DM350" i="2"/>
  <c r="DL350" i="2"/>
  <c r="HC349" i="2"/>
  <c r="HB349" i="2"/>
  <c r="GW349" i="2"/>
  <c r="GV349" i="2"/>
  <c r="GU349" i="2"/>
  <c r="GT349" i="2"/>
  <c r="GO349" i="2"/>
  <c r="GL349" i="2"/>
  <c r="GJ349" i="2"/>
  <c r="FT349" i="2"/>
  <c r="FS349" i="2"/>
  <c r="FQ349" i="2"/>
  <c r="FP349" i="2"/>
  <c r="GI349" i="2" s="1"/>
  <c r="FO349" i="2"/>
  <c r="FN349" i="2"/>
  <c r="FM349" i="2"/>
  <c r="FL349" i="2"/>
  <c r="FK349" i="2"/>
  <c r="FJ349" i="2"/>
  <c r="FI349" i="2"/>
  <c r="GB349" i="2" s="1"/>
  <c r="FH349" i="2"/>
  <c r="FG349" i="2"/>
  <c r="FF349" i="2"/>
  <c r="FY349" i="2" s="1"/>
  <c r="FE349" i="2"/>
  <c r="FX349" i="2" s="1"/>
  <c r="FD349" i="2"/>
  <c r="FC349" i="2"/>
  <c r="FB349" i="2"/>
  <c r="EZ349" i="2"/>
  <c r="EX349" i="2"/>
  <c r="EW349" i="2"/>
  <c r="EM349" i="2"/>
  <c r="EH349" i="2"/>
  <c r="EG349" i="2"/>
  <c r="EE349" i="2"/>
  <c r="ED349" i="2"/>
  <c r="EC349" i="2"/>
  <c r="EB349" i="2"/>
  <c r="EA349" i="2"/>
  <c r="DZ349" i="2"/>
  <c r="DY349" i="2"/>
  <c r="DX349" i="2"/>
  <c r="DW349" i="2"/>
  <c r="EP349" i="2" s="1"/>
  <c r="DV349" i="2"/>
  <c r="DU349" i="2"/>
  <c r="DT349" i="2"/>
  <c r="DS349" i="2"/>
  <c r="EL349" i="2" s="1"/>
  <c r="DR349" i="2"/>
  <c r="DQ349" i="2"/>
  <c r="DP349" i="2"/>
  <c r="DM349" i="2"/>
  <c r="DL349" i="2"/>
  <c r="HC348" i="2"/>
  <c r="HB348" i="2"/>
  <c r="GW348" i="2"/>
  <c r="GV348" i="2"/>
  <c r="GU348" i="2"/>
  <c r="GT348" i="2"/>
  <c r="GO348" i="2"/>
  <c r="GB348" i="2"/>
  <c r="FT348" i="2"/>
  <c r="FS348" i="2"/>
  <c r="GL348" i="2" s="1"/>
  <c r="FQ348" i="2"/>
  <c r="GJ348" i="2" s="1"/>
  <c r="FP348" i="2"/>
  <c r="GI348" i="2" s="1"/>
  <c r="FO348" i="2"/>
  <c r="FN348" i="2"/>
  <c r="FM348" i="2"/>
  <c r="FL348" i="2"/>
  <c r="FK348" i="2"/>
  <c r="FJ348" i="2"/>
  <c r="FI348" i="2"/>
  <c r="FH348" i="2"/>
  <c r="FG348" i="2"/>
  <c r="FF348" i="2"/>
  <c r="FY348" i="2" s="1"/>
  <c r="FE348" i="2"/>
  <c r="FX348" i="2" s="1"/>
  <c r="FD348" i="2"/>
  <c r="FC348" i="2"/>
  <c r="FB348" i="2"/>
  <c r="EZ348" i="2"/>
  <c r="EX348" i="2"/>
  <c r="EW348" i="2"/>
  <c r="EM348" i="2"/>
  <c r="EL348" i="2"/>
  <c r="EH348" i="2"/>
  <c r="EG348" i="2"/>
  <c r="EE348" i="2"/>
  <c r="ED348" i="2"/>
  <c r="EC348" i="2"/>
  <c r="EB348" i="2"/>
  <c r="EA348" i="2"/>
  <c r="DZ348" i="2"/>
  <c r="DY348" i="2"/>
  <c r="DX348" i="2"/>
  <c r="DW348" i="2"/>
  <c r="EP348" i="2" s="1"/>
  <c r="DV348" i="2"/>
  <c r="DU348" i="2"/>
  <c r="DT348" i="2"/>
  <c r="DS348" i="2"/>
  <c r="DR348" i="2"/>
  <c r="DQ348" i="2"/>
  <c r="DP348" i="2"/>
  <c r="DM348" i="2"/>
  <c r="DL348" i="2"/>
  <c r="HC347" i="2"/>
  <c r="HB347" i="2"/>
  <c r="GW347" i="2"/>
  <c r="GV347" i="2"/>
  <c r="GU347" i="2"/>
  <c r="GT347" i="2"/>
  <c r="GQ347" i="2"/>
  <c r="GP347" i="2"/>
  <c r="GO347" i="2"/>
  <c r="GJ347" i="2"/>
  <c r="GI347" i="2"/>
  <c r="FX347" i="2"/>
  <c r="FT347" i="2"/>
  <c r="FS347" i="2"/>
  <c r="GL347" i="2" s="1"/>
  <c r="FQ347" i="2"/>
  <c r="FP347" i="2"/>
  <c r="FO347" i="2"/>
  <c r="FN347" i="2"/>
  <c r="FM347" i="2"/>
  <c r="FL347" i="2"/>
  <c r="FK347" i="2"/>
  <c r="FJ347" i="2"/>
  <c r="FI347" i="2"/>
  <c r="GB347" i="2" s="1"/>
  <c r="FH347" i="2"/>
  <c r="FG347" i="2"/>
  <c r="FF347" i="2"/>
  <c r="FY347" i="2" s="1"/>
  <c r="FE347" i="2"/>
  <c r="FD347" i="2"/>
  <c r="FC347" i="2"/>
  <c r="FB347" i="2"/>
  <c r="EZ347" i="2"/>
  <c r="EX347" i="2"/>
  <c r="EW347" i="2"/>
  <c r="EP347" i="2"/>
  <c r="EM347" i="2"/>
  <c r="EH347" i="2"/>
  <c r="EG347" i="2"/>
  <c r="EE347" i="2"/>
  <c r="ED347" i="2"/>
  <c r="EC347" i="2"/>
  <c r="EB347" i="2"/>
  <c r="EA347" i="2"/>
  <c r="DZ347" i="2"/>
  <c r="DY347" i="2"/>
  <c r="DX347" i="2"/>
  <c r="DW347" i="2"/>
  <c r="DV347" i="2"/>
  <c r="DU347" i="2"/>
  <c r="DT347" i="2"/>
  <c r="DS347" i="2"/>
  <c r="EL347" i="2" s="1"/>
  <c r="DR347" i="2"/>
  <c r="DQ347" i="2"/>
  <c r="DP347" i="2"/>
  <c r="DM347" i="2"/>
  <c r="DL347" i="2"/>
  <c r="HC346" i="2"/>
  <c r="HB346" i="2"/>
  <c r="GW346" i="2"/>
  <c r="GV346" i="2"/>
  <c r="GU346" i="2"/>
  <c r="GT346" i="2"/>
  <c r="GQ346" i="2"/>
  <c r="GP346" i="2"/>
  <c r="GO346" i="2"/>
  <c r="GI346" i="2"/>
  <c r="FY346" i="2"/>
  <c r="FX346" i="2"/>
  <c r="FT346" i="2"/>
  <c r="FS346" i="2"/>
  <c r="GL346" i="2" s="1"/>
  <c r="FQ346" i="2"/>
  <c r="GJ346" i="2" s="1"/>
  <c r="FP346" i="2"/>
  <c r="FO346" i="2"/>
  <c r="FN346" i="2"/>
  <c r="FM346" i="2"/>
  <c r="FL346" i="2"/>
  <c r="FK346" i="2"/>
  <c r="FJ346" i="2"/>
  <c r="FI346" i="2"/>
  <c r="GB346" i="2" s="1"/>
  <c r="FH346" i="2"/>
  <c r="FG346" i="2"/>
  <c r="FF346" i="2"/>
  <c r="FE346" i="2"/>
  <c r="FD346" i="2"/>
  <c r="FC346" i="2"/>
  <c r="FB346" i="2"/>
  <c r="EZ346" i="2"/>
  <c r="EX346" i="2"/>
  <c r="EW346" i="2"/>
  <c r="EP346" i="2"/>
  <c r="EM346" i="2"/>
  <c r="EL346" i="2"/>
  <c r="EH346" i="2"/>
  <c r="EG346" i="2"/>
  <c r="EE346" i="2"/>
  <c r="ED346" i="2"/>
  <c r="EC346" i="2"/>
  <c r="EB346" i="2"/>
  <c r="EA346" i="2"/>
  <c r="DZ346" i="2"/>
  <c r="DY346" i="2"/>
  <c r="DX346" i="2"/>
  <c r="DW346" i="2"/>
  <c r="DV346" i="2"/>
  <c r="DU346" i="2"/>
  <c r="DT346" i="2"/>
  <c r="DS346" i="2"/>
  <c r="DR346" i="2"/>
  <c r="DQ346" i="2"/>
  <c r="DP346" i="2"/>
  <c r="DM346" i="2"/>
  <c r="DL346" i="2"/>
  <c r="HC345" i="2"/>
  <c r="HB345" i="2"/>
  <c r="GW345" i="2"/>
  <c r="GV345" i="2"/>
  <c r="GU345" i="2"/>
  <c r="GT345" i="2"/>
  <c r="GO345" i="2"/>
  <c r="GL345" i="2"/>
  <c r="GJ345" i="2"/>
  <c r="GB345" i="2"/>
  <c r="FY345" i="2"/>
  <c r="FX345" i="2"/>
  <c r="FT345" i="2"/>
  <c r="FS345" i="2"/>
  <c r="FQ345" i="2"/>
  <c r="FP345" i="2"/>
  <c r="GI345" i="2" s="1"/>
  <c r="FO345" i="2"/>
  <c r="FN345" i="2"/>
  <c r="FM345" i="2"/>
  <c r="FL345" i="2"/>
  <c r="FK345" i="2"/>
  <c r="FJ345" i="2"/>
  <c r="FI345" i="2"/>
  <c r="FH345" i="2"/>
  <c r="FG345" i="2"/>
  <c r="FF345" i="2"/>
  <c r="FE345" i="2"/>
  <c r="FD345" i="2"/>
  <c r="FC345" i="2"/>
  <c r="FB345" i="2"/>
  <c r="EX345" i="2"/>
  <c r="EH345" i="2"/>
  <c r="EG345" i="2"/>
  <c r="EZ345" i="2" s="1"/>
  <c r="EE345" i="2"/>
  <c r="ED345" i="2"/>
  <c r="EW345" i="2" s="1"/>
  <c r="EC345" i="2"/>
  <c r="EB345" i="2"/>
  <c r="EA345" i="2"/>
  <c r="DZ345" i="2"/>
  <c r="DY345" i="2"/>
  <c r="DX345" i="2"/>
  <c r="DW345" i="2"/>
  <c r="EP345" i="2" s="1"/>
  <c r="DV345" i="2"/>
  <c r="DU345" i="2"/>
  <c r="DT345" i="2"/>
  <c r="EM345" i="2" s="1"/>
  <c r="DS345" i="2"/>
  <c r="EL345" i="2" s="1"/>
  <c r="DR345" i="2"/>
  <c r="DQ345" i="2"/>
  <c r="DP345" i="2"/>
  <c r="DM345" i="2"/>
  <c r="DL345" i="2"/>
  <c r="HC344" i="2"/>
  <c r="HB344" i="2"/>
  <c r="GW344" i="2"/>
  <c r="GU344" i="2"/>
  <c r="GT344" i="2"/>
  <c r="GP344" i="2"/>
  <c r="GO344" i="2"/>
  <c r="GQ344" i="2" s="1"/>
  <c r="GJ344" i="2"/>
  <c r="GI344" i="2"/>
  <c r="GB344" i="2"/>
  <c r="FY344" i="2"/>
  <c r="FT344" i="2"/>
  <c r="FS344" i="2"/>
  <c r="GL344" i="2" s="1"/>
  <c r="FQ344" i="2"/>
  <c r="FP344" i="2"/>
  <c r="FO344" i="2"/>
  <c r="FN344" i="2"/>
  <c r="FM344" i="2"/>
  <c r="FL344" i="2"/>
  <c r="FK344" i="2"/>
  <c r="FJ344" i="2"/>
  <c r="FI344" i="2"/>
  <c r="FH344" i="2"/>
  <c r="FG344" i="2"/>
  <c r="FF344" i="2"/>
  <c r="FE344" i="2"/>
  <c r="FX344" i="2" s="1"/>
  <c r="FD344" i="2"/>
  <c r="FC344" i="2"/>
  <c r="FB344" i="2"/>
  <c r="EL344" i="2"/>
  <c r="EH344" i="2"/>
  <c r="EC344" i="2"/>
  <c r="EB344" i="2"/>
  <c r="EA344" i="2"/>
  <c r="DZ344" i="2"/>
  <c r="DY344" i="2"/>
  <c r="DX344" i="2"/>
  <c r="DS344" i="2"/>
  <c r="DR344" i="2"/>
  <c r="DQ344" i="2"/>
  <c r="DP344" i="2"/>
  <c r="DM344" i="2"/>
  <c r="DL344" i="2"/>
  <c r="BG344" i="2"/>
  <c r="GV344" i="2" s="1"/>
  <c r="AY344" i="2"/>
  <c r="EG344" i="2" s="1"/>
  <c r="EZ344" i="2" s="1"/>
  <c r="HC343" i="2"/>
  <c r="HB343" i="2"/>
  <c r="GW343" i="2"/>
  <c r="GV343" i="2"/>
  <c r="GU343" i="2"/>
  <c r="GT343" i="2"/>
  <c r="GQ343" i="2"/>
  <c r="GP343" i="2"/>
  <c r="GO343" i="2"/>
  <c r="GL343" i="2"/>
  <c r="GJ343" i="2"/>
  <c r="GI343" i="2"/>
  <c r="FY343" i="2"/>
  <c r="FT343" i="2"/>
  <c r="FS343" i="2"/>
  <c r="FQ343" i="2"/>
  <c r="FP343" i="2"/>
  <c r="FO343" i="2"/>
  <c r="FN343" i="2"/>
  <c r="FM343" i="2"/>
  <c r="FL343" i="2"/>
  <c r="FK343" i="2"/>
  <c r="FJ343" i="2"/>
  <c r="FI343" i="2"/>
  <c r="GB343" i="2" s="1"/>
  <c r="FH343" i="2"/>
  <c r="FG343" i="2"/>
  <c r="FF343" i="2"/>
  <c r="FE343" i="2"/>
  <c r="FX343" i="2" s="1"/>
  <c r="FD343" i="2"/>
  <c r="FC343" i="2"/>
  <c r="FB343" i="2"/>
  <c r="EP343" i="2"/>
  <c r="EH343" i="2"/>
  <c r="EG343" i="2"/>
  <c r="EZ343" i="2" s="1"/>
  <c r="EE343" i="2"/>
  <c r="EX343" i="2" s="1"/>
  <c r="ED343" i="2"/>
  <c r="EW343" i="2" s="1"/>
  <c r="EC343" i="2"/>
  <c r="EB343" i="2"/>
  <c r="EA343" i="2"/>
  <c r="DZ343" i="2"/>
  <c r="DY343" i="2"/>
  <c r="DX343" i="2"/>
  <c r="DW343" i="2"/>
  <c r="DV343" i="2"/>
  <c r="DU343" i="2"/>
  <c r="DT343" i="2"/>
  <c r="EM343" i="2" s="1"/>
  <c r="DS343" i="2"/>
  <c r="EL343" i="2" s="1"/>
  <c r="DR343" i="2"/>
  <c r="DQ343" i="2"/>
  <c r="DP343" i="2"/>
  <c r="DM343" i="2"/>
  <c r="DL343" i="2"/>
  <c r="HC342" i="2"/>
  <c r="HB342" i="2"/>
  <c r="GW342" i="2"/>
  <c r="GV342" i="2"/>
  <c r="GU342" i="2"/>
  <c r="GT342" i="2"/>
  <c r="GP342" i="2"/>
  <c r="GQ342" i="2" s="1"/>
  <c r="GO342" i="2"/>
  <c r="GL342" i="2"/>
  <c r="GB342" i="2"/>
  <c r="FT342" i="2"/>
  <c r="FS342" i="2"/>
  <c r="FQ342" i="2"/>
  <c r="GJ342" i="2" s="1"/>
  <c r="FP342" i="2"/>
  <c r="GI342" i="2" s="1"/>
  <c r="FO342" i="2"/>
  <c r="FN342" i="2"/>
  <c r="FM342" i="2"/>
  <c r="FL342" i="2"/>
  <c r="FK342" i="2"/>
  <c r="FJ342" i="2"/>
  <c r="FI342" i="2"/>
  <c r="FH342" i="2"/>
  <c r="FG342" i="2"/>
  <c r="FF342" i="2"/>
  <c r="FY342" i="2" s="1"/>
  <c r="FE342" i="2"/>
  <c r="FX342" i="2" s="1"/>
  <c r="FD342" i="2"/>
  <c r="FC342" i="2"/>
  <c r="FB342" i="2"/>
  <c r="EZ342" i="2"/>
  <c r="EX342" i="2"/>
  <c r="EP342" i="2"/>
  <c r="EL342" i="2"/>
  <c r="EH342" i="2"/>
  <c r="EG342" i="2"/>
  <c r="EE342" i="2"/>
  <c r="ED342" i="2"/>
  <c r="EW342" i="2" s="1"/>
  <c r="EC342" i="2"/>
  <c r="EB342" i="2"/>
  <c r="EA342" i="2"/>
  <c r="DZ342" i="2"/>
  <c r="DY342" i="2"/>
  <c r="DX342" i="2"/>
  <c r="DW342" i="2"/>
  <c r="DV342" i="2"/>
  <c r="DU342" i="2"/>
  <c r="DT342" i="2"/>
  <c r="EM342" i="2" s="1"/>
  <c r="DS342" i="2"/>
  <c r="DR342" i="2"/>
  <c r="DQ342" i="2"/>
  <c r="DP342" i="2"/>
  <c r="DM342" i="2"/>
  <c r="DL342" i="2"/>
  <c r="HC341" i="2"/>
  <c r="HB341" i="2"/>
  <c r="GW341" i="2"/>
  <c r="GV341" i="2"/>
  <c r="GU341" i="2"/>
  <c r="GT341" i="2"/>
  <c r="GO341" i="2"/>
  <c r="GL341" i="2"/>
  <c r="GJ341" i="2"/>
  <c r="FT341" i="2"/>
  <c r="FS341" i="2"/>
  <c r="FQ341" i="2"/>
  <c r="FP341" i="2"/>
  <c r="GI341" i="2" s="1"/>
  <c r="FO341" i="2"/>
  <c r="FN341" i="2"/>
  <c r="FM341" i="2"/>
  <c r="FL341" i="2"/>
  <c r="FK341" i="2"/>
  <c r="FJ341" i="2"/>
  <c r="FI341" i="2"/>
  <c r="GB341" i="2" s="1"/>
  <c r="FH341" i="2"/>
  <c r="FG341" i="2"/>
  <c r="FF341" i="2"/>
  <c r="FY341" i="2" s="1"/>
  <c r="FE341" i="2"/>
  <c r="FX341" i="2" s="1"/>
  <c r="FD341" i="2"/>
  <c r="FC341" i="2"/>
  <c r="FB341" i="2"/>
  <c r="EZ341" i="2"/>
  <c r="EX341" i="2"/>
  <c r="EW341" i="2"/>
  <c r="EM341" i="2"/>
  <c r="EH341" i="2"/>
  <c r="EG341" i="2"/>
  <c r="EE341" i="2"/>
  <c r="ED341" i="2"/>
  <c r="EC341" i="2"/>
  <c r="EB341" i="2"/>
  <c r="EA341" i="2"/>
  <c r="DZ341" i="2"/>
  <c r="DY341" i="2"/>
  <c r="DX341" i="2"/>
  <c r="DW341" i="2"/>
  <c r="EP341" i="2" s="1"/>
  <c r="DV341" i="2"/>
  <c r="DU341" i="2"/>
  <c r="DT341" i="2"/>
  <c r="DS341" i="2"/>
  <c r="EL341" i="2" s="1"/>
  <c r="DR341" i="2"/>
  <c r="DQ341" i="2"/>
  <c r="DP341" i="2"/>
  <c r="DM341" i="2"/>
  <c r="DL341" i="2"/>
  <c r="HC340" i="2"/>
  <c r="HB340" i="2"/>
  <c r="GX340" i="2"/>
  <c r="GY340" i="2" s="1"/>
  <c r="GW340" i="2"/>
  <c r="GV340" i="2"/>
  <c r="GU340" i="2"/>
  <c r="GT340" i="2"/>
  <c r="GO340" i="2"/>
  <c r="GJ340" i="2"/>
  <c r="GI340" i="2"/>
  <c r="GB340" i="2"/>
  <c r="FY340" i="2"/>
  <c r="FT340" i="2"/>
  <c r="FS340" i="2"/>
  <c r="GL340" i="2" s="1"/>
  <c r="FQ340" i="2"/>
  <c r="FP340" i="2"/>
  <c r="FO340" i="2"/>
  <c r="FN340" i="2"/>
  <c r="FM340" i="2"/>
  <c r="FL340" i="2"/>
  <c r="FK340" i="2"/>
  <c r="FJ340" i="2"/>
  <c r="FI340" i="2"/>
  <c r="FH340" i="2"/>
  <c r="FG340" i="2"/>
  <c r="FF340" i="2"/>
  <c r="FE340" i="2"/>
  <c r="FX340" i="2" s="1"/>
  <c r="FD340" i="2"/>
  <c r="FC340" i="2"/>
  <c r="FB340" i="2"/>
  <c r="EX340" i="2"/>
  <c r="EW340" i="2"/>
  <c r="EM340" i="2"/>
  <c r="EL340" i="2"/>
  <c r="EH340" i="2"/>
  <c r="EG340" i="2"/>
  <c r="EZ340" i="2" s="1"/>
  <c r="EE340" i="2"/>
  <c r="ED340" i="2"/>
  <c r="EC340" i="2"/>
  <c r="EB340" i="2"/>
  <c r="EA340" i="2"/>
  <c r="DZ340" i="2"/>
  <c r="DY340" i="2"/>
  <c r="DX340" i="2"/>
  <c r="DW340" i="2"/>
  <c r="EP340" i="2" s="1"/>
  <c r="DV340" i="2"/>
  <c r="DU340" i="2"/>
  <c r="DT340" i="2"/>
  <c r="DS340" i="2"/>
  <c r="DR340" i="2"/>
  <c r="DQ340" i="2"/>
  <c r="DP340" i="2"/>
  <c r="DM340" i="2"/>
  <c r="DL340" i="2"/>
  <c r="HC339" i="2"/>
  <c r="HB339" i="2"/>
  <c r="GW339" i="2"/>
  <c r="GU339" i="2"/>
  <c r="GT339" i="2"/>
  <c r="GP339" i="2"/>
  <c r="GQ339" i="2" s="1"/>
  <c r="GO339" i="2"/>
  <c r="GI339" i="2"/>
  <c r="FY339" i="2"/>
  <c r="FX339" i="2"/>
  <c r="FT339" i="2"/>
  <c r="FS339" i="2"/>
  <c r="GL339" i="2" s="1"/>
  <c r="FQ339" i="2"/>
  <c r="GJ339" i="2" s="1"/>
  <c r="FP339" i="2"/>
  <c r="FO339" i="2"/>
  <c r="FN339" i="2"/>
  <c r="FM339" i="2"/>
  <c r="FL339" i="2"/>
  <c r="FK339" i="2"/>
  <c r="FJ339" i="2"/>
  <c r="FI339" i="2"/>
  <c r="GB339" i="2" s="1"/>
  <c r="FH339" i="2"/>
  <c r="FG339" i="2"/>
  <c r="FF339" i="2"/>
  <c r="FE339" i="2"/>
  <c r="FD339" i="2"/>
  <c r="FC339" i="2"/>
  <c r="FB339" i="2"/>
  <c r="EZ339" i="2"/>
  <c r="EX339" i="2"/>
  <c r="EH339" i="2"/>
  <c r="EG339" i="2"/>
  <c r="EE339" i="2"/>
  <c r="ED339" i="2"/>
  <c r="EW339" i="2" s="1"/>
  <c r="EC339" i="2"/>
  <c r="EB339" i="2"/>
  <c r="EA339" i="2"/>
  <c r="DZ339" i="2"/>
  <c r="DY339" i="2"/>
  <c r="DX339" i="2"/>
  <c r="DV339" i="2"/>
  <c r="DU339" i="2"/>
  <c r="DT339" i="2"/>
  <c r="EM339" i="2" s="1"/>
  <c r="DS339" i="2"/>
  <c r="EL339" i="2" s="1"/>
  <c r="DR339" i="2"/>
  <c r="DQ339" i="2"/>
  <c r="DP339" i="2"/>
  <c r="DM339" i="2"/>
  <c r="BG339" i="2"/>
  <c r="GV339" i="2" s="1"/>
  <c r="HC338" i="2"/>
  <c r="HB338" i="2"/>
  <c r="GW338" i="2"/>
  <c r="GV338" i="2"/>
  <c r="GU338" i="2"/>
  <c r="GT338" i="2"/>
  <c r="GO338" i="2"/>
  <c r="GJ338" i="2"/>
  <c r="FT338" i="2"/>
  <c r="FS338" i="2"/>
  <c r="GL338" i="2" s="1"/>
  <c r="FQ338" i="2"/>
  <c r="FP338" i="2"/>
  <c r="GI338" i="2" s="1"/>
  <c r="FO338" i="2"/>
  <c r="FN338" i="2"/>
  <c r="FM338" i="2"/>
  <c r="FL338" i="2"/>
  <c r="FK338" i="2"/>
  <c r="FJ338" i="2"/>
  <c r="FI338" i="2"/>
  <c r="GB338" i="2" s="1"/>
  <c r="FH338" i="2"/>
  <c r="FG338" i="2"/>
  <c r="FF338" i="2"/>
  <c r="FY338" i="2" s="1"/>
  <c r="FE338" i="2"/>
  <c r="FX338" i="2" s="1"/>
  <c r="FD338" i="2"/>
  <c r="FC338" i="2"/>
  <c r="FB338" i="2"/>
  <c r="EZ338" i="2"/>
  <c r="EX338" i="2"/>
  <c r="EW338" i="2"/>
  <c r="EM338" i="2"/>
  <c r="EH338" i="2"/>
  <c r="EG338" i="2"/>
  <c r="EE338" i="2"/>
  <c r="ED338" i="2"/>
  <c r="EC338" i="2"/>
  <c r="EB338" i="2"/>
  <c r="EA338" i="2"/>
  <c r="DZ338" i="2"/>
  <c r="DY338" i="2"/>
  <c r="DX338" i="2"/>
  <c r="DW338" i="2"/>
  <c r="EP338" i="2" s="1"/>
  <c r="DV338" i="2"/>
  <c r="DU338" i="2"/>
  <c r="DT338" i="2"/>
  <c r="DS338" i="2"/>
  <c r="EL338" i="2" s="1"/>
  <c r="DR338" i="2"/>
  <c r="DQ338" i="2"/>
  <c r="DP338" i="2"/>
  <c r="DM338" i="2"/>
  <c r="DL338" i="2"/>
  <c r="HC337" i="2"/>
  <c r="HB337" i="2"/>
  <c r="GW337" i="2"/>
  <c r="GV337" i="2"/>
  <c r="GU337" i="2"/>
  <c r="GT337" i="2"/>
  <c r="GQ337" i="2"/>
  <c r="GP337" i="2"/>
  <c r="GO337" i="2"/>
  <c r="GJ337" i="2"/>
  <c r="GI337" i="2"/>
  <c r="FY337" i="2"/>
  <c r="FX337" i="2"/>
  <c r="FT337" i="2"/>
  <c r="FS337" i="2"/>
  <c r="GL337" i="2" s="1"/>
  <c r="FQ337" i="2"/>
  <c r="FP337" i="2"/>
  <c r="FO337" i="2"/>
  <c r="FN337" i="2"/>
  <c r="FM337" i="2"/>
  <c r="FL337" i="2"/>
  <c r="FK337" i="2"/>
  <c r="FJ337" i="2"/>
  <c r="FI337" i="2"/>
  <c r="GB337" i="2" s="1"/>
  <c r="FH337" i="2"/>
  <c r="FG337" i="2"/>
  <c r="FF337" i="2"/>
  <c r="FE337" i="2"/>
  <c r="FD337" i="2"/>
  <c r="FC337" i="2"/>
  <c r="FB337" i="2"/>
  <c r="EZ337" i="2"/>
  <c r="EH337" i="2"/>
  <c r="EG337" i="2"/>
  <c r="EE337" i="2"/>
  <c r="EX337" i="2" s="1"/>
  <c r="ED337" i="2"/>
  <c r="EW337" i="2" s="1"/>
  <c r="EC337" i="2"/>
  <c r="EB337" i="2"/>
  <c r="EA337" i="2"/>
  <c r="DZ337" i="2"/>
  <c r="DY337" i="2"/>
  <c r="DX337" i="2"/>
  <c r="DW337" i="2"/>
  <c r="EP337" i="2" s="1"/>
  <c r="DV337" i="2"/>
  <c r="DU337" i="2"/>
  <c r="DT337" i="2"/>
  <c r="EM337" i="2" s="1"/>
  <c r="DS337" i="2"/>
  <c r="EL337" i="2" s="1"/>
  <c r="DR337" i="2"/>
  <c r="DQ337" i="2"/>
  <c r="DP337" i="2"/>
  <c r="DM337" i="2"/>
  <c r="DL337" i="2"/>
  <c r="HC336" i="2"/>
  <c r="HB336" i="2"/>
  <c r="GW336" i="2"/>
  <c r="GV336" i="2"/>
  <c r="GU336" i="2"/>
  <c r="GT336" i="2"/>
  <c r="GO336" i="2"/>
  <c r="GJ336" i="2"/>
  <c r="FT336" i="2"/>
  <c r="FS336" i="2"/>
  <c r="GL336" i="2" s="1"/>
  <c r="FQ336" i="2"/>
  <c r="FP336" i="2"/>
  <c r="GI336" i="2" s="1"/>
  <c r="FO336" i="2"/>
  <c r="FN336" i="2"/>
  <c r="FM336" i="2"/>
  <c r="FL336" i="2"/>
  <c r="FK336" i="2"/>
  <c r="FJ336" i="2"/>
  <c r="FI336" i="2"/>
  <c r="GB336" i="2" s="1"/>
  <c r="FH336" i="2"/>
  <c r="FG336" i="2"/>
  <c r="FF336" i="2"/>
  <c r="FY336" i="2" s="1"/>
  <c r="FE336" i="2"/>
  <c r="FX336" i="2" s="1"/>
  <c r="FD336" i="2"/>
  <c r="FC336" i="2"/>
  <c r="FB336" i="2"/>
  <c r="EZ336" i="2"/>
  <c r="EX336" i="2"/>
  <c r="EW336" i="2"/>
  <c r="EM336" i="2"/>
  <c r="EH336" i="2"/>
  <c r="EG336" i="2"/>
  <c r="EE336" i="2"/>
  <c r="ED336" i="2"/>
  <c r="EC336" i="2"/>
  <c r="EB336" i="2"/>
  <c r="EA336" i="2"/>
  <c r="DZ336" i="2"/>
  <c r="DY336" i="2"/>
  <c r="DX336" i="2"/>
  <c r="DW336" i="2"/>
  <c r="EP336" i="2" s="1"/>
  <c r="DV336" i="2"/>
  <c r="DU336" i="2"/>
  <c r="DT336" i="2"/>
  <c r="DS336" i="2"/>
  <c r="EL336" i="2" s="1"/>
  <c r="DR336" i="2"/>
  <c r="DQ336" i="2"/>
  <c r="DP336" i="2"/>
  <c r="DM336" i="2"/>
  <c r="DL336" i="2"/>
  <c r="HC335" i="2"/>
  <c r="HB335" i="2"/>
  <c r="GW335" i="2"/>
  <c r="GV335" i="2"/>
  <c r="GU335" i="2"/>
  <c r="GT335" i="2"/>
  <c r="GQ335" i="2"/>
  <c r="GP335" i="2"/>
  <c r="GO335" i="2"/>
  <c r="GJ335" i="2"/>
  <c r="GI335" i="2"/>
  <c r="FY335" i="2"/>
  <c r="FX335" i="2"/>
  <c r="FT335" i="2"/>
  <c r="FS335" i="2"/>
  <c r="GL335" i="2" s="1"/>
  <c r="FQ335" i="2"/>
  <c r="FP335" i="2"/>
  <c r="FO335" i="2"/>
  <c r="FN335" i="2"/>
  <c r="FM335" i="2"/>
  <c r="FL335" i="2"/>
  <c r="FK335" i="2"/>
  <c r="FJ335" i="2"/>
  <c r="FI335" i="2"/>
  <c r="GB335" i="2" s="1"/>
  <c r="FH335" i="2"/>
  <c r="FG335" i="2"/>
  <c r="FF335" i="2"/>
  <c r="FE335" i="2"/>
  <c r="FD335" i="2"/>
  <c r="FC335" i="2"/>
  <c r="FB335" i="2"/>
  <c r="EZ335" i="2"/>
  <c r="EH335" i="2"/>
  <c r="EG335" i="2"/>
  <c r="EE335" i="2"/>
  <c r="EX335" i="2" s="1"/>
  <c r="ED335" i="2"/>
  <c r="EW335" i="2" s="1"/>
  <c r="EC335" i="2"/>
  <c r="EB335" i="2"/>
  <c r="EA335" i="2"/>
  <c r="DZ335" i="2"/>
  <c r="DY335" i="2"/>
  <c r="DX335" i="2"/>
  <c r="DW335" i="2"/>
  <c r="EP335" i="2" s="1"/>
  <c r="DV335" i="2"/>
  <c r="DU335" i="2"/>
  <c r="DT335" i="2"/>
  <c r="EM335" i="2" s="1"/>
  <c r="DS335" i="2"/>
  <c r="EL335" i="2" s="1"/>
  <c r="DR335" i="2"/>
  <c r="DQ335" i="2"/>
  <c r="DP335" i="2"/>
  <c r="DM335" i="2"/>
  <c r="DL335" i="2"/>
  <c r="HC334" i="2"/>
  <c r="HB334" i="2"/>
  <c r="GY334" i="2"/>
  <c r="GX334" i="2"/>
  <c r="GW334" i="2"/>
  <c r="GV334" i="2"/>
  <c r="GU334" i="2"/>
  <c r="GT334" i="2"/>
  <c r="GQ334" i="2"/>
  <c r="GP334" i="2"/>
  <c r="GO334" i="2"/>
  <c r="GI334" i="2"/>
  <c r="FY334" i="2"/>
  <c r="FX334" i="2"/>
  <c r="FT334" i="2"/>
  <c r="FS334" i="2"/>
  <c r="GL334" i="2" s="1"/>
  <c r="FQ334" i="2"/>
  <c r="GJ334" i="2" s="1"/>
  <c r="FP334" i="2"/>
  <c r="FO334" i="2"/>
  <c r="FN334" i="2"/>
  <c r="FM334" i="2"/>
  <c r="FL334" i="2"/>
  <c r="FK334" i="2"/>
  <c r="FJ334" i="2"/>
  <c r="FI334" i="2"/>
  <c r="GB334" i="2" s="1"/>
  <c r="FH334" i="2"/>
  <c r="FG334" i="2"/>
  <c r="FF334" i="2"/>
  <c r="FE334" i="2"/>
  <c r="FD334" i="2"/>
  <c r="FC334" i="2"/>
  <c r="FB334" i="2"/>
  <c r="EX334" i="2"/>
  <c r="EW334" i="2"/>
  <c r="EM334" i="2"/>
  <c r="EH334" i="2"/>
  <c r="EG334" i="2"/>
  <c r="EZ334" i="2" s="1"/>
  <c r="EE334" i="2"/>
  <c r="ED334" i="2"/>
  <c r="EC334" i="2"/>
  <c r="EB334" i="2"/>
  <c r="EA334" i="2"/>
  <c r="DZ334" i="2"/>
  <c r="DY334" i="2"/>
  <c r="DX334" i="2"/>
  <c r="DW334" i="2"/>
  <c r="EP334" i="2" s="1"/>
  <c r="DV334" i="2"/>
  <c r="DU334" i="2"/>
  <c r="DT334" i="2"/>
  <c r="DS334" i="2"/>
  <c r="EL334" i="2" s="1"/>
  <c r="DR334" i="2"/>
  <c r="DQ334" i="2"/>
  <c r="DP334" i="2"/>
  <c r="DM334" i="2"/>
  <c r="DL334" i="2"/>
  <c r="HC333" i="2"/>
  <c r="HB333" i="2"/>
  <c r="GW333" i="2"/>
  <c r="GB333" i="2"/>
  <c r="FT333" i="2"/>
  <c r="FS333" i="2"/>
  <c r="GL333" i="2" s="1"/>
  <c r="FQ333" i="2"/>
  <c r="GJ333" i="2" s="1"/>
  <c r="FP333" i="2"/>
  <c r="GI333" i="2" s="1"/>
  <c r="FO333" i="2"/>
  <c r="FN333" i="2"/>
  <c r="FM333" i="2"/>
  <c r="FL333" i="2"/>
  <c r="FK333" i="2"/>
  <c r="FJ333" i="2"/>
  <c r="FI333" i="2"/>
  <c r="FH333" i="2"/>
  <c r="FG333" i="2"/>
  <c r="FF333" i="2"/>
  <c r="FY333" i="2" s="1"/>
  <c r="FE333" i="2"/>
  <c r="FX333" i="2" s="1"/>
  <c r="FD333" i="2"/>
  <c r="FC333" i="2"/>
  <c r="FB333" i="2"/>
  <c r="AY333" i="2"/>
  <c r="AT333" i="2"/>
  <c r="AO333" i="2"/>
  <c r="AN333" i="2"/>
  <c r="AM333" i="2"/>
  <c r="AL333" i="2"/>
  <c r="GU333" i="2" s="1"/>
  <c r="AD333" i="2"/>
  <c r="I333" i="2"/>
  <c r="HC332" i="2"/>
  <c r="HB332" i="2"/>
  <c r="GW332" i="2"/>
  <c r="GV332" i="2"/>
  <c r="GU332" i="2"/>
  <c r="GT332" i="2"/>
  <c r="GO332" i="2"/>
  <c r="GL332" i="2"/>
  <c r="FT332" i="2"/>
  <c r="FS332" i="2"/>
  <c r="FQ332" i="2"/>
  <c r="GJ332" i="2" s="1"/>
  <c r="FP332" i="2"/>
  <c r="GI332" i="2" s="1"/>
  <c r="FO332" i="2"/>
  <c r="FN332" i="2"/>
  <c r="FM332" i="2"/>
  <c r="FL332" i="2"/>
  <c r="FK332" i="2"/>
  <c r="FJ332" i="2"/>
  <c r="FI332" i="2"/>
  <c r="GB332" i="2" s="1"/>
  <c r="FH332" i="2"/>
  <c r="FG332" i="2"/>
  <c r="FF332" i="2"/>
  <c r="FY332" i="2" s="1"/>
  <c r="FE332" i="2"/>
  <c r="FX332" i="2" s="1"/>
  <c r="FD332" i="2"/>
  <c r="FC332" i="2"/>
  <c r="FB332" i="2"/>
  <c r="EZ332" i="2"/>
  <c r="EW332" i="2"/>
  <c r="EP332" i="2"/>
  <c r="EM332" i="2"/>
  <c r="EL332" i="2"/>
  <c r="EH332" i="2"/>
  <c r="EG332" i="2"/>
  <c r="EE332" i="2"/>
  <c r="EX332" i="2" s="1"/>
  <c r="ED332" i="2"/>
  <c r="EC332" i="2"/>
  <c r="EB332" i="2"/>
  <c r="EA332" i="2"/>
  <c r="DZ332" i="2"/>
  <c r="DY332" i="2"/>
  <c r="DX332" i="2"/>
  <c r="DW332" i="2"/>
  <c r="DV332" i="2"/>
  <c r="DU332" i="2"/>
  <c r="DT332" i="2"/>
  <c r="DS332" i="2"/>
  <c r="DR332" i="2"/>
  <c r="DQ332" i="2"/>
  <c r="DP332" i="2"/>
  <c r="DM332" i="2"/>
  <c r="DL332" i="2"/>
  <c r="HC331" i="2"/>
  <c r="HB331" i="2"/>
  <c r="GW331" i="2"/>
  <c r="GT331" i="2"/>
  <c r="GL331" i="2"/>
  <c r="GJ331" i="2"/>
  <c r="GI331" i="2"/>
  <c r="GB331" i="2"/>
  <c r="FX331" i="2"/>
  <c r="FT331" i="2"/>
  <c r="FS331" i="2"/>
  <c r="FQ331" i="2"/>
  <c r="FP331" i="2"/>
  <c r="FO331" i="2"/>
  <c r="FN331" i="2"/>
  <c r="FM331" i="2"/>
  <c r="FL331" i="2"/>
  <c r="FK331" i="2"/>
  <c r="FJ331" i="2"/>
  <c r="FI331" i="2"/>
  <c r="FH331" i="2"/>
  <c r="FG331" i="2"/>
  <c r="FF331" i="2"/>
  <c r="FY331" i="2" s="1"/>
  <c r="FE331" i="2"/>
  <c r="FD331" i="2"/>
  <c r="FC331" i="2"/>
  <c r="FB331" i="2"/>
  <c r="EH331" i="2"/>
  <c r="EG331" i="2"/>
  <c r="EZ331" i="2" s="1"/>
  <c r="EE331" i="2"/>
  <c r="EX331" i="2" s="1"/>
  <c r="DT331" i="2"/>
  <c r="EM331" i="2" s="1"/>
  <c r="DM331" i="2"/>
  <c r="AY331" i="2"/>
  <c r="DV331" i="2" s="1"/>
  <c r="AL331" i="2"/>
  <c r="AD331" i="2"/>
  <c r="HC330" i="2"/>
  <c r="HB330" i="2"/>
  <c r="GW330" i="2"/>
  <c r="GV330" i="2"/>
  <c r="GU330" i="2"/>
  <c r="GT330" i="2"/>
  <c r="GO330" i="2"/>
  <c r="GL330" i="2"/>
  <c r="GJ330" i="2"/>
  <c r="GI330" i="2"/>
  <c r="GB330" i="2"/>
  <c r="FY330" i="2"/>
  <c r="FT330" i="2"/>
  <c r="FS330" i="2"/>
  <c r="FQ330" i="2"/>
  <c r="FP330" i="2"/>
  <c r="FO330" i="2"/>
  <c r="FN330" i="2"/>
  <c r="FM330" i="2"/>
  <c r="FL330" i="2"/>
  <c r="FK330" i="2"/>
  <c r="FJ330" i="2"/>
  <c r="FI330" i="2"/>
  <c r="FH330" i="2"/>
  <c r="FG330" i="2"/>
  <c r="FF330" i="2"/>
  <c r="FE330" i="2"/>
  <c r="FX330" i="2" s="1"/>
  <c r="FD330" i="2"/>
  <c r="FC330" i="2"/>
  <c r="FB330" i="2"/>
  <c r="EW330" i="2"/>
  <c r="EP330" i="2"/>
  <c r="EM330" i="2"/>
  <c r="EL330" i="2"/>
  <c r="EH330" i="2"/>
  <c r="EG330" i="2"/>
  <c r="EZ330" i="2" s="1"/>
  <c r="EE330" i="2"/>
  <c r="EX330" i="2" s="1"/>
  <c r="ED330" i="2"/>
  <c r="EC330" i="2"/>
  <c r="EB330" i="2"/>
  <c r="EA330" i="2"/>
  <c r="DZ330" i="2"/>
  <c r="DY330" i="2"/>
  <c r="DX330" i="2"/>
  <c r="DW330" i="2"/>
  <c r="DV330" i="2"/>
  <c r="DU330" i="2"/>
  <c r="DT330" i="2"/>
  <c r="DS330" i="2"/>
  <c r="DR330" i="2"/>
  <c r="DQ330" i="2"/>
  <c r="DP330" i="2"/>
  <c r="DM330" i="2"/>
  <c r="DL330" i="2"/>
  <c r="HC329" i="2"/>
  <c r="HB329" i="2"/>
  <c r="GW329" i="2"/>
  <c r="GV329" i="2"/>
  <c r="GU329" i="2"/>
  <c r="GT329" i="2"/>
  <c r="GQ329" i="2"/>
  <c r="GO329" i="2"/>
  <c r="GP329" i="2" s="1"/>
  <c r="FX329" i="2"/>
  <c r="FT329" i="2"/>
  <c r="FS329" i="2"/>
  <c r="GL329" i="2" s="1"/>
  <c r="FQ329" i="2"/>
  <c r="GJ329" i="2" s="1"/>
  <c r="FP329" i="2"/>
  <c r="GI329" i="2" s="1"/>
  <c r="FO329" i="2"/>
  <c r="FN329" i="2"/>
  <c r="FM329" i="2"/>
  <c r="FL329" i="2"/>
  <c r="FK329" i="2"/>
  <c r="FJ329" i="2"/>
  <c r="FI329" i="2"/>
  <c r="GB329" i="2" s="1"/>
  <c r="FH329" i="2"/>
  <c r="FG329" i="2"/>
  <c r="FF329" i="2"/>
  <c r="FY329" i="2" s="1"/>
  <c r="FE329" i="2"/>
  <c r="FD329" i="2"/>
  <c r="FC329" i="2"/>
  <c r="FB329" i="2"/>
  <c r="EX329" i="2"/>
  <c r="EW329" i="2"/>
  <c r="EM329" i="2"/>
  <c r="EL329" i="2"/>
  <c r="EH329" i="2"/>
  <c r="EG329" i="2"/>
  <c r="EZ329" i="2" s="1"/>
  <c r="EE329" i="2"/>
  <c r="ED329" i="2"/>
  <c r="EC329" i="2"/>
  <c r="EB329" i="2"/>
  <c r="EA329" i="2"/>
  <c r="DZ329" i="2"/>
  <c r="DY329" i="2"/>
  <c r="DX329" i="2"/>
  <c r="DW329" i="2"/>
  <c r="EP329" i="2" s="1"/>
  <c r="DV329" i="2"/>
  <c r="DU329" i="2"/>
  <c r="DT329" i="2"/>
  <c r="DS329" i="2"/>
  <c r="DR329" i="2"/>
  <c r="DQ329" i="2"/>
  <c r="DP329" i="2"/>
  <c r="DM329" i="2"/>
  <c r="DL329" i="2"/>
  <c r="HC328" i="2"/>
  <c r="HB328" i="2"/>
  <c r="GW328" i="2"/>
  <c r="GV328" i="2"/>
  <c r="GU328" i="2"/>
  <c r="GT328" i="2"/>
  <c r="GO328" i="2"/>
  <c r="GL328" i="2"/>
  <c r="GJ328" i="2"/>
  <c r="GB328" i="2"/>
  <c r="FY328" i="2"/>
  <c r="FX328" i="2"/>
  <c r="FT328" i="2"/>
  <c r="FS328" i="2"/>
  <c r="FQ328" i="2"/>
  <c r="FP328" i="2"/>
  <c r="GI328" i="2" s="1"/>
  <c r="FO328" i="2"/>
  <c r="FN328" i="2"/>
  <c r="FM328" i="2"/>
  <c r="FL328" i="2"/>
  <c r="FK328" i="2"/>
  <c r="FJ328" i="2"/>
  <c r="FI328" i="2"/>
  <c r="FH328" i="2"/>
  <c r="FG328" i="2"/>
  <c r="FF328" i="2"/>
  <c r="FE328" i="2"/>
  <c r="FD328" i="2"/>
  <c r="FC328" i="2"/>
  <c r="FB328" i="2"/>
  <c r="EW328" i="2"/>
  <c r="EP328" i="2"/>
  <c r="EM328" i="2"/>
  <c r="EL328" i="2"/>
  <c r="EH328" i="2"/>
  <c r="EG328" i="2"/>
  <c r="EZ328" i="2" s="1"/>
  <c r="EE328" i="2"/>
  <c r="EX328" i="2" s="1"/>
  <c r="ED328" i="2"/>
  <c r="EC328" i="2"/>
  <c r="EB328" i="2"/>
  <c r="EA328" i="2"/>
  <c r="DZ328" i="2"/>
  <c r="DY328" i="2"/>
  <c r="DX328" i="2"/>
  <c r="DW328" i="2"/>
  <c r="DV328" i="2"/>
  <c r="DU328" i="2"/>
  <c r="DT328" i="2"/>
  <c r="DS328" i="2"/>
  <c r="DR328" i="2"/>
  <c r="DQ328" i="2"/>
  <c r="DP328" i="2"/>
  <c r="DM328" i="2"/>
  <c r="DL328" i="2"/>
  <c r="HC327" i="2"/>
  <c r="HB327" i="2"/>
  <c r="GW327" i="2"/>
  <c r="GV327" i="2"/>
  <c r="GU327" i="2"/>
  <c r="GT327" i="2"/>
  <c r="GP327" i="2"/>
  <c r="GQ327" i="2" s="1"/>
  <c r="GO327" i="2"/>
  <c r="GL327" i="2"/>
  <c r="FX327" i="2"/>
  <c r="FT327" i="2"/>
  <c r="FS327" i="2"/>
  <c r="FQ327" i="2"/>
  <c r="GJ327" i="2" s="1"/>
  <c r="FP327" i="2"/>
  <c r="GI327" i="2" s="1"/>
  <c r="FO327" i="2"/>
  <c r="FN327" i="2"/>
  <c r="FM327" i="2"/>
  <c r="FL327" i="2"/>
  <c r="FK327" i="2"/>
  <c r="FJ327" i="2"/>
  <c r="FI327" i="2"/>
  <c r="GB327" i="2" s="1"/>
  <c r="FH327" i="2"/>
  <c r="FG327" i="2"/>
  <c r="FF327" i="2"/>
  <c r="FY327" i="2" s="1"/>
  <c r="FE327" i="2"/>
  <c r="FD327" i="2"/>
  <c r="FC327" i="2"/>
  <c r="FB327" i="2"/>
  <c r="EZ327" i="2"/>
  <c r="EX327" i="2"/>
  <c r="EM327" i="2"/>
  <c r="EH327" i="2"/>
  <c r="EG327" i="2"/>
  <c r="EE327" i="2"/>
  <c r="ED327" i="2"/>
  <c r="EW327" i="2" s="1"/>
  <c r="EC327" i="2"/>
  <c r="EB327" i="2"/>
  <c r="EA327" i="2"/>
  <c r="DZ327" i="2"/>
  <c r="DY327" i="2"/>
  <c r="DX327" i="2"/>
  <c r="DW327" i="2"/>
  <c r="EP327" i="2" s="1"/>
  <c r="DV327" i="2"/>
  <c r="DU327" i="2"/>
  <c r="DT327" i="2"/>
  <c r="DS327" i="2"/>
  <c r="EL327" i="2" s="1"/>
  <c r="DR327" i="2"/>
  <c r="DQ327" i="2"/>
  <c r="DP327" i="2"/>
  <c r="DM327" i="2"/>
  <c r="DL327" i="2"/>
  <c r="HC326" i="2"/>
  <c r="HB326" i="2"/>
  <c r="GW326" i="2"/>
  <c r="GU326" i="2"/>
  <c r="GT326" i="2"/>
  <c r="GL326" i="2"/>
  <c r="GJ326" i="2"/>
  <c r="GI326" i="2"/>
  <c r="FY326" i="2"/>
  <c r="FT326" i="2"/>
  <c r="FS326" i="2"/>
  <c r="FQ326" i="2"/>
  <c r="FP326" i="2"/>
  <c r="FO326" i="2"/>
  <c r="FN326" i="2"/>
  <c r="FM326" i="2"/>
  <c r="FL326" i="2"/>
  <c r="FK326" i="2"/>
  <c r="FJ326" i="2"/>
  <c r="FI326" i="2"/>
  <c r="GB326" i="2" s="1"/>
  <c r="FH326" i="2"/>
  <c r="FG326" i="2"/>
  <c r="FF326" i="2"/>
  <c r="FE326" i="2"/>
  <c r="FX326" i="2" s="1"/>
  <c r="FD326" i="2"/>
  <c r="FC326" i="2"/>
  <c r="FB326" i="2"/>
  <c r="EX326" i="2"/>
  <c r="EL326" i="2"/>
  <c r="EH326" i="2"/>
  <c r="EE326" i="2"/>
  <c r="EC326" i="2"/>
  <c r="EB326" i="2"/>
  <c r="EA326" i="2"/>
  <c r="DZ326" i="2"/>
  <c r="DX326" i="2"/>
  <c r="DV326" i="2"/>
  <c r="DS326" i="2"/>
  <c r="DR326" i="2"/>
  <c r="DQ326" i="2"/>
  <c r="DP326" i="2"/>
  <c r="DM326" i="2"/>
  <c r="BG326" i="2"/>
  <c r="DL326" i="2" s="1"/>
  <c r="AY326" i="2"/>
  <c r="EG326" i="2" s="1"/>
  <c r="EZ326" i="2" s="1"/>
  <c r="HC325" i="2"/>
  <c r="HB325" i="2"/>
  <c r="GW325" i="2"/>
  <c r="GV325" i="2"/>
  <c r="GU325" i="2"/>
  <c r="GT325" i="2"/>
  <c r="GO325" i="2"/>
  <c r="GJ325" i="2"/>
  <c r="FX325" i="2"/>
  <c r="FT325" i="2"/>
  <c r="FS325" i="2"/>
  <c r="GL325" i="2" s="1"/>
  <c r="FQ325" i="2"/>
  <c r="FP325" i="2"/>
  <c r="GI325" i="2" s="1"/>
  <c r="FO325" i="2"/>
  <c r="FN325" i="2"/>
  <c r="FM325" i="2"/>
  <c r="FL325" i="2"/>
  <c r="FK325" i="2"/>
  <c r="FJ325" i="2"/>
  <c r="FI325" i="2"/>
  <c r="GB325" i="2" s="1"/>
  <c r="FH325" i="2"/>
  <c r="FG325" i="2"/>
  <c r="FF325" i="2"/>
  <c r="FY325" i="2" s="1"/>
  <c r="FE325" i="2"/>
  <c r="FD325" i="2"/>
  <c r="FC325" i="2"/>
  <c r="FB325" i="2"/>
  <c r="EZ325" i="2"/>
  <c r="EP325" i="2"/>
  <c r="EH325" i="2"/>
  <c r="EG325" i="2"/>
  <c r="EE325" i="2"/>
  <c r="EX325" i="2" s="1"/>
  <c r="ED325" i="2"/>
  <c r="EW325" i="2" s="1"/>
  <c r="EC325" i="2"/>
  <c r="EB325" i="2"/>
  <c r="EA325" i="2"/>
  <c r="DZ325" i="2"/>
  <c r="DY325" i="2"/>
  <c r="DX325" i="2"/>
  <c r="DW325" i="2"/>
  <c r="DV325" i="2"/>
  <c r="DU325" i="2"/>
  <c r="DT325" i="2"/>
  <c r="EM325" i="2" s="1"/>
  <c r="DS325" i="2"/>
  <c r="EL325" i="2" s="1"/>
  <c r="DR325" i="2"/>
  <c r="DQ325" i="2"/>
  <c r="DP325" i="2"/>
  <c r="DM325" i="2"/>
  <c r="DL325" i="2"/>
  <c r="HC324" i="2"/>
  <c r="HB324" i="2"/>
  <c r="GW324" i="2"/>
  <c r="GV324" i="2"/>
  <c r="GU324" i="2"/>
  <c r="GT324" i="2"/>
  <c r="GO324" i="2"/>
  <c r="GL324" i="2"/>
  <c r="GJ324" i="2"/>
  <c r="GB324" i="2"/>
  <c r="FX324" i="2"/>
  <c r="FT324" i="2"/>
  <c r="FS324" i="2"/>
  <c r="FQ324" i="2"/>
  <c r="FP324" i="2"/>
  <c r="GI324" i="2" s="1"/>
  <c r="FO324" i="2"/>
  <c r="FN324" i="2"/>
  <c r="FM324" i="2"/>
  <c r="FL324" i="2"/>
  <c r="FK324" i="2"/>
  <c r="FJ324" i="2"/>
  <c r="FI324" i="2"/>
  <c r="FH324" i="2"/>
  <c r="FG324" i="2"/>
  <c r="FF324" i="2"/>
  <c r="FY324" i="2" s="1"/>
  <c r="FE324" i="2"/>
  <c r="FD324" i="2"/>
  <c r="FC324" i="2"/>
  <c r="FB324" i="2"/>
  <c r="EZ324" i="2"/>
  <c r="EH324" i="2"/>
  <c r="EG324" i="2"/>
  <c r="EE324" i="2"/>
  <c r="EX324" i="2" s="1"/>
  <c r="ED324" i="2"/>
  <c r="EW324" i="2" s="1"/>
  <c r="EC324" i="2"/>
  <c r="EB324" i="2"/>
  <c r="EA324" i="2"/>
  <c r="DZ324" i="2"/>
  <c r="DY324" i="2"/>
  <c r="DX324" i="2"/>
  <c r="DW324" i="2"/>
  <c r="EP324" i="2" s="1"/>
  <c r="DV324" i="2"/>
  <c r="DU324" i="2"/>
  <c r="DT324" i="2"/>
  <c r="EM324" i="2" s="1"/>
  <c r="DS324" i="2"/>
  <c r="EL324" i="2" s="1"/>
  <c r="DR324" i="2"/>
  <c r="DQ324" i="2"/>
  <c r="DP324" i="2"/>
  <c r="DM324" i="2"/>
  <c r="DL324" i="2"/>
  <c r="HC323" i="2"/>
  <c r="HB323" i="2"/>
  <c r="GW323" i="2"/>
  <c r="GV323" i="2"/>
  <c r="GU323" i="2"/>
  <c r="GT323" i="2"/>
  <c r="GO323" i="2"/>
  <c r="GP323" i="2" s="1"/>
  <c r="GQ323" i="2" s="1"/>
  <c r="GJ323" i="2"/>
  <c r="GI323" i="2"/>
  <c r="FX323" i="2"/>
  <c r="FT323" i="2"/>
  <c r="FS323" i="2"/>
  <c r="GL323" i="2" s="1"/>
  <c r="FQ323" i="2"/>
  <c r="FP323" i="2"/>
  <c r="FO323" i="2"/>
  <c r="FN323" i="2"/>
  <c r="FM323" i="2"/>
  <c r="FL323" i="2"/>
  <c r="FK323" i="2"/>
  <c r="FJ323" i="2"/>
  <c r="FI323" i="2"/>
  <c r="GB323" i="2" s="1"/>
  <c r="FH323" i="2"/>
  <c r="FG323" i="2"/>
  <c r="FF323" i="2"/>
  <c r="FY323" i="2" s="1"/>
  <c r="FE323" i="2"/>
  <c r="FD323" i="2"/>
  <c r="FC323" i="2"/>
  <c r="FB323" i="2"/>
  <c r="EP323" i="2"/>
  <c r="EH323" i="2"/>
  <c r="EG323" i="2"/>
  <c r="EZ323" i="2" s="1"/>
  <c r="EE323" i="2"/>
  <c r="EX323" i="2" s="1"/>
  <c r="ED323" i="2"/>
  <c r="EW323" i="2" s="1"/>
  <c r="EC323" i="2"/>
  <c r="EB323" i="2"/>
  <c r="EA323" i="2"/>
  <c r="DZ323" i="2"/>
  <c r="DY323" i="2"/>
  <c r="DX323" i="2"/>
  <c r="DW323" i="2"/>
  <c r="DV323" i="2"/>
  <c r="DU323" i="2"/>
  <c r="DT323" i="2"/>
  <c r="EM323" i="2" s="1"/>
  <c r="DS323" i="2"/>
  <c r="EL323" i="2" s="1"/>
  <c r="DR323" i="2"/>
  <c r="DQ323" i="2"/>
  <c r="DP323" i="2"/>
  <c r="DM323" i="2"/>
  <c r="DL323" i="2"/>
  <c r="HC322" i="2"/>
  <c r="HB322" i="2"/>
  <c r="GW322" i="2"/>
  <c r="GV322" i="2"/>
  <c r="GU322" i="2"/>
  <c r="GT322" i="2"/>
  <c r="GO322" i="2"/>
  <c r="GJ322" i="2"/>
  <c r="GI322" i="2"/>
  <c r="GB322" i="2"/>
  <c r="FY322" i="2"/>
  <c r="FX322" i="2"/>
  <c r="FT322" i="2"/>
  <c r="FS322" i="2"/>
  <c r="GL322" i="2" s="1"/>
  <c r="FQ322" i="2"/>
  <c r="FP322" i="2"/>
  <c r="FO322" i="2"/>
  <c r="FN322" i="2"/>
  <c r="FM322" i="2"/>
  <c r="FL322" i="2"/>
  <c r="FK322" i="2"/>
  <c r="FJ322" i="2"/>
  <c r="FI322" i="2"/>
  <c r="FH322" i="2"/>
  <c r="FG322" i="2"/>
  <c r="FF322" i="2"/>
  <c r="FE322" i="2"/>
  <c r="FD322" i="2"/>
  <c r="FC322" i="2"/>
  <c r="FB322" i="2"/>
  <c r="EZ322" i="2"/>
  <c r="EW322" i="2"/>
  <c r="EP322" i="2"/>
  <c r="EM322" i="2"/>
  <c r="EL322" i="2"/>
  <c r="EH322" i="2"/>
  <c r="EG322" i="2"/>
  <c r="EE322" i="2"/>
  <c r="EX322" i="2" s="1"/>
  <c r="ED322" i="2"/>
  <c r="EC322" i="2"/>
  <c r="EB322" i="2"/>
  <c r="EA322" i="2"/>
  <c r="DZ322" i="2"/>
  <c r="DY322" i="2"/>
  <c r="DX322" i="2"/>
  <c r="DW322" i="2"/>
  <c r="DV322" i="2"/>
  <c r="DU322" i="2"/>
  <c r="DT322" i="2"/>
  <c r="DS322" i="2"/>
  <c r="DR322" i="2"/>
  <c r="DQ322" i="2"/>
  <c r="DP322" i="2"/>
  <c r="DM322" i="2"/>
  <c r="DL322" i="2"/>
  <c r="HC321" i="2"/>
  <c r="HB321" i="2"/>
  <c r="GW321" i="2"/>
  <c r="GV321" i="2"/>
  <c r="GU321" i="2"/>
  <c r="GT321" i="2"/>
  <c r="GO321" i="2"/>
  <c r="GL321" i="2"/>
  <c r="GJ321" i="2"/>
  <c r="FY321" i="2"/>
  <c r="FT321" i="2"/>
  <c r="FS321" i="2"/>
  <c r="FQ321" i="2"/>
  <c r="FP321" i="2"/>
  <c r="GI321" i="2" s="1"/>
  <c r="FO321" i="2"/>
  <c r="FN321" i="2"/>
  <c r="FM321" i="2"/>
  <c r="FL321" i="2"/>
  <c r="FK321" i="2"/>
  <c r="FJ321" i="2"/>
  <c r="FI321" i="2"/>
  <c r="GB321" i="2" s="1"/>
  <c r="FH321" i="2"/>
  <c r="FG321" i="2"/>
  <c r="FF321" i="2"/>
  <c r="FE321" i="2"/>
  <c r="FX321" i="2" s="1"/>
  <c r="FD321" i="2"/>
  <c r="FC321" i="2"/>
  <c r="FB321" i="2"/>
  <c r="EX321" i="2"/>
  <c r="EW321" i="2"/>
  <c r="EH321" i="2"/>
  <c r="EG321" i="2"/>
  <c r="EZ321" i="2" s="1"/>
  <c r="EE321" i="2"/>
  <c r="ED321" i="2"/>
  <c r="EC321" i="2"/>
  <c r="EB321" i="2"/>
  <c r="EA321" i="2"/>
  <c r="DZ321" i="2"/>
  <c r="DY321" i="2"/>
  <c r="DX321" i="2"/>
  <c r="DW321" i="2"/>
  <c r="EP321" i="2" s="1"/>
  <c r="DV321" i="2"/>
  <c r="DU321" i="2"/>
  <c r="DT321" i="2"/>
  <c r="EM321" i="2" s="1"/>
  <c r="DS321" i="2"/>
  <c r="EL321" i="2" s="1"/>
  <c r="DR321" i="2"/>
  <c r="DQ321" i="2"/>
  <c r="DP321" i="2"/>
  <c r="DM321" i="2"/>
  <c r="DL321" i="2"/>
  <c r="HC320" i="2"/>
  <c r="HB320" i="2"/>
  <c r="GW320" i="2"/>
  <c r="GT320" i="2"/>
  <c r="GL320" i="2"/>
  <c r="GB320" i="2"/>
  <c r="FT320" i="2"/>
  <c r="FS320" i="2"/>
  <c r="FQ320" i="2"/>
  <c r="GJ320" i="2" s="1"/>
  <c r="FP320" i="2"/>
  <c r="GI320" i="2" s="1"/>
  <c r="FO320" i="2"/>
  <c r="FN320" i="2"/>
  <c r="FM320" i="2"/>
  <c r="FL320" i="2"/>
  <c r="FK320" i="2"/>
  <c r="FJ320" i="2"/>
  <c r="FI320" i="2"/>
  <c r="FH320" i="2"/>
  <c r="FG320" i="2"/>
  <c r="FF320" i="2"/>
  <c r="FY320" i="2" s="1"/>
  <c r="FE320" i="2"/>
  <c r="FX320" i="2" s="1"/>
  <c r="FD320" i="2"/>
  <c r="FC320" i="2"/>
  <c r="FB320" i="2"/>
  <c r="DY320" i="2"/>
  <c r="DX320" i="2"/>
  <c r="DP320" i="2"/>
  <c r="DM320" i="2"/>
  <c r="AY320" i="2"/>
  <c r="BG320" i="2" s="1"/>
  <c r="GV320" i="2" s="1"/>
  <c r="AD320" i="2"/>
  <c r="EH320" i="2" s="1"/>
  <c r="HC319" i="2"/>
  <c r="HB319" i="2"/>
  <c r="GX319" i="2"/>
  <c r="GY319" i="2" s="1"/>
  <c r="GW319" i="2"/>
  <c r="GU319" i="2"/>
  <c r="GT319" i="2"/>
  <c r="GO319" i="2"/>
  <c r="GI319" i="2"/>
  <c r="GB319" i="2"/>
  <c r="FY319" i="2"/>
  <c r="FX319" i="2"/>
  <c r="FT319" i="2"/>
  <c r="FS319" i="2"/>
  <c r="GL319" i="2" s="1"/>
  <c r="FQ319" i="2"/>
  <c r="GJ319" i="2" s="1"/>
  <c r="FP319" i="2"/>
  <c r="FO319" i="2"/>
  <c r="FN319" i="2"/>
  <c r="FM319" i="2"/>
  <c r="FL319" i="2"/>
  <c r="FK319" i="2"/>
  <c r="FJ319" i="2"/>
  <c r="FI319" i="2"/>
  <c r="FH319" i="2"/>
  <c r="FG319" i="2"/>
  <c r="FF319" i="2"/>
  <c r="FE319" i="2"/>
  <c r="FD319" i="2"/>
  <c r="FC319" i="2"/>
  <c r="FB319" i="2"/>
  <c r="EW319" i="2"/>
  <c r="EM319" i="2"/>
  <c r="EL319" i="2"/>
  <c r="EH319" i="2"/>
  <c r="EE319" i="2"/>
  <c r="EX319" i="2" s="1"/>
  <c r="ED319" i="2"/>
  <c r="EC319" i="2"/>
  <c r="EB319" i="2"/>
  <c r="EA319" i="2"/>
  <c r="DY319" i="2"/>
  <c r="DU319" i="2"/>
  <c r="DT319" i="2"/>
  <c r="DS319" i="2"/>
  <c r="DR319" i="2"/>
  <c r="DQ319" i="2"/>
  <c r="DM319" i="2"/>
  <c r="BG319" i="2"/>
  <c r="GV319" i="2" s="1"/>
  <c r="AY319" i="2"/>
  <c r="DZ319" i="2" s="1"/>
  <c r="HC318" i="2"/>
  <c r="HB318" i="2"/>
  <c r="GW318" i="2"/>
  <c r="GV318" i="2"/>
  <c r="GU318" i="2"/>
  <c r="GT318" i="2"/>
  <c r="GO318" i="2"/>
  <c r="GJ318" i="2"/>
  <c r="GI318" i="2"/>
  <c r="GB318" i="2"/>
  <c r="FY318" i="2"/>
  <c r="FT318" i="2"/>
  <c r="FS318" i="2"/>
  <c r="GL318" i="2" s="1"/>
  <c r="FQ318" i="2"/>
  <c r="FP318" i="2"/>
  <c r="FO318" i="2"/>
  <c r="FN318" i="2"/>
  <c r="FM318" i="2"/>
  <c r="FL318" i="2"/>
  <c r="FK318" i="2"/>
  <c r="FJ318" i="2"/>
  <c r="FI318" i="2"/>
  <c r="FH318" i="2"/>
  <c r="FG318" i="2"/>
  <c r="FF318" i="2"/>
  <c r="FE318" i="2"/>
  <c r="FX318" i="2" s="1"/>
  <c r="FD318" i="2"/>
  <c r="FC318" i="2"/>
  <c r="FB318" i="2"/>
  <c r="EX318" i="2"/>
  <c r="EW318" i="2"/>
  <c r="EP318" i="2"/>
  <c r="EM318" i="2"/>
  <c r="EL318" i="2"/>
  <c r="EH318" i="2"/>
  <c r="EG318" i="2"/>
  <c r="EZ318" i="2" s="1"/>
  <c r="EE318" i="2"/>
  <c r="ED318" i="2"/>
  <c r="EC318" i="2"/>
  <c r="EB318" i="2"/>
  <c r="EA318" i="2"/>
  <c r="DZ318" i="2"/>
  <c r="DY318" i="2"/>
  <c r="DX318" i="2"/>
  <c r="DW318" i="2"/>
  <c r="DV318" i="2"/>
  <c r="DU318" i="2"/>
  <c r="DT318" i="2"/>
  <c r="DS318" i="2"/>
  <c r="DR318" i="2"/>
  <c r="DQ318" i="2"/>
  <c r="DP318" i="2"/>
  <c r="DM318" i="2"/>
  <c r="DL318" i="2"/>
  <c r="HC317" i="2"/>
  <c r="HB317" i="2"/>
  <c r="GW317" i="2"/>
  <c r="GT317" i="2"/>
  <c r="GL317" i="2"/>
  <c r="GI317" i="2"/>
  <c r="FY317" i="2"/>
  <c r="FX317" i="2"/>
  <c r="FT317" i="2"/>
  <c r="FS317" i="2"/>
  <c r="FQ317" i="2"/>
  <c r="GJ317" i="2" s="1"/>
  <c r="FP317" i="2"/>
  <c r="FO317" i="2"/>
  <c r="FN317" i="2"/>
  <c r="FM317" i="2"/>
  <c r="FL317" i="2"/>
  <c r="FK317" i="2"/>
  <c r="FJ317" i="2"/>
  <c r="FI317" i="2"/>
  <c r="GB317" i="2" s="1"/>
  <c r="FH317" i="2"/>
  <c r="FG317" i="2"/>
  <c r="FF317" i="2"/>
  <c r="FE317" i="2"/>
  <c r="FD317" i="2"/>
  <c r="FC317" i="2"/>
  <c r="FB317" i="2"/>
  <c r="DQ317" i="2"/>
  <c r="BG317" i="2"/>
  <c r="GV317" i="2" s="1"/>
  <c r="AY317" i="2"/>
  <c r="AD317" i="2"/>
  <c r="HC316" i="2"/>
  <c r="HB316" i="2"/>
  <c r="GW316" i="2"/>
  <c r="GV316" i="2"/>
  <c r="GU316" i="2"/>
  <c r="GT316" i="2"/>
  <c r="GP316" i="2"/>
  <c r="GO316" i="2"/>
  <c r="GL316" i="2"/>
  <c r="GJ316" i="2"/>
  <c r="FX316" i="2"/>
  <c r="FT316" i="2"/>
  <c r="FS316" i="2"/>
  <c r="FQ316" i="2"/>
  <c r="FP316" i="2"/>
  <c r="GI316" i="2" s="1"/>
  <c r="FO316" i="2"/>
  <c r="FN316" i="2"/>
  <c r="FM316" i="2"/>
  <c r="FL316" i="2"/>
  <c r="FK316" i="2"/>
  <c r="FJ316" i="2"/>
  <c r="FI316" i="2"/>
  <c r="GB316" i="2" s="1"/>
  <c r="FH316" i="2"/>
  <c r="FG316" i="2"/>
  <c r="FF316" i="2"/>
  <c r="FY316" i="2" s="1"/>
  <c r="FE316" i="2"/>
  <c r="FD316" i="2"/>
  <c r="FC316" i="2"/>
  <c r="FB316" i="2"/>
  <c r="EX316" i="2"/>
  <c r="EW316" i="2"/>
  <c r="EP316" i="2"/>
  <c r="EM316" i="2"/>
  <c r="EH316" i="2"/>
  <c r="EG316" i="2"/>
  <c r="EZ316" i="2" s="1"/>
  <c r="EE316" i="2"/>
  <c r="ED316" i="2"/>
  <c r="EC316" i="2"/>
  <c r="EB316" i="2"/>
  <c r="EA316" i="2"/>
  <c r="DZ316" i="2"/>
  <c r="DY316" i="2"/>
  <c r="DX316" i="2"/>
  <c r="DW316" i="2"/>
  <c r="DV316" i="2"/>
  <c r="DU316" i="2"/>
  <c r="DT316" i="2"/>
  <c r="DS316" i="2"/>
  <c r="EL316" i="2" s="1"/>
  <c r="DR316" i="2"/>
  <c r="DQ316" i="2"/>
  <c r="DP316" i="2"/>
  <c r="DM316" i="2"/>
  <c r="DL316" i="2"/>
  <c r="HC315" i="2"/>
  <c r="HB315" i="2"/>
  <c r="GW315" i="2"/>
  <c r="GV315" i="2"/>
  <c r="GU315" i="2"/>
  <c r="GT315" i="2"/>
  <c r="GP315" i="2"/>
  <c r="GO315" i="2"/>
  <c r="GQ315" i="2" s="1"/>
  <c r="GL315" i="2"/>
  <c r="GI315" i="2"/>
  <c r="GB315" i="2"/>
  <c r="FY315" i="2"/>
  <c r="FX315" i="2"/>
  <c r="FT315" i="2"/>
  <c r="FS315" i="2"/>
  <c r="FQ315" i="2"/>
  <c r="GJ315" i="2" s="1"/>
  <c r="FP315" i="2"/>
  <c r="FO315" i="2"/>
  <c r="FN315" i="2"/>
  <c r="FM315" i="2"/>
  <c r="FL315" i="2"/>
  <c r="FK315" i="2"/>
  <c r="FJ315" i="2"/>
  <c r="FI315" i="2"/>
  <c r="FH315" i="2"/>
  <c r="FG315" i="2"/>
  <c r="FF315" i="2"/>
  <c r="FE315" i="2"/>
  <c r="FD315" i="2"/>
  <c r="FC315" i="2"/>
  <c r="FB315" i="2"/>
  <c r="EZ315" i="2"/>
  <c r="EW315" i="2"/>
  <c r="EP315" i="2"/>
  <c r="EM315" i="2"/>
  <c r="EL315" i="2"/>
  <c r="EH315" i="2"/>
  <c r="EG315" i="2"/>
  <c r="EE315" i="2"/>
  <c r="EX315" i="2" s="1"/>
  <c r="ED315" i="2"/>
  <c r="EC315" i="2"/>
  <c r="EB315" i="2"/>
  <c r="EA315" i="2"/>
  <c r="DZ315" i="2"/>
  <c r="DY315" i="2"/>
  <c r="DX315" i="2"/>
  <c r="DW315" i="2"/>
  <c r="DV315" i="2"/>
  <c r="DU315" i="2"/>
  <c r="DT315" i="2"/>
  <c r="DS315" i="2"/>
  <c r="DR315" i="2"/>
  <c r="DQ315" i="2"/>
  <c r="DP315" i="2"/>
  <c r="DM315" i="2"/>
  <c r="DL315" i="2"/>
  <c r="HC314" i="2"/>
  <c r="HB314" i="2"/>
  <c r="GW314" i="2"/>
  <c r="GV314" i="2"/>
  <c r="GU314" i="2"/>
  <c r="GT314" i="2"/>
  <c r="GP314" i="2"/>
  <c r="GO314" i="2"/>
  <c r="GL314" i="2"/>
  <c r="GJ314" i="2"/>
  <c r="FX314" i="2"/>
  <c r="FT314" i="2"/>
  <c r="FS314" i="2"/>
  <c r="FQ314" i="2"/>
  <c r="FP314" i="2"/>
  <c r="GI314" i="2" s="1"/>
  <c r="FO314" i="2"/>
  <c r="FN314" i="2"/>
  <c r="FM314" i="2"/>
  <c r="FL314" i="2"/>
  <c r="FK314" i="2"/>
  <c r="FJ314" i="2"/>
  <c r="FI314" i="2"/>
  <c r="GB314" i="2" s="1"/>
  <c r="FH314" i="2"/>
  <c r="FG314" i="2"/>
  <c r="FF314" i="2"/>
  <c r="FY314" i="2" s="1"/>
  <c r="FE314" i="2"/>
  <c r="FD314" i="2"/>
  <c r="FC314" i="2"/>
  <c r="FB314" i="2"/>
  <c r="EZ314" i="2"/>
  <c r="EX314" i="2"/>
  <c r="EW314" i="2"/>
  <c r="EP314" i="2"/>
  <c r="EM314" i="2"/>
  <c r="EH314" i="2"/>
  <c r="EG314" i="2"/>
  <c r="EE314" i="2"/>
  <c r="ED314" i="2"/>
  <c r="EC314" i="2"/>
  <c r="EB314" i="2"/>
  <c r="EA314" i="2"/>
  <c r="DZ314" i="2"/>
  <c r="DY314" i="2"/>
  <c r="DX314" i="2"/>
  <c r="DW314" i="2"/>
  <c r="DV314" i="2"/>
  <c r="DU314" i="2"/>
  <c r="DT314" i="2"/>
  <c r="DS314" i="2"/>
  <c r="EL314" i="2" s="1"/>
  <c r="DR314" i="2"/>
  <c r="DQ314" i="2"/>
  <c r="DP314" i="2"/>
  <c r="DM314" i="2"/>
  <c r="DL314" i="2"/>
  <c r="HC313" i="2"/>
  <c r="HB313" i="2"/>
  <c r="GW313" i="2"/>
  <c r="GV313" i="2"/>
  <c r="GU313" i="2"/>
  <c r="GT313" i="2"/>
  <c r="GP313" i="2"/>
  <c r="GO313" i="2"/>
  <c r="GQ313" i="2" s="1"/>
  <c r="GL313" i="2"/>
  <c r="GI313" i="2"/>
  <c r="GB313" i="2"/>
  <c r="FY313" i="2"/>
  <c r="FX313" i="2"/>
  <c r="FT313" i="2"/>
  <c r="FS313" i="2"/>
  <c r="FQ313" i="2"/>
  <c r="GJ313" i="2" s="1"/>
  <c r="FP313" i="2"/>
  <c r="FO313" i="2"/>
  <c r="FN313" i="2"/>
  <c r="FM313" i="2"/>
  <c r="FL313" i="2"/>
  <c r="FK313" i="2"/>
  <c r="FJ313" i="2"/>
  <c r="FI313" i="2"/>
  <c r="FH313" i="2"/>
  <c r="FG313" i="2"/>
  <c r="FF313" i="2"/>
  <c r="FE313" i="2"/>
  <c r="FD313" i="2"/>
  <c r="FC313" i="2"/>
  <c r="FB313" i="2"/>
  <c r="EZ313" i="2"/>
  <c r="EW313" i="2"/>
  <c r="EM313" i="2"/>
  <c r="EL313" i="2"/>
  <c r="EH313" i="2"/>
  <c r="EG313" i="2"/>
  <c r="EE313" i="2"/>
  <c r="EX313" i="2" s="1"/>
  <c r="ED313" i="2"/>
  <c r="EC313" i="2"/>
  <c r="EB313" i="2"/>
  <c r="EA313" i="2"/>
  <c r="DZ313" i="2"/>
  <c r="DY313" i="2"/>
  <c r="DX313" i="2"/>
  <c r="DW313" i="2"/>
  <c r="EP313" i="2" s="1"/>
  <c r="DV313" i="2"/>
  <c r="DU313" i="2"/>
  <c r="DT313" i="2"/>
  <c r="DS313" i="2"/>
  <c r="DR313" i="2"/>
  <c r="DQ313" i="2"/>
  <c r="DP313" i="2"/>
  <c r="DM313" i="2"/>
  <c r="DL313" i="2"/>
  <c r="HC312" i="2"/>
  <c r="HB312" i="2"/>
  <c r="GW312" i="2"/>
  <c r="GU312" i="2"/>
  <c r="GT312" i="2"/>
  <c r="GO312" i="2"/>
  <c r="GJ312" i="2"/>
  <c r="FX312" i="2"/>
  <c r="FT312" i="2"/>
  <c r="FS312" i="2"/>
  <c r="GL312" i="2" s="1"/>
  <c r="FQ312" i="2"/>
  <c r="FP312" i="2"/>
  <c r="GI312" i="2" s="1"/>
  <c r="FO312" i="2"/>
  <c r="FN312" i="2"/>
  <c r="FM312" i="2"/>
  <c r="FL312" i="2"/>
  <c r="FK312" i="2"/>
  <c r="FJ312" i="2"/>
  <c r="FI312" i="2"/>
  <c r="GB312" i="2" s="1"/>
  <c r="FH312" i="2"/>
  <c r="FG312" i="2"/>
  <c r="FF312" i="2"/>
  <c r="FY312" i="2" s="1"/>
  <c r="FE312" i="2"/>
  <c r="FD312" i="2"/>
  <c r="FC312" i="2"/>
  <c r="FB312" i="2"/>
  <c r="EC312" i="2"/>
  <c r="DZ312" i="2"/>
  <c r="AY312" i="2"/>
  <c r="HC311" i="2"/>
  <c r="HB311" i="2"/>
  <c r="GW311" i="2"/>
  <c r="GV311" i="2"/>
  <c r="GU311" i="2"/>
  <c r="GT311" i="2"/>
  <c r="GP311" i="2"/>
  <c r="GO311" i="2"/>
  <c r="GQ311" i="2" s="1"/>
  <c r="GL311" i="2"/>
  <c r="GB311" i="2"/>
  <c r="FT311" i="2"/>
  <c r="FS311" i="2"/>
  <c r="FQ311" i="2"/>
  <c r="GJ311" i="2" s="1"/>
  <c r="FP311" i="2"/>
  <c r="GI311" i="2" s="1"/>
  <c r="FO311" i="2"/>
  <c r="FN311" i="2"/>
  <c r="FM311" i="2"/>
  <c r="FL311" i="2"/>
  <c r="FK311" i="2"/>
  <c r="FJ311" i="2"/>
  <c r="FI311" i="2"/>
  <c r="FH311" i="2"/>
  <c r="FG311" i="2"/>
  <c r="FF311" i="2"/>
  <c r="FY311" i="2" s="1"/>
  <c r="FE311" i="2"/>
  <c r="FX311" i="2" s="1"/>
  <c r="FD311" i="2"/>
  <c r="FC311" i="2"/>
  <c r="FB311" i="2"/>
  <c r="EZ311" i="2"/>
  <c r="EW311" i="2"/>
  <c r="EM311" i="2"/>
  <c r="EH311" i="2"/>
  <c r="EG311" i="2"/>
  <c r="EE311" i="2"/>
  <c r="EX311" i="2" s="1"/>
  <c r="ED311" i="2"/>
  <c r="EC311" i="2"/>
  <c r="EB311" i="2"/>
  <c r="EA311" i="2"/>
  <c r="DZ311" i="2"/>
  <c r="DY311" i="2"/>
  <c r="DX311" i="2"/>
  <c r="DW311" i="2"/>
  <c r="EP311" i="2" s="1"/>
  <c r="DV311" i="2"/>
  <c r="DU311" i="2"/>
  <c r="DT311" i="2"/>
  <c r="DS311" i="2"/>
  <c r="EL311" i="2" s="1"/>
  <c r="DR311" i="2"/>
  <c r="DQ311" i="2"/>
  <c r="DP311" i="2"/>
  <c r="DM311" i="2"/>
  <c r="DL311" i="2"/>
  <c r="HC310" i="2"/>
  <c r="HB310" i="2"/>
  <c r="GW310" i="2"/>
  <c r="GV310" i="2"/>
  <c r="GT310" i="2"/>
  <c r="GJ310" i="2"/>
  <c r="FX310" i="2"/>
  <c r="FT310" i="2"/>
  <c r="FS310" i="2"/>
  <c r="GL310" i="2" s="1"/>
  <c r="FQ310" i="2"/>
  <c r="FP310" i="2"/>
  <c r="GI310" i="2" s="1"/>
  <c r="FO310" i="2"/>
  <c r="FN310" i="2"/>
  <c r="FM310" i="2"/>
  <c r="FL310" i="2"/>
  <c r="FK310" i="2"/>
  <c r="FJ310" i="2"/>
  <c r="FI310" i="2"/>
  <c r="GB310" i="2" s="1"/>
  <c r="FH310" i="2"/>
  <c r="FG310" i="2"/>
  <c r="FF310" i="2"/>
  <c r="FY310" i="2" s="1"/>
  <c r="FE310" i="2"/>
  <c r="FD310" i="2"/>
  <c r="FC310" i="2"/>
  <c r="FB310" i="2"/>
  <c r="ED310" i="2"/>
  <c r="EW310" i="2" s="1"/>
  <c r="DZ310" i="2"/>
  <c r="AD310" i="2"/>
  <c r="HC309" i="2"/>
  <c r="HB309" i="2"/>
  <c r="GW309" i="2"/>
  <c r="GV309" i="2"/>
  <c r="GU309" i="2"/>
  <c r="GT309" i="2"/>
  <c r="GP309" i="2"/>
  <c r="GO309" i="2"/>
  <c r="FX309" i="2"/>
  <c r="FT309" i="2"/>
  <c r="FS309" i="2"/>
  <c r="GL309" i="2" s="1"/>
  <c r="FQ309" i="2"/>
  <c r="GJ309" i="2" s="1"/>
  <c r="FP309" i="2"/>
  <c r="GI309" i="2" s="1"/>
  <c r="FO309" i="2"/>
  <c r="FN309" i="2"/>
  <c r="FM309" i="2"/>
  <c r="FL309" i="2"/>
  <c r="FK309" i="2"/>
  <c r="FJ309" i="2"/>
  <c r="FI309" i="2"/>
  <c r="GB309" i="2" s="1"/>
  <c r="FH309" i="2"/>
  <c r="FG309" i="2"/>
  <c r="FF309" i="2"/>
  <c r="FY309" i="2" s="1"/>
  <c r="FE309" i="2"/>
  <c r="FD309" i="2"/>
  <c r="FC309" i="2"/>
  <c r="FB309" i="2"/>
  <c r="EZ309" i="2"/>
  <c r="EW309" i="2"/>
  <c r="EM309" i="2"/>
  <c r="EL309" i="2"/>
  <c r="EH309" i="2"/>
  <c r="EG309" i="2"/>
  <c r="EE309" i="2"/>
  <c r="EX309" i="2" s="1"/>
  <c r="ED309" i="2"/>
  <c r="EC309" i="2"/>
  <c r="EB309" i="2"/>
  <c r="EA309" i="2"/>
  <c r="DZ309" i="2"/>
  <c r="DY309" i="2"/>
  <c r="DX309" i="2"/>
  <c r="DW309" i="2"/>
  <c r="EP309" i="2" s="1"/>
  <c r="DV309" i="2"/>
  <c r="DU309" i="2"/>
  <c r="DT309" i="2"/>
  <c r="DS309" i="2"/>
  <c r="DR309" i="2"/>
  <c r="DQ309" i="2"/>
  <c r="DP309" i="2"/>
  <c r="DM309" i="2"/>
  <c r="DL309" i="2"/>
  <c r="HC308" i="2"/>
  <c r="HB308" i="2"/>
  <c r="GW308" i="2"/>
  <c r="GT308" i="2"/>
  <c r="GJ308" i="2"/>
  <c r="GI308" i="2"/>
  <c r="GB308" i="2"/>
  <c r="FY308" i="2"/>
  <c r="FX308" i="2"/>
  <c r="FT308" i="2"/>
  <c r="FS308" i="2"/>
  <c r="GL308" i="2" s="1"/>
  <c r="FQ308" i="2"/>
  <c r="FP308" i="2"/>
  <c r="FO308" i="2"/>
  <c r="FN308" i="2"/>
  <c r="FM308" i="2"/>
  <c r="FL308" i="2"/>
  <c r="FK308" i="2"/>
  <c r="FJ308" i="2"/>
  <c r="FI308" i="2"/>
  <c r="FH308" i="2"/>
  <c r="FG308" i="2"/>
  <c r="FF308" i="2"/>
  <c r="FE308" i="2"/>
  <c r="FD308" i="2"/>
  <c r="FC308" i="2"/>
  <c r="FB308" i="2"/>
  <c r="EG308" i="2"/>
  <c r="EZ308" i="2" s="1"/>
  <c r="EB308" i="2"/>
  <c r="AY308" i="2"/>
  <c r="AD308" i="2"/>
  <c r="HC307" i="2"/>
  <c r="HB307" i="2"/>
  <c r="GW307" i="2"/>
  <c r="GV307" i="2"/>
  <c r="GU307" i="2"/>
  <c r="GT307" i="2"/>
  <c r="GP307" i="2"/>
  <c r="GO307" i="2"/>
  <c r="GL307" i="2"/>
  <c r="GI307" i="2"/>
  <c r="GB307" i="2"/>
  <c r="FY307" i="2"/>
  <c r="FT307" i="2"/>
  <c r="FS307" i="2"/>
  <c r="FQ307" i="2"/>
  <c r="GJ307" i="2" s="1"/>
  <c r="FP307" i="2"/>
  <c r="FO307" i="2"/>
  <c r="FN307" i="2"/>
  <c r="FM307" i="2"/>
  <c r="FL307" i="2"/>
  <c r="FK307" i="2"/>
  <c r="FJ307" i="2"/>
  <c r="FI307" i="2"/>
  <c r="FH307" i="2"/>
  <c r="FG307" i="2"/>
  <c r="FF307" i="2"/>
  <c r="FE307" i="2"/>
  <c r="FX307" i="2" s="1"/>
  <c r="FD307" i="2"/>
  <c r="FC307" i="2"/>
  <c r="FB307" i="2"/>
  <c r="EP307" i="2"/>
  <c r="EH307" i="2"/>
  <c r="EG307" i="2"/>
  <c r="EZ307" i="2" s="1"/>
  <c r="EE307" i="2"/>
  <c r="EX307" i="2" s="1"/>
  <c r="ED307" i="2"/>
  <c r="EW307" i="2" s="1"/>
  <c r="EC307" i="2"/>
  <c r="EB307" i="2"/>
  <c r="EA307" i="2"/>
  <c r="DZ307" i="2"/>
  <c r="DY307" i="2"/>
  <c r="DX307" i="2"/>
  <c r="DW307" i="2"/>
  <c r="DV307" i="2"/>
  <c r="DU307" i="2"/>
  <c r="DT307" i="2"/>
  <c r="EM307" i="2" s="1"/>
  <c r="DS307" i="2"/>
  <c r="EL307" i="2" s="1"/>
  <c r="DR307" i="2"/>
  <c r="DQ307" i="2"/>
  <c r="DP307" i="2"/>
  <c r="DM307" i="2"/>
  <c r="DL307" i="2"/>
  <c r="HC306" i="2"/>
  <c r="HB306" i="2"/>
  <c r="GW306" i="2"/>
  <c r="GT306" i="2"/>
  <c r="GJ306" i="2"/>
  <c r="FT306" i="2"/>
  <c r="FS306" i="2"/>
  <c r="GL306" i="2" s="1"/>
  <c r="FQ306" i="2"/>
  <c r="FP306" i="2"/>
  <c r="GI306" i="2" s="1"/>
  <c r="FO306" i="2"/>
  <c r="FN306" i="2"/>
  <c r="FM306" i="2"/>
  <c r="FL306" i="2"/>
  <c r="FK306" i="2"/>
  <c r="FJ306" i="2"/>
  <c r="FI306" i="2"/>
  <c r="GB306" i="2" s="1"/>
  <c r="FH306" i="2"/>
  <c r="FG306" i="2"/>
  <c r="FF306" i="2"/>
  <c r="FY306" i="2" s="1"/>
  <c r="FE306" i="2"/>
  <c r="FX306" i="2" s="1"/>
  <c r="FD306" i="2"/>
  <c r="FC306" i="2"/>
  <c r="FB306" i="2"/>
  <c r="BH306" i="2"/>
  <c r="AZ306" i="2"/>
  <c r="AY306" i="2"/>
  <c r="AM306" i="2"/>
  <c r="AL306" i="2"/>
  <c r="AE306" i="2"/>
  <c r="AD306" i="2"/>
  <c r="HC305" i="2"/>
  <c r="HB305" i="2"/>
  <c r="GW305" i="2"/>
  <c r="GV305" i="2"/>
  <c r="GU305" i="2"/>
  <c r="GT305" i="2"/>
  <c r="GP305" i="2"/>
  <c r="GO305" i="2"/>
  <c r="GB305" i="2"/>
  <c r="FT305" i="2"/>
  <c r="FS305" i="2"/>
  <c r="GL305" i="2" s="1"/>
  <c r="FQ305" i="2"/>
  <c r="GJ305" i="2" s="1"/>
  <c r="FP305" i="2"/>
  <c r="GI305" i="2" s="1"/>
  <c r="FO305" i="2"/>
  <c r="FN305" i="2"/>
  <c r="FM305" i="2"/>
  <c r="FL305" i="2"/>
  <c r="FK305" i="2"/>
  <c r="FJ305" i="2"/>
  <c r="FI305" i="2"/>
  <c r="FH305" i="2"/>
  <c r="FG305" i="2"/>
  <c r="FF305" i="2"/>
  <c r="FY305" i="2" s="1"/>
  <c r="FE305" i="2"/>
  <c r="FX305" i="2" s="1"/>
  <c r="FD305" i="2"/>
  <c r="FC305" i="2"/>
  <c r="FB305" i="2"/>
  <c r="EX305" i="2"/>
  <c r="EW305" i="2"/>
  <c r="EM305" i="2"/>
  <c r="EL305" i="2"/>
  <c r="EH305" i="2"/>
  <c r="EG305" i="2"/>
  <c r="EZ305" i="2" s="1"/>
  <c r="EE305" i="2"/>
  <c r="ED305" i="2"/>
  <c r="EC305" i="2"/>
  <c r="EB305" i="2"/>
  <c r="EA305" i="2"/>
  <c r="DZ305" i="2"/>
  <c r="DY305" i="2"/>
  <c r="DX305" i="2"/>
  <c r="DW305" i="2"/>
  <c r="EP305" i="2" s="1"/>
  <c r="DV305" i="2"/>
  <c r="DU305" i="2"/>
  <c r="DT305" i="2"/>
  <c r="DS305" i="2"/>
  <c r="DR305" i="2"/>
  <c r="DQ305" i="2"/>
  <c r="DP305" i="2"/>
  <c r="DM305" i="2"/>
  <c r="DL305" i="2"/>
  <c r="HC304" i="2"/>
  <c r="HB304" i="2"/>
  <c r="GW304" i="2"/>
  <c r="GT304" i="2"/>
  <c r="GO304" i="2"/>
  <c r="GL304" i="2"/>
  <c r="GB304" i="2"/>
  <c r="FT304" i="2"/>
  <c r="FS304" i="2"/>
  <c r="FQ304" i="2"/>
  <c r="GJ304" i="2" s="1"/>
  <c r="FP304" i="2"/>
  <c r="GI304" i="2" s="1"/>
  <c r="FO304" i="2"/>
  <c r="FN304" i="2"/>
  <c r="FM304" i="2"/>
  <c r="FL304" i="2"/>
  <c r="FK304" i="2"/>
  <c r="FJ304" i="2"/>
  <c r="FI304" i="2"/>
  <c r="FH304" i="2"/>
  <c r="FG304" i="2"/>
  <c r="FF304" i="2"/>
  <c r="FY304" i="2" s="1"/>
  <c r="FE304" i="2"/>
  <c r="FX304" i="2" s="1"/>
  <c r="FD304" i="2"/>
  <c r="FC304" i="2"/>
  <c r="FB304" i="2"/>
  <c r="EL304" i="2"/>
  <c r="EC304" i="2"/>
  <c r="EA304" i="2"/>
  <c r="DY304" i="2"/>
  <c r="DS304" i="2"/>
  <c r="DQ304" i="2"/>
  <c r="DM304" i="2"/>
  <c r="BH304" i="2"/>
  <c r="AZ304" i="2"/>
  <c r="AY304" i="2"/>
  <c r="BG304" i="2" s="1"/>
  <c r="GV304" i="2" s="1"/>
  <c r="AM304" i="2"/>
  <c r="DX304" i="2" s="1"/>
  <c r="AE304" i="2"/>
  <c r="DP304" i="2" s="1"/>
  <c r="AD304" i="2"/>
  <c r="EH304" i="2" s="1"/>
  <c r="HC303" i="2"/>
  <c r="HB303" i="2"/>
  <c r="GW303" i="2"/>
  <c r="GU303" i="2"/>
  <c r="GT303" i="2"/>
  <c r="GO303" i="2"/>
  <c r="GL303" i="2"/>
  <c r="GJ303" i="2"/>
  <c r="GI303" i="2"/>
  <c r="GB303" i="2"/>
  <c r="FY303" i="2"/>
  <c r="FX303" i="2"/>
  <c r="FT303" i="2"/>
  <c r="FS303" i="2"/>
  <c r="FQ303" i="2"/>
  <c r="FP303" i="2"/>
  <c r="FO303" i="2"/>
  <c r="FN303" i="2"/>
  <c r="FM303" i="2"/>
  <c r="FL303" i="2"/>
  <c r="FK303" i="2"/>
  <c r="FI303" i="2"/>
  <c r="FH303" i="2"/>
  <c r="FG303" i="2"/>
  <c r="FF303" i="2"/>
  <c r="FE303" i="2"/>
  <c r="FD303" i="2"/>
  <c r="FC303" i="2"/>
  <c r="FB303" i="2"/>
  <c r="EH303" i="2"/>
  <c r="EG303" i="2"/>
  <c r="EZ303" i="2" s="1"/>
  <c r="EB303" i="2"/>
  <c r="DZ303" i="2"/>
  <c r="DY303" i="2"/>
  <c r="DV303" i="2"/>
  <c r="DR303" i="2"/>
  <c r="DP303" i="2"/>
  <c r="CX303" i="2"/>
  <c r="FJ303" i="2" s="1"/>
  <c r="BH303" i="2"/>
  <c r="DM303" i="2" s="1"/>
  <c r="AY303" i="2"/>
  <c r="BG303" i="2" s="1"/>
  <c r="AM303" i="2"/>
  <c r="AL303" i="2"/>
  <c r="AD303" i="2"/>
  <c r="EE303" i="2" s="1"/>
  <c r="EX303" i="2" s="1"/>
  <c r="HC302" i="2"/>
  <c r="HB302" i="2"/>
  <c r="GW302" i="2"/>
  <c r="GV302" i="2"/>
  <c r="GU302" i="2"/>
  <c r="GT302" i="2"/>
  <c r="GO302" i="2"/>
  <c r="GL302" i="2"/>
  <c r="GJ302" i="2"/>
  <c r="GB302" i="2"/>
  <c r="FT302" i="2"/>
  <c r="FS302" i="2"/>
  <c r="FQ302" i="2"/>
  <c r="FP302" i="2"/>
  <c r="GI302" i="2" s="1"/>
  <c r="FO302" i="2"/>
  <c r="FN302" i="2"/>
  <c r="FM302" i="2"/>
  <c r="FL302" i="2"/>
  <c r="FK302" i="2"/>
  <c r="FJ302" i="2"/>
  <c r="FI302" i="2"/>
  <c r="FH302" i="2"/>
  <c r="FG302" i="2"/>
  <c r="FF302" i="2"/>
  <c r="FY302" i="2" s="1"/>
  <c r="FE302" i="2"/>
  <c r="FX302" i="2" s="1"/>
  <c r="FD302" i="2"/>
  <c r="FC302" i="2"/>
  <c r="FB302" i="2"/>
  <c r="EZ302" i="2"/>
  <c r="EX302" i="2"/>
  <c r="EW302" i="2"/>
  <c r="EP302" i="2"/>
  <c r="EM302" i="2"/>
  <c r="EL302" i="2"/>
  <c r="EH302" i="2"/>
  <c r="EG302" i="2"/>
  <c r="EE302" i="2"/>
  <c r="ED302" i="2"/>
  <c r="EC302" i="2"/>
  <c r="EB302" i="2"/>
  <c r="EA302" i="2"/>
  <c r="DZ302" i="2"/>
  <c r="DY302" i="2"/>
  <c r="DX302" i="2"/>
  <c r="DW302" i="2"/>
  <c r="DV302" i="2"/>
  <c r="DU302" i="2"/>
  <c r="DT302" i="2"/>
  <c r="DS302" i="2"/>
  <c r="DR302" i="2"/>
  <c r="DQ302" i="2"/>
  <c r="DP302" i="2"/>
  <c r="DM302" i="2"/>
  <c r="DL302" i="2"/>
  <c r="HB301" i="2"/>
  <c r="GW301" i="2"/>
  <c r="GV301" i="2"/>
  <c r="GU301" i="2"/>
  <c r="GT301" i="2"/>
  <c r="GL301" i="2"/>
  <c r="GJ301" i="2"/>
  <c r="GI301" i="2"/>
  <c r="FY301" i="2"/>
  <c r="FT301" i="2"/>
  <c r="FS301" i="2"/>
  <c r="FQ301" i="2"/>
  <c r="FP301" i="2"/>
  <c r="FO301" i="2"/>
  <c r="FN301" i="2"/>
  <c r="FM301" i="2"/>
  <c r="FK301" i="2"/>
  <c r="FJ301" i="2"/>
  <c r="FH301" i="2"/>
  <c r="FG301" i="2"/>
  <c r="FF301" i="2"/>
  <c r="FE301" i="2"/>
  <c r="FX301" i="2" s="1"/>
  <c r="FD301" i="2"/>
  <c r="FC301" i="2"/>
  <c r="EL301" i="2"/>
  <c r="EH301" i="2"/>
  <c r="EC301" i="2"/>
  <c r="EA301" i="2"/>
  <c r="DZ301" i="2"/>
  <c r="DY301" i="2"/>
  <c r="DX301" i="2"/>
  <c r="DW301" i="2"/>
  <c r="EP301" i="2" s="1"/>
  <c r="DS301" i="2"/>
  <c r="DQ301" i="2"/>
  <c r="DP301" i="2"/>
  <c r="DM301" i="2"/>
  <c r="DL301" i="2"/>
  <c r="CW301" i="2"/>
  <c r="CO301" i="2"/>
  <c r="FL301" i="2" s="1"/>
  <c r="BG301" i="2"/>
  <c r="AY301" i="2"/>
  <c r="AL301" i="2"/>
  <c r="AD301" i="2"/>
  <c r="EG301" i="2" s="1"/>
  <c r="EZ301" i="2" s="1"/>
  <c r="HC300" i="2"/>
  <c r="HB300" i="2"/>
  <c r="GW300" i="2"/>
  <c r="GX300" i="2" s="1"/>
  <c r="GY300" i="2" s="1"/>
  <c r="GV300" i="2"/>
  <c r="GT300" i="2"/>
  <c r="GO300" i="2"/>
  <c r="GJ300" i="2"/>
  <c r="GI300" i="2"/>
  <c r="FY300" i="2"/>
  <c r="FX300" i="2"/>
  <c r="FT300" i="2"/>
  <c r="FS300" i="2"/>
  <c r="GL300" i="2" s="1"/>
  <c r="FQ300" i="2"/>
  <c r="FP300" i="2"/>
  <c r="FO300" i="2"/>
  <c r="FN300" i="2"/>
  <c r="FM300" i="2"/>
  <c r="FL300" i="2"/>
  <c r="FK300" i="2"/>
  <c r="FJ300" i="2"/>
  <c r="FI300" i="2"/>
  <c r="GB300" i="2" s="1"/>
  <c r="FH300" i="2"/>
  <c r="FG300" i="2"/>
  <c r="FF300" i="2"/>
  <c r="FE300" i="2"/>
  <c r="FD300" i="2"/>
  <c r="FC300" i="2"/>
  <c r="FB300" i="2"/>
  <c r="EW300" i="2"/>
  <c r="EM300" i="2"/>
  <c r="ED300" i="2"/>
  <c r="EB300" i="2"/>
  <c r="DT300" i="2"/>
  <c r="DR300" i="2"/>
  <c r="AD300" i="2"/>
  <c r="EA300" i="2" s="1"/>
  <c r="HC299" i="2"/>
  <c r="HB299" i="2"/>
  <c r="GW299" i="2"/>
  <c r="GV299" i="2"/>
  <c r="GU299" i="2"/>
  <c r="GT299" i="2"/>
  <c r="GP299" i="2"/>
  <c r="GO299" i="2"/>
  <c r="GQ299" i="2" s="1"/>
  <c r="GL299" i="2"/>
  <c r="GJ299" i="2"/>
  <c r="GB299" i="2"/>
  <c r="FT299" i="2"/>
  <c r="FS299" i="2"/>
  <c r="FQ299" i="2"/>
  <c r="FP299" i="2"/>
  <c r="GI299" i="2" s="1"/>
  <c r="FO299" i="2"/>
  <c r="FN299" i="2"/>
  <c r="FM299" i="2"/>
  <c r="FL299" i="2"/>
  <c r="FK299" i="2"/>
  <c r="FJ299" i="2"/>
  <c r="FI299" i="2"/>
  <c r="FH299" i="2"/>
  <c r="FG299" i="2"/>
  <c r="FF299" i="2"/>
  <c r="FY299" i="2" s="1"/>
  <c r="FE299" i="2"/>
  <c r="FX299" i="2" s="1"/>
  <c r="FD299" i="2"/>
  <c r="FC299" i="2"/>
  <c r="FB299" i="2"/>
  <c r="EZ299" i="2"/>
  <c r="EX299" i="2"/>
  <c r="EW299" i="2"/>
  <c r="EP299" i="2"/>
  <c r="EM299" i="2"/>
  <c r="EL299" i="2"/>
  <c r="EH299" i="2"/>
  <c r="EG299" i="2"/>
  <c r="EE299" i="2"/>
  <c r="ED299" i="2"/>
  <c r="EC299" i="2"/>
  <c r="EB299" i="2"/>
  <c r="EA299" i="2"/>
  <c r="DZ299" i="2"/>
  <c r="DY299" i="2"/>
  <c r="DX299" i="2"/>
  <c r="DW299" i="2"/>
  <c r="DV299" i="2"/>
  <c r="DU299" i="2"/>
  <c r="DT299" i="2"/>
  <c r="DS299" i="2"/>
  <c r="DR299" i="2"/>
  <c r="DQ299" i="2"/>
  <c r="DP299" i="2"/>
  <c r="DM299" i="2"/>
  <c r="DL299" i="2"/>
  <c r="HB298" i="2"/>
  <c r="GW298" i="2"/>
  <c r="GU298" i="2"/>
  <c r="GL298" i="2"/>
  <c r="GJ298" i="2"/>
  <c r="FT298" i="2"/>
  <c r="FS298" i="2"/>
  <c r="FQ298" i="2"/>
  <c r="FP298" i="2"/>
  <c r="GI298" i="2" s="1"/>
  <c r="FO298" i="2"/>
  <c r="FN298" i="2"/>
  <c r="FJ298" i="2"/>
  <c r="FH298" i="2"/>
  <c r="FG298" i="2"/>
  <c r="FF298" i="2"/>
  <c r="FY298" i="2" s="1"/>
  <c r="FE298" i="2"/>
  <c r="FX298" i="2" s="1"/>
  <c r="FD298" i="2"/>
  <c r="DZ298" i="2"/>
  <c r="CO298" i="2"/>
  <c r="FM298" i="2" s="1"/>
  <c r="AY298" i="2"/>
  <c r="BG298" i="2" s="1"/>
  <c r="GV298" i="2" s="1"/>
  <c r="AD298" i="2"/>
  <c r="AL298" i="2" s="1"/>
  <c r="I298" i="2"/>
  <c r="HC297" i="2"/>
  <c r="HB297" i="2"/>
  <c r="GX297" i="2"/>
  <c r="GW297" i="2"/>
  <c r="GY297" i="2" s="1"/>
  <c r="GT297" i="2"/>
  <c r="GL297" i="2"/>
  <c r="GJ297" i="2"/>
  <c r="GI297" i="2"/>
  <c r="GB297" i="2"/>
  <c r="FY297" i="2"/>
  <c r="FX297" i="2"/>
  <c r="FT297" i="2"/>
  <c r="FS297" i="2"/>
  <c r="FQ297" i="2"/>
  <c r="FP297" i="2"/>
  <c r="FO297" i="2"/>
  <c r="FN297" i="2"/>
  <c r="FM297" i="2"/>
  <c r="FL297" i="2"/>
  <c r="FK297" i="2"/>
  <c r="FJ297" i="2"/>
  <c r="FI297" i="2"/>
  <c r="FH297" i="2"/>
  <c r="FG297" i="2"/>
  <c r="FF297" i="2"/>
  <c r="FE297" i="2"/>
  <c r="FD297" i="2"/>
  <c r="FC297" i="2"/>
  <c r="FB297" i="2"/>
  <c r="EH297" i="2"/>
  <c r="EE297" i="2"/>
  <c r="EX297" i="2" s="1"/>
  <c r="DY297" i="2"/>
  <c r="DU297" i="2"/>
  <c r="DM297" i="2"/>
  <c r="BG297" i="2"/>
  <c r="GV297" i="2" s="1"/>
  <c r="AY297" i="2"/>
  <c r="EC297" i="2" s="1"/>
  <c r="AL297" i="2"/>
  <c r="AD297" i="2"/>
  <c r="Q297" i="2"/>
  <c r="I297" i="2"/>
  <c r="ED297" i="2" s="1"/>
  <c r="EW297" i="2" s="1"/>
  <c r="HC296" i="2"/>
  <c r="HB296" i="2"/>
  <c r="GW296" i="2"/>
  <c r="GV296" i="2"/>
  <c r="GU296" i="2"/>
  <c r="GT296" i="2"/>
  <c r="GO296" i="2"/>
  <c r="GL296" i="2"/>
  <c r="GJ296" i="2"/>
  <c r="GI296" i="2"/>
  <c r="GB296" i="2"/>
  <c r="FY296" i="2"/>
  <c r="FX296" i="2"/>
  <c r="FT296" i="2"/>
  <c r="FS296" i="2"/>
  <c r="FQ296" i="2"/>
  <c r="FP296" i="2"/>
  <c r="FO296" i="2"/>
  <c r="FN296" i="2"/>
  <c r="FM296" i="2"/>
  <c r="FL296" i="2"/>
  <c r="FK296" i="2"/>
  <c r="FJ296" i="2"/>
  <c r="FI296" i="2"/>
  <c r="FH296" i="2"/>
  <c r="FG296" i="2"/>
  <c r="FF296" i="2"/>
  <c r="FE296" i="2"/>
  <c r="FD296" i="2"/>
  <c r="FC296" i="2"/>
  <c r="FB296" i="2"/>
  <c r="EX296" i="2"/>
  <c r="EW296" i="2"/>
  <c r="EM296" i="2"/>
  <c r="EL296" i="2"/>
  <c r="EH296" i="2"/>
  <c r="EG296" i="2"/>
  <c r="EZ296" i="2" s="1"/>
  <c r="EE296" i="2"/>
  <c r="ED296" i="2"/>
  <c r="EC296" i="2"/>
  <c r="EB296" i="2"/>
  <c r="EA296" i="2"/>
  <c r="DZ296" i="2"/>
  <c r="DY296" i="2"/>
  <c r="DX296" i="2"/>
  <c r="DW296" i="2"/>
  <c r="EP296" i="2" s="1"/>
  <c r="DV296" i="2"/>
  <c r="DU296" i="2"/>
  <c r="DT296" i="2"/>
  <c r="DS296" i="2"/>
  <c r="DR296" i="2"/>
  <c r="DQ296" i="2"/>
  <c r="DP296" i="2"/>
  <c r="DM296" i="2"/>
  <c r="DL296" i="2"/>
  <c r="HC295" i="2"/>
  <c r="HB295" i="2"/>
  <c r="GW295" i="2"/>
  <c r="GT295" i="2"/>
  <c r="GP295" i="2"/>
  <c r="GO295" i="2"/>
  <c r="GQ295" i="2" s="1"/>
  <c r="GI295" i="2"/>
  <c r="FY295" i="2"/>
  <c r="FX295" i="2"/>
  <c r="FT295" i="2"/>
  <c r="FS295" i="2"/>
  <c r="GL295" i="2" s="1"/>
  <c r="FQ295" i="2"/>
  <c r="GJ295" i="2" s="1"/>
  <c r="FP295" i="2"/>
  <c r="FO295" i="2"/>
  <c r="FN295" i="2"/>
  <c r="FM295" i="2"/>
  <c r="FL295" i="2"/>
  <c r="FK295" i="2"/>
  <c r="FJ295" i="2"/>
  <c r="FI295" i="2"/>
  <c r="GB295" i="2" s="1"/>
  <c r="FH295" i="2"/>
  <c r="FG295" i="2"/>
  <c r="FF295" i="2"/>
  <c r="FE295" i="2"/>
  <c r="FD295" i="2"/>
  <c r="FC295" i="2"/>
  <c r="FB295" i="2"/>
  <c r="EX295" i="2"/>
  <c r="EL295" i="2"/>
  <c r="EE295" i="2"/>
  <c r="EC295" i="2"/>
  <c r="EB295" i="2"/>
  <c r="EA295" i="2"/>
  <c r="DU295" i="2"/>
  <c r="DS295" i="2"/>
  <c r="DR295" i="2"/>
  <c r="DQ295" i="2"/>
  <c r="BG295" i="2"/>
  <c r="GV295" i="2" s="1"/>
  <c r="AY295" i="2"/>
  <c r="AL295" i="2"/>
  <c r="GU295" i="2" s="1"/>
  <c r="AD295" i="2"/>
  <c r="DZ295" i="2" s="1"/>
  <c r="HC294" i="2"/>
  <c r="HB294" i="2"/>
  <c r="GW294" i="2"/>
  <c r="GV294" i="2"/>
  <c r="GU294" i="2"/>
  <c r="GT294" i="2"/>
  <c r="GO294" i="2"/>
  <c r="GL294" i="2"/>
  <c r="GB294" i="2"/>
  <c r="FX294" i="2"/>
  <c r="FT294" i="2"/>
  <c r="FS294" i="2"/>
  <c r="FQ294" i="2"/>
  <c r="GJ294" i="2" s="1"/>
  <c r="FP294" i="2"/>
  <c r="GI294" i="2" s="1"/>
  <c r="FO294" i="2"/>
  <c r="FN294" i="2"/>
  <c r="FM294" i="2"/>
  <c r="FL294" i="2"/>
  <c r="FK294" i="2"/>
  <c r="FJ294" i="2"/>
  <c r="FI294" i="2"/>
  <c r="FH294" i="2"/>
  <c r="FG294" i="2"/>
  <c r="FF294" i="2"/>
  <c r="FY294" i="2" s="1"/>
  <c r="FE294" i="2"/>
  <c r="FD294" i="2"/>
  <c r="FC294" i="2"/>
  <c r="FB294" i="2"/>
  <c r="EZ294" i="2"/>
  <c r="EX294" i="2"/>
  <c r="EW294" i="2"/>
  <c r="EP294" i="2"/>
  <c r="EM294" i="2"/>
  <c r="EL294" i="2"/>
  <c r="EH294" i="2"/>
  <c r="EG294" i="2"/>
  <c r="EE294" i="2"/>
  <c r="ED294" i="2"/>
  <c r="EC294" i="2"/>
  <c r="EB294" i="2"/>
  <c r="EA294" i="2"/>
  <c r="DZ294" i="2"/>
  <c r="DY294" i="2"/>
  <c r="DX294" i="2"/>
  <c r="DW294" i="2"/>
  <c r="DV294" i="2"/>
  <c r="DU294" i="2"/>
  <c r="DT294" i="2"/>
  <c r="DS294" i="2"/>
  <c r="DR294" i="2"/>
  <c r="DQ294" i="2"/>
  <c r="DP294" i="2"/>
  <c r="DM294" i="2"/>
  <c r="DL294" i="2"/>
  <c r="HC293" i="2"/>
  <c r="HB293" i="2"/>
  <c r="GW293" i="2"/>
  <c r="GV293" i="2"/>
  <c r="GU293" i="2"/>
  <c r="GT293" i="2"/>
  <c r="GP293" i="2"/>
  <c r="GO293" i="2"/>
  <c r="GQ293" i="2" s="1"/>
  <c r="GL293" i="2"/>
  <c r="GJ293" i="2"/>
  <c r="GI293" i="2"/>
  <c r="GB293" i="2"/>
  <c r="FY293" i="2"/>
  <c r="FX293" i="2"/>
  <c r="FT293" i="2"/>
  <c r="FS293" i="2"/>
  <c r="FQ293" i="2"/>
  <c r="FP293" i="2"/>
  <c r="FO293" i="2"/>
  <c r="FN293" i="2"/>
  <c r="FM293" i="2"/>
  <c r="FL293" i="2"/>
  <c r="FK293" i="2"/>
  <c r="FJ293" i="2"/>
  <c r="FI293" i="2"/>
  <c r="FH293" i="2"/>
  <c r="FG293" i="2"/>
  <c r="FF293" i="2"/>
  <c r="FE293" i="2"/>
  <c r="FD293" i="2"/>
  <c r="FC293" i="2"/>
  <c r="FB293" i="2"/>
  <c r="EW293" i="2"/>
  <c r="EP293" i="2"/>
  <c r="EM293" i="2"/>
  <c r="EL293" i="2"/>
  <c r="EH293" i="2"/>
  <c r="EG293" i="2"/>
  <c r="EZ293" i="2" s="1"/>
  <c r="EE293" i="2"/>
  <c r="EX293" i="2" s="1"/>
  <c r="ED293" i="2"/>
  <c r="EC293" i="2"/>
  <c r="EB293" i="2"/>
  <c r="EA293" i="2"/>
  <c r="DZ293" i="2"/>
  <c r="DY293" i="2"/>
  <c r="DX293" i="2"/>
  <c r="DW293" i="2"/>
  <c r="DV293" i="2"/>
  <c r="DU293" i="2"/>
  <c r="DT293" i="2"/>
  <c r="DS293" i="2"/>
  <c r="DR293" i="2"/>
  <c r="DQ293" i="2"/>
  <c r="DP293" i="2"/>
  <c r="DM293" i="2"/>
  <c r="DL293" i="2"/>
  <c r="HC292" i="2"/>
  <c r="HB292" i="2"/>
  <c r="GW292" i="2"/>
  <c r="GV292" i="2"/>
  <c r="GU292" i="2"/>
  <c r="GT292" i="2"/>
  <c r="GO292" i="2"/>
  <c r="GL292" i="2"/>
  <c r="GB292" i="2"/>
  <c r="FT292" i="2"/>
  <c r="FS292" i="2"/>
  <c r="FQ292" i="2"/>
  <c r="GJ292" i="2" s="1"/>
  <c r="FP292" i="2"/>
  <c r="GI292" i="2" s="1"/>
  <c r="FO292" i="2"/>
  <c r="FN292" i="2"/>
  <c r="FM292" i="2"/>
  <c r="FL292" i="2"/>
  <c r="FK292" i="2"/>
  <c r="FJ292" i="2"/>
  <c r="FI292" i="2"/>
  <c r="FH292" i="2"/>
  <c r="FG292" i="2"/>
  <c r="FF292" i="2"/>
  <c r="FY292" i="2" s="1"/>
  <c r="FE292" i="2"/>
  <c r="FX292" i="2" s="1"/>
  <c r="FD292" i="2"/>
  <c r="FC292" i="2"/>
  <c r="FB292" i="2"/>
  <c r="EZ292" i="2"/>
  <c r="EX292" i="2"/>
  <c r="EW292" i="2"/>
  <c r="EP292" i="2"/>
  <c r="EM292" i="2"/>
  <c r="EL292" i="2"/>
  <c r="EH292" i="2"/>
  <c r="EG292" i="2"/>
  <c r="EE292" i="2"/>
  <c r="ED292" i="2"/>
  <c r="EC292" i="2"/>
  <c r="EB292" i="2"/>
  <c r="EA292" i="2"/>
  <c r="DZ292" i="2"/>
  <c r="DY292" i="2"/>
  <c r="DX292" i="2"/>
  <c r="DW292" i="2"/>
  <c r="DV292" i="2"/>
  <c r="DU292" i="2"/>
  <c r="DT292" i="2"/>
  <c r="DS292" i="2"/>
  <c r="DR292" i="2"/>
  <c r="DQ292" i="2"/>
  <c r="DP292" i="2"/>
  <c r="DM292" i="2"/>
  <c r="DL292" i="2"/>
  <c r="HC291" i="2"/>
  <c r="HB291" i="2"/>
  <c r="GW291" i="2"/>
  <c r="GV291" i="2"/>
  <c r="GU291" i="2"/>
  <c r="GT291" i="2"/>
  <c r="GP291" i="2"/>
  <c r="GQ291" i="2" s="1"/>
  <c r="GO291" i="2"/>
  <c r="GL291" i="2"/>
  <c r="GJ291" i="2"/>
  <c r="GI291" i="2"/>
  <c r="GB291" i="2"/>
  <c r="FY291" i="2"/>
  <c r="FX291" i="2"/>
  <c r="FT291" i="2"/>
  <c r="FS291" i="2"/>
  <c r="FQ291" i="2"/>
  <c r="FP291" i="2"/>
  <c r="FO291" i="2"/>
  <c r="FN291" i="2"/>
  <c r="FM291" i="2"/>
  <c r="FL291" i="2"/>
  <c r="FK291" i="2"/>
  <c r="FJ291" i="2"/>
  <c r="FI291" i="2"/>
  <c r="FH291" i="2"/>
  <c r="FG291" i="2"/>
  <c r="FF291" i="2"/>
  <c r="FE291" i="2"/>
  <c r="FD291" i="2"/>
  <c r="FC291" i="2"/>
  <c r="FB291" i="2"/>
  <c r="EP291" i="2"/>
  <c r="EL291" i="2"/>
  <c r="EH291" i="2"/>
  <c r="EG291" i="2"/>
  <c r="EZ291" i="2" s="1"/>
  <c r="EE291" i="2"/>
  <c r="EX291" i="2" s="1"/>
  <c r="ED291" i="2"/>
  <c r="EW291" i="2" s="1"/>
  <c r="EC291" i="2"/>
  <c r="EB291" i="2"/>
  <c r="EA291" i="2"/>
  <c r="DZ291" i="2"/>
  <c r="DY291" i="2"/>
  <c r="DX291" i="2"/>
  <c r="DW291" i="2"/>
  <c r="DV291" i="2"/>
  <c r="DU291" i="2"/>
  <c r="DT291" i="2"/>
  <c r="EM291" i="2" s="1"/>
  <c r="DS291" i="2"/>
  <c r="DR291" i="2"/>
  <c r="DQ291" i="2"/>
  <c r="DP291" i="2"/>
  <c r="DM291" i="2"/>
  <c r="DL291" i="2"/>
  <c r="HC290" i="2"/>
  <c r="HB290" i="2"/>
  <c r="GW290" i="2"/>
  <c r="GU290" i="2"/>
  <c r="GT290" i="2"/>
  <c r="GO290" i="2"/>
  <c r="GL290" i="2"/>
  <c r="GB290" i="2"/>
  <c r="FT290" i="2"/>
  <c r="FS290" i="2"/>
  <c r="FQ290" i="2"/>
  <c r="GJ290" i="2" s="1"/>
  <c r="FP290" i="2"/>
  <c r="GI290" i="2" s="1"/>
  <c r="FO290" i="2"/>
  <c r="FN290" i="2"/>
  <c r="FM290" i="2"/>
  <c r="FL290" i="2"/>
  <c r="FK290" i="2"/>
  <c r="FJ290" i="2"/>
  <c r="FI290" i="2"/>
  <c r="FH290" i="2"/>
  <c r="FG290" i="2"/>
  <c r="FF290" i="2"/>
  <c r="FY290" i="2" s="1"/>
  <c r="FE290" i="2"/>
  <c r="FX290" i="2" s="1"/>
  <c r="FD290" i="2"/>
  <c r="FC290" i="2"/>
  <c r="FB290" i="2"/>
  <c r="EW290" i="2"/>
  <c r="EM290" i="2"/>
  <c r="ED290" i="2"/>
  <c r="EB290" i="2"/>
  <c r="DZ290" i="2"/>
  <c r="DT290" i="2"/>
  <c r="DR290" i="2"/>
  <c r="DP290" i="2"/>
  <c r="AY290" i="2"/>
  <c r="DY290" i="2" s="1"/>
  <c r="HC289" i="2"/>
  <c r="HB289" i="2"/>
  <c r="GX289" i="2"/>
  <c r="GY289" i="2" s="1"/>
  <c r="GW289" i="2"/>
  <c r="GV289" i="2"/>
  <c r="GU289" i="2"/>
  <c r="GT289" i="2"/>
  <c r="GP289" i="2"/>
  <c r="GO289" i="2"/>
  <c r="GQ289" i="2" s="1"/>
  <c r="FX289" i="2"/>
  <c r="FT289" i="2"/>
  <c r="FS289" i="2"/>
  <c r="GL289" i="2" s="1"/>
  <c r="FQ289" i="2"/>
  <c r="GJ289" i="2" s="1"/>
  <c r="FP289" i="2"/>
  <c r="GI289" i="2" s="1"/>
  <c r="FO289" i="2"/>
  <c r="FN289" i="2"/>
  <c r="FM289" i="2"/>
  <c r="FL289" i="2"/>
  <c r="FK289" i="2"/>
  <c r="FJ289" i="2"/>
  <c r="FI289" i="2"/>
  <c r="GB289" i="2" s="1"/>
  <c r="FH289" i="2"/>
  <c r="FG289" i="2"/>
  <c r="FF289" i="2"/>
  <c r="FY289" i="2" s="1"/>
  <c r="FE289" i="2"/>
  <c r="FD289" i="2"/>
  <c r="FC289" i="2"/>
  <c r="FB289" i="2"/>
  <c r="EZ289" i="2"/>
  <c r="EX289" i="2"/>
  <c r="EP289" i="2"/>
  <c r="EL289" i="2"/>
  <c r="EH289" i="2"/>
  <c r="EG289" i="2"/>
  <c r="EE289" i="2"/>
  <c r="ED289" i="2"/>
  <c r="EW289" i="2" s="1"/>
  <c r="EC289" i="2"/>
  <c r="EB289" i="2"/>
  <c r="EA289" i="2"/>
  <c r="DZ289" i="2"/>
  <c r="DY289" i="2"/>
  <c r="DX289" i="2"/>
  <c r="DW289" i="2"/>
  <c r="DV289" i="2"/>
  <c r="DU289" i="2"/>
  <c r="DT289" i="2"/>
  <c r="EM289" i="2" s="1"/>
  <c r="DS289" i="2"/>
  <c r="DR289" i="2"/>
  <c r="DQ289" i="2"/>
  <c r="DP289" i="2"/>
  <c r="DM289" i="2"/>
  <c r="DL289" i="2"/>
  <c r="HC288" i="2"/>
  <c r="HB288" i="2"/>
  <c r="GY288" i="2"/>
  <c r="GW288" i="2"/>
  <c r="GX288" i="2" s="1"/>
  <c r="GT288" i="2"/>
  <c r="GO288" i="2"/>
  <c r="FT288" i="2"/>
  <c r="FS288" i="2"/>
  <c r="GL288" i="2" s="1"/>
  <c r="FQ288" i="2"/>
  <c r="GJ288" i="2" s="1"/>
  <c r="FP288" i="2"/>
  <c r="GI288" i="2" s="1"/>
  <c r="FO288" i="2"/>
  <c r="FN288" i="2"/>
  <c r="FM288" i="2"/>
  <c r="FL288" i="2"/>
  <c r="FK288" i="2"/>
  <c r="FJ288" i="2"/>
  <c r="FI288" i="2"/>
  <c r="GB288" i="2" s="1"/>
  <c r="FH288" i="2"/>
  <c r="FG288" i="2"/>
  <c r="FF288" i="2"/>
  <c r="FY288" i="2" s="1"/>
  <c r="FE288" i="2"/>
  <c r="FX288" i="2" s="1"/>
  <c r="FD288" i="2"/>
  <c r="FC288" i="2"/>
  <c r="FB288" i="2"/>
  <c r="EB288" i="2"/>
  <c r="DZ288" i="2"/>
  <c r="DR288" i="2"/>
  <c r="DP288" i="2"/>
  <c r="AY288" i="2"/>
  <c r="BG288" i="2" s="1"/>
  <c r="GV288" i="2" s="1"/>
  <c r="AD288" i="2"/>
  <c r="DY288" i="2" s="1"/>
  <c r="GV287" i="2"/>
  <c r="GU287" i="2"/>
  <c r="GP287" i="2"/>
  <c r="FT287" i="2"/>
  <c r="FM287" i="2"/>
  <c r="FK287" i="2"/>
  <c r="FC287" i="2"/>
  <c r="EZ287" i="2"/>
  <c r="EX287" i="2"/>
  <c r="EH287" i="2"/>
  <c r="EG287" i="2"/>
  <c r="EE287" i="2"/>
  <c r="ED287" i="2"/>
  <c r="EW287" i="2" s="1"/>
  <c r="EC287" i="2"/>
  <c r="EA287" i="2"/>
  <c r="DY287" i="2"/>
  <c r="DX287" i="2"/>
  <c r="DV287" i="2"/>
  <c r="DU287" i="2"/>
  <c r="DT287" i="2"/>
  <c r="EM287" i="2" s="1"/>
  <c r="DS287" i="2"/>
  <c r="EL287" i="2" s="1"/>
  <c r="DQ287" i="2"/>
  <c r="DM287" i="2"/>
  <c r="CW287" i="2"/>
  <c r="HC287" i="2" s="1"/>
  <c r="CO287" i="2"/>
  <c r="CB287" i="2"/>
  <c r="HB287" i="2" s="1"/>
  <c r="BT287" i="2"/>
  <c r="FS287" i="2" s="1"/>
  <c r="GL287" i="2" s="1"/>
  <c r="Q287" i="2"/>
  <c r="I287" i="2"/>
  <c r="GO287" i="2" s="1"/>
  <c r="GW286" i="2"/>
  <c r="GL286" i="2"/>
  <c r="FY286" i="2"/>
  <c r="FS286" i="2"/>
  <c r="FP286" i="2"/>
  <c r="GI286" i="2" s="1"/>
  <c r="FN286" i="2"/>
  <c r="FH286" i="2"/>
  <c r="FF286" i="2"/>
  <c r="FD286" i="2"/>
  <c r="DZ286" i="2"/>
  <c r="DX286" i="2"/>
  <c r="CO286" i="2"/>
  <c r="CW286" i="2" s="1"/>
  <c r="HC286" i="2" s="1"/>
  <c r="BT286" i="2"/>
  <c r="FM286" i="2" s="1"/>
  <c r="AY286" i="2"/>
  <c r="BG286" i="2" s="1"/>
  <c r="GV286" i="2" s="1"/>
  <c r="AD286" i="2"/>
  <c r="AL286" i="2" s="1"/>
  <c r="GU286" i="2" s="1"/>
  <c r="I286" i="2"/>
  <c r="HC285" i="2"/>
  <c r="HB285" i="2"/>
  <c r="GW285" i="2"/>
  <c r="GV285" i="2"/>
  <c r="GU285" i="2"/>
  <c r="GT285" i="2"/>
  <c r="GP285" i="2"/>
  <c r="GQ285" i="2" s="1"/>
  <c r="GO285" i="2"/>
  <c r="GJ285" i="2"/>
  <c r="GI285" i="2"/>
  <c r="FY285" i="2"/>
  <c r="FX285" i="2"/>
  <c r="FT285" i="2"/>
  <c r="FS285" i="2"/>
  <c r="GL285" i="2" s="1"/>
  <c r="FQ285" i="2"/>
  <c r="FP285" i="2"/>
  <c r="FO285" i="2"/>
  <c r="FN285" i="2"/>
  <c r="FM285" i="2"/>
  <c r="FL285" i="2"/>
  <c r="FK285" i="2"/>
  <c r="FJ285" i="2"/>
  <c r="FI285" i="2"/>
  <c r="GB285" i="2" s="1"/>
  <c r="FH285" i="2"/>
  <c r="FG285" i="2"/>
  <c r="FF285" i="2"/>
  <c r="FE285" i="2"/>
  <c r="FD285" i="2"/>
  <c r="FC285" i="2"/>
  <c r="FB285" i="2"/>
  <c r="EZ285" i="2"/>
  <c r="EP285" i="2"/>
  <c r="EH285" i="2"/>
  <c r="EG285" i="2"/>
  <c r="EE285" i="2"/>
  <c r="EX285" i="2" s="1"/>
  <c r="ED285" i="2"/>
  <c r="EW285" i="2" s="1"/>
  <c r="EC285" i="2"/>
  <c r="EB285" i="2"/>
  <c r="EA285" i="2"/>
  <c r="DZ285" i="2"/>
  <c r="DY285" i="2"/>
  <c r="DX285" i="2"/>
  <c r="DW285" i="2"/>
  <c r="DV285" i="2"/>
  <c r="DU285" i="2"/>
  <c r="DT285" i="2"/>
  <c r="EM285" i="2" s="1"/>
  <c r="DS285" i="2"/>
  <c r="EL285" i="2" s="1"/>
  <c r="DR285" i="2"/>
  <c r="DQ285" i="2"/>
  <c r="DP285" i="2"/>
  <c r="DM285" i="2"/>
  <c r="DL285" i="2"/>
  <c r="HC284" i="2"/>
  <c r="HB284" i="2"/>
  <c r="GW284" i="2"/>
  <c r="GV284" i="2"/>
  <c r="GU284" i="2"/>
  <c r="GT284" i="2"/>
  <c r="GO284" i="2"/>
  <c r="GL284" i="2"/>
  <c r="GI284" i="2"/>
  <c r="FY284" i="2"/>
  <c r="FT284" i="2"/>
  <c r="FS284" i="2"/>
  <c r="FQ284" i="2"/>
  <c r="GJ284" i="2" s="1"/>
  <c r="FP284" i="2"/>
  <c r="FO284" i="2"/>
  <c r="FN284" i="2"/>
  <c r="FM284" i="2"/>
  <c r="FL284" i="2"/>
  <c r="FK284" i="2"/>
  <c r="FJ284" i="2"/>
  <c r="FI284" i="2"/>
  <c r="GB284" i="2" s="1"/>
  <c r="FH284" i="2"/>
  <c r="FG284" i="2"/>
  <c r="FF284" i="2"/>
  <c r="FE284" i="2"/>
  <c r="FX284" i="2" s="1"/>
  <c r="FD284" i="2"/>
  <c r="FC284" i="2"/>
  <c r="FB284" i="2"/>
  <c r="EZ284" i="2"/>
  <c r="EX284" i="2"/>
  <c r="EW284" i="2"/>
  <c r="EM284" i="2"/>
  <c r="EH284" i="2"/>
  <c r="EG284" i="2"/>
  <c r="EE284" i="2"/>
  <c r="ED284" i="2"/>
  <c r="EC284" i="2"/>
  <c r="EB284" i="2"/>
  <c r="EA284" i="2"/>
  <c r="DZ284" i="2"/>
  <c r="DY284" i="2"/>
  <c r="DX284" i="2"/>
  <c r="DW284" i="2"/>
  <c r="EP284" i="2" s="1"/>
  <c r="DV284" i="2"/>
  <c r="DU284" i="2"/>
  <c r="DT284" i="2"/>
  <c r="DS284" i="2"/>
  <c r="EL284" i="2" s="1"/>
  <c r="DR284" i="2"/>
  <c r="DQ284" i="2"/>
  <c r="DP284" i="2"/>
  <c r="DM284" i="2"/>
  <c r="DL284" i="2"/>
  <c r="HC283" i="2"/>
  <c r="HB283" i="2"/>
  <c r="GW283" i="2"/>
  <c r="GV283" i="2"/>
  <c r="GU283" i="2"/>
  <c r="GT283" i="2"/>
  <c r="GP283" i="2"/>
  <c r="GQ283" i="2" s="1"/>
  <c r="GO283" i="2"/>
  <c r="GJ283" i="2"/>
  <c r="GI283" i="2"/>
  <c r="FY283" i="2"/>
  <c r="FX283" i="2"/>
  <c r="FT283" i="2"/>
  <c r="FS283" i="2"/>
  <c r="GL283" i="2" s="1"/>
  <c r="FQ283" i="2"/>
  <c r="FP283" i="2"/>
  <c r="FO283" i="2"/>
  <c r="FN283" i="2"/>
  <c r="FM283" i="2"/>
  <c r="FL283" i="2"/>
  <c r="FK283" i="2"/>
  <c r="FJ283" i="2"/>
  <c r="FI283" i="2"/>
  <c r="GB283" i="2" s="1"/>
  <c r="FH283" i="2"/>
  <c r="FG283" i="2"/>
  <c r="FF283" i="2"/>
  <c r="FE283" i="2"/>
  <c r="FD283" i="2"/>
  <c r="FC283" i="2"/>
  <c r="FB283" i="2"/>
  <c r="EZ283" i="2"/>
  <c r="EX283" i="2"/>
  <c r="EP283" i="2"/>
  <c r="EH283" i="2"/>
  <c r="EG283" i="2"/>
  <c r="EE283" i="2"/>
  <c r="ED283" i="2"/>
  <c r="EW283" i="2" s="1"/>
  <c r="EC283" i="2"/>
  <c r="EB283" i="2"/>
  <c r="EA283" i="2"/>
  <c r="DZ283" i="2"/>
  <c r="DY283" i="2"/>
  <c r="DX283" i="2"/>
  <c r="DW283" i="2"/>
  <c r="DV283" i="2"/>
  <c r="DU283" i="2"/>
  <c r="DT283" i="2"/>
  <c r="EM283" i="2" s="1"/>
  <c r="DS283" i="2"/>
  <c r="EL283" i="2" s="1"/>
  <c r="DR283" i="2"/>
  <c r="DQ283" i="2"/>
  <c r="DP283" i="2"/>
  <c r="DM283" i="2"/>
  <c r="DL283" i="2"/>
  <c r="HC282" i="2"/>
  <c r="HB282" i="2"/>
  <c r="GW282" i="2"/>
  <c r="GV282" i="2"/>
  <c r="GU282" i="2"/>
  <c r="GT282" i="2"/>
  <c r="GO282" i="2"/>
  <c r="GL282" i="2"/>
  <c r="GJ282" i="2"/>
  <c r="FT282" i="2"/>
  <c r="FS282" i="2"/>
  <c r="FQ282" i="2"/>
  <c r="FP282" i="2"/>
  <c r="GI282" i="2" s="1"/>
  <c r="FO282" i="2"/>
  <c r="FN282" i="2"/>
  <c r="FM282" i="2"/>
  <c r="FL282" i="2"/>
  <c r="FK282" i="2"/>
  <c r="FJ282" i="2"/>
  <c r="FI282" i="2"/>
  <c r="GB282" i="2" s="1"/>
  <c r="FH282" i="2"/>
  <c r="FG282" i="2"/>
  <c r="FF282" i="2"/>
  <c r="FY282" i="2" s="1"/>
  <c r="FE282" i="2"/>
  <c r="FX282" i="2" s="1"/>
  <c r="FD282" i="2"/>
  <c r="FC282" i="2"/>
  <c r="FB282" i="2"/>
  <c r="EZ282" i="2"/>
  <c r="EX282" i="2"/>
  <c r="EW282" i="2"/>
  <c r="EM282" i="2"/>
  <c r="EH282" i="2"/>
  <c r="EG282" i="2"/>
  <c r="EE282" i="2"/>
  <c r="ED282" i="2"/>
  <c r="EC282" i="2"/>
  <c r="EB282" i="2"/>
  <c r="EA282" i="2"/>
  <c r="DZ282" i="2"/>
  <c r="DY282" i="2"/>
  <c r="DX282" i="2"/>
  <c r="DW282" i="2"/>
  <c r="EP282" i="2" s="1"/>
  <c r="DV282" i="2"/>
  <c r="DU282" i="2"/>
  <c r="DT282" i="2"/>
  <c r="DS282" i="2"/>
  <c r="EL282" i="2" s="1"/>
  <c r="DR282" i="2"/>
  <c r="DQ282" i="2"/>
  <c r="DP282" i="2"/>
  <c r="DM282" i="2"/>
  <c r="DL282" i="2"/>
  <c r="HC281" i="2"/>
  <c r="HB281" i="2"/>
  <c r="GW281" i="2"/>
  <c r="GV281" i="2"/>
  <c r="GU281" i="2"/>
  <c r="GT281" i="2"/>
  <c r="GP281" i="2"/>
  <c r="GQ281" i="2" s="1"/>
  <c r="GO281" i="2"/>
  <c r="GJ281" i="2"/>
  <c r="GI281" i="2"/>
  <c r="FY281" i="2"/>
  <c r="FX281" i="2"/>
  <c r="FT281" i="2"/>
  <c r="FS281" i="2"/>
  <c r="GL281" i="2" s="1"/>
  <c r="FQ281" i="2"/>
  <c r="FP281" i="2"/>
  <c r="FO281" i="2"/>
  <c r="FN281" i="2"/>
  <c r="FM281" i="2"/>
  <c r="FL281" i="2"/>
  <c r="FK281" i="2"/>
  <c r="FJ281" i="2"/>
  <c r="FI281" i="2"/>
  <c r="GB281" i="2" s="1"/>
  <c r="FH281" i="2"/>
  <c r="FG281" i="2"/>
  <c r="FF281" i="2"/>
  <c r="FE281" i="2"/>
  <c r="FD281" i="2"/>
  <c r="FC281" i="2"/>
  <c r="FB281" i="2"/>
  <c r="EZ281" i="2"/>
  <c r="EX281" i="2"/>
  <c r="EP281" i="2"/>
  <c r="EH281" i="2"/>
  <c r="EG281" i="2"/>
  <c r="EE281" i="2"/>
  <c r="ED281" i="2"/>
  <c r="EW281" i="2" s="1"/>
  <c r="EC281" i="2"/>
  <c r="EB281" i="2"/>
  <c r="EA281" i="2"/>
  <c r="DZ281" i="2"/>
  <c r="DY281" i="2"/>
  <c r="DX281" i="2"/>
  <c r="DW281" i="2"/>
  <c r="DV281" i="2"/>
  <c r="DU281" i="2"/>
  <c r="DT281" i="2"/>
  <c r="EM281" i="2" s="1"/>
  <c r="DS281" i="2"/>
  <c r="EL281" i="2" s="1"/>
  <c r="DR281" i="2"/>
  <c r="DQ281" i="2"/>
  <c r="DP281" i="2"/>
  <c r="DM281" i="2"/>
  <c r="DL281" i="2"/>
  <c r="HC280" i="2"/>
  <c r="HB280" i="2"/>
  <c r="GW280" i="2"/>
  <c r="GV280" i="2"/>
  <c r="GU280" i="2"/>
  <c r="GT280" i="2"/>
  <c r="GO280" i="2"/>
  <c r="GL280" i="2"/>
  <c r="GJ280" i="2"/>
  <c r="GI280" i="2"/>
  <c r="FT280" i="2"/>
  <c r="FS280" i="2"/>
  <c r="FQ280" i="2"/>
  <c r="FP280" i="2"/>
  <c r="FO280" i="2"/>
  <c r="FN280" i="2"/>
  <c r="FM280" i="2"/>
  <c r="FL280" i="2"/>
  <c r="FK280" i="2"/>
  <c r="FJ280" i="2"/>
  <c r="FI280" i="2"/>
  <c r="GB280" i="2" s="1"/>
  <c r="FH280" i="2"/>
  <c r="FG280" i="2"/>
  <c r="FF280" i="2"/>
  <c r="FY280" i="2" s="1"/>
  <c r="FE280" i="2"/>
  <c r="FX280" i="2" s="1"/>
  <c r="FD280" i="2"/>
  <c r="FC280" i="2"/>
  <c r="FB280" i="2"/>
  <c r="EZ280" i="2"/>
  <c r="EX280" i="2"/>
  <c r="EW280" i="2"/>
  <c r="EM280" i="2"/>
  <c r="EH280" i="2"/>
  <c r="EG280" i="2"/>
  <c r="EE280" i="2"/>
  <c r="ED280" i="2"/>
  <c r="EC280" i="2"/>
  <c r="EB280" i="2"/>
  <c r="EA280" i="2"/>
  <c r="DZ280" i="2"/>
  <c r="DY280" i="2"/>
  <c r="DX280" i="2"/>
  <c r="DW280" i="2"/>
  <c r="EP280" i="2" s="1"/>
  <c r="DV280" i="2"/>
  <c r="DU280" i="2"/>
  <c r="DT280" i="2"/>
  <c r="DS280" i="2"/>
  <c r="EL280" i="2" s="1"/>
  <c r="DR280" i="2"/>
  <c r="DQ280" i="2"/>
  <c r="DP280" i="2"/>
  <c r="DM280" i="2"/>
  <c r="DL280" i="2"/>
  <c r="HC279" i="2"/>
  <c r="HB279" i="2"/>
  <c r="GW279" i="2"/>
  <c r="GV279" i="2"/>
  <c r="GU279" i="2"/>
  <c r="GT279" i="2"/>
  <c r="GP279" i="2"/>
  <c r="GQ279" i="2" s="1"/>
  <c r="GO279" i="2"/>
  <c r="GJ279" i="2"/>
  <c r="GI279" i="2"/>
  <c r="FY279" i="2"/>
  <c r="FX279" i="2"/>
  <c r="FT279" i="2"/>
  <c r="FS279" i="2"/>
  <c r="GL279" i="2" s="1"/>
  <c r="FQ279" i="2"/>
  <c r="FP279" i="2"/>
  <c r="FO279" i="2"/>
  <c r="FN279" i="2"/>
  <c r="FM279" i="2"/>
  <c r="FL279" i="2"/>
  <c r="FK279" i="2"/>
  <c r="FJ279" i="2"/>
  <c r="FI279" i="2"/>
  <c r="GB279" i="2" s="1"/>
  <c r="FH279" i="2"/>
  <c r="FG279" i="2"/>
  <c r="FF279" i="2"/>
  <c r="FE279" i="2"/>
  <c r="FD279" i="2"/>
  <c r="FC279" i="2"/>
  <c r="FB279" i="2"/>
  <c r="EZ279" i="2"/>
  <c r="EP279" i="2"/>
  <c r="EH279" i="2"/>
  <c r="EG279" i="2"/>
  <c r="EE279" i="2"/>
  <c r="EX279" i="2" s="1"/>
  <c r="ED279" i="2"/>
  <c r="EW279" i="2" s="1"/>
  <c r="EC279" i="2"/>
  <c r="EB279" i="2"/>
  <c r="EA279" i="2"/>
  <c r="DZ279" i="2"/>
  <c r="DY279" i="2"/>
  <c r="DX279" i="2"/>
  <c r="DW279" i="2"/>
  <c r="DV279" i="2"/>
  <c r="DU279" i="2"/>
  <c r="DT279" i="2"/>
  <c r="EM279" i="2" s="1"/>
  <c r="DS279" i="2"/>
  <c r="EL279" i="2" s="1"/>
  <c r="DR279" i="2"/>
  <c r="DQ279" i="2"/>
  <c r="DP279" i="2"/>
  <c r="DM279" i="2"/>
  <c r="DL279" i="2"/>
  <c r="HC278" i="2"/>
  <c r="HB278" i="2"/>
  <c r="GW278" i="2"/>
  <c r="GU278" i="2"/>
  <c r="GT278" i="2"/>
  <c r="GL278" i="2"/>
  <c r="GJ278" i="2"/>
  <c r="FT278" i="2"/>
  <c r="FS278" i="2"/>
  <c r="FQ278" i="2"/>
  <c r="FP278" i="2"/>
  <c r="GI278" i="2" s="1"/>
  <c r="FO278" i="2"/>
  <c r="FN278" i="2"/>
  <c r="FM278" i="2"/>
  <c r="FL278" i="2"/>
  <c r="FK278" i="2"/>
  <c r="FJ278" i="2"/>
  <c r="FI278" i="2"/>
  <c r="GB278" i="2" s="1"/>
  <c r="FH278" i="2"/>
  <c r="FG278" i="2"/>
  <c r="FF278" i="2"/>
  <c r="FY278" i="2" s="1"/>
  <c r="FE278" i="2"/>
  <c r="FX278" i="2" s="1"/>
  <c r="FD278" i="2"/>
  <c r="FC278" i="2"/>
  <c r="FB278" i="2"/>
  <c r="DZ278" i="2"/>
  <c r="DR278" i="2"/>
  <c r="DP278" i="2"/>
  <c r="DM278" i="2"/>
  <c r="DL278" i="2"/>
  <c r="BO278" i="2"/>
  <c r="EE278" i="2" s="1"/>
  <c r="EX278" i="2" s="1"/>
  <c r="BN278" i="2"/>
  <c r="BH278" i="2"/>
  <c r="BG278" i="2"/>
  <c r="AY278" i="2"/>
  <c r="DT278" i="2" s="1"/>
  <c r="EM278" i="2" s="1"/>
  <c r="HC277" i="2"/>
  <c r="HB277" i="2"/>
  <c r="GW277" i="2"/>
  <c r="GU277" i="2"/>
  <c r="GT277" i="2"/>
  <c r="GL277" i="2"/>
  <c r="GJ277" i="2"/>
  <c r="FY277" i="2"/>
  <c r="FT277" i="2"/>
  <c r="FS277" i="2"/>
  <c r="FQ277" i="2"/>
  <c r="FP277" i="2"/>
  <c r="GI277" i="2" s="1"/>
  <c r="FO277" i="2"/>
  <c r="FN277" i="2"/>
  <c r="FM277" i="2"/>
  <c r="FL277" i="2"/>
  <c r="FK277" i="2"/>
  <c r="FJ277" i="2"/>
  <c r="FI277" i="2"/>
  <c r="GB277" i="2" s="1"/>
  <c r="FH277" i="2"/>
  <c r="FG277" i="2"/>
  <c r="FF277" i="2"/>
  <c r="FE277" i="2"/>
  <c r="FX277" i="2" s="1"/>
  <c r="FD277" i="2"/>
  <c r="FC277" i="2"/>
  <c r="FB277" i="2"/>
  <c r="BO277" i="2"/>
  <c r="BN277" i="2"/>
  <c r="BH277" i="2"/>
  <c r="BG277" i="2"/>
  <c r="AY277" i="2"/>
  <c r="DS277" i="2" s="1"/>
  <c r="EL277" i="2" s="1"/>
  <c r="HC276" i="2"/>
  <c r="HB276" i="2"/>
  <c r="GW276" i="2"/>
  <c r="GV276" i="2"/>
  <c r="GU276" i="2"/>
  <c r="GT276" i="2"/>
  <c r="GO276" i="2"/>
  <c r="GJ276" i="2"/>
  <c r="GI276" i="2"/>
  <c r="FY276" i="2"/>
  <c r="FT276" i="2"/>
  <c r="FS276" i="2"/>
  <c r="GL276" i="2" s="1"/>
  <c r="FQ276" i="2"/>
  <c r="FP276" i="2"/>
  <c r="FO276" i="2"/>
  <c r="FN276" i="2"/>
  <c r="FM276" i="2"/>
  <c r="FL276" i="2"/>
  <c r="FK276" i="2"/>
  <c r="FJ276" i="2"/>
  <c r="FI276" i="2"/>
  <c r="GB276" i="2" s="1"/>
  <c r="FH276" i="2"/>
  <c r="FG276" i="2"/>
  <c r="FF276" i="2"/>
  <c r="FE276" i="2"/>
  <c r="FX276" i="2" s="1"/>
  <c r="FD276" i="2"/>
  <c r="FC276" i="2"/>
  <c r="FB276" i="2"/>
  <c r="EZ276" i="2"/>
  <c r="EX276" i="2"/>
  <c r="EW276" i="2"/>
  <c r="EM276" i="2"/>
  <c r="EH276" i="2"/>
  <c r="EG276" i="2"/>
  <c r="EE276" i="2"/>
  <c r="ED276" i="2"/>
  <c r="EC276" i="2"/>
  <c r="EB276" i="2"/>
  <c r="EA276" i="2"/>
  <c r="DZ276" i="2"/>
  <c r="DY276" i="2"/>
  <c r="DX276" i="2"/>
  <c r="DW276" i="2"/>
  <c r="EP276" i="2" s="1"/>
  <c r="DV276" i="2"/>
  <c r="DU276" i="2"/>
  <c r="DT276" i="2"/>
  <c r="DS276" i="2"/>
  <c r="EL276" i="2" s="1"/>
  <c r="DR276" i="2"/>
  <c r="DQ276" i="2"/>
  <c r="DP276" i="2"/>
  <c r="DM276" i="2"/>
  <c r="DL276" i="2"/>
  <c r="HC275" i="2"/>
  <c r="HB275" i="2"/>
  <c r="GW275" i="2"/>
  <c r="GV275" i="2"/>
  <c r="GU275" i="2"/>
  <c r="GT275" i="2"/>
  <c r="GP275" i="2"/>
  <c r="GQ275" i="2" s="1"/>
  <c r="GO275" i="2"/>
  <c r="GJ275" i="2"/>
  <c r="GI275" i="2"/>
  <c r="FY275" i="2"/>
  <c r="FX275" i="2"/>
  <c r="FT275" i="2"/>
  <c r="FS275" i="2"/>
  <c r="GL275" i="2" s="1"/>
  <c r="FQ275" i="2"/>
  <c r="FP275" i="2"/>
  <c r="FO275" i="2"/>
  <c r="FN275" i="2"/>
  <c r="FM275" i="2"/>
  <c r="FL275" i="2"/>
  <c r="FK275" i="2"/>
  <c r="FJ275" i="2"/>
  <c r="FI275" i="2"/>
  <c r="GB275" i="2" s="1"/>
  <c r="FH275" i="2"/>
  <c r="FG275" i="2"/>
  <c r="FF275" i="2"/>
  <c r="FE275" i="2"/>
  <c r="FD275" i="2"/>
  <c r="FC275" i="2"/>
  <c r="FB275" i="2"/>
  <c r="EP275" i="2"/>
  <c r="EH275" i="2"/>
  <c r="EG275" i="2"/>
  <c r="EZ275" i="2" s="1"/>
  <c r="EE275" i="2"/>
  <c r="EX275" i="2" s="1"/>
  <c r="ED275" i="2"/>
  <c r="EW275" i="2" s="1"/>
  <c r="EC275" i="2"/>
  <c r="EB275" i="2"/>
  <c r="EA275" i="2"/>
  <c r="DZ275" i="2"/>
  <c r="DY275" i="2"/>
  <c r="DX275" i="2"/>
  <c r="DW275" i="2"/>
  <c r="DV275" i="2"/>
  <c r="DU275" i="2"/>
  <c r="DT275" i="2"/>
  <c r="EM275" i="2" s="1"/>
  <c r="DS275" i="2"/>
  <c r="EL275" i="2" s="1"/>
  <c r="DR275" i="2"/>
  <c r="DQ275" i="2"/>
  <c r="DP275" i="2"/>
  <c r="DM275" i="2"/>
  <c r="DL275" i="2"/>
  <c r="HC274" i="2"/>
  <c r="HB274" i="2"/>
  <c r="GW274" i="2"/>
  <c r="GV274" i="2"/>
  <c r="GU274" i="2"/>
  <c r="GT274" i="2"/>
  <c r="GP274" i="2"/>
  <c r="GQ274" i="2" s="1"/>
  <c r="GO274" i="2"/>
  <c r="GB274" i="2"/>
  <c r="FT274" i="2"/>
  <c r="FS274" i="2"/>
  <c r="GL274" i="2" s="1"/>
  <c r="FQ274" i="2"/>
  <c r="GJ274" i="2" s="1"/>
  <c r="FP274" i="2"/>
  <c r="GI274" i="2" s="1"/>
  <c r="FO274" i="2"/>
  <c r="FN274" i="2"/>
  <c r="FM274" i="2"/>
  <c r="FL274" i="2"/>
  <c r="FK274" i="2"/>
  <c r="FJ274" i="2"/>
  <c r="FI274" i="2"/>
  <c r="FH274" i="2"/>
  <c r="FG274" i="2"/>
  <c r="FF274" i="2"/>
  <c r="FY274" i="2" s="1"/>
  <c r="FE274" i="2"/>
  <c r="FX274" i="2" s="1"/>
  <c r="FD274" i="2"/>
  <c r="FC274" i="2"/>
  <c r="FB274" i="2"/>
  <c r="EM274" i="2"/>
  <c r="ED274" i="2"/>
  <c r="EW274" i="2" s="1"/>
  <c r="EC274" i="2"/>
  <c r="EB274" i="2"/>
  <c r="EA274" i="2"/>
  <c r="DZ274" i="2"/>
  <c r="DY274" i="2"/>
  <c r="DX274" i="2"/>
  <c r="DT274" i="2"/>
  <c r="DS274" i="2"/>
  <c r="EL274" i="2" s="1"/>
  <c r="DR274" i="2"/>
  <c r="DQ274" i="2"/>
  <c r="DP274" i="2"/>
  <c r="DM274" i="2"/>
  <c r="DL274" i="2"/>
  <c r="BG274" i="2"/>
  <c r="DW274" i="2" s="1"/>
  <c r="EP274" i="2" s="1"/>
  <c r="AY274" i="2"/>
  <c r="EH274" i="2" s="1"/>
  <c r="D274" i="2"/>
  <c r="C274" i="2"/>
  <c r="HC273" i="2"/>
  <c r="HB273" i="2"/>
  <c r="GW273" i="2"/>
  <c r="GU273" i="2"/>
  <c r="GT273" i="2"/>
  <c r="GB273" i="2"/>
  <c r="FT273" i="2"/>
  <c r="FS273" i="2"/>
  <c r="GL273" i="2" s="1"/>
  <c r="FQ273" i="2"/>
  <c r="GJ273" i="2" s="1"/>
  <c r="FP273" i="2"/>
  <c r="GI273" i="2" s="1"/>
  <c r="FO273" i="2"/>
  <c r="FN273" i="2"/>
  <c r="FM273" i="2"/>
  <c r="FL273" i="2"/>
  <c r="FK273" i="2"/>
  <c r="FJ273" i="2"/>
  <c r="FI273" i="2"/>
  <c r="FH273" i="2"/>
  <c r="FG273" i="2"/>
  <c r="FF273" i="2"/>
  <c r="FY273" i="2" s="1"/>
  <c r="FE273" i="2"/>
  <c r="FX273" i="2" s="1"/>
  <c r="FD273" i="2"/>
  <c r="FC273" i="2"/>
  <c r="FB273" i="2"/>
  <c r="AY273" i="2"/>
  <c r="D273" i="2"/>
  <c r="C273" i="2"/>
  <c r="HC272" i="2"/>
  <c r="HB272" i="2"/>
  <c r="GW272" i="2"/>
  <c r="GV272" i="2"/>
  <c r="GU272" i="2"/>
  <c r="GT272" i="2"/>
  <c r="GP272" i="2"/>
  <c r="GQ272" i="2" s="1"/>
  <c r="GO272" i="2"/>
  <c r="GL272" i="2"/>
  <c r="GB272" i="2"/>
  <c r="FT272" i="2"/>
  <c r="FS272" i="2"/>
  <c r="FQ272" i="2"/>
  <c r="GJ272" i="2" s="1"/>
  <c r="FP272" i="2"/>
  <c r="GI272" i="2" s="1"/>
  <c r="FO272" i="2"/>
  <c r="FN272" i="2"/>
  <c r="FM272" i="2"/>
  <c r="FL272" i="2"/>
  <c r="FK272" i="2"/>
  <c r="FJ272" i="2"/>
  <c r="FI272" i="2"/>
  <c r="FH272" i="2"/>
  <c r="FG272" i="2"/>
  <c r="FF272" i="2"/>
  <c r="FY272" i="2" s="1"/>
  <c r="FE272" i="2"/>
  <c r="FX272" i="2" s="1"/>
  <c r="FD272" i="2"/>
  <c r="FC272" i="2"/>
  <c r="FB272" i="2"/>
  <c r="EP272" i="2"/>
  <c r="EH272" i="2"/>
  <c r="EG272" i="2"/>
  <c r="EZ272" i="2" s="1"/>
  <c r="EE272" i="2"/>
  <c r="EX272" i="2" s="1"/>
  <c r="ED272" i="2"/>
  <c r="EW272" i="2" s="1"/>
  <c r="EC272" i="2"/>
  <c r="EB272" i="2"/>
  <c r="EA272" i="2"/>
  <c r="DZ272" i="2"/>
  <c r="DY272" i="2"/>
  <c r="DX272" i="2"/>
  <c r="DW272" i="2"/>
  <c r="DV272" i="2"/>
  <c r="DU272" i="2"/>
  <c r="DT272" i="2"/>
  <c r="EM272" i="2" s="1"/>
  <c r="DS272" i="2"/>
  <c r="EL272" i="2" s="1"/>
  <c r="DR272" i="2"/>
  <c r="DQ272" i="2"/>
  <c r="DP272" i="2"/>
  <c r="DM272" i="2"/>
  <c r="DL272" i="2"/>
  <c r="D272" i="2"/>
  <c r="C272" i="2"/>
  <c r="HC271" i="2"/>
  <c r="HB271" i="2"/>
  <c r="GW271" i="2"/>
  <c r="GV271" i="2"/>
  <c r="GU271" i="2"/>
  <c r="GT271" i="2"/>
  <c r="GO271" i="2"/>
  <c r="GL271" i="2"/>
  <c r="GI271" i="2"/>
  <c r="FY271" i="2"/>
  <c r="FX271" i="2"/>
  <c r="FT271" i="2"/>
  <c r="FS271" i="2"/>
  <c r="FQ271" i="2"/>
  <c r="GJ271" i="2" s="1"/>
  <c r="FP271" i="2"/>
  <c r="FO271" i="2"/>
  <c r="FN271" i="2"/>
  <c r="FM271" i="2"/>
  <c r="FL271" i="2"/>
  <c r="FK271" i="2"/>
  <c r="FJ271" i="2"/>
  <c r="FI271" i="2"/>
  <c r="GB271" i="2" s="1"/>
  <c r="FH271" i="2"/>
  <c r="FG271" i="2"/>
  <c r="FF271" i="2"/>
  <c r="FE271" i="2"/>
  <c r="FD271" i="2"/>
  <c r="FC271" i="2"/>
  <c r="FB271" i="2"/>
  <c r="EP271" i="2"/>
  <c r="EH271" i="2"/>
  <c r="EG271" i="2"/>
  <c r="EZ271" i="2" s="1"/>
  <c r="EE271" i="2"/>
  <c r="EX271" i="2" s="1"/>
  <c r="ED271" i="2"/>
  <c r="EW271" i="2" s="1"/>
  <c r="EC271" i="2"/>
  <c r="EB271" i="2"/>
  <c r="EA271" i="2"/>
  <c r="DZ271" i="2"/>
  <c r="DY271" i="2"/>
  <c r="DX271" i="2"/>
  <c r="DW271" i="2"/>
  <c r="DV271" i="2"/>
  <c r="DU271" i="2"/>
  <c r="DT271" i="2"/>
  <c r="EM271" i="2" s="1"/>
  <c r="DS271" i="2"/>
  <c r="EL271" i="2" s="1"/>
  <c r="DR271" i="2"/>
  <c r="DQ271" i="2"/>
  <c r="DP271" i="2"/>
  <c r="DM271" i="2"/>
  <c r="DL271" i="2"/>
  <c r="HC270" i="2"/>
  <c r="HB270" i="2"/>
  <c r="GW270" i="2"/>
  <c r="GV270" i="2"/>
  <c r="GU270" i="2"/>
  <c r="GT270" i="2"/>
  <c r="GO270" i="2"/>
  <c r="FX270" i="2"/>
  <c r="FT270" i="2"/>
  <c r="FS270" i="2"/>
  <c r="GL270" i="2" s="1"/>
  <c r="FQ270" i="2"/>
  <c r="GJ270" i="2" s="1"/>
  <c r="FP270" i="2"/>
  <c r="GI270" i="2" s="1"/>
  <c r="FO270" i="2"/>
  <c r="FN270" i="2"/>
  <c r="FM270" i="2"/>
  <c r="FL270" i="2"/>
  <c r="FK270" i="2"/>
  <c r="FJ270" i="2"/>
  <c r="FI270" i="2"/>
  <c r="GB270" i="2" s="1"/>
  <c r="FH270" i="2"/>
  <c r="FG270" i="2"/>
  <c r="FF270" i="2"/>
  <c r="FY270" i="2" s="1"/>
  <c r="FE270" i="2"/>
  <c r="FD270" i="2"/>
  <c r="FC270" i="2"/>
  <c r="FB270" i="2"/>
  <c r="EX270" i="2"/>
  <c r="EW270" i="2"/>
  <c r="EM270" i="2"/>
  <c r="EL270" i="2"/>
  <c r="EH270" i="2"/>
  <c r="EG270" i="2"/>
  <c r="EZ270" i="2" s="1"/>
  <c r="EE270" i="2"/>
  <c r="ED270" i="2"/>
  <c r="EC270" i="2"/>
  <c r="EB270" i="2"/>
  <c r="EA270" i="2"/>
  <c r="DZ270" i="2"/>
  <c r="DY270" i="2"/>
  <c r="DX270" i="2"/>
  <c r="DW270" i="2"/>
  <c r="EP270" i="2" s="1"/>
  <c r="DV270" i="2"/>
  <c r="DU270" i="2"/>
  <c r="DT270" i="2"/>
  <c r="DS270" i="2"/>
  <c r="DR270" i="2"/>
  <c r="DQ270" i="2"/>
  <c r="DP270" i="2"/>
  <c r="DM270" i="2"/>
  <c r="DL270" i="2"/>
  <c r="HC269" i="2"/>
  <c r="HB269" i="2"/>
  <c r="GW269" i="2"/>
  <c r="GV269" i="2"/>
  <c r="GU269" i="2"/>
  <c r="GT269" i="2"/>
  <c r="GQ269" i="2"/>
  <c r="GP269" i="2"/>
  <c r="GO269" i="2"/>
  <c r="FX269" i="2"/>
  <c r="FT269" i="2"/>
  <c r="FS269" i="2"/>
  <c r="GL269" i="2" s="1"/>
  <c r="FQ269" i="2"/>
  <c r="GJ269" i="2" s="1"/>
  <c r="FP269" i="2"/>
  <c r="GI269" i="2" s="1"/>
  <c r="FO269" i="2"/>
  <c r="FN269" i="2"/>
  <c r="FM269" i="2"/>
  <c r="FL269" i="2"/>
  <c r="FK269" i="2"/>
  <c r="FJ269" i="2"/>
  <c r="FI269" i="2"/>
  <c r="GB269" i="2" s="1"/>
  <c r="FH269" i="2"/>
  <c r="FG269" i="2"/>
  <c r="FF269" i="2"/>
  <c r="FY269" i="2" s="1"/>
  <c r="FE269" i="2"/>
  <c r="FD269" i="2"/>
  <c r="FC269" i="2"/>
  <c r="FB269" i="2"/>
  <c r="EH269" i="2"/>
  <c r="EG269" i="2"/>
  <c r="EZ269" i="2" s="1"/>
  <c r="EE269" i="2"/>
  <c r="EX269" i="2" s="1"/>
  <c r="ED269" i="2"/>
  <c r="EW269" i="2" s="1"/>
  <c r="EC269" i="2"/>
  <c r="EB269" i="2"/>
  <c r="EA269" i="2"/>
  <c r="DZ269" i="2"/>
  <c r="DY269" i="2"/>
  <c r="DX269" i="2"/>
  <c r="DW269" i="2"/>
  <c r="EP269" i="2" s="1"/>
  <c r="DV269" i="2"/>
  <c r="DU269" i="2"/>
  <c r="DT269" i="2"/>
  <c r="EM269" i="2" s="1"/>
  <c r="DS269" i="2"/>
  <c r="EL269" i="2" s="1"/>
  <c r="DR269" i="2"/>
  <c r="DQ269" i="2"/>
  <c r="DP269" i="2"/>
  <c r="DM269" i="2"/>
  <c r="DL269" i="2"/>
  <c r="HC268" i="2"/>
  <c r="HB268" i="2"/>
  <c r="GW268" i="2"/>
  <c r="GV268" i="2"/>
  <c r="GU268" i="2"/>
  <c r="GT268" i="2"/>
  <c r="GO268" i="2"/>
  <c r="GL268" i="2"/>
  <c r="GJ268" i="2"/>
  <c r="GI268" i="2"/>
  <c r="FY268" i="2"/>
  <c r="FX268" i="2"/>
  <c r="FT268" i="2"/>
  <c r="FS268" i="2"/>
  <c r="FQ268" i="2"/>
  <c r="FP268" i="2"/>
  <c r="FO268" i="2"/>
  <c r="FN268" i="2"/>
  <c r="FM268" i="2"/>
  <c r="FL268" i="2"/>
  <c r="FK268" i="2"/>
  <c r="FJ268" i="2"/>
  <c r="FI268" i="2"/>
  <c r="GB268" i="2" s="1"/>
  <c r="FH268" i="2"/>
  <c r="FG268" i="2"/>
  <c r="FF268" i="2"/>
  <c r="FE268" i="2"/>
  <c r="FD268" i="2"/>
  <c r="FC268" i="2"/>
  <c r="FB268" i="2"/>
  <c r="EX268" i="2"/>
  <c r="EW268" i="2"/>
  <c r="EP268" i="2"/>
  <c r="EM268" i="2"/>
  <c r="EL268" i="2"/>
  <c r="EH268" i="2"/>
  <c r="EG268" i="2"/>
  <c r="EZ268" i="2" s="1"/>
  <c r="EE268" i="2"/>
  <c r="ED268" i="2"/>
  <c r="EC268" i="2"/>
  <c r="EB268" i="2"/>
  <c r="EA268" i="2"/>
  <c r="DZ268" i="2"/>
  <c r="DY268" i="2"/>
  <c r="DX268" i="2"/>
  <c r="DW268" i="2"/>
  <c r="DV268" i="2"/>
  <c r="DU268" i="2"/>
  <c r="DT268" i="2"/>
  <c r="DS268" i="2"/>
  <c r="DR268" i="2"/>
  <c r="DQ268" i="2"/>
  <c r="DP268" i="2"/>
  <c r="DM268" i="2"/>
  <c r="DL268" i="2"/>
  <c r="HC267" i="2"/>
  <c r="HB267" i="2"/>
  <c r="GW267" i="2"/>
  <c r="GV267" i="2"/>
  <c r="GU267" i="2"/>
  <c r="GT267" i="2"/>
  <c r="GP267" i="2"/>
  <c r="GQ267" i="2" s="1"/>
  <c r="GO267" i="2"/>
  <c r="GI267" i="2"/>
  <c r="FX267" i="2"/>
  <c r="FT267" i="2"/>
  <c r="FS267" i="2"/>
  <c r="GL267" i="2" s="1"/>
  <c r="FQ267" i="2"/>
  <c r="GJ267" i="2" s="1"/>
  <c r="FP267" i="2"/>
  <c r="FO267" i="2"/>
  <c r="FN267" i="2"/>
  <c r="FM267" i="2"/>
  <c r="FL267" i="2"/>
  <c r="FK267" i="2"/>
  <c r="FJ267" i="2"/>
  <c r="FI267" i="2"/>
  <c r="GB267" i="2" s="1"/>
  <c r="FH267" i="2"/>
  <c r="FG267" i="2"/>
  <c r="FF267" i="2"/>
  <c r="FY267" i="2" s="1"/>
  <c r="FE267" i="2"/>
  <c r="FD267" i="2"/>
  <c r="FC267" i="2"/>
  <c r="FB267" i="2"/>
  <c r="EZ267" i="2"/>
  <c r="EX267" i="2"/>
  <c r="EW267" i="2"/>
  <c r="EM267" i="2"/>
  <c r="EL267" i="2"/>
  <c r="EH267" i="2"/>
  <c r="EG267" i="2"/>
  <c r="EE267" i="2"/>
  <c r="ED267" i="2"/>
  <c r="EC267" i="2"/>
  <c r="EB267" i="2"/>
  <c r="EA267" i="2"/>
  <c r="DZ267" i="2"/>
  <c r="DY267" i="2"/>
  <c r="DX267" i="2"/>
  <c r="DW267" i="2"/>
  <c r="EP267" i="2" s="1"/>
  <c r="DV267" i="2"/>
  <c r="DU267" i="2"/>
  <c r="DT267" i="2"/>
  <c r="DS267" i="2"/>
  <c r="DR267" i="2"/>
  <c r="DQ267" i="2"/>
  <c r="DP267" i="2"/>
  <c r="DM267" i="2"/>
  <c r="DL267" i="2"/>
  <c r="HC266" i="2"/>
  <c r="HB266" i="2"/>
  <c r="GW266" i="2"/>
  <c r="GV266" i="2"/>
  <c r="GU266" i="2"/>
  <c r="GT266" i="2"/>
  <c r="GP266" i="2"/>
  <c r="GO266" i="2"/>
  <c r="GI266" i="2"/>
  <c r="FY266" i="2"/>
  <c r="FT266" i="2"/>
  <c r="FS266" i="2"/>
  <c r="GL266" i="2" s="1"/>
  <c r="FQ266" i="2"/>
  <c r="GJ266" i="2" s="1"/>
  <c r="FP266" i="2"/>
  <c r="FO266" i="2"/>
  <c r="FN266" i="2"/>
  <c r="FM266" i="2"/>
  <c r="FL266" i="2"/>
  <c r="FK266" i="2"/>
  <c r="FJ266" i="2"/>
  <c r="FI266" i="2"/>
  <c r="GB266" i="2" s="1"/>
  <c r="FH266" i="2"/>
  <c r="FG266" i="2"/>
  <c r="FF266" i="2"/>
  <c r="FE266" i="2"/>
  <c r="FX266" i="2" s="1"/>
  <c r="FD266" i="2"/>
  <c r="FC266" i="2"/>
  <c r="FB266" i="2"/>
  <c r="EX266" i="2"/>
  <c r="EW266" i="2"/>
  <c r="EM266" i="2"/>
  <c r="EL266" i="2"/>
  <c r="EH266" i="2"/>
  <c r="EG266" i="2"/>
  <c r="EZ266" i="2" s="1"/>
  <c r="EE266" i="2"/>
  <c r="ED266" i="2"/>
  <c r="EC266" i="2"/>
  <c r="EB266" i="2"/>
  <c r="EA266" i="2"/>
  <c r="DZ266" i="2"/>
  <c r="DY266" i="2"/>
  <c r="DX266" i="2"/>
  <c r="DW266" i="2"/>
  <c r="EP266" i="2" s="1"/>
  <c r="DV266" i="2"/>
  <c r="DU266" i="2"/>
  <c r="DT266" i="2"/>
  <c r="DS266" i="2"/>
  <c r="DR266" i="2"/>
  <c r="DQ266" i="2"/>
  <c r="DP266" i="2"/>
  <c r="DM266" i="2"/>
  <c r="DL266" i="2"/>
  <c r="HC265" i="2"/>
  <c r="HB265" i="2"/>
  <c r="GW265" i="2"/>
  <c r="GV265" i="2"/>
  <c r="GU265" i="2"/>
  <c r="GT265" i="2"/>
  <c r="GO265" i="2"/>
  <c r="GP265" i="2" s="1"/>
  <c r="GQ265" i="2" s="1"/>
  <c r="FX265" i="2"/>
  <c r="FT265" i="2"/>
  <c r="FS265" i="2"/>
  <c r="GL265" i="2" s="1"/>
  <c r="FQ265" i="2"/>
  <c r="GJ265" i="2" s="1"/>
  <c r="FP265" i="2"/>
  <c r="GI265" i="2" s="1"/>
  <c r="FO265" i="2"/>
  <c r="FN265" i="2"/>
  <c r="FM265" i="2"/>
  <c r="FL265" i="2"/>
  <c r="FK265" i="2"/>
  <c r="FJ265" i="2"/>
  <c r="FI265" i="2"/>
  <c r="GB265" i="2" s="1"/>
  <c r="FH265" i="2"/>
  <c r="FG265" i="2"/>
  <c r="FF265" i="2"/>
  <c r="FY265" i="2" s="1"/>
  <c r="FE265" i="2"/>
  <c r="FD265" i="2"/>
  <c r="FC265" i="2"/>
  <c r="FB265" i="2"/>
  <c r="EZ265" i="2"/>
  <c r="EX265" i="2"/>
  <c r="EW265" i="2"/>
  <c r="EP265" i="2"/>
  <c r="EM265" i="2"/>
  <c r="EH265" i="2"/>
  <c r="EG265" i="2"/>
  <c r="EE265" i="2"/>
  <c r="ED265" i="2"/>
  <c r="EC265" i="2"/>
  <c r="EB265" i="2"/>
  <c r="EA265" i="2"/>
  <c r="DZ265" i="2"/>
  <c r="DY265" i="2"/>
  <c r="DX265" i="2"/>
  <c r="DW265" i="2"/>
  <c r="DV265" i="2"/>
  <c r="DU265" i="2"/>
  <c r="DT265" i="2"/>
  <c r="DS265" i="2"/>
  <c r="EL265" i="2" s="1"/>
  <c r="DR265" i="2"/>
  <c r="DQ265" i="2"/>
  <c r="DP265" i="2"/>
  <c r="DM265" i="2"/>
  <c r="DL265" i="2"/>
  <c r="HC264" i="2"/>
  <c r="HB264" i="2"/>
  <c r="GW264" i="2"/>
  <c r="GV264" i="2"/>
  <c r="GU264" i="2"/>
  <c r="GT264" i="2"/>
  <c r="GO264" i="2"/>
  <c r="GJ264" i="2"/>
  <c r="GI264" i="2"/>
  <c r="FX264" i="2"/>
  <c r="FT264" i="2"/>
  <c r="FS264" i="2"/>
  <c r="GL264" i="2" s="1"/>
  <c r="FQ264" i="2"/>
  <c r="FP264" i="2"/>
  <c r="FO264" i="2"/>
  <c r="FN264" i="2"/>
  <c r="FM264" i="2"/>
  <c r="FL264" i="2"/>
  <c r="FK264" i="2"/>
  <c r="FJ264" i="2"/>
  <c r="FI264" i="2"/>
  <c r="GB264" i="2" s="1"/>
  <c r="FH264" i="2"/>
  <c r="FG264" i="2"/>
  <c r="FF264" i="2"/>
  <c r="FY264" i="2" s="1"/>
  <c r="FE264" i="2"/>
  <c r="FD264" i="2"/>
  <c r="FC264" i="2"/>
  <c r="FB264" i="2"/>
  <c r="EX264" i="2"/>
  <c r="EW264" i="2"/>
  <c r="EP264" i="2"/>
  <c r="EM264" i="2"/>
  <c r="EL264" i="2"/>
  <c r="EH264" i="2"/>
  <c r="EG264" i="2"/>
  <c r="EZ264" i="2" s="1"/>
  <c r="EE264" i="2"/>
  <c r="ED264" i="2"/>
  <c r="EC264" i="2"/>
  <c r="EB264" i="2"/>
  <c r="EA264" i="2"/>
  <c r="DZ264" i="2"/>
  <c r="DY264" i="2"/>
  <c r="DX264" i="2"/>
  <c r="DW264" i="2"/>
  <c r="DV264" i="2"/>
  <c r="DU264" i="2"/>
  <c r="DT264" i="2"/>
  <c r="DS264" i="2"/>
  <c r="DR264" i="2"/>
  <c r="DQ264" i="2"/>
  <c r="DP264" i="2"/>
  <c r="DM264" i="2"/>
  <c r="DL264" i="2"/>
  <c r="HC263" i="2"/>
  <c r="HB263" i="2"/>
  <c r="GW263" i="2"/>
  <c r="GV263" i="2"/>
  <c r="GU263" i="2"/>
  <c r="GT263" i="2"/>
  <c r="GP263" i="2"/>
  <c r="GQ263" i="2" s="1"/>
  <c r="GO263" i="2"/>
  <c r="GL263" i="2"/>
  <c r="GJ263" i="2"/>
  <c r="GI263" i="2"/>
  <c r="FY263" i="2"/>
  <c r="FX263" i="2"/>
  <c r="FT263" i="2"/>
  <c r="FS263" i="2"/>
  <c r="FQ263" i="2"/>
  <c r="FP263" i="2"/>
  <c r="FO263" i="2"/>
  <c r="FN263" i="2"/>
  <c r="FM263" i="2"/>
  <c r="FL263" i="2"/>
  <c r="FK263" i="2"/>
  <c r="FJ263" i="2"/>
  <c r="FI263" i="2"/>
  <c r="GB263" i="2" s="1"/>
  <c r="FH263" i="2"/>
  <c r="FG263" i="2"/>
  <c r="FF263" i="2"/>
  <c r="FE263" i="2"/>
  <c r="FD263" i="2"/>
  <c r="FC263" i="2"/>
  <c r="FB263" i="2"/>
  <c r="EH263" i="2"/>
  <c r="EG263" i="2"/>
  <c r="EZ263" i="2" s="1"/>
  <c r="EE263" i="2"/>
  <c r="EX263" i="2" s="1"/>
  <c r="ED263" i="2"/>
  <c r="EW263" i="2" s="1"/>
  <c r="EC263" i="2"/>
  <c r="EB263" i="2"/>
  <c r="EA263" i="2"/>
  <c r="DZ263" i="2"/>
  <c r="DY263" i="2"/>
  <c r="DX263" i="2"/>
  <c r="DW263" i="2"/>
  <c r="EP263" i="2" s="1"/>
  <c r="DV263" i="2"/>
  <c r="DU263" i="2"/>
  <c r="DT263" i="2"/>
  <c r="EM263" i="2" s="1"/>
  <c r="DS263" i="2"/>
  <c r="EL263" i="2" s="1"/>
  <c r="DR263" i="2"/>
  <c r="DQ263" i="2"/>
  <c r="DP263" i="2"/>
  <c r="DM263" i="2"/>
  <c r="DL263" i="2"/>
  <c r="HC262" i="2"/>
  <c r="HB262" i="2"/>
  <c r="GW262" i="2"/>
  <c r="GV262" i="2"/>
  <c r="GU262" i="2"/>
  <c r="GT262" i="2"/>
  <c r="GO262" i="2"/>
  <c r="GB262" i="2"/>
  <c r="FT262" i="2"/>
  <c r="FS262" i="2"/>
  <c r="GL262" i="2" s="1"/>
  <c r="FQ262" i="2"/>
  <c r="GJ262" i="2" s="1"/>
  <c r="FP262" i="2"/>
  <c r="GI262" i="2" s="1"/>
  <c r="FO262" i="2"/>
  <c r="FN262" i="2"/>
  <c r="FM262" i="2"/>
  <c r="FL262" i="2"/>
  <c r="FK262" i="2"/>
  <c r="FJ262" i="2"/>
  <c r="FI262" i="2"/>
  <c r="FH262" i="2"/>
  <c r="FG262" i="2"/>
  <c r="FF262" i="2"/>
  <c r="FY262" i="2" s="1"/>
  <c r="FE262" i="2"/>
  <c r="FX262" i="2" s="1"/>
  <c r="FD262" i="2"/>
  <c r="FC262" i="2"/>
  <c r="FB262" i="2"/>
  <c r="EZ262" i="2"/>
  <c r="EX262" i="2"/>
  <c r="EW262" i="2"/>
  <c r="EP262" i="2"/>
  <c r="EM262" i="2"/>
  <c r="EL262" i="2"/>
  <c r="EH262" i="2"/>
  <c r="EG262" i="2"/>
  <c r="EE262" i="2"/>
  <c r="ED262" i="2"/>
  <c r="EC262" i="2"/>
  <c r="EB262" i="2"/>
  <c r="EA262" i="2"/>
  <c r="DZ262" i="2"/>
  <c r="DY262" i="2"/>
  <c r="DX262" i="2"/>
  <c r="DW262" i="2"/>
  <c r="DV262" i="2"/>
  <c r="DU262" i="2"/>
  <c r="DT262" i="2"/>
  <c r="DS262" i="2"/>
  <c r="DR262" i="2"/>
  <c r="DQ262" i="2"/>
  <c r="DP262" i="2"/>
  <c r="DM262" i="2"/>
  <c r="DL262" i="2"/>
  <c r="HC261" i="2"/>
  <c r="HB261" i="2"/>
  <c r="GW261" i="2"/>
  <c r="GV261" i="2"/>
  <c r="GU261" i="2"/>
  <c r="GT261" i="2"/>
  <c r="GP261" i="2"/>
  <c r="GQ261" i="2" s="1"/>
  <c r="GO261" i="2"/>
  <c r="GL261" i="2"/>
  <c r="GJ261" i="2"/>
  <c r="GI261" i="2"/>
  <c r="FY261" i="2"/>
  <c r="FX261" i="2"/>
  <c r="FT261" i="2"/>
  <c r="FS261" i="2"/>
  <c r="FQ261" i="2"/>
  <c r="FP261" i="2"/>
  <c r="FO261" i="2"/>
  <c r="FN261" i="2"/>
  <c r="FM261" i="2"/>
  <c r="FL261" i="2"/>
  <c r="FK261" i="2"/>
  <c r="FJ261" i="2"/>
  <c r="FI261" i="2"/>
  <c r="GB261" i="2" s="1"/>
  <c r="FH261" i="2"/>
  <c r="FG261" i="2"/>
  <c r="FF261" i="2"/>
  <c r="FE261" i="2"/>
  <c r="FD261" i="2"/>
  <c r="FC261" i="2"/>
  <c r="FB261" i="2"/>
  <c r="EH261" i="2"/>
  <c r="EG261" i="2"/>
  <c r="EZ261" i="2" s="1"/>
  <c r="EE261" i="2"/>
  <c r="EX261" i="2" s="1"/>
  <c r="ED261" i="2"/>
  <c r="EW261" i="2" s="1"/>
  <c r="EC261" i="2"/>
  <c r="EB261" i="2"/>
  <c r="EA261" i="2"/>
  <c r="DZ261" i="2"/>
  <c r="DY261" i="2"/>
  <c r="DX261" i="2"/>
  <c r="DW261" i="2"/>
  <c r="EP261" i="2" s="1"/>
  <c r="DV261" i="2"/>
  <c r="DU261" i="2"/>
  <c r="DT261" i="2"/>
  <c r="EM261" i="2" s="1"/>
  <c r="DS261" i="2"/>
  <c r="EL261" i="2" s="1"/>
  <c r="DR261" i="2"/>
  <c r="DQ261" i="2"/>
  <c r="DP261" i="2"/>
  <c r="DM261" i="2"/>
  <c r="DL261" i="2"/>
  <c r="HC260" i="2"/>
  <c r="HB260" i="2"/>
  <c r="GW260" i="2"/>
  <c r="GV260" i="2"/>
  <c r="GU260" i="2"/>
  <c r="GT260" i="2"/>
  <c r="GO260" i="2"/>
  <c r="GB260" i="2"/>
  <c r="FT260" i="2"/>
  <c r="FS260" i="2"/>
  <c r="GL260" i="2" s="1"/>
  <c r="FQ260" i="2"/>
  <c r="GJ260" i="2" s="1"/>
  <c r="FP260" i="2"/>
  <c r="GI260" i="2" s="1"/>
  <c r="FO260" i="2"/>
  <c r="FN260" i="2"/>
  <c r="FM260" i="2"/>
  <c r="FL260" i="2"/>
  <c r="FK260" i="2"/>
  <c r="FJ260" i="2"/>
  <c r="FI260" i="2"/>
  <c r="FH260" i="2"/>
  <c r="FG260" i="2"/>
  <c r="FF260" i="2"/>
  <c r="FY260" i="2" s="1"/>
  <c r="FE260" i="2"/>
  <c r="FX260" i="2" s="1"/>
  <c r="FD260" i="2"/>
  <c r="FC260" i="2"/>
  <c r="FB260" i="2"/>
  <c r="EZ260" i="2"/>
  <c r="EX260" i="2"/>
  <c r="EW260" i="2"/>
  <c r="EM260" i="2"/>
  <c r="EL260" i="2"/>
  <c r="EG260" i="2"/>
  <c r="EE260" i="2"/>
  <c r="ED260" i="2"/>
  <c r="EC260" i="2"/>
  <c r="EB260" i="2"/>
  <c r="EA260" i="2"/>
  <c r="DZ260" i="2"/>
  <c r="DY260" i="2"/>
  <c r="DX260" i="2"/>
  <c r="DV260" i="2"/>
  <c r="DU260" i="2"/>
  <c r="DT260" i="2"/>
  <c r="DS260" i="2"/>
  <c r="DR260" i="2"/>
  <c r="DQ260" i="2"/>
  <c r="DP260" i="2"/>
  <c r="DM260" i="2"/>
  <c r="DL260" i="2"/>
  <c r="AY260" i="2"/>
  <c r="EH260" i="2" s="1"/>
  <c r="HC259" i="2"/>
  <c r="HB259" i="2"/>
  <c r="GW259" i="2"/>
  <c r="GV259" i="2"/>
  <c r="GU259" i="2"/>
  <c r="GT259" i="2"/>
  <c r="GO259" i="2"/>
  <c r="GL259" i="2"/>
  <c r="GJ259" i="2"/>
  <c r="GI259" i="2"/>
  <c r="GB259" i="2"/>
  <c r="FY259" i="2"/>
  <c r="FX259" i="2"/>
  <c r="FT259" i="2"/>
  <c r="FS259" i="2"/>
  <c r="FQ259" i="2"/>
  <c r="FP259" i="2"/>
  <c r="FO259" i="2"/>
  <c r="FN259" i="2"/>
  <c r="FM259" i="2"/>
  <c r="FL259" i="2"/>
  <c r="FK259" i="2"/>
  <c r="FJ259" i="2"/>
  <c r="FI259" i="2"/>
  <c r="FH259" i="2"/>
  <c r="FG259" i="2"/>
  <c r="FF259" i="2"/>
  <c r="FE259" i="2"/>
  <c r="FD259" i="2"/>
  <c r="FC259" i="2"/>
  <c r="FB259" i="2"/>
  <c r="EL259" i="2"/>
  <c r="EH259" i="2"/>
  <c r="EG259" i="2"/>
  <c r="EZ259" i="2" s="1"/>
  <c r="EE259" i="2"/>
  <c r="EX259" i="2" s="1"/>
  <c r="ED259" i="2"/>
  <c r="EW259" i="2" s="1"/>
  <c r="EC259" i="2"/>
  <c r="EB259" i="2"/>
  <c r="EA259" i="2"/>
  <c r="DZ259" i="2"/>
  <c r="DY259" i="2"/>
  <c r="DX259" i="2"/>
  <c r="DW259" i="2"/>
  <c r="EP259" i="2" s="1"/>
  <c r="DV259" i="2"/>
  <c r="DU259" i="2"/>
  <c r="DT259" i="2"/>
  <c r="EM259" i="2" s="1"/>
  <c r="DS259" i="2"/>
  <c r="DR259" i="2"/>
  <c r="DQ259" i="2"/>
  <c r="DP259" i="2"/>
  <c r="DM259" i="2"/>
  <c r="DL259" i="2"/>
  <c r="HC258" i="2"/>
  <c r="HB258" i="2"/>
  <c r="GW258" i="2"/>
  <c r="GV258" i="2"/>
  <c r="GU258" i="2"/>
  <c r="GT258" i="2"/>
  <c r="GO258" i="2"/>
  <c r="FT258" i="2"/>
  <c r="FS258" i="2"/>
  <c r="GL258" i="2" s="1"/>
  <c r="FQ258" i="2"/>
  <c r="GJ258" i="2" s="1"/>
  <c r="FP258" i="2"/>
  <c r="GI258" i="2" s="1"/>
  <c r="FO258" i="2"/>
  <c r="FN258" i="2"/>
  <c r="FM258" i="2"/>
  <c r="FL258" i="2"/>
  <c r="FK258" i="2"/>
  <c r="FJ258" i="2"/>
  <c r="FI258" i="2"/>
  <c r="GB258" i="2" s="1"/>
  <c r="FH258" i="2"/>
  <c r="FG258" i="2"/>
  <c r="FF258" i="2"/>
  <c r="FY258" i="2" s="1"/>
  <c r="FE258" i="2"/>
  <c r="FX258" i="2" s="1"/>
  <c r="FD258" i="2"/>
  <c r="FC258" i="2"/>
  <c r="FB258" i="2"/>
  <c r="EZ258" i="2"/>
  <c r="EX258" i="2"/>
  <c r="EW258" i="2"/>
  <c r="EM258" i="2"/>
  <c r="EH258" i="2"/>
  <c r="EG258" i="2"/>
  <c r="EE258" i="2"/>
  <c r="ED258" i="2"/>
  <c r="EC258" i="2"/>
  <c r="EB258" i="2"/>
  <c r="EA258" i="2"/>
  <c r="DZ258" i="2"/>
  <c r="DY258" i="2"/>
  <c r="DX258" i="2"/>
  <c r="DW258" i="2"/>
  <c r="EP258" i="2" s="1"/>
  <c r="DV258" i="2"/>
  <c r="DU258" i="2"/>
  <c r="DT258" i="2"/>
  <c r="DS258" i="2"/>
  <c r="EL258" i="2" s="1"/>
  <c r="DR258" i="2"/>
  <c r="DQ258" i="2"/>
  <c r="DP258" i="2"/>
  <c r="DM258" i="2"/>
  <c r="DL258" i="2"/>
  <c r="HC257" i="2"/>
  <c r="HB257" i="2"/>
  <c r="GW257" i="2"/>
  <c r="GV257" i="2"/>
  <c r="GU257" i="2"/>
  <c r="GT257" i="2"/>
  <c r="GO257" i="2"/>
  <c r="GJ257" i="2"/>
  <c r="GI257" i="2"/>
  <c r="GB257" i="2"/>
  <c r="FY257" i="2"/>
  <c r="FX257" i="2"/>
  <c r="FT257" i="2"/>
  <c r="FS257" i="2"/>
  <c r="GL257" i="2" s="1"/>
  <c r="FQ257" i="2"/>
  <c r="FP257" i="2"/>
  <c r="FO257" i="2"/>
  <c r="FN257" i="2"/>
  <c r="FM257" i="2"/>
  <c r="FL257" i="2"/>
  <c r="FK257" i="2"/>
  <c r="FJ257" i="2"/>
  <c r="FI257" i="2"/>
  <c r="FH257" i="2"/>
  <c r="FG257" i="2"/>
  <c r="FF257" i="2"/>
  <c r="FE257" i="2"/>
  <c r="FD257" i="2"/>
  <c r="FC257" i="2"/>
  <c r="FB257" i="2"/>
  <c r="EL257" i="2"/>
  <c r="EH257" i="2"/>
  <c r="EG257" i="2"/>
  <c r="EZ257" i="2" s="1"/>
  <c r="EE257" i="2"/>
  <c r="EX257" i="2" s="1"/>
  <c r="ED257" i="2"/>
  <c r="EW257" i="2" s="1"/>
  <c r="EC257" i="2"/>
  <c r="EB257" i="2"/>
  <c r="EA257" i="2"/>
  <c r="DZ257" i="2"/>
  <c r="DY257" i="2"/>
  <c r="DX257" i="2"/>
  <c r="DW257" i="2"/>
  <c r="EP257" i="2" s="1"/>
  <c r="DV257" i="2"/>
  <c r="DU257" i="2"/>
  <c r="DT257" i="2"/>
  <c r="EM257" i="2" s="1"/>
  <c r="DS257" i="2"/>
  <c r="DR257" i="2"/>
  <c r="DQ257" i="2"/>
  <c r="DP257" i="2"/>
  <c r="DM257" i="2"/>
  <c r="DL257" i="2"/>
  <c r="HC256" i="2"/>
  <c r="HB256" i="2"/>
  <c r="GW256" i="2"/>
  <c r="GU256" i="2"/>
  <c r="GT256" i="2"/>
  <c r="GO256" i="2"/>
  <c r="FT256" i="2"/>
  <c r="FS256" i="2"/>
  <c r="GL256" i="2" s="1"/>
  <c r="FQ256" i="2"/>
  <c r="GJ256" i="2" s="1"/>
  <c r="FP256" i="2"/>
  <c r="GI256" i="2" s="1"/>
  <c r="FO256" i="2"/>
  <c r="FN256" i="2"/>
  <c r="FM256" i="2"/>
  <c r="FL256" i="2"/>
  <c r="FK256" i="2"/>
  <c r="FJ256" i="2"/>
  <c r="FI256" i="2"/>
  <c r="GB256" i="2" s="1"/>
  <c r="FH256" i="2"/>
  <c r="FG256" i="2"/>
  <c r="FF256" i="2"/>
  <c r="FY256" i="2" s="1"/>
  <c r="FE256" i="2"/>
  <c r="FX256" i="2" s="1"/>
  <c r="FD256" i="2"/>
  <c r="FC256" i="2"/>
  <c r="FB256" i="2"/>
  <c r="EX256" i="2"/>
  <c r="EW256" i="2"/>
  <c r="EM256" i="2"/>
  <c r="EE256" i="2"/>
  <c r="ED256" i="2"/>
  <c r="EC256" i="2"/>
  <c r="EB256" i="2"/>
  <c r="EA256" i="2"/>
  <c r="DY256" i="2"/>
  <c r="DU256" i="2"/>
  <c r="DT256" i="2"/>
  <c r="DS256" i="2"/>
  <c r="EL256" i="2" s="1"/>
  <c r="DR256" i="2"/>
  <c r="DQ256" i="2"/>
  <c r="DM256" i="2"/>
  <c r="AY256" i="2"/>
  <c r="DZ256" i="2" s="1"/>
  <c r="HC255" i="2"/>
  <c r="HB255" i="2"/>
  <c r="GW255" i="2"/>
  <c r="GV255" i="2"/>
  <c r="GU255" i="2"/>
  <c r="GT255" i="2"/>
  <c r="GP255" i="2"/>
  <c r="GO255" i="2"/>
  <c r="GQ255" i="2" s="1"/>
  <c r="GL255" i="2"/>
  <c r="GJ255" i="2"/>
  <c r="GI255" i="2"/>
  <c r="GB255" i="2"/>
  <c r="FY255" i="2"/>
  <c r="FT255" i="2"/>
  <c r="FS255" i="2"/>
  <c r="FQ255" i="2"/>
  <c r="FP255" i="2"/>
  <c r="FO255" i="2"/>
  <c r="FN255" i="2"/>
  <c r="FM255" i="2"/>
  <c r="FL255" i="2"/>
  <c r="FK255" i="2"/>
  <c r="FJ255" i="2"/>
  <c r="FI255" i="2"/>
  <c r="FH255" i="2"/>
  <c r="FG255" i="2"/>
  <c r="FF255" i="2"/>
  <c r="FE255" i="2"/>
  <c r="FX255" i="2" s="1"/>
  <c r="FD255" i="2"/>
  <c r="FC255" i="2"/>
  <c r="FB255" i="2"/>
  <c r="EW255" i="2"/>
  <c r="EM255" i="2"/>
  <c r="EL255" i="2"/>
  <c r="EH255" i="2"/>
  <c r="EG255" i="2"/>
  <c r="EZ255" i="2" s="1"/>
  <c r="EE255" i="2"/>
  <c r="EX255" i="2" s="1"/>
  <c r="ED255" i="2"/>
  <c r="EC255" i="2"/>
  <c r="EB255" i="2"/>
  <c r="EA255" i="2"/>
  <c r="DZ255" i="2"/>
  <c r="DY255" i="2"/>
  <c r="DX255" i="2"/>
  <c r="DW255" i="2"/>
  <c r="EP255" i="2" s="1"/>
  <c r="DV255" i="2"/>
  <c r="DU255" i="2"/>
  <c r="DT255" i="2"/>
  <c r="DS255" i="2"/>
  <c r="DR255" i="2"/>
  <c r="DQ255" i="2"/>
  <c r="DP255" i="2"/>
  <c r="DM255" i="2"/>
  <c r="DL255" i="2"/>
  <c r="HC254" i="2"/>
  <c r="HB254" i="2"/>
  <c r="GW254" i="2"/>
  <c r="GV254" i="2"/>
  <c r="GU254" i="2"/>
  <c r="GT254" i="2"/>
  <c r="GP254" i="2"/>
  <c r="GQ254" i="2" s="1"/>
  <c r="GO254" i="2"/>
  <c r="FX254" i="2"/>
  <c r="FT254" i="2"/>
  <c r="FS254" i="2"/>
  <c r="GL254" i="2" s="1"/>
  <c r="FQ254" i="2"/>
  <c r="GJ254" i="2" s="1"/>
  <c r="FP254" i="2"/>
  <c r="GI254" i="2" s="1"/>
  <c r="FO254" i="2"/>
  <c r="FN254" i="2"/>
  <c r="FM254" i="2"/>
  <c r="FL254" i="2"/>
  <c r="FK254" i="2"/>
  <c r="FJ254" i="2"/>
  <c r="FI254" i="2"/>
  <c r="GB254" i="2" s="1"/>
  <c r="FH254" i="2"/>
  <c r="FG254" i="2"/>
  <c r="FF254" i="2"/>
  <c r="FY254" i="2" s="1"/>
  <c r="FE254" i="2"/>
  <c r="FD254" i="2"/>
  <c r="FC254" i="2"/>
  <c r="FB254" i="2"/>
  <c r="EZ254" i="2"/>
  <c r="EX254" i="2"/>
  <c r="EP254" i="2"/>
  <c r="EH254" i="2"/>
  <c r="EG254" i="2"/>
  <c r="EE254" i="2"/>
  <c r="ED254" i="2"/>
  <c r="EW254" i="2" s="1"/>
  <c r="EC254" i="2"/>
  <c r="EB254" i="2"/>
  <c r="EA254" i="2"/>
  <c r="DZ254" i="2"/>
  <c r="DY254" i="2"/>
  <c r="DX254" i="2"/>
  <c r="DW254" i="2"/>
  <c r="DV254" i="2"/>
  <c r="DU254" i="2"/>
  <c r="DT254" i="2"/>
  <c r="EM254" i="2" s="1"/>
  <c r="DS254" i="2"/>
  <c r="EL254" i="2" s="1"/>
  <c r="DR254" i="2"/>
  <c r="DQ254" i="2"/>
  <c r="DP254" i="2"/>
  <c r="DM254" i="2"/>
  <c r="DL254" i="2"/>
  <c r="HC253" i="2"/>
  <c r="HB253" i="2"/>
  <c r="GW253" i="2"/>
  <c r="GV253" i="2"/>
  <c r="GU253" i="2"/>
  <c r="GT253" i="2"/>
  <c r="GP253" i="2"/>
  <c r="GO253" i="2"/>
  <c r="GQ253" i="2" s="1"/>
  <c r="GL253" i="2"/>
  <c r="GJ253" i="2"/>
  <c r="GI253" i="2"/>
  <c r="GB253" i="2"/>
  <c r="FY253" i="2"/>
  <c r="FT253" i="2"/>
  <c r="FS253" i="2"/>
  <c r="FQ253" i="2"/>
  <c r="FP253" i="2"/>
  <c r="FO253" i="2"/>
  <c r="FN253" i="2"/>
  <c r="FM253" i="2"/>
  <c r="FL253" i="2"/>
  <c r="FK253" i="2"/>
  <c r="FJ253" i="2"/>
  <c r="FI253" i="2"/>
  <c r="FH253" i="2"/>
  <c r="FG253" i="2"/>
  <c r="FF253" i="2"/>
  <c r="FE253" i="2"/>
  <c r="FX253" i="2" s="1"/>
  <c r="FD253" i="2"/>
  <c r="FC253" i="2"/>
  <c r="FB253" i="2"/>
  <c r="EW253" i="2"/>
  <c r="EM253" i="2"/>
  <c r="EL253" i="2"/>
  <c r="EH253" i="2"/>
  <c r="EG253" i="2"/>
  <c r="EZ253" i="2" s="1"/>
  <c r="EE253" i="2"/>
  <c r="EX253" i="2" s="1"/>
  <c r="ED253" i="2"/>
  <c r="EC253" i="2"/>
  <c r="EB253" i="2"/>
  <c r="EA253" i="2"/>
  <c r="DZ253" i="2"/>
  <c r="DY253" i="2"/>
  <c r="DX253" i="2"/>
  <c r="DW253" i="2"/>
  <c r="EP253" i="2" s="1"/>
  <c r="DV253" i="2"/>
  <c r="DU253" i="2"/>
  <c r="DT253" i="2"/>
  <c r="DS253" i="2"/>
  <c r="DR253" i="2"/>
  <c r="DQ253" i="2"/>
  <c r="DP253" i="2"/>
  <c r="DM253" i="2"/>
  <c r="DL253" i="2"/>
  <c r="HC252" i="2"/>
  <c r="HB252" i="2"/>
  <c r="GW252" i="2"/>
  <c r="GV252" i="2"/>
  <c r="GU252" i="2"/>
  <c r="GT252" i="2"/>
  <c r="GQ252" i="2"/>
  <c r="GP252" i="2"/>
  <c r="GO252" i="2"/>
  <c r="FX252" i="2"/>
  <c r="FT252" i="2"/>
  <c r="FS252" i="2"/>
  <c r="GL252" i="2" s="1"/>
  <c r="FQ252" i="2"/>
  <c r="GJ252" i="2" s="1"/>
  <c r="FP252" i="2"/>
  <c r="GI252" i="2" s="1"/>
  <c r="FO252" i="2"/>
  <c r="FN252" i="2"/>
  <c r="FM252" i="2"/>
  <c r="FL252" i="2"/>
  <c r="FK252" i="2"/>
  <c r="FJ252" i="2"/>
  <c r="FI252" i="2"/>
  <c r="GB252" i="2" s="1"/>
  <c r="FH252" i="2"/>
  <c r="FG252" i="2"/>
  <c r="FF252" i="2"/>
  <c r="FY252" i="2" s="1"/>
  <c r="FE252" i="2"/>
  <c r="FD252" i="2"/>
  <c r="FC252" i="2"/>
  <c r="FB252" i="2"/>
  <c r="EZ252" i="2"/>
  <c r="EX252" i="2"/>
  <c r="EP252" i="2"/>
  <c r="EH252" i="2"/>
  <c r="EG252" i="2"/>
  <c r="EE252" i="2"/>
  <c r="ED252" i="2"/>
  <c r="EW252" i="2" s="1"/>
  <c r="EC252" i="2"/>
  <c r="EB252" i="2"/>
  <c r="EA252" i="2"/>
  <c r="DZ252" i="2"/>
  <c r="DY252" i="2"/>
  <c r="DX252" i="2"/>
  <c r="DW252" i="2"/>
  <c r="DV252" i="2"/>
  <c r="DU252" i="2"/>
  <c r="DT252" i="2"/>
  <c r="EM252" i="2" s="1"/>
  <c r="DS252" i="2"/>
  <c r="EL252" i="2" s="1"/>
  <c r="DR252" i="2"/>
  <c r="DQ252" i="2"/>
  <c r="DP252" i="2"/>
  <c r="DM252" i="2"/>
  <c r="DL252" i="2"/>
  <c r="HC251" i="2"/>
  <c r="HB251" i="2"/>
  <c r="GW251" i="2"/>
  <c r="GV251" i="2"/>
  <c r="GU251" i="2"/>
  <c r="GT251" i="2"/>
  <c r="GP251" i="2"/>
  <c r="GO251" i="2"/>
  <c r="GQ251" i="2" s="1"/>
  <c r="GL251" i="2"/>
  <c r="GJ251" i="2"/>
  <c r="GI251" i="2"/>
  <c r="GB251" i="2"/>
  <c r="FY251" i="2"/>
  <c r="FT251" i="2"/>
  <c r="FS251" i="2"/>
  <c r="FQ251" i="2"/>
  <c r="FP251" i="2"/>
  <c r="FO251" i="2"/>
  <c r="FN251" i="2"/>
  <c r="FM251" i="2"/>
  <c r="FL251" i="2"/>
  <c r="FK251" i="2"/>
  <c r="FJ251" i="2"/>
  <c r="FI251" i="2"/>
  <c r="FH251" i="2"/>
  <c r="FG251" i="2"/>
  <c r="FF251" i="2"/>
  <c r="FE251" i="2"/>
  <c r="FX251" i="2" s="1"/>
  <c r="FD251" i="2"/>
  <c r="FC251" i="2"/>
  <c r="FB251" i="2"/>
  <c r="EW251" i="2"/>
  <c r="EM251" i="2"/>
  <c r="EL251" i="2"/>
  <c r="EH251" i="2"/>
  <c r="EG251" i="2"/>
  <c r="EZ251" i="2" s="1"/>
  <c r="EE251" i="2"/>
  <c r="EX251" i="2" s="1"/>
  <c r="ED251" i="2"/>
  <c r="EC251" i="2"/>
  <c r="EB251" i="2"/>
  <c r="EA251" i="2"/>
  <c r="DZ251" i="2"/>
  <c r="DY251" i="2"/>
  <c r="DX251" i="2"/>
  <c r="DW251" i="2"/>
  <c r="EP251" i="2" s="1"/>
  <c r="DV251" i="2"/>
  <c r="DU251" i="2"/>
  <c r="DT251" i="2"/>
  <c r="DS251" i="2"/>
  <c r="DR251" i="2"/>
  <c r="DQ251" i="2"/>
  <c r="DP251" i="2"/>
  <c r="DM251" i="2"/>
  <c r="DL251" i="2"/>
  <c r="HC250" i="2"/>
  <c r="HB250" i="2"/>
  <c r="GW250" i="2"/>
  <c r="GV250" i="2"/>
  <c r="GU250" i="2"/>
  <c r="GT250" i="2"/>
  <c r="GP250" i="2"/>
  <c r="GQ250" i="2" s="1"/>
  <c r="GO250" i="2"/>
  <c r="FX250" i="2"/>
  <c r="FT250" i="2"/>
  <c r="FS250" i="2"/>
  <c r="GL250" i="2" s="1"/>
  <c r="FQ250" i="2"/>
  <c r="GJ250" i="2" s="1"/>
  <c r="FP250" i="2"/>
  <c r="GI250" i="2" s="1"/>
  <c r="FO250" i="2"/>
  <c r="FN250" i="2"/>
  <c r="FM250" i="2"/>
  <c r="FL250" i="2"/>
  <c r="FK250" i="2"/>
  <c r="FJ250" i="2"/>
  <c r="FI250" i="2"/>
  <c r="GB250" i="2" s="1"/>
  <c r="FH250" i="2"/>
  <c r="FG250" i="2"/>
  <c r="FF250" i="2"/>
  <c r="FY250" i="2" s="1"/>
  <c r="FE250" i="2"/>
  <c r="FD250" i="2"/>
  <c r="FC250" i="2"/>
  <c r="FB250" i="2"/>
  <c r="EZ250" i="2"/>
  <c r="EX250" i="2"/>
  <c r="EP250" i="2"/>
  <c r="EH250" i="2"/>
  <c r="EG250" i="2"/>
  <c r="EE250" i="2"/>
  <c r="ED250" i="2"/>
  <c r="EW250" i="2" s="1"/>
  <c r="EC250" i="2"/>
  <c r="EB250" i="2"/>
  <c r="EA250" i="2"/>
  <c r="DZ250" i="2"/>
  <c r="DY250" i="2"/>
  <c r="DX250" i="2"/>
  <c r="DW250" i="2"/>
  <c r="DV250" i="2"/>
  <c r="DU250" i="2"/>
  <c r="DT250" i="2"/>
  <c r="EM250" i="2" s="1"/>
  <c r="DS250" i="2"/>
  <c r="EL250" i="2" s="1"/>
  <c r="DR250" i="2"/>
  <c r="DQ250" i="2"/>
  <c r="DP250" i="2"/>
  <c r="DM250" i="2"/>
  <c r="DL250" i="2"/>
  <c r="HC249" i="2"/>
  <c r="HB249" i="2"/>
  <c r="GW249" i="2"/>
  <c r="GV249" i="2"/>
  <c r="GU249" i="2"/>
  <c r="GT249" i="2"/>
  <c r="GP249" i="2"/>
  <c r="GO249" i="2"/>
  <c r="GQ249" i="2" s="1"/>
  <c r="GL249" i="2"/>
  <c r="GJ249" i="2"/>
  <c r="GI249" i="2"/>
  <c r="GB249" i="2"/>
  <c r="FY249" i="2"/>
  <c r="FT249" i="2"/>
  <c r="FS249" i="2"/>
  <c r="FQ249" i="2"/>
  <c r="FP249" i="2"/>
  <c r="FO249" i="2"/>
  <c r="FN249" i="2"/>
  <c r="FM249" i="2"/>
  <c r="FL249" i="2"/>
  <c r="FK249" i="2"/>
  <c r="FJ249" i="2"/>
  <c r="FI249" i="2"/>
  <c r="FH249" i="2"/>
  <c r="FG249" i="2"/>
  <c r="FF249" i="2"/>
  <c r="FE249" i="2"/>
  <c r="FX249" i="2" s="1"/>
  <c r="FD249" i="2"/>
  <c r="FC249" i="2"/>
  <c r="FB249" i="2"/>
  <c r="EW249" i="2"/>
  <c r="EM249" i="2"/>
  <c r="EL249" i="2"/>
  <c r="EH249" i="2"/>
  <c r="EG249" i="2"/>
  <c r="EZ249" i="2" s="1"/>
  <c r="EE249" i="2"/>
  <c r="EX249" i="2" s="1"/>
  <c r="ED249" i="2"/>
  <c r="EC249" i="2"/>
  <c r="EB249" i="2"/>
  <c r="EA249" i="2"/>
  <c r="DZ249" i="2"/>
  <c r="DY249" i="2"/>
  <c r="DX249" i="2"/>
  <c r="DW249" i="2"/>
  <c r="EP249" i="2" s="1"/>
  <c r="DV249" i="2"/>
  <c r="DU249" i="2"/>
  <c r="DT249" i="2"/>
  <c r="DS249" i="2"/>
  <c r="DR249" i="2"/>
  <c r="DQ249" i="2"/>
  <c r="DP249" i="2"/>
  <c r="DM249" i="2"/>
  <c r="DL249" i="2"/>
  <c r="HC248" i="2"/>
  <c r="HB248" i="2"/>
  <c r="GW248" i="2"/>
  <c r="GV248" i="2"/>
  <c r="GU248" i="2"/>
  <c r="GT248" i="2"/>
  <c r="GQ248" i="2"/>
  <c r="GP248" i="2"/>
  <c r="GO248" i="2"/>
  <c r="FX248" i="2"/>
  <c r="FT248" i="2"/>
  <c r="FS248" i="2"/>
  <c r="GL248" i="2" s="1"/>
  <c r="FQ248" i="2"/>
  <c r="GJ248" i="2" s="1"/>
  <c r="FP248" i="2"/>
  <c r="GI248" i="2" s="1"/>
  <c r="FO248" i="2"/>
  <c r="FN248" i="2"/>
  <c r="FM248" i="2"/>
  <c r="FL248" i="2"/>
  <c r="FK248" i="2"/>
  <c r="FJ248" i="2"/>
  <c r="FI248" i="2"/>
  <c r="GB248" i="2" s="1"/>
  <c r="FH248" i="2"/>
  <c r="FG248" i="2"/>
  <c r="FF248" i="2"/>
  <c r="FY248" i="2" s="1"/>
  <c r="FE248" i="2"/>
  <c r="FD248" i="2"/>
  <c r="FC248" i="2"/>
  <c r="FB248" i="2"/>
  <c r="EZ248" i="2"/>
  <c r="EX248" i="2"/>
  <c r="EP248" i="2"/>
  <c r="EH248" i="2"/>
  <c r="EG248" i="2"/>
  <c r="EE248" i="2"/>
  <c r="ED248" i="2"/>
  <c r="EW248" i="2" s="1"/>
  <c r="EC248" i="2"/>
  <c r="EB248" i="2"/>
  <c r="EA248" i="2"/>
  <c r="DZ248" i="2"/>
  <c r="DY248" i="2"/>
  <c r="DX248" i="2"/>
  <c r="DW248" i="2"/>
  <c r="DV248" i="2"/>
  <c r="DU248" i="2"/>
  <c r="DT248" i="2"/>
  <c r="EM248" i="2" s="1"/>
  <c r="DS248" i="2"/>
  <c r="EL248" i="2" s="1"/>
  <c r="DR248" i="2"/>
  <c r="DQ248" i="2"/>
  <c r="DP248" i="2"/>
  <c r="DM248" i="2"/>
  <c r="DL248" i="2"/>
  <c r="HC247" i="2"/>
  <c r="HB247" i="2"/>
  <c r="GW247" i="2"/>
  <c r="GV247" i="2"/>
  <c r="GU247" i="2"/>
  <c r="GT247" i="2"/>
  <c r="GP247" i="2"/>
  <c r="GO247" i="2"/>
  <c r="GQ247" i="2" s="1"/>
  <c r="GL247" i="2"/>
  <c r="GJ247" i="2"/>
  <c r="GI247" i="2"/>
  <c r="GB247" i="2"/>
  <c r="FY247" i="2"/>
  <c r="FT247" i="2"/>
  <c r="FS247" i="2"/>
  <c r="FQ247" i="2"/>
  <c r="FP247" i="2"/>
  <c r="FO247" i="2"/>
  <c r="FN247" i="2"/>
  <c r="FM247" i="2"/>
  <c r="FL247" i="2"/>
  <c r="FK247" i="2"/>
  <c r="FJ247" i="2"/>
  <c r="FI247" i="2"/>
  <c r="FH247" i="2"/>
  <c r="FG247" i="2"/>
  <c r="FF247" i="2"/>
  <c r="FE247" i="2"/>
  <c r="FX247" i="2" s="1"/>
  <c r="FD247" i="2"/>
  <c r="FC247" i="2"/>
  <c r="FB247" i="2"/>
  <c r="EW247" i="2"/>
  <c r="EM247" i="2"/>
  <c r="EL247" i="2"/>
  <c r="EH247" i="2"/>
  <c r="EG247" i="2"/>
  <c r="EZ247" i="2" s="1"/>
  <c r="EE247" i="2"/>
  <c r="EX247" i="2" s="1"/>
  <c r="ED247" i="2"/>
  <c r="EC247" i="2"/>
  <c r="EB247" i="2"/>
  <c r="EA247" i="2"/>
  <c r="DZ247" i="2"/>
  <c r="DY247" i="2"/>
  <c r="DX247" i="2"/>
  <c r="DW247" i="2"/>
  <c r="EP247" i="2" s="1"/>
  <c r="DV247" i="2"/>
  <c r="DU247" i="2"/>
  <c r="DT247" i="2"/>
  <c r="DS247" i="2"/>
  <c r="DR247" i="2"/>
  <c r="DQ247" i="2"/>
  <c r="DP247" i="2"/>
  <c r="DM247" i="2"/>
  <c r="DL247" i="2"/>
  <c r="HC246" i="2"/>
  <c r="HB246" i="2"/>
  <c r="GW246" i="2"/>
  <c r="GV246" i="2"/>
  <c r="GU246" i="2"/>
  <c r="GT246" i="2"/>
  <c r="GP246" i="2"/>
  <c r="GQ246" i="2" s="1"/>
  <c r="GO246" i="2"/>
  <c r="FX246" i="2"/>
  <c r="FT246" i="2"/>
  <c r="FS246" i="2"/>
  <c r="GL246" i="2" s="1"/>
  <c r="FQ246" i="2"/>
  <c r="GJ246" i="2" s="1"/>
  <c r="FP246" i="2"/>
  <c r="GI246" i="2" s="1"/>
  <c r="FO246" i="2"/>
  <c r="FN246" i="2"/>
  <c r="FM246" i="2"/>
  <c r="FL246" i="2"/>
  <c r="FK246" i="2"/>
  <c r="FJ246" i="2"/>
  <c r="FI246" i="2"/>
  <c r="GB246" i="2" s="1"/>
  <c r="FH246" i="2"/>
  <c r="FG246" i="2"/>
  <c r="FF246" i="2"/>
  <c r="FY246" i="2" s="1"/>
  <c r="FE246" i="2"/>
  <c r="FD246" i="2"/>
  <c r="FC246" i="2"/>
  <c r="FB246" i="2"/>
  <c r="EZ246" i="2"/>
  <c r="EX246" i="2"/>
  <c r="EP246" i="2"/>
  <c r="EH246" i="2"/>
  <c r="EG246" i="2"/>
  <c r="EE246" i="2"/>
  <c r="ED246" i="2"/>
  <c r="EW246" i="2" s="1"/>
  <c r="EC246" i="2"/>
  <c r="EB246" i="2"/>
  <c r="EA246" i="2"/>
  <c r="DZ246" i="2"/>
  <c r="DY246" i="2"/>
  <c r="DX246" i="2"/>
  <c r="DW246" i="2"/>
  <c r="DV246" i="2"/>
  <c r="DU246" i="2"/>
  <c r="DT246" i="2"/>
  <c r="EM246" i="2" s="1"/>
  <c r="DS246" i="2"/>
  <c r="EL246" i="2" s="1"/>
  <c r="DR246" i="2"/>
  <c r="DQ246" i="2"/>
  <c r="DP246" i="2"/>
  <c r="DM246" i="2"/>
  <c r="DL246" i="2"/>
  <c r="HC245" i="2"/>
  <c r="HB245" i="2"/>
  <c r="GW245" i="2"/>
  <c r="GV245" i="2"/>
  <c r="GU245" i="2"/>
  <c r="GT245" i="2"/>
  <c r="GP245" i="2"/>
  <c r="GO245" i="2"/>
  <c r="GQ245" i="2" s="1"/>
  <c r="GL245" i="2"/>
  <c r="GI245" i="2"/>
  <c r="GB245" i="2"/>
  <c r="FY245" i="2"/>
  <c r="FT245" i="2"/>
  <c r="FS245" i="2"/>
  <c r="FQ245" i="2"/>
  <c r="GJ245" i="2" s="1"/>
  <c r="FP245" i="2"/>
  <c r="FO245" i="2"/>
  <c r="FN245" i="2"/>
  <c r="FM245" i="2"/>
  <c r="FL245" i="2"/>
  <c r="FK245" i="2"/>
  <c r="FJ245" i="2"/>
  <c r="FI245" i="2"/>
  <c r="FH245" i="2"/>
  <c r="FG245" i="2"/>
  <c r="FF245" i="2"/>
  <c r="FE245" i="2"/>
  <c r="FX245" i="2" s="1"/>
  <c r="FD245" i="2"/>
  <c r="FC245" i="2"/>
  <c r="FB245" i="2"/>
  <c r="EW245" i="2"/>
  <c r="EP245" i="2"/>
  <c r="EM245" i="2"/>
  <c r="EL245" i="2"/>
  <c r="EH245" i="2"/>
  <c r="EG245" i="2"/>
  <c r="EZ245" i="2" s="1"/>
  <c r="EE245" i="2"/>
  <c r="EX245" i="2" s="1"/>
  <c r="ED245" i="2"/>
  <c r="EC245" i="2"/>
  <c r="EB245" i="2"/>
  <c r="EA245" i="2"/>
  <c r="DZ245" i="2"/>
  <c r="DY245" i="2"/>
  <c r="DX245" i="2"/>
  <c r="DW245" i="2"/>
  <c r="DV245" i="2"/>
  <c r="DU245" i="2"/>
  <c r="DT245" i="2"/>
  <c r="DS245" i="2"/>
  <c r="DR245" i="2"/>
  <c r="DQ245" i="2"/>
  <c r="DP245" i="2"/>
  <c r="DM245" i="2"/>
  <c r="DL245" i="2"/>
  <c r="HC244" i="2"/>
  <c r="HB244" i="2"/>
  <c r="GW244" i="2"/>
  <c r="GU244" i="2"/>
  <c r="GT244" i="2"/>
  <c r="GQ244" i="2"/>
  <c r="GP244" i="2"/>
  <c r="GO244" i="2"/>
  <c r="FX244" i="2"/>
  <c r="FT244" i="2"/>
  <c r="FS244" i="2"/>
  <c r="GL244" i="2" s="1"/>
  <c r="FQ244" i="2"/>
  <c r="GJ244" i="2" s="1"/>
  <c r="FP244" i="2"/>
  <c r="GI244" i="2" s="1"/>
  <c r="FO244" i="2"/>
  <c r="FN244" i="2"/>
  <c r="FM244" i="2"/>
  <c r="FL244" i="2"/>
  <c r="FK244" i="2"/>
  <c r="FJ244" i="2"/>
  <c r="FI244" i="2"/>
  <c r="GB244" i="2" s="1"/>
  <c r="FH244" i="2"/>
  <c r="FG244" i="2"/>
  <c r="FF244" i="2"/>
  <c r="FY244" i="2" s="1"/>
  <c r="FE244" i="2"/>
  <c r="FD244" i="2"/>
  <c r="FC244" i="2"/>
  <c r="FB244" i="2"/>
  <c r="EX244" i="2"/>
  <c r="EG244" i="2"/>
  <c r="EZ244" i="2" s="1"/>
  <c r="EE244" i="2"/>
  <c r="ED244" i="2"/>
  <c r="EW244" i="2" s="1"/>
  <c r="EC244" i="2"/>
  <c r="EB244" i="2"/>
  <c r="DZ244" i="2"/>
  <c r="DX244" i="2"/>
  <c r="DV244" i="2"/>
  <c r="DU244" i="2"/>
  <c r="DT244" i="2"/>
  <c r="EM244" i="2" s="1"/>
  <c r="DS244" i="2"/>
  <c r="EL244" i="2" s="1"/>
  <c r="DR244" i="2"/>
  <c r="DP244" i="2"/>
  <c r="DL244" i="2"/>
  <c r="AY244" i="2"/>
  <c r="EA244" i="2" s="1"/>
  <c r="HC243" i="2"/>
  <c r="HB243" i="2"/>
  <c r="GW243" i="2"/>
  <c r="GV243" i="2"/>
  <c r="GU243" i="2"/>
  <c r="GT243" i="2"/>
  <c r="GO243" i="2"/>
  <c r="GB243" i="2"/>
  <c r="FY243" i="2"/>
  <c r="FT243" i="2"/>
  <c r="FS243" i="2"/>
  <c r="GL243" i="2" s="1"/>
  <c r="FQ243" i="2"/>
  <c r="GJ243" i="2" s="1"/>
  <c r="FP243" i="2"/>
  <c r="GI243" i="2" s="1"/>
  <c r="FO243" i="2"/>
  <c r="FN243" i="2"/>
  <c r="FM243" i="2"/>
  <c r="FL243" i="2"/>
  <c r="FK243" i="2"/>
  <c r="FJ243" i="2"/>
  <c r="FI243" i="2"/>
  <c r="FH243" i="2"/>
  <c r="FG243" i="2"/>
  <c r="FF243" i="2"/>
  <c r="FE243" i="2"/>
  <c r="FX243" i="2" s="1"/>
  <c r="FD243" i="2"/>
  <c r="FC243" i="2"/>
  <c r="FB243" i="2"/>
  <c r="EW243" i="2"/>
  <c r="EM243" i="2"/>
  <c r="EL243" i="2"/>
  <c r="EG243" i="2"/>
  <c r="EZ243" i="2" s="1"/>
  <c r="ED243" i="2"/>
  <c r="EC243" i="2"/>
  <c r="EB243" i="2"/>
  <c r="EA243" i="2"/>
  <c r="DZ243" i="2"/>
  <c r="DY243" i="2"/>
  <c r="DX243" i="2"/>
  <c r="DV243" i="2"/>
  <c r="DT243" i="2"/>
  <c r="DS243" i="2"/>
  <c r="DR243" i="2"/>
  <c r="DQ243" i="2"/>
  <c r="DP243" i="2"/>
  <c r="DM243" i="2"/>
  <c r="DL243" i="2"/>
  <c r="AY243" i="2"/>
  <c r="EH243" i="2" s="1"/>
  <c r="HC242" i="2"/>
  <c r="HB242" i="2"/>
  <c r="GW242" i="2"/>
  <c r="GV242" i="2"/>
  <c r="GU242" i="2"/>
  <c r="GT242" i="2"/>
  <c r="GO242" i="2"/>
  <c r="GP242" i="2" s="1"/>
  <c r="GQ242" i="2" s="1"/>
  <c r="GJ242" i="2"/>
  <c r="GI242" i="2"/>
  <c r="FY242" i="2"/>
  <c r="FX242" i="2"/>
  <c r="FT242" i="2"/>
  <c r="FS242" i="2"/>
  <c r="GL242" i="2" s="1"/>
  <c r="FQ242" i="2"/>
  <c r="FP242" i="2"/>
  <c r="FO242" i="2"/>
  <c r="FN242" i="2"/>
  <c r="FM242" i="2"/>
  <c r="FL242" i="2"/>
  <c r="FK242" i="2"/>
  <c r="FJ242" i="2"/>
  <c r="FI242" i="2"/>
  <c r="GB242" i="2" s="1"/>
  <c r="FH242" i="2"/>
  <c r="FG242" i="2"/>
  <c r="FF242" i="2"/>
  <c r="FE242" i="2"/>
  <c r="FD242" i="2"/>
  <c r="FC242" i="2"/>
  <c r="FB242" i="2"/>
  <c r="EW242" i="2"/>
  <c r="EH242" i="2"/>
  <c r="EG242" i="2"/>
  <c r="EZ242" i="2" s="1"/>
  <c r="EE242" i="2"/>
  <c r="EX242" i="2" s="1"/>
  <c r="ED242" i="2"/>
  <c r="EC242" i="2"/>
  <c r="EB242" i="2"/>
  <c r="EA242" i="2"/>
  <c r="DZ242" i="2"/>
  <c r="DY242" i="2"/>
  <c r="DX242" i="2"/>
  <c r="DW242" i="2"/>
  <c r="EP242" i="2" s="1"/>
  <c r="DV242" i="2"/>
  <c r="DU242" i="2"/>
  <c r="DT242" i="2"/>
  <c r="EM242" i="2" s="1"/>
  <c r="DS242" i="2"/>
  <c r="EL242" i="2" s="1"/>
  <c r="DR242" i="2"/>
  <c r="DQ242" i="2"/>
  <c r="DP242" i="2"/>
  <c r="DM242" i="2"/>
  <c r="DL242" i="2"/>
  <c r="HC241" i="2"/>
  <c r="HB241" i="2"/>
  <c r="GW241" i="2"/>
  <c r="GV241" i="2"/>
  <c r="GU241" i="2"/>
  <c r="GT241" i="2"/>
  <c r="GO241" i="2"/>
  <c r="FT241" i="2"/>
  <c r="FS241" i="2"/>
  <c r="GL241" i="2" s="1"/>
  <c r="FQ241" i="2"/>
  <c r="GJ241" i="2" s="1"/>
  <c r="FP241" i="2"/>
  <c r="GI241" i="2" s="1"/>
  <c r="FO241" i="2"/>
  <c r="FN241" i="2"/>
  <c r="FM241" i="2"/>
  <c r="FL241" i="2"/>
  <c r="FK241" i="2"/>
  <c r="FJ241" i="2"/>
  <c r="FI241" i="2"/>
  <c r="GB241" i="2" s="1"/>
  <c r="FH241" i="2"/>
  <c r="FG241" i="2"/>
  <c r="FF241" i="2"/>
  <c r="FY241" i="2" s="1"/>
  <c r="FE241" i="2"/>
  <c r="FX241" i="2" s="1"/>
  <c r="FD241" i="2"/>
  <c r="FC241" i="2"/>
  <c r="FB241" i="2"/>
  <c r="EZ241" i="2"/>
  <c r="EX241" i="2"/>
  <c r="EW241" i="2"/>
  <c r="EM241" i="2"/>
  <c r="EH241" i="2"/>
  <c r="EG241" i="2"/>
  <c r="EE241" i="2"/>
  <c r="ED241" i="2"/>
  <c r="EC241" i="2"/>
  <c r="EB241" i="2"/>
  <c r="EA241" i="2"/>
  <c r="DZ241" i="2"/>
  <c r="DY241" i="2"/>
  <c r="DX241" i="2"/>
  <c r="DW241" i="2"/>
  <c r="EP241" i="2" s="1"/>
  <c r="DV241" i="2"/>
  <c r="DU241" i="2"/>
  <c r="DT241" i="2"/>
  <c r="DS241" i="2"/>
  <c r="EL241" i="2" s="1"/>
  <c r="DR241" i="2"/>
  <c r="DQ241" i="2"/>
  <c r="DP241" i="2"/>
  <c r="DM241" i="2"/>
  <c r="DL241" i="2"/>
  <c r="HC240" i="2"/>
  <c r="HB240" i="2"/>
  <c r="GW240" i="2"/>
  <c r="GV240" i="2"/>
  <c r="GU240" i="2"/>
  <c r="GT240" i="2"/>
  <c r="GO240" i="2"/>
  <c r="GP240" i="2" s="1"/>
  <c r="GJ240" i="2"/>
  <c r="GI240" i="2"/>
  <c r="FY240" i="2"/>
  <c r="FX240" i="2"/>
  <c r="FT240" i="2"/>
  <c r="FS240" i="2"/>
  <c r="GL240" i="2" s="1"/>
  <c r="FQ240" i="2"/>
  <c r="FP240" i="2"/>
  <c r="FO240" i="2"/>
  <c r="FN240" i="2"/>
  <c r="FM240" i="2"/>
  <c r="FL240" i="2"/>
  <c r="FK240" i="2"/>
  <c r="FJ240" i="2"/>
  <c r="FI240" i="2"/>
  <c r="GB240" i="2" s="1"/>
  <c r="FH240" i="2"/>
  <c r="FG240" i="2"/>
  <c r="FF240" i="2"/>
  <c r="FE240" i="2"/>
  <c r="FD240" i="2"/>
  <c r="FC240" i="2"/>
  <c r="FB240" i="2"/>
  <c r="EH240" i="2"/>
  <c r="EG240" i="2"/>
  <c r="EZ240" i="2" s="1"/>
  <c r="EE240" i="2"/>
  <c r="EX240" i="2" s="1"/>
  <c r="ED240" i="2"/>
  <c r="EW240" i="2" s="1"/>
  <c r="EC240" i="2"/>
  <c r="EB240" i="2"/>
  <c r="EA240" i="2"/>
  <c r="DZ240" i="2"/>
  <c r="DY240" i="2"/>
  <c r="DX240" i="2"/>
  <c r="DW240" i="2"/>
  <c r="EP240" i="2" s="1"/>
  <c r="DV240" i="2"/>
  <c r="DU240" i="2"/>
  <c r="DT240" i="2"/>
  <c r="EM240" i="2" s="1"/>
  <c r="DS240" i="2"/>
  <c r="EL240" i="2" s="1"/>
  <c r="DR240" i="2"/>
  <c r="DQ240" i="2"/>
  <c r="DP240" i="2"/>
  <c r="DM240" i="2"/>
  <c r="DL240" i="2"/>
  <c r="HC239" i="2"/>
  <c r="HB239" i="2"/>
  <c r="GW239" i="2"/>
  <c r="GV239" i="2"/>
  <c r="GU239" i="2"/>
  <c r="GT239" i="2"/>
  <c r="GO239" i="2"/>
  <c r="GB239" i="2"/>
  <c r="FT239" i="2"/>
  <c r="FS239" i="2"/>
  <c r="GL239" i="2" s="1"/>
  <c r="FQ239" i="2"/>
  <c r="GJ239" i="2" s="1"/>
  <c r="FP239" i="2"/>
  <c r="GI239" i="2" s="1"/>
  <c r="FO239" i="2"/>
  <c r="FN239" i="2"/>
  <c r="FM239" i="2"/>
  <c r="FL239" i="2"/>
  <c r="FK239" i="2"/>
  <c r="FJ239" i="2"/>
  <c r="FI239" i="2"/>
  <c r="FH239" i="2"/>
  <c r="FG239" i="2"/>
  <c r="FF239" i="2"/>
  <c r="FY239" i="2" s="1"/>
  <c r="FE239" i="2"/>
  <c r="FX239" i="2" s="1"/>
  <c r="FD239" i="2"/>
  <c r="FC239" i="2"/>
  <c r="FB239" i="2"/>
  <c r="EZ239" i="2"/>
  <c r="EX239" i="2"/>
  <c r="EW239" i="2"/>
  <c r="EM239" i="2"/>
  <c r="EL239" i="2"/>
  <c r="EH239" i="2"/>
  <c r="EG239" i="2"/>
  <c r="EE239" i="2"/>
  <c r="ED239" i="2"/>
  <c r="EC239" i="2"/>
  <c r="EB239" i="2"/>
  <c r="EA239" i="2"/>
  <c r="DZ239" i="2"/>
  <c r="DY239" i="2"/>
  <c r="DX239" i="2"/>
  <c r="DW239" i="2"/>
  <c r="EP239" i="2" s="1"/>
  <c r="DV239" i="2"/>
  <c r="DU239" i="2"/>
  <c r="DT239" i="2"/>
  <c r="DS239" i="2"/>
  <c r="DR239" i="2"/>
  <c r="DQ239" i="2"/>
  <c r="DP239" i="2"/>
  <c r="DM239" i="2"/>
  <c r="DL239" i="2"/>
  <c r="HC238" i="2"/>
  <c r="HB238" i="2"/>
  <c r="GW238" i="2"/>
  <c r="GV238" i="2"/>
  <c r="GU238" i="2"/>
  <c r="GT238" i="2"/>
  <c r="GO238" i="2"/>
  <c r="GP238" i="2" s="1"/>
  <c r="GJ238" i="2"/>
  <c r="GI238" i="2"/>
  <c r="FY238" i="2"/>
  <c r="FX238" i="2"/>
  <c r="FT238" i="2"/>
  <c r="FS238" i="2"/>
  <c r="GL238" i="2" s="1"/>
  <c r="FQ238" i="2"/>
  <c r="FP238" i="2"/>
  <c r="FO238" i="2"/>
  <c r="FN238" i="2"/>
  <c r="FM238" i="2"/>
  <c r="FL238" i="2"/>
  <c r="FK238" i="2"/>
  <c r="FJ238" i="2"/>
  <c r="FI238" i="2"/>
  <c r="GB238" i="2" s="1"/>
  <c r="FH238" i="2"/>
  <c r="FG238" i="2"/>
  <c r="FF238" i="2"/>
  <c r="FE238" i="2"/>
  <c r="FD238" i="2"/>
  <c r="FC238" i="2"/>
  <c r="FB238" i="2"/>
  <c r="EP238" i="2"/>
  <c r="EH238" i="2"/>
  <c r="EG238" i="2"/>
  <c r="EZ238" i="2" s="1"/>
  <c r="EE238" i="2"/>
  <c r="EX238" i="2" s="1"/>
  <c r="ED238" i="2"/>
  <c r="EW238" i="2" s="1"/>
  <c r="EC238" i="2"/>
  <c r="EB238" i="2"/>
  <c r="EA238" i="2"/>
  <c r="DZ238" i="2"/>
  <c r="DY238" i="2"/>
  <c r="DX238" i="2"/>
  <c r="DW238" i="2"/>
  <c r="DV238" i="2"/>
  <c r="DU238" i="2"/>
  <c r="DT238" i="2"/>
  <c r="EM238" i="2" s="1"/>
  <c r="DS238" i="2"/>
  <c r="EL238" i="2" s="1"/>
  <c r="DR238" i="2"/>
  <c r="DQ238" i="2"/>
  <c r="DP238" i="2"/>
  <c r="DM238" i="2"/>
  <c r="DL238" i="2"/>
  <c r="HC237" i="2"/>
  <c r="HB237" i="2"/>
  <c r="GW237" i="2"/>
  <c r="GV237" i="2"/>
  <c r="GU237" i="2"/>
  <c r="GT237" i="2"/>
  <c r="GO237" i="2"/>
  <c r="GB237" i="2"/>
  <c r="FT237" i="2"/>
  <c r="FS237" i="2"/>
  <c r="GL237" i="2" s="1"/>
  <c r="FQ237" i="2"/>
  <c r="GJ237" i="2" s="1"/>
  <c r="FP237" i="2"/>
  <c r="GI237" i="2" s="1"/>
  <c r="FO237" i="2"/>
  <c r="FN237" i="2"/>
  <c r="FM237" i="2"/>
  <c r="FL237" i="2"/>
  <c r="FK237" i="2"/>
  <c r="FJ237" i="2"/>
  <c r="FI237" i="2"/>
  <c r="FH237" i="2"/>
  <c r="FG237" i="2"/>
  <c r="FF237" i="2"/>
  <c r="FY237" i="2" s="1"/>
  <c r="FE237" i="2"/>
  <c r="FX237" i="2" s="1"/>
  <c r="FD237" i="2"/>
  <c r="FC237" i="2"/>
  <c r="FB237" i="2"/>
  <c r="EZ237" i="2"/>
  <c r="EW237" i="2"/>
  <c r="EM237" i="2"/>
  <c r="EL237" i="2"/>
  <c r="EH237" i="2"/>
  <c r="EG237" i="2"/>
  <c r="EE237" i="2"/>
  <c r="EX237" i="2" s="1"/>
  <c r="ED237" i="2"/>
  <c r="EC237" i="2"/>
  <c r="EB237" i="2"/>
  <c r="EA237" i="2"/>
  <c r="DZ237" i="2"/>
  <c r="DY237" i="2"/>
  <c r="DX237" i="2"/>
  <c r="DW237" i="2"/>
  <c r="EP237" i="2" s="1"/>
  <c r="DV237" i="2"/>
  <c r="DU237" i="2"/>
  <c r="DT237" i="2"/>
  <c r="DS237" i="2"/>
  <c r="DR237" i="2"/>
  <c r="DQ237" i="2"/>
  <c r="DP237" i="2"/>
  <c r="DM237" i="2"/>
  <c r="DL237" i="2"/>
  <c r="AX237" i="2"/>
  <c r="AC237" i="2"/>
  <c r="HC236" i="2"/>
  <c r="HB236" i="2"/>
  <c r="GW236" i="2"/>
  <c r="GV236" i="2"/>
  <c r="GU236" i="2"/>
  <c r="GT236" i="2"/>
  <c r="GO236" i="2"/>
  <c r="GP236" i="2" s="1"/>
  <c r="GL236" i="2"/>
  <c r="GJ236" i="2"/>
  <c r="GI236" i="2"/>
  <c r="GB236" i="2"/>
  <c r="FY236" i="2"/>
  <c r="FX236" i="2"/>
  <c r="FT236" i="2"/>
  <c r="FS236" i="2"/>
  <c r="FQ236" i="2"/>
  <c r="FP236" i="2"/>
  <c r="FO236" i="2"/>
  <c r="FN236" i="2"/>
  <c r="FM236" i="2"/>
  <c r="FL236" i="2"/>
  <c r="FK236" i="2"/>
  <c r="FJ236" i="2"/>
  <c r="FI236" i="2"/>
  <c r="FH236" i="2"/>
  <c r="FG236" i="2"/>
  <c r="FF236" i="2"/>
  <c r="FE236" i="2"/>
  <c r="FD236" i="2"/>
  <c r="FC236" i="2"/>
  <c r="FB236" i="2"/>
  <c r="EZ236" i="2"/>
  <c r="EM236" i="2"/>
  <c r="EL236" i="2"/>
  <c r="EH236" i="2"/>
  <c r="EG236" i="2"/>
  <c r="EE236" i="2"/>
  <c r="EX236" i="2" s="1"/>
  <c r="ED236" i="2"/>
  <c r="EW236" i="2" s="1"/>
  <c r="EC236" i="2"/>
  <c r="EB236" i="2"/>
  <c r="EA236" i="2"/>
  <c r="DZ236" i="2"/>
  <c r="DY236" i="2"/>
  <c r="DX236" i="2"/>
  <c r="DW236" i="2"/>
  <c r="EP236" i="2" s="1"/>
  <c r="DV236" i="2"/>
  <c r="DU236" i="2"/>
  <c r="DT236" i="2"/>
  <c r="DS236" i="2"/>
  <c r="DR236" i="2"/>
  <c r="DQ236" i="2"/>
  <c r="DP236" i="2"/>
  <c r="DM236" i="2"/>
  <c r="DL236" i="2"/>
  <c r="AX236" i="2"/>
  <c r="AC236" i="2"/>
  <c r="HC235" i="2"/>
  <c r="HB235" i="2"/>
  <c r="GW235" i="2"/>
  <c r="GJ235" i="2"/>
  <c r="GI235" i="2"/>
  <c r="FY235" i="2"/>
  <c r="FX235" i="2"/>
  <c r="FT235" i="2"/>
  <c r="FS235" i="2"/>
  <c r="GL235" i="2" s="1"/>
  <c r="FQ235" i="2"/>
  <c r="FP235" i="2"/>
  <c r="FO235" i="2"/>
  <c r="FN235" i="2"/>
  <c r="FM235" i="2"/>
  <c r="FL235" i="2"/>
  <c r="FK235" i="2"/>
  <c r="FJ235" i="2"/>
  <c r="FI235" i="2"/>
  <c r="GB235" i="2" s="1"/>
  <c r="FH235" i="2"/>
  <c r="FG235" i="2"/>
  <c r="FF235" i="2"/>
  <c r="FE235" i="2"/>
  <c r="FD235" i="2"/>
  <c r="FC235" i="2"/>
  <c r="FB235" i="2"/>
  <c r="EZ235" i="2"/>
  <c r="EH235" i="2"/>
  <c r="EG235" i="2"/>
  <c r="DV235" i="2"/>
  <c r="DU235" i="2"/>
  <c r="DT235" i="2"/>
  <c r="EM235" i="2" s="1"/>
  <c r="DS235" i="2"/>
  <c r="EL235" i="2" s="1"/>
  <c r="AY235" i="2"/>
  <c r="BO235" i="2" s="1"/>
  <c r="AT235" i="2"/>
  <c r="AM235" i="2"/>
  <c r="AL235" i="2"/>
  <c r="GU235" i="2" s="1"/>
  <c r="AD235" i="2"/>
  <c r="I235" i="2"/>
  <c r="HC234" i="2"/>
  <c r="HB234" i="2"/>
  <c r="GW234" i="2"/>
  <c r="GI234" i="2"/>
  <c r="FY234" i="2"/>
  <c r="FT234" i="2"/>
  <c r="FS234" i="2"/>
  <c r="GL234" i="2" s="1"/>
  <c r="FQ234" i="2"/>
  <c r="GJ234" i="2" s="1"/>
  <c r="FP234" i="2"/>
  <c r="FO234" i="2"/>
  <c r="FN234" i="2"/>
  <c r="FM234" i="2"/>
  <c r="FL234" i="2"/>
  <c r="FK234" i="2"/>
  <c r="FJ234" i="2"/>
  <c r="FI234" i="2"/>
  <c r="GB234" i="2" s="1"/>
  <c r="FH234" i="2"/>
  <c r="FG234" i="2"/>
  <c r="FF234" i="2"/>
  <c r="FE234" i="2"/>
  <c r="FX234" i="2" s="1"/>
  <c r="FD234" i="2"/>
  <c r="FC234" i="2"/>
  <c r="FB234" i="2"/>
  <c r="AY234" i="2"/>
  <c r="BG234" i="2" s="1"/>
  <c r="GV234" i="2" s="1"/>
  <c r="AD234" i="2"/>
  <c r="Q234" i="2"/>
  <c r="I234" i="2"/>
  <c r="HC233" i="2"/>
  <c r="HB233" i="2"/>
  <c r="GW233" i="2"/>
  <c r="GV233" i="2"/>
  <c r="GU233" i="2"/>
  <c r="GT233" i="2"/>
  <c r="GP233" i="2"/>
  <c r="GQ233" i="2" s="1"/>
  <c r="GO233" i="2"/>
  <c r="GL233" i="2"/>
  <c r="GJ233" i="2"/>
  <c r="GI233" i="2"/>
  <c r="FY233" i="2"/>
  <c r="FX233" i="2"/>
  <c r="FT233" i="2"/>
  <c r="FS233" i="2"/>
  <c r="FQ233" i="2"/>
  <c r="FP233" i="2"/>
  <c r="FO233" i="2"/>
  <c r="FN233" i="2"/>
  <c r="FM233" i="2"/>
  <c r="FL233" i="2"/>
  <c r="FK233" i="2"/>
  <c r="FJ233" i="2"/>
  <c r="FI233" i="2"/>
  <c r="GB233" i="2" s="1"/>
  <c r="FH233" i="2"/>
  <c r="FG233" i="2"/>
  <c r="FF233" i="2"/>
  <c r="FE233" i="2"/>
  <c r="FD233" i="2"/>
  <c r="FC233" i="2"/>
  <c r="FB233" i="2"/>
  <c r="EX233" i="2"/>
  <c r="EP233" i="2"/>
  <c r="EL233" i="2"/>
  <c r="EH233" i="2"/>
  <c r="EG233" i="2"/>
  <c r="EZ233" i="2" s="1"/>
  <c r="EE233" i="2"/>
  <c r="ED233" i="2"/>
  <c r="EW233" i="2" s="1"/>
  <c r="EC233" i="2"/>
  <c r="EB233" i="2"/>
  <c r="EA233" i="2"/>
  <c r="DZ233" i="2"/>
  <c r="DY233" i="2"/>
  <c r="DX233" i="2"/>
  <c r="DW233" i="2"/>
  <c r="DV233" i="2"/>
  <c r="DU233" i="2"/>
  <c r="DT233" i="2"/>
  <c r="EM233" i="2" s="1"/>
  <c r="DS233" i="2"/>
  <c r="DR233" i="2"/>
  <c r="DQ233" i="2"/>
  <c r="DP233" i="2"/>
  <c r="DM233" i="2"/>
  <c r="DL233" i="2"/>
  <c r="HC232" i="2"/>
  <c r="HB232" i="2"/>
  <c r="GW232" i="2"/>
  <c r="GX232" i="2" s="1"/>
  <c r="GV232" i="2"/>
  <c r="GU232" i="2"/>
  <c r="GT232" i="2"/>
  <c r="GO232" i="2"/>
  <c r="GP232" i="2" s="1"/>
  <c r="GJ232" i="2"/>
  <c r="GI232" i="2"/>
  <c r="FY232" i="2"/>
  <c r="FX232" i="2"/>
  <c r="FT232" i="2"/>
  <c r="FS232" i="2"/>
  <c r="GL232" i="2" s="1"/>
  <c r="FQ232" i="2"/>
  <c r="FP232" i="2"/>
  <c r="FO232" i="2"/>
  <c r="FN232" i="2"/>
  <c r="FM232" i="2"/>
  <c r="FL232" i="2"/>
  <c r="FK232" i="2"/>
  <c r="FJ232" i="2"/>
  <c r="FI232" i="2"/>
  <c r="GB232" i="2" s="1"/>
  <c r="FH232" i="2"/>
  <c r="FG232" i="2"/>
  <c r="FF232" i="2"/>
  <c r="FE232" i="2"/>
  <c r="FD232" i="2"/>
  <c r="FC232" i="2"/>
  <c r="FB232" i="2"/>
  <c r="EZ232" i="2"/>
  <c r="EW232" i="2"/>
  <c r="EM232" i="2"/>
  <c r="EH232" i="2"/>
  <c r="EG232" i="2"/>
  <c r="EE232" i="2"/>
  <c r="EX232" i="2" s="1"/>
  <c r="ED232" i="2"/>
  <c r="EC232" i="2"/>
  <c r="EB232" i="2"/>
  <c r="EA232" i="2"/>
  <c r="DZ232" i="2"/>
  <c r="DY232" i="2"/>
  <c r="DX232" i="2"/>
  <c r="DW232" i="2"/>
  <c r="EP232" i="2" s="1"/>
  <c r="DV232" i="2"/>
  <c r="DU232" i="2"/>
  <c r="DT232" i="2"/>
  <c r="DS232" i="2"/>
  <c r="EL232" i="2" s="1"/>
  <c r="DR232" i="2"/>
  <c r="DQ232" i="2"/>
  <c r="DP232" i="2"/>
  <c r="DM232" i="2"/>
  <c r="DL232" i="2"/>
  <c r="HC231" i="2"/>
  <c r="HB231" i="2"/>
  <c r="GW231" i="2"/>
  <c r="GU231" i="2"/>
  <c r="GT231" i="2"/>
  <c r="GP231" i="2"/>
  <c r="GO231" i="2"/>
  <c r="GB231" i="2"/>
  <c r="FT231" i="2"/>
  <c r="FS231" i="2"/>
  <c r="GL231" i="2" s="1"/>
  <c r="FQ231" i="2"/>
  <c r="GJ231" i="2" s="1"/>
  <c r="FP231" i="2"/>
  <c r="GI231" i="2" s="1"/>
  <c r="FO231" i="2"/>
  <c r="FN231" i="2"/>
  <c r="FM231" i="2"/>
  <c r="FL231" i="2"/>
  <c r="FK231" i="2"/>
  <c r="FJ231" i="2"/>
  <c r="FI231" i="2"/>
  <c r="FH231" i="2"/>
  <c r="FG231" i="2"/>
  <c r="FF231" i="2"/>
  <c r="FY231" i="2" s="1"/>
  <c r="FE231" i="2"/>
  <c r="FX231" i="2" s="1"/>
  <c r="FD231" i="2"/>
  <c r="FC231" i="2"/>
  <c r="FB231" i="2"/>
  <c r="EP231" i="2"/>
  <c r="EH231" i="2"/>
  <c r="EE231" i="2"/>
  <c r="EX231" i="2" s="1"/>
  <c r="ED231" i="2"/>
  <c r="EW231" i="2" s="1"/>
  <c r="EC231" i="2"/>
  <c r="EB231" i="2"/>
  <c r="EA231" i="2"/>
  <c r="DZ231" i="2"/>
  <c r="DY231" i="2"/>
  <c r="DX231" i="2"/>
  <c r="DW231" i="2"/>
  <c r="DU231" i="2"/>
  <c r="DT231" i="2"/>
  <c r="EM231" i="2" s="1"/>
  <c r="DS231" i="2"/>
  <c r="EL231" i="2" s="1"/>
  <c r="DR231" i="2"/>
  <c r="DQ231" i="2"/>
  <c r="DP231" i="2"/>
  <c r="DM231" i="2"/>
  <c r="BG231" i="2"/>
  <c r="DL231" i="2" s="1"/>
  <c r="AY231" i="2"/>
  <c r="EG231" i="2" s="1"/>
  <c r="EZ231" i="2" s="1"/>
  <c r="FN230" i="2"/>
  <c r="FL230" i="2"/>
  <c r="FK230" i="2"/>
  <c r="FB230" i="2"/>
  <c r="DZ230" i="2"/>
  <c r="DE230" i="2"/>
  <c r="CX230" i="2"/>
  <c r="CW230" i="2"/>
  <c r="HC230" i="2" s="1"/>
  <c r="CO230" i="2"/>
  <c r="DF230" i="2" s="1"/>
  <c r="BT230" i="2"/>
  <c r="FP230" i="2" s="1"/>
  <c r="GI230" i="2" s="1"/>
  <c r="AY230" i="2"/>
  <c r="AU230" i="2"/>
  <c r="AD230" i="2"/>
  <c r="AL230" i="2" s="1"/>
  <c r="GU230" i="2" s="1"/>
  <c r="I230" i="2"/>
  <c r="DV230" i="2" s="1"/>
  <c r="HC229" i="2"/>
  <c r="GV229" i="2"/>
  <c r="GO229" i="2"/>
  <c r="FN229" i="2"/>
  <c r="FM229" i="2"/>
  <c r="FB229" i="2"/>
  <c r="EB229" i="2"/>
  <c r="DZ229" i="2"/>
  <c r="DY229" i="2"/>
  <c r="DF229" i="2"/>
  <c r="DE229" i="2"/>
  <c r="CX229" i="2"/>
  <c r="CW229" i="2"/>
  <c r="CO229" i="2"/>
  <c r="BT229" i="2"/>
  <c r="FL229" i="2" s="1"/>
  <c r="BP229" i="2"/>
  <c r="BO229" i="2"/>
  <c r="BH229" i="2"/>
  <c r="BG229" i="2"/>
  <c r="AY229" i="2"/>
  <c r="AD229" i="2"/>
  <c r="AT229" i="2" s="1"/>
  <c r="Z229" i="2"/>
  <c r="Y229" i="2"/>
  <c r="R229" i="2"/>
  <c r="Q229" i="2"/>
  <c r="I229" i="2"/>
  <c r="HC228" i="2"/>
  <c r="HB228" i="2"/>
  <c r="GW228" i="2"/>
  <c r="GV228" i="2"/>
  <c r="GU228" i="2"/>
  <c r="GT228" i="2"/>
  <c r="GQ228" i="2"/>
  <c r="GO228" i="2"/>
  <c r="GP228" i="2" s="1"/>
  <c r="GJ228" i="2"/>
  <c r="FX228" i="2"/>
  <c r="FT228" i="2"/>
  <c r="FS228" i="2"/>
  <c r="GL228" i="2" s="1"/>
  <c r="FQ228" i="2"/>
  <c r="FP228" i="2"/>
  <c r="GI228" i="2" s="1"/>
  <c r="FO228" i="2"/>
  <c r="FN228" i="2"/>
  <c r="FM228" i="2"/>
  <c r="FL228" i="2"/>
  <c r="FK228" i="2"/>
  <c r="FJ228" i="2"/>
  <c r="FI228" i="2"/>
  <c r="GB228" i="2" s="1"/>
  <c r="FH228" i="2"/>
  <c r="FG228" i="2"/>
  <c r="FF228" i="2"/>
  <c r="FY228" i="2" s="1"/>
  <c r="FE228" i="2"/>
  <c r="FD228" i="2"/>
  <c r="FC228" i="2"/>
  <c r="FB228" i="2"/>
  <c r="EW228" i="2"/>
  <c r="EM228" i="2"/>
  <c r="EH228" i="2"/>
  <c r="EG228" i="2"/>
  <c r="EZ228" i="2" s="1"/>
  <c r="EE228" i="2"/>
  <c r="EX228" i="2" s="1"/>
  <c r="ED228" i="2"/>
  <c r="EC228" i="2"/>
  <c r="EB228" i="2"/>
  <c r="EA228" i="2"/>
  <c r="DZ228" i="2"/>
  <c r="DY228" i="2"/>
  <c r="DX228" i="2"/>
  <c r="DW228" i="2"/>
  <c r="EP228" i="2" s="1"/>
  <c r="DV228" i="2"/>
  <c r="DU228" i="2"/>
  <c r="DT228" i="2"/>
  <c r="DS228" i="2"/>
  <c r="EL228" i="2" s="1"/>
  <c r="DR228" i="2"/>
  <c r="DQ228" i="2"/>
  <c r="DP228" i="2"/>
  <c r="DM228" i="2"/>
  <c r="DL228" i="2"/>
  <c r="HC227" i="2"/>
  <c r="HB227" i="2"/>
  <c r="GW227" i="2"/>
  <c r="GV227" i="2"/>
  <c r="GU227" i="2"/>
  <c r="GT227" i="2"/>
  <c r="GO227" i="2"/>
  <c r="GL227" i="2"/>
  <c r="GB227" i="2"/>
  <c r="FT227" i="2"/>
  <c r="FS227" i="2"/>
  <c r="FQ227" i="2"/>
  <c r="GJ227" i="2" s="1"/>
  <c r="FP227" i="2"/>
  <c r="GI227" i="2" s="1"/>
  <c r="FO227" i="2"/>
  <c r="FN227" i="2"/>
  <c r="FM227" i="2"/>
  <c r="FL227" i="2"/>
  <c r="FK227" i="2"/>
  <c r="FJ227" i="2"/>
  <c r="FI227" i="2"/>
  <c r="FH227" i="2"/>
  <c r="FG227" i="2"/>
  <c r="FF227" i="2"/>
  <c r="FY227" i="2" s="1"/>
  <c r="FE227" i="2"/>
  <c r="FX227" i="2" s="1"/>
  <c r="FD227" i="2"/>
  <c r="FC227" i="2"/>
  <c r="FB227" i="2"/>
  <c r="EZ227" i="2"/>
  <c r="EX227" i="2"/>
  <c r="EW227" i="2"/>
  <c r="EM227" i="2"/>
  <c r="EL227" i="2"/>
  <c r="EH227" i="2"/>
  <c r="EG227" i="2"/>
  <c r="EE227" i="2"/>
  <c r="ED227" i="2"/>
  <c r="EC227" i="2"/>
  <c r="EB227" i="2"/>
  <c r="EA227" i="2"/>
  <c r="DZ227" i="2"/>
  <c r="DY227" i="2"/>
  <c r="DX227" i="2"/>
  <c r="DW227" i="2"/>
  <c r="EP227" i="2" s="1"/>
  <c r="DV227" i="2"/>
  <c r="DU227" i="2"/>
  <c r="DT227" i="2"/>
  <c r="DS227" i="2"/>
  <c r="DR227" i="2"/>
  <c r="DQ227" i="2"/>
  <c r="DP227" i="2"/>
  <c r="DM227" i="2"/>
  <c r="DL227" i="2"/>
  <c r="HC226" i="2"/>
  <c r="HB226" i="2"/>
  <c r="GW226" i="2"/>
  <c r="GV226" i="2"/>
  <c r="GU226" i="2"/>
  <c r="GT226" i="2"/>
  <c r="GP226" i="2"/>
  <c r="GQ226" i="2" s="1"/>
  <c r="GO226" i="2"/>
  <c r="GJ226" i="2"/>
  <c r="FX226" i="2"/>
  <c r="FT226" i="2"/>
  <c r="FS226" i="2"/>
  <c r="GL226" i="2" s="1"/>
  <c r="FQ226" i="2"/>
  <c r="FP226" i="2"/>
  <c r="GI226" i="2" s="1"/>
  <c r="FO226" i="2"/>
  <c r="FN226" i="2"/>
  <c r="FM226" i="2"/>
  <c r="FL226" i="2"/>
  <c r="FK226" i="2"/>
  <c r="FJ226" i="2"/>
  <c r="FI226" i="2"/>
  <c r="GB226" i="2" s="1"/>
  <c r="FH226" i="2"/>
  <c r="FG226" i="2"/>
  <c r="FF226" i="2"/>
  <c r="FY226" i="2" s="1"/>
  <c r="FE226" i="2"/>
  <c r="FD226" i="2"/>
  <c r="FC226" i="2"/>
  <c r="FB226" i="2"/>
  <c r="EZ226" i="2"/>
  <c r="EW226" i="2"/>
  <c r="EP226" i="2"/>
  <c r="EM226" i="2"/>
  <c r="EH226" i="2"/>
  <c r="EG226" i="2"/>
  <c r="ED226" i="2"/>
  <c r="EC226" i="2"/>
  <c r="EB226" i="2"/>
  <c r="EA226" i="2"/>
  <c r="DZ226" i="2"/>
  <c r="DY226" i="2"/>
  <c r="DX226" i="2"/>
  <c r="DW226" i="2"/>
  <c r="DV226" i="2"/>
  <c r="DU226" i="2"/>
  <c r="DT226" i="2"/>
  <c r="DS226" i="2"/>
  <c r="EL226" i="2" s="1"/>
  <c r="DR226" i="2"/>
  <c r="DQ226" i="2"/>
  <c r="DP226" i="2"/>
  <c r="DM226" i="2"/>
  <c r="DL226" i="2"/>
  <c r="BO226" i="2"/>
  <c r="AT226" i="2"/>
  <c r="Y226" i="2"/>
  <c r="EE226" i="2" s="1"/>
  <c r="EX226" i="2" s="1"/>
  <c r="HC225" i="2"/>
  <c r="HB225" i="2"/>
  <c r="GW225" i="2"/>
  <c r="GV225" i="2"/>
  <c r="GU225" i="2"/>
  <c r="GT225" i="2"/>
  <c r="GO225" i="2"/>
  <c r="GL225" i="2"/>
  <c r="GI225" i="2"/>
  <c r="GB225" i="2"/>
  <c r="FY225" i="2"/>
  <c r="FX225" i="2"/>
  <c r="FT225" i="2"/>
  <c r="FS225" i="2"/>
  <c r="FQ225" i="2"/>
  <c r="GJ225" i="2" s="1"/>
  <c r="FP225" i="2"/>
  <c r="FO225" i="2"/>
  <c r="FN225" i="2"/>
  <c r="FM225" i="2"/>
  <c r="FL225" i="2"/>
  <c r="FK225" i="2"/>
  <c r="FJ225" i="2"/>
  <c r="FI225" i="2"/>
  <c r="FH225" i="2"/>
  <c r="FG225" i="2"/>
  <c r="FF225" i="2"/>
  <c r="FE225" i="2"/>
  <c r="FD225" i="2"/>
  <c r="FC225" i="2"/>
  <c r="FB225" i="2"/>
  <c r="EZ225" i="2"/>
  <c r="EP225" i="2"/>
  <c r="EH225" i="2"/>
  <c r="EG225" i="2"/>
  <c r="EE225" i="2"/>
  <c r="EX225" i="2" s="1"/>
  <c r="ED225" i="2"/>
  <c r="EW225" i="2" s="1"/>
  <c r="EC225" i="2"/>
  <c r="EB225" i="2"/>
  <c r="EA225" i="2"/>
  <c r="DZ225" i="2"/>
  <c r="DY225" i="2"/>
  <c r="DX225" i="2"/>
  <c r="DW225" i="2"/>
  <c r="DV225" i="2"/>
  <c r="DU225" i="2"/>
  <c r="DT225" i="2"/>
  <c r="EM225" i="2" s="1"/>
  <c r="DS225" i="2"/>
  <c r="EL225" i="2" s="1"/>
  <c r="DR225" i="2"/>
  <c r="DQ225" i="2"/>
  <c r="DP225" i="2"/>
  <c r="DM225" i="2"/>
  <c r="DL225" i="2"/>
  <c r="HC224" i="2"/>
  <c r="HB224" i="2"/>
  <c r="GW224" i="2"/>
  <c r="GV224" i="2"/>
  <c r="GU224" i="2"/>
  <c r="GT224" i="2"/>
  <c r="GO224" i="2"/>
  <c r="GL224" i="2"/>
  <c r="GJ224" i="2"/>
  <c r="GI224" i="2"/>
  <c r="GB224" i="2"/>
  <c r="FY224" i="2"/>
  <c r="FT224" i="2"/>
  <c r="FS224" i="2"/>
  <c r="FQ224" i="2"/>
  <c r="FP224" i="2"/>
  <c r="FO224" i="2"/>
  <c r="FN224" i="2"/>
  <c r="FM224" i="2"/>
  <c r="FL224" i="2"/>
  <c r="FK224" i="2"/>
  <c r="FJ224" i="2"/>
  <c r="FI224" i="2"/>
  <c r="FH224" i="2"/>
  <c r="FG224" i="2"/>
  <c r="FF224" i="2"/>
  <c r="FE224" i="2"/>
  <c r="FX224" i="2" s="1"/>
  <c r="FD224" i="2"/>
  <c r="FC224" i="2"/>
  <c r="FB224" i="2"/>
  <c r="EZ224" i="2"/>
  <c r="EX224" i="2"/>
  <c r="EW224" i="2"/>
  <c r="EM224" i="2"/>
  <c r="EL224" i="2"/>
  <c r="EH224" i="2"/>
  <c r="EG224" i="2"/>
  <c r="EE224" i="2"/>
  <c r="ED224" i="2"/>
  <c r="EC224" i="2"/>
  <c r="EB224" i="2"/>
  <c r="EA224" i="2"/>
  <c r="DZ224" i="2"/>
  <c r="DY224" i="2"/>
  <c r="DX224" i="2"/>
  <c r="DW224" i="2"/>
  <c r="EP224" i="2" s="1"/>
  <c r="DV224" i="2"/>
  <c r="DU224" i="2"/>
  <c r="DT224" i="2"/>
  <c r="DS224" i="2"/>
  <c r="DR224" i="2"/>
  <c r="DQ224" i="2"/>
  <c r="DP224" i="2"/>
  <c r="DM224" i="2"/>
  <c r="DL224" i="2"/>
  <c r="D224" i="2"/>
  <c r="C224" i="2"/>
  <c r="HC223" i="2"/>
  <c r="HB223" i="2"/>
  <c r="GW223" i="2"/>
  <c r="GV223" i="2"/>
  <c r="GU223" i="2"/>
  <c r="GT223" i="2"/>
  <c r="GO223" i="2"/>
  <c r="GL223" i="2"/>
  <c r="GJ223" i="2"/>
  <c r="GB223" i="2"/>
  <c r="FT223" i="2"/>
  <c r="FS223" i="2"/>
  <c r="FQ223" i="2"/>
  <c r="FP223" i="2"/>
  <c r="GI223" i="2" s="1"/>
  <c r="FO223" i="2"/>
  <c r="FN223" i="2"/>
  <c r="FM223" i="2"/>
  <c r="FL223" i="2"/>
  <c r="FK223" i="2"/>
  <c r="FJ223" i="2"/>
  <c r="FI223" i="2"/>
  <c r="FH223" i="2"/>
  <c r="FG223" i="2"/>
  <c r="FF223" i="2"/>
  <c r="FY223" i="2" s="1"/>
  <c r="FE223" i="2"/>
  <c r="FX223" i="2" s="1"/>
  <c r="FD223" i="2"/>
  <c r="FC223" i="2"/>
  <c r="FB223" i="2"/>
  <c r="EZ223" i="2"/>
  <c r="EX223" i="2"/>
  <c r="EW223" i="2"/>
  <c r="EM223" i="2"/>
  <c r="EL223" i="2"/>
  <c r="EH223" i="2"/>
  <c r="EG223" i="2"/>
  <c r="EE223" i="2"/>
  <c r="ED223" i="2"/>
  <c r="EC223" i="2"/>
  <c r="EB223" i="2"/>
  <c r="EA223" i="2"/>
  <c r="DZ223" i="2"/>
  <c r="DY223" i="2"/>
  <c r="DX223" i="2"/>
  <c r="DW223" i="2"/>
  <c r="EP223" i="2" s="1"/>
  <c r="DV223" i="2"/>
  <c r="DU223" i="2"/>
  <c r="DT223" i="2"/>
  <c r="DS223" i="2"/>
  <c r="DR223" i="2"/>
  <c r="DQ223" i="2"/>
  <c r="DP223" i="2"/>
  <c r="DM223" i="2"/>
  <c r="DL223" i="2"/>
  <c r="D223" i="2"/>
  <c r="C223" i="2"/>
  <c r="HC222" i="2"/>
  <c r="HB222" i="2"/>
  <c r="GW222" i="2"/>
  <c r="GV222" i="2"/>
  <c r="GU222" i="2"/>
  <c r="GT222" i="2"/>
  <c r="GP222" i="2"/>
  <c r="GO222" i="2"/>
  <c r="GQ222" i="2" s="1"/>
  <c r="GL222" i="2"/>
  <c r="GJ222" i="2"/>
  <c r="GI222" i="2"/>
  <c r="GB222" i="2"/>
  <c r="FY222" i="2"/>
  <c r="FX222" i="2"/>
  <c r="FT222" i="2"/>
  <c r="FS222" i="2"/>
  <c r="FQ222" i="2"/>
  <c r="FP222" i="2"/>
  <c r="FO222" i="2"/>
  <c r="FN222" i="2"/>
  <c r="FM222" i="2"/>
  <c r="FL222" i="2"/>
  <c r="FK222" i="2"/>
  <c r="FJ222" i="2"/>
  <c r="FI222" i="2"/>
  <c r="FH222" i="2"/>
  <c r="FG222" i="2"/>
  <c r="FF222" i="2"/>
  <c r="FE222" i="2"/>
  <c r="FD222" i="2"/>
  <c r="FC222" i="2"/>
  <c r="FB222" i="2"/>
  <c r="EL222" i="2"/>
  <c r="EH222" i="2"/>
  <c r="EG222" i="2"/>
  <c r="EZ222" i="2" s="1"/>
  <c r="EE222" i="2"/>
  <c r="EX222" i="2" s="1"/>
  <c r="ED222" i="2"/>
  <c r="EW222" i="2" s="1"/>
  <c r="EC222" i="2"/>
  <c r="EB222" i="2"/>
  <c r="EA222" i="2"/>
  <c r="DZ222" i="2"/>
  <c r="DY222" i="2"/>
  <c r="DX222" i="2"/>
  <c r="DW222" i="2"/>
  <c r="EP222" i="2" s="1"/>
  <c r="DV222" i="2"/>
  <c r="DU222" i="2"/>
  <c r="DT222" i="2"/>
  <c r="EM222" i="2" s="1"/>
  <c r="DS222" i="2"/>
  <c r="DR222" i="2"/>
  <c r="DQ222" i="2"/>
  <c r="DP222" i="2"/>
  <c r="DM222" i="2"/>
  <c r="DL222" i="2"/>
  <c r="HC221" i="2"/>
  <c r="HB221" i="2"/>
  <c r="GW221" i="2"/>
  <c r="GV221" i="2"/>
  <c r="GU221" i="2"/>
  <c r="GT221" i="2"/>
  <c r="GO221" i="2"/>
  <c r="GB221" i="2"/>
  <c r="FT221" i="2"/>
  <c r="FS221" i="2"/>
  <c r="GL221" i="2" s="1"/>
  <c r="FQ221" i="2"/>
  <c r="GJ221" i="2" s="1"/>
  <c r="FP221" i="2"/>
  <c r="GI221" i="2" s="1"/>
  <c r="FO221" i="2"/>
  <c r="FN221" i="2"/>
  <c r="FM221" i="2"/>
  <c r="FL221" i="2"/>
  <c r="FK221" i="2"/>
  <c r="FJ221" i="2"/>
  <c r="FI221" i="2"/>
  <c r="FH221" i="2"/>
  <c r="FG221" i="2"/>
  <c r="FF221" i="2"/>
  <c r="FY221" i="2" s="1"/>
  <c r="FE221" i="2"/>
  <c r="FX221" i="2" s="1"/>
  <c r="FD221" i="2"/>
  <c r="FC221" i="2"/>
  <c r="FB221" i="2"/>
  <c r="EZ221" i="2"/>
  <c r="EX221" i="2"/>
  <c r="EW221" i="2"/>
  <c r="EP221" i="2"/>
  <c r="EM221" i="2"/>
  <c r="EL221" i="2"/>
  <c r="EH221" i="2"/>
  <c r="EG221" i="2"/>
  <c r="EE221" i="2"/>
  <c r="ED221" i="2"/>
  <c r="EC221" i="2"/>
  <c r="EB221" i="2"/>
  <c r="EA221" i="2"/>
  <c r="DZ221" i="2"/>
  <c r="DY221" i="2"/>
  <c r="DX221" i="2"/>
  <c r="DW221" i="2"/>
  <c r="DV221" i="2"/>
  <c r="DU221" i="2"/>
  <c r="DT221" i="2"/>
  <c r="DS221" i="2"/>
  <c r="DR221" i="2"/>
  <c r="DQ221" i="2"/>
  <c r="DP221" i="2"/>
  <c r="DM221" i="2"/>
  <c r="DL221" i="2"/>
  <c r="HC220" i="2"/>
  <c r="HB220" i="2"/>
  <c r="GW220" i="2"/>
  <c r="GV220" i="2"/>
  <c r="GU220" i="2"/>
  <c r="GT220" i="2"/>
  <c r="GO220" i="2"/>
  <c r="GL220" i="2"/>
  <c r="GB220" i="2"/>
  <c r="FT220" i="2"/>
  <c r="FS220" i="2"/>
  <c r="FQ220" i="2"/>
  <c r="GJ220" i="2" s="1"/>
  <c r="FP220" i="2"/>
  <c r="GI220" i="2" s="1"/>
  <c r="FO220" i="2"/>
  <c r="FN220" i="2"/>
  <c r="FM220" i="2"/>
  <c r="FL220" i="2"/>
  <c r="FK220" i="2"/>
  <c r="FJ220" i="2"/>
  <c r="FI220" i="2"/>
  <c r="FH220" i="2"/>
  <c r="FG220" i="2"/>
  <c r="FF220" i="2"/>
  <c r="FY220" i="2" s="1"/>
  <c r="FE220" i="2"/>
  <c r="FX220" i="2" s="1"/>
  <c r="FD220" i="2"/>
  <c r="FC220" i="2"/>
  <c r="FB220" i="2"/>
  <c r="EZ220" i="2"/>
  <c r="EX220" i="2"/>
  <c r="EW220" i="2"/>
  <c r="EP220" i="2"/>
  <c r="EM220" i="2"/>
  <c r="EL220" i="2"/>
  <c r="EH220" i="2"/>
  <c r="EG220" i="2"/>
  <c r="EE220" i="2"/>
  <c r="ED220" i="2"/>
  <c r="EC220" i="2"/>
  <c r="EB220" i="2"/>
  <c r="EA220" i="2"/>
  <c r="DZ220" i="2"/>
  <c r="DY220" i="2"/>
  <c r="DX220" i="2"/>
  <c r="DW220" i="2"/>
  <c r="DV220" i="2"/>
  <c r="DU220" i="2"/>
  <c r="DT220" i="2"/>
  <c r="DS220" i="2"/>
  <c r="DR220" i="2"/>
  <c r="DQ220" i="2"/>
  <c r="DP220" i="2"/>
  <c r="DM220" i="2"/>
  <c r="DL220" i="2"/>
  <c r="AS220" i="2"/>
  <c r="HC219" i="2"/>
  <c r="HB219" i="2"/>
  <c r="GW219" i="2"/>
  <c r="GV219" i="2"/>
  <c r="GU219" i="2"/>
  <c r="GT219" i="2"/>
  <c r="GP219" i="2"/>
  <c r="GQ219" i="2" s="1"/>
  <c r="GO219" i="2"/>
  <c r="GL219" i="2"/>
  <c r="GJ219" i="2"/>
  <c r="GI219" i="2"/>
  <c r="GB219" i="2"/>
  <c r="FY219" i="2"/>
  <c r="FX219" i="2"/>
  <c r="FT219" i="2"/>
  <c r="FS219" i="2"/>
  <c r="FQ219" i="2"/>
  <c r="FP219" i="2"/>
  <c r="FO219" i="2"/>
  <c r="FN219" i="2"/>
  <c r="FM219" i="2"/>
  <c r="FL219" i="2"/>
  <c r="FK219" i="2"/>
  <c r="FJ219" i="2"/>
  <c r="FI219" i="2"/>
  <c r="FH219" i="2"/>
  <c r="FG219" i="2"/>
  <c r="FF219" i="2"/>
  <c r="FE219" i="2"/>
  <c r="FD219" i="2"/>
  <c r="FC219" i="2"/>
  <c r="FB219" i="2"/>
  <c r="EL219" i="2"/>
  <c r="EH219" i="2"/>
  <c r="EG219" i="2"/>
  <c r="EZ219" i="2" s="1"/>
  <c r="ED219" i="2"/>
  <c r="EW219" i="2" s="1"/>
  <c r="EC219" i="2"/>
  <c r="EB219" i="2"/>
  <c r="EA219" i="2"/>
  <c r="DZ219" i="2"/>
  <c r="DY219" i="2"/>
  <c r="DX219" i="2"/>
  <c r="DW219" i="2"/>
  <c r="EP219" i="2" s="1"/>
  <c r="DV219" i="2"/>
  <c r="DU219" i="2"/>
  <c r="DT219" i="2"/>
  <c r="EM219" i="2" s="1"/>
  <c r="DS219" i="2"/>
  <c r="DR219" i="2"/>
  <c r="DQ219" i="2"/>
  <c r="DP219" i="2"/>
  <c r="DM219" i="2"/>
  <c r="DL219" i="2"/>
  <c r="AT219" i="2"/>
  <c r="EE219" i="2" s="1"/>
  <c r="EX219" i="2" s="1"/>
  <c r="HC218" i="2"/>
  <c r="HB218" i="2"/>
  <c r="GW218" i="2"/>
  <c r="GT218" i="2"/>
  <c r="GI218" i="2"/>
  <c r="FY218" i="2"/>
  <c r="FX218" i="2"/>
  <c r="FP218" i="2"/>
  <c r="FO218" i="2"/>
  <c r="FN218" i="2"/>
  <c r="FM218" i="2"/>
  <c r="FL218" i="2"/>
  <c r="FK218" i="2"/>
  <c r="FG218" i="2"/>
  <c r="FF218" i="2"/>
  <c r="FE218" i="2"/>
  <c r="FD218" i="2"/>
  <c r="FC218" i="2"/>
  <c r="FB218" i="2"/>
  <c r="EH218" i="2"/>
  <c r="EG218" i="2"/>
  <c r="EZ218" i="2" s="1"/>
  <c r="DI218" i="2"/>
  <c r="DE218" i="2"/>
  <c r="FQ218" i="2" s="1"/>
  <c r="GJ218" i="2" s="1"/>
  <c r="CW218" i="2"/>
  <c r="FI218" i="2" s="1"/>
  <c r="GB218" i="2" s="1"/>
  <c r="CO218" i="2"/>
  <c r="FJ218" i="2" s="1"/>
  <c r="BS218" i="2"/>
  <c r="AY218" i="2"/>
  <c r="BO218" i="2" s="1"/>
  <c r="AX218" i="2"/>
  <c r="AL218" i="2"/>
  <c r="AD218" i="2"/>
  <c r="DV218" i="2" s="1"/>
  <c r="HC217" i="2"/>
  <c r="HB217" i="2"/>
  <c r="GW217" i="2"/>
  <c r="GV217" i="2"/>
  <c r="GT217" i="2"/>
  <c r="GL217" i="2"/>
  <c r="GI217" i="2"/>
  <c r="FY217" i="2"/>
  <c r="FX217" i="2"/>
  <c r="FS217" i="2"/>
  <c r="FP217" i="2"/>
  <c r="FO217" i="2"/>
  <c r="FN217" i="2"/>
  <c r="FM217" i="2"/>
  <c r="FL217" i="2"/>
  <c r="FH217" i="2"/>
  <c r="FG217" i="2"/>
  <c r="FF217" i="2"/>
  <c r="FE217" i="2"/>
  <c r="FD217" i="2"/>
  <c r="FC217" i="2"/>
  <c r="FB217" i="2"/>
  <c r="EH217" i="2"/>
  <c r="EG217" i="2"/>
  <c r="EZ217" i="2" s="1"/>
  <c r="DX217" i="2"/>
  <c r="DV217" i="2"/>
  <c r="DI217" i="2"/>
  <c r="DE217" i="2"/>
  <c r="FQ217" i="2" s="1"/>
  <c r="GJ217" i="2" s="1"/>
  <c r="CW217" i="2"/>
  <c r="FI217" i="2" s="1"/>
  <c r="GB217" i="2" s="1"/>
  <c r="CO217" i="2"/>
  <c r="FK217" i="2" s="1"/>
  <c r="BS217" i="2"/>
  <c r="AX217" i="2"/>
  <c r="AD217" i="2"/>
  <c r="DU217" i="2" s="1"/>
  <c r="HC216" i="2"/>
  <c r="HB216" i="2"/>
  <c r="GW216" i="2"/>
  <c r="GU216" i="2"/>
  <c r="GT216" i="2"/>
  <c r="GO216" i="2"/>
  <c r="GB216" i="2"/>
  <c r="FT216" i="2"/>
  <c r="FS216" i="2"/>
  <c r="GL216" i="2" s="1"/>
  <c r="FQ216" i="2"/>
  <c r="GJ216" i="2" s="1"/>
  <c r="FP216" i="2"/>
  <c r="GI216" i="2" s="1"/>
  <c r="FO216" i="2"/>
  <c r="FN216" i="2"/>
  <c r="FM216" i="2"/>
  <c r="FL216" i="2"/>
  <c r="FK216" i="2"/>
  <c r="FJ216" i="2"/>
  <c r="FI216" i="2"/>
  <c r="FH216" i="2"/>
  <c r="FG216" i="2"/>
  <c r="FF216" i="2"/>
  <c r="FY216" i="2" s="1"/>
  <c r="FE216" i="2"/>
  <c r="FX216" i="2" s="1"/>
  <c r="FD216" i="2"/>
  <c r="FC216" i="2"/>
  <c r="FB216" i="2"/>
  <c r="EW216" i="2"/>
  <c r="EM216" i="2"/>
  <c r="EL216" i="2"/>
  <c r="ED216" i="2"/>
  <c r="EC216" i="2"/>
  <c r="EB216" i="2"/>
  <c r="EA216" i="2"/>
  <c r="DZ216" i="2"/>
  <c r="DT216" i="2"/>
  <c r="DS216" i="2"/>
  <c r="DR216" i="2"/>
  <c r="DQ216" i="2"/>
  <c r="DP216" i="2"/>
  <c r="AY216" i="2"/>
  <c r="DY216" i="2" s="1"/>
  <c r="HC215" i="2"/>
  <c r="HB215" i="2"/>
  <c r="GY215" i="2"/>
  <c r="GX215" i="2"/>
  <c r="GW215" i="2"/>
  <c r="GV215" i="2"/>
  <c r="FX215" i="2"/>
  <c r="FT215" i="2"/>
  <c r="FS215" i="2"/>
  <c r="GL215" i="2" s="1"/>
  <c r="FQ215" i="2"/>
  <c r="GJ215" i="2" s="1"/>
  <c r="FP215" i="2"/>
  <c r="GI215" i="2" s="1"/>
  <c r="FO215" i="2"/>
  <c r="FN215" i="2"/>
  <c r="FM215" i="2"/>
  <c r="FL215" i="2"/>
  <c r="FK215" i="2"/>
  <c r="FJ215" i="2"/>
  <c r="FI215" i="2"/>
  <c r="GB215" i="2" s="1"/>
  <c r="FH215" i="2"/>
  <c r="FG215" i="2"/>
  <c r="FF215" i="2"/>
  <c r="FY215" i="2" s="1"/>
  <c r="FE215" i="2"/>
  <c r="FD215" i="2"/>
  <c r="FC215" i="2"/>
  <c r="FB215" i="2"/>
  <c r="EC215" i="2"/>
  <c r="EB215" i="2"/>
  <c r="DS215" i="2"/>
  <c r="EL215" i="2" s="1"/>
  <c r="AD215" i="2"/>
  <c r="AM215" i="2" s="1"/>
  <c r="Q215" i="2"/>
  <c r="I215" i="2"/>
  <c r="HC214" i="2"/>
  <c r="HB214" i="2"/>
  <c r="GW214" i="2"/>
  <c r="GV214" i="2"/>
  <c r="GU214" i="2"/>
  <c r="GT214" i="2"/>
  <c r="GQ214" i="2"/>
  <c r="GP214" i="2"/>
  <c r="GO214" i="2"/>
  <c r="GI214" i="2"/>
  <c r="FY214" i="2"/>
  <c r="FX214" i="2"/>
  <c r="FT214" i="2"/>
  <c r="FS214" i="2"/>
  <c r="GL214" i="2" s="1"/>
  <c r="FQ214" i="2"/>
  <c r="GJ214" i="2" s="1"/>
  <c r="FP214" i="2"/>
  <c r="FO214" i="2"/>
  <c r="FN214" i="2"/>
  <c r="FM214" i="2"/>
  <c r="FL214" i="2"/>
  <c r="FK214" i="2"/>
  <c r="FJ214" i="2"/>
  <c r="FI214" i="2"/>
  <c r="GB214" i="2" s="1"/>
  <c r="FH214" i="2"/>
  <c r="FG214" i="2"/>
  <c r="FF214" i="2"/>
  <c r="FE214" i="2"/>
  <c r="FD214" i="2"/>
  <c r="FC214" i="2"/>
  <c r="FB214" i="2"/>
  <c r="EZ214" i="2"/>
  <c r="EX214" i="2"/>
  <c r="EP214" i="2"/>
  <c r="EH214" i="2"/>
  <c r="EG214" i="2"/>
  <c r="EE214" i="2"/>
  <c r="ED214" i="2"/>
  <c r="EW214" i="2" s="1"/>
  <c r="EC214" i="2"/>
  <c r="EB214" i="2"/>
  <c r="EA214" i="2"/>
  <c r="DZ214" i="2"/>
  <c r="DY214" i="2"/>
  <c r="DX214" i="2"/>
  <c r="DW214" i="2"/>
  <c r="DV214" i="2"/>
  <c r="DU214" i="2"/>
  <c r="DT214" i="2"/>
  <c r="EM214" i="2" s="1"/>
  <c r="DS214" i="2"/>
  <c r="EL214" i="2" s="1"/>
  <c r="DR214" i="2"/>
  <c r="DQ214" i="2"/>
  <c r="DP214" i="2"/>
  <c r="DM214" i="2"/>
  <c r="DL214" i="2"/>
  <c r="HC213" i="2"/>
  <c r="HB213" i="2"/>
  <c r="GW213" i="2"/>
  <c r="GV213" i="2"/>
  <c r="GU213" i="2"/>
  <c r="GT213" i="2"/>
  <c r="GP213" i="2"/>
  <c r="GO213" i="2"/>
  <c r="GQ213" i="2" s="1"/>
  <c r="GL213" i="2"/>
  <c r="GJ213" i="2"/>
  <c r="GI213" i="2"/>
  <c r="GB213" i="2"/>
  <c r="FY213" i="2"/>
  <c r="FT213" i="2"/>
  <c r="FS213" i="2"/>
  <c r="FQ213" i="2"/>
  <c r="FP213" i="2"/>
  <c r="FO213" i="2"/>
  <c r="FN213" i="2"/>
  <c r="FM213" i="2"/>
  <c r="FL213" i="2"/>
  <c r="FK213" i="2"/>
  <c r="FJ213" i="2"/>
  <c r="FI213" i="2"/>
  <c r="FH213" i="2"/>
  <c r="FG213" i="2"/>
  <c r="FF213" i="2"/>
  <c r="FE213" i="2"/>
  <c r="FX213" i="2" s="1"/>
  <c r="FD213" i="2"/>
  <c r="FC213" i="2"/>
  <c r="FB213" i="2"/>
  <c r="EX213" i="2"/>
  <c r="EW213" i="2"/>
  <c r="EM213" i="2"/>
  <c r="EL213" i="2"/>
  <c r="EH213" i="2"/>
  <c r="EG213" i="2"/>
  <c r="EZ213" i="2" s="1"/>
  <c r="EE213" i="2"/>
  <c r="ED213" i="2"/>
  <c r="EC213" i="2"/>
  <c r="EB213" i="2"/>
  <c r="EA213" i="2"/>
  <c r="DZ213" i="2"/>
  <c r="DY213" i="2"/>
  <c r="DX213" i="2"/>
  <c r="DW213" i="2"/>
  <c r="EP213" i="2" s="1"/>
  <c r="DV213" i="2"/>
  <c r="DU213" i="2"/>
  <c r="DT213" i="2"/>
  <c r="DS213" i="2"/>
  <c r="DR213" i="2"/>
  <c r="DQ213" i="2"/>
  <c r="DP213" i="2"/>
  <c r="DM213" i="2"/>
  <c r="DL213" i="2"/>
  <c r="HC212" i="2"/>
  <c r="HB212" i="2"/>
  <c r="GW212" i="2"/>
  <c r="GV212" i="2"/>
  <c r="GU212" i="2"/>
  <c r="GT212" i="2"/>
  <c r="GQ212" i="2"/>
  <c r="GP212" i="2"/>
  <c r="GO212" i="2"/>
  <c r="GI212" i="2"/>
  <c r="FY212" i="2"/>
  <c r="FX212" i="2"/>
  <c r="FT212" i="2"/>
  <c r="FS212" i="2"/>
  <c r="GL212" i="2" s="1"/>
  <c r="FQ212" i="2"/>
  <c r="GJ212" i="2" s="1"/>
  <c r="FP212" i="2"/>
  <c r="FO212" i="2"/>
  <c r="FN212" i="2"/>
  <c r="FM212" i="2"/>
  <c r="FL212" i="2"/>
  <c r="FK212" i="2"/>
  <c r="FJ212" i="2"/>
  <c r="FI212" i="2"/>
  <c r="GB212" i="2" s="1"/>
  <c r="FH212" i="2"/>
  <c r="FG212" i="2"/>
  <c r="FF212" i="2"/>
  <c r="FE212" i="2"/>
  <c r="FD212" i="2"/>
  <c r="FC212" i="2"/>
  <c r="FB212" i="2"/>
  <c r="EZ212" i="2"/>
  <c r="EX212" i="2"/>
  <c r="EP212" i="2"/>
  <c r="EH212" i="2"/>
  <c r="EG212" i="2"/>
  <c r="EE212" i="2"/>
  <c r="ED212" i="2"/>
  <c r="EW212" i="2" s="1"/>
  <c r="EC212" i="2"/>
  <c r="EB212" i="2"/>
  <c r="EA212" i="2"/>
  <c r="DZ212" i="2"/>
  <c r="DY212" i="2"/>
  <c r="DW212" i="2"/>
  <c r="DV212" i="2"/>
  <c r="DU212" i="2"/>
  <c r="DT212" i="2"/>
  <c r="EM212" i="2" s="1"/>
  <c r="DS212" i="2"/>
  <c r="EL212" i="2" s="1"/>
  <c r="DR212" i="2"/>
  <c r="DQ212" i="2"/>
  <c r="DP212" i="2"/>
  <c r="DL212" i="2"/>
  <c r="BH212" i="2"/>
  <c r="AM212" i="2"/>
  <c r="DM212" i="2" s="1"/>
  <c r="HC211" i="2"/>
  <c r="HB211" i="2"/>
  <c r="GW211" i="2"/>
  <c r="GL211" i="2"/>
  <c r="GB211" i="2"/>
  <c r="FT211" i="2"/>
  <c r="FS211" i="2"/>
  <c r="FQ211" i="2"/>
  <c r="GJ211" i="2" s="1"/>
  <c r="FP211" i="2"/>
  <c r="GI211" i="2" s="1"/>
  <c r="FO211" i="2"/>
  <c r="FN211" i="2"/>
  <c r="FM211" i="2"/>
  <c r="FL211" i="2"/>
  <c r="FK211" i="2"/>
  <c r="FJ211" i="2"/>
  <c r="FI211" i="2"/>
  <c r="FH211" i="2"/>
  <c r="FG211" i="2"/>
  <c r="FF211" i="2"/>
  <c r="FY211" i="2" s="1"/>
  <c r="FE211" i="2"/>
  <c r="FX211" i="2" s="1"/>
  <c r="FD211" i="2"/>
  <c r="FC211" i="2"/>
  <c r="FB211" i="2"/>
  <c r="EA211" i="2"/>
  <c r="DZ211" i="2"/>
  <c r="DQ211" i="2"/>
  <c r="DP211" i="2"/>
  <c r="AY211" i="2"/>
  <c r="BH211" i="2" s="1"/>
  <c r="AD211" i="2"/>
  <c r="AM211" i="2" s="1"/>
  <c r="R211" i="2"/>
  <c r="Q211" i="2"/>
  <c r="I211" i="2"/>
  <c r="EH211" i="2" s="1"/>
  <c r="GV210" i="2"/>
  <c r="GU210" i="2"/>
  <c r="FO210" i="2"/>
  <c r="FN210" i="2"/>
  <c r="FM210" i="2"/>
  <c r="FE210" i="2"/>
  <c r="FX210" i="2" s="1"/>
  <c r="FD210" i="2"/>
  <c r="FC210" i="2"/>
  <c r="DY210" i="2"/>
  <c r="DL210" i="2"/>
  <c r="DE210" i="2"/>
  <c r="CX210" i="2"/>
  <c r="CW210" i="2"/>
  <c r="HC210" i="2" s="1"/>
  <c r="CO210" i="2"/>
  <c r="BT210" i="2"/>
  <c r="FL210" i="2" s="1"/>
  <c r="BO210" i="2"/>
  <c r="BH210" i="2"/>
  <c r="BG210" i="2"/>
  <c r="AY210" i="2"/>
  <c r="AL210" i="2"/>
  <c r="AD210" i="2"/>
  <c r="AT210" i="2" s="1"/>
  <c r="Q210" i="2"/>
  <c r="I210" i="2"/>
  <c r="HC209" i="2"/>
  <c r="FX209" i="2"/>
  <c r="FO209" i="2"/>
  <c r="FN209" i="2"/>
  <c r="FM209" i="2"/>
  <c r="FL209" i="2"/>
  <c r="FE209" i="2"/>
  <c r="FD209" i="2"/>
  <c r="FC209" i="2"/>
  <c r="FB209" i="2"/>
  <c r="EH209" i="2"/>
  <c r="DE209" i="2"/>
  <c r="CX209" i="2"/>
  <c r="CW209" i="2"/>
  <c r="CO209" i="2"/>
  <c r="BT209" i="2"/>
  <c r="FK209" i="2" s="1"/>
  <c r="BH209" i="2"/>
  <c r="BG209" i="2"/>
  <c r="GV209" i="2" s="1"/>
  <c r="AY209" i="2"/>
  <c r="BO209" i="2" s="1"/>
  <c r="AD209" i="2"/>
  <c r="AT209" i="2" s="1"/>
  <c r="I209" i="2"/>
  <c r="HC208" i="2"/>
  <c r="HB208" i="2"/>
  <c r="GU208" i="2"/>
  <c r="FN208" i="2"/>
  <c r="FM208" i="2"/>
  <c r="FL208" i="2"/>
  <c r="FK208" i="2"/>
  <c r="FD208" i="2"/>
  <c r="FC208" i="2"/>
  <c r="FB208" i="2"/>
  <c r="DE208" i="2"/>
  <c r="CX208" i="2"/>
  <c r="CW208" i="2"/>
  <c r="CO208" i="2"/>
  <c r="CB208" i="2"/>
  <c r="FI208" i="2" s="1"/>
  <c r="GB208" i="2" s="1"/>
  <c r="BT208" i="2"/>
  <c r="FT208" i="2" s="1"/>
  <c r="AY208" i="2"/>
  <c r="DV208" i="2" s="1"/>
  <c r="AT208" i="2"/>
  <c r="AM208" i="2"/>
  <c r="AL208" i="2"/>
  <c r="AD208" i="2"/>
  <c r="I208" i="2"/>
  <c r="ED208" i="2" s="1"/>
  <c r="EW208" i="2" s="1"/>
  <c r="HC207" i="2"/>
  <c r="HB207" i="2"/>
  <c r="GW207" i="2"/>
  <c r="GT207" i="2"/>
  <c r="GO207" i="2"/>
  <c r="GB207" i="2"/>
  <c r="FT207" i="2"/>
  <c r="FS207" i="2"/>
  <c r="GL207" i="2" s="1"/>
  <c r="FQ207" i="2"/>
  <c r="GJ207" i="2" s="1"/>
  <c r="FP207" i="2"/>
  <c r="GI207" i="2" s="1"/>
  <c r="FO207" i="2"/>
  <c r="FN207" i="2"/>
  <c r="FM207" i="2"/>
  <c r="FL207" i="2"/>
  <c r="FK207" i="2"/>
  <c r="FJ207" i="2"/>
  <c r="FI207" i="2"/>
  <c r="FH207" i="2"/>
  <c r="FG207" i="2"/>
  <c r="FF207" i="2"/>
  <c r="FY207" i="2" s="1"/>
  <c r="FE207" i="2"/>
  <c r="FX207" i="2" s="1"/>
  <c r="FD207" i="2"/>
  <c r="FC207" i="2"/>
  <c r="FB207" i="2"/>
  <c r="EB207" i="2"/>
  <c r="EA207" i="2"/>
  <c r="BJ207" i="2"/>
  <c r="BI207" i="2"/>
  <c r="BA207" i="2"/>
  <c r="AZ207" i="2"/>
  <c r="AY207" i="2"/>
  <c r="AO207" i="2"/>
  <c r="DZ207" i="2" s="1"/>
  <c r="AD207" i="2"/>
  <c r="AN207" i="2" s="1"/>
  <c r="DY207" i="2" s="1"/>
  <c r="HC206" i="2"/>
  <c r="HB206" i="2"/>
  <c r="GW206" i="2"/>
  <c r="GV206" i="2"/>
  <c r="GT206" i="2"/>
  <c r="GO206" i="2"/>
  <c r="GL206" i="2"/>
  <c r="GB206" i="2"/>
  <c r="FT206" i="2"/>
  <c r="FS206" i="2"/>
  <c r="FQ206" i="2"/>
  <c r="GJ206" i="2" s="1"/>
  <c r="FP206" i="2"/>
  <c r="GI206" i="2" s="1"/>
  <c r="FO206" i="2"/>
  <c r="FN206" i="2"/>
  <c r="FM206" i="2"/>
  <c r="FL206" i="2"/>
  <c r="FK206" i="2"/>
  <c r="FJ206" i="2"/>
  <c r="FI206" i="2"/>
  <c r="FH206" i="2"/>
  <c r="FG206" i="2"/>
  <c r="FF206" i="2"/>
  <c r="FY206" i="2" s="1"/>
  <c r="FE206" i="2"/>
  <c r="FX206" i="2" s="1"/>
  <c r="FD206" i="2"/>
  <c r="FC206" i="2"/>
  <c r="FB206" i="2"/>
  <c r="EL206" i="2"/>
  <c r="EE206" i="2"/>
  <c r="EX206" i="2" s="1"/>
  <c r="EC206" i="2"/>
  <c r="EB206" i="2"/>
  <c r="EA206" i="2"/>
  <c r="DZ206" i="2"/>
  <c r="DY206" i="2"/>
  <c r="DU206" i="2"/>
  <c r="DS206" i="2"/>
  <c r="DR206" i="2"/>
  <c r="DQ206" i="2"/>
  <c r="DP206" i="2"/>
  <c r="DM206" i="2"/>
  <c r="BG206" i="2"/>
  <c r="AY206" i="2"/>
  <c r="AL206" i="2"/>
  <c r="GU206" i="2" s="1"/>
  <c r="AD206" i="2"/>
  <c r="DX206" i="2" s="1"/>
  <c r="HC205" i="2"/>
  <c r="HB205" i="2"/>
  <c r="GW205" i="2"/>
  <c r="GV205" i="2"/>
  <c r="GT205" i="2"/>
  <c r="GL205" i="2"/>
  <c r="GJ205" i="2"/>
  <c r="GB205" i="2"/>
  <c r="FT205" i="2"/>
  <c r="FS205" i="2"/>
  <c r="FQ205" i="2"/>
  <c r="FP205" i="2"/>
  <c r="GI205" i="2" s="1"/>
  <c r="FO205" i="2"/>
  <c r="FN205" i="2"/>
  <c r="FM205" i="2"/>
  <c r="FL205" i="2"/>
  <c r="FK205" i="2"/>
  <c r="FJ205" i="2"/>
  <c r="FI205" i="2"/>
  <c r="FH205" i="2"/>
  <c r="FG205" i="2"/>
  <c r="FF205" i="2"/>
  <c r="FY205" i="2" s="1"/>
  <c r="FE205" i="2"/>
  <c r="FX205" i="2" s="1"/>
  <c r="FD205" i="2"/>
  <c r="FC205" i="2"/>
  <c r="FB205" i="2"/>
  <c r="DZ205" i="2"/>
  <c r="DY205" i="2"/>
  <c r="DP205" i="2"/>
  <c r="BQ205" i="2"/>
  <c r="BG205" i="2"/>
  <c r="AY205" i="2"/>
  <c r="BO205" i="2" s="1"/>
  <c r="AM205" i="2"/>
  <c r="AL205" i="2"/>
  <c r="AD205" i="2"/>
  <c r="EH205" i="2" s="1"/>
  <c r="HC204" i="2"/>
  <c r="HB204" i="2"/>
  <c r="GW204" i="2"/>
  <c r="GV204" i="2"/>
  <c r="GU204" i="2"/>
  <c r="GT204" i="2"/>
  <c r="GP204" i="2"/>
  <c r="GO204" i="2"/>
  <c r="GQ204" i="2" s="1"/>
  <c r="GL204" i="2"/>
  <c r="GJ204" i="2"/>
  <c r="GI204" i="2"/>
  <c r="FY204" i="2"/>
  <c r="FT204" i="2"/>
  <c r="FS204" i="2"/>
  <c r="FQ204" i="2"/>
  <c r="FP204" i="2"/>
  <c r="FO204" i="2"/>
  <c r="FN204" i="2"/>
  <c r="FM204" i="2"/>
  <c r="FL204" i="2"/>
  <c r="FK204" i="2"/>
  <c r="FJ204" i="2"/>
  <c r="FI204" i="2"/>
  <c r="GB204" i="2" s="1"/>
  <c r="FH204" i="2"/>
  <c r="FG204" i="2"/>
  <c r="FF204" i="2"/>
  <c r="FE204" i="2"/>
  <c r="FX204" i="2" s="1"/>
  <c r="FD204" i="2"/>
  <c r="FC204" i="2"/>
  <c r="FB204" i="2"/>
  <c r="EX204" i="2"/>
  <c r="EW204" i="2"/>
  <c r="EM204" i="2"/>
  <c r="EH204" i="2"/>
  <c r="EG204" i="2"/>
  <c r="EZ204" i="2" s="1"/>
  <c r="EE204" i="2"/>
  <c r="ED204" i="2"/>
  <c r="EC204" i="2"/>
  <c r="EB204" i="2"/>
  <c r="EA204" i="2"/>
  <c r="DZ204" i="2"/>
  <c r="DY204" i="2"/>
  <c r="DX204" i="2"/>
  <c r="DW204" i="2"/>
  <c r="EP204" i="2" s="1"/>
  <c r="DV204" i="2"/>
  <c r="DU204" i="2"/>
  <c r="DT204" i="2"/>
  <c r="DS204" i="2"/>
  <c r="EL204" i="2" s="1"/>
  <c r="DR204" i="2"/>
  <c r="DQ204" i="2"/>
  <c r="DP204" i="2"/>
  <c r="DM204" i="2"/>
  <c r="DL204" i="2"/>
  <c r="HC203" i="2"/>
  <c r="HB203" i="2"/>
  <c r="GW203" i="2"/>
  <c r="GV203" i="2"/>
  <c r="GU203" i="2"/>
  <c r="GT203" i="2"/>
  <c r="GP203" i="2"/>
  <c r="GQ203" i="2" s="1"/>
  <c r="GO203" i="2"/>
  <c r="GI203" i="2"/>
  <c r="FY203" i="2"/>
  <c r="FX203" i="2"/>
  <c r="FT203" i="2"/>
  <c r="FS203" i="2"/>
  <c r="GL203" i="2" s="1"/>
  <c r="FQ203" i="2"/>
  <c r="GJ203" i="2" s="1"/>
  <c r="FP203" i="2"/>
  <c r="FO203" i="2"/>
  <c r="FN203" i="2"/>
  <c r="FM203" i="2"/>
  <c r="FL203" i="2"/>
  <c r="FK203" i="2"/>
  <c r="FJ203" i="2"/>
  <c r="FI203" i="2"/>
  <c r="GB203" i="2" s="1"/>
  <c r="FH203" i="2"/>
  <c r="FG203" i="2"/>
  <c r="FF203" i="2"/>
  <c r="FE203" i="2"/>
  <c r="FD203" i="2"/>
  <c r="FC203" i="2"/>
  <c r="FB203" i="2"/>
  <c r="EZ203" i="2"/>
  <c r="EX203" i="2"/>
  <c r="EP203" i="2"/>
  <c r="EH203" i="2"/>
  <c r="EG203" i="2"/>
  <c r="EE203" i="2"/>
  <c r="ED203" i="2"/>
  <c r="EW203" i="2" s="1"/>
  <c r="EC203" i="2"/>
  <c r="EB203" i="2"/>
  <c r="EA203" i="2"/>
  <c r="DZ203" i="2"/>
  <c r="DY203" i="2"/>
  <c r="DX203" i="2"/>
  <c r="DW203" i="2"/>
  <c r="DV203" i="2"/>
  <c r="DU203" i="2"/>
  <c r="DT203" i="2"/>
  <c r="EM203" i="2" s="1"/>
  <c r="DS203" i="2"/>
  <c r="EL203" i="2" s="1"/>
  <c r="DR203" i="2"/>
  <c r="DQ203" i="2"/>
  <c r="DP203" i="2"/>
  <c r="DM203" i="2"/>
  <c r="DL203" i="2"/>
  <c r="HC202" i="2"/>
  <c r="HB202" i="2"/>
  <c r="GW202" i="2"/>
  <c r="GV202" i="2"/>
  <c r="GU202" i="2"/>
  <c r="GT202" i="2"/>
  <c r="GP202" i="2"/>
  <c r="GO202" i="2"/>
  <c r="GQ202" i="2" s="1"/>
  <c r="GL202" i="2"/>
  <c r="GJ202" i="2"/>
  <c r="GI202" i="2"/>
  <c r="FY202" i="2"/>
  <c r="FT202" i="2"/>
  <c r="FS202" i="2"/>
  <c r="FQ202" i="2"/>
  <c r="FP202" i="2"/>
  <c r="FO202" i="2"/>
  <c r="FN202" i="2"/>
  <c r="FM202" i="2"/>
  <c r="FL202" i="2"/>
  <c r="FK202" i="2"/>
  <c r="FJ202" i="2"/>
  <c r="FI202" i="2"/>
  <c r="GB202" i="2" s="1"/>
  <c r="FH202" i="2"/>
  <c r="FG202" i="2"/>
  <c r="FF202" i="2"/>
  <c r="FE202" i="2"/>
  <c r="FX202" i="2" s="1"/>
  <c r="FD202" i="2"/>
  <c r="FC202" i="2"/>
  <c r="FB202" i="2"/>
  <c r="EX202" i="2"/>
  <c r="EW202" i="2"/>
  <c r="EM202" i="2"/>
  <c r="EH202" i="2"/>
  <c r="EG202" i="2"/>
  <c r="EZ202" i="2" s="1"/>
  <c r="EE202" i="2"/>
  <c r="ED202" i="2"/>
  <c r="EC202" i="2"/>
  <c r="EB202" i="2"/>
  <c r="EA202" i="2"/>
  <c r="DZ202" i="2"/>
  <c r="DY202" i="2"/>
  <c r="DX202" i="2"/>
  <c r="DW202" i="2"/>
  <c r="EP202" i="2" s="1"/>
  <c r="DV202" i="2"/>
  <c r="DU202" i="2"/>
  <c r="DT202" i="2"/>
  <c r="DS202" i="2"/>
  <c r="EL202" i="2" s="1"/>
  <c r="DR202" i="2"/>
  <c r="DQ202" i="2"/>
  <c r="DP202" i="2"/>
  <c r="DM202" i="2"/>
  <c r="DL202" i="2"/>
  <c r="HC201" i="2"/>
  <c r="HB201" i="2"/>
  <c r="GW201" i="2"/>
  <c r="GV201" i="2"/>
  <c r="GU201" i="2"/>
  <c r="GT201" i="2"/>
  <c r="GO201" i="2"/>
  <c r="GI201" i="2"/>
  <c r="FY201" i="2"/>
  <c r="FX201" i="2"/>
  <c r="FT201" i="2"/>
  <c r="FS201" i="2"/>
  <c r="GL201" i="2" s="1"/>
  <c r="FQ201" i="2"/>
  <c r="GJ201" i="2" s="1"/>
  <c r="FP201" i="2"/>
  <c r="FO201" i="2"/>
  <c r="FN201" i="2"/>
  <c r="FM201" i="2"/>
  <c r="FL201" i="2"/>
  <c r="FK201" i="2"/>
  <c r="FJ201" i="2"/>
  <c r="FI201" i="2"/>
  <c r="GB201" i="2" s="1"/>
  <c r="FH201" i="2"/>
  <c r="FG201" i="2"/>
  <c r="FF201" i="2"/>
  <c r="FE201" i="2"/>
  <c r="FD201" i="2"/>
  <c r="FC201" i="2"/>
  <c r="FB201" i="2"/>
  <c r="EZ201" i="2"/>
  <c r="EX201" i="2"/>
  <c r="EP201" i="2"/>
  <c r="EH201" i="2"/>
  <c r="EG201" i="2"/>
  <c r="EE201" i="2"/>
  <c r="ED201" i="2"/>
  <c r="EW201" i="2" s="1"/>
  <c r="EC201" i="2"/>
  <c r="EB201" i="2"/>
  <c r="EA201" i="2"/>
  <c r="DZ201" i="2"/>
  <c r="DY201" i="2"/>
  <c r="DX201" i="2"/>
  <c r="DW201" i="2"/>
  <c r="DV201" i="2"/>
  <c r="DU201" i="2"/>
  <c r="DT201" i="2"/>
  <c r="EM201" i="2" s="1"/>
  <c r="DS201" i="2"/>
  <c r="EL201" i="2" s="1"/>
  <c r="DR201" i="2"/>
  <c r="DQ201" i="2"/>
  <c r="DP201" i="2"/>
  <c r="DM201" i="2"/>
  <c r="DL201" i="2"/>
  <c r="HC200" i="2"/>
  <c r="HB200" i="2"/>
  <c r="GW200" i="2"/>
  <c r="GV200" i="2"/>
  <c r="GU200" i="2"/>
  <c r="GT200" i="2"/>
  <c r="GP200" i="2"/>
  <c r="GO200" i="2"/>
  <c r="GQ200" i="2" s="1"/>
  <c r="GL200" i="2"/>
  <c r="GJ200" i="2"/>
  <c r="GI200" i="2"/>
  <c r="FY200" i="2"/>
  <c r="FX200" i="2"/>
  <c r="FT200" i="2"/>
  <c r="FS200" i="2"/>
  <c r="FQ200" i="2"/>
  <c r="FP200" i="2"/>
  <c r="FO200" i="2"/>
  <c r="FN200" i="2"/>
  <c r="FM200" i="2"/>
  <c r="FL200" i="2"/>
  <c r="FK200" i="2"/>
  <c r="FJ200" i="2"/>
  <c r="FI200" i="2"/>
  <c r="GB200" i="2" s="1"/>
  <c r="FH200" i="2"/>
  <c r="FG200" i="2"/>
  <c r="FF200" i="2"/>
  <c r="FE200" i="2"/>
  <c r="FD200" i="2"/>
  <c r="FC200" i="2"/>
  <c r="FB200" i="2"/>
  <c r="EX200" i="2"/>
  <c r="EW200" i="2"/>
  <c r="EM200" i="2"/>
  <c r="EH200" i="2"/>
  <c r="EG200" i="2"/>
  <c r="EZ200" i="2" s="1"/>
  <c r="EE200" i="2"/>
  <c r="ED200" i="2"/>
  <c r="EC200" i="2"/>
  <c r="EB200" i="2"/>
  <c r="EA200" i="2"/>
  <c r="DZ200" i="2"/>
  <c r="DY200" i="2"/>
  <c r="DX200" i="2"/>
  <c r="DW200" i="2"/>
  <c r="EP200" i="2" s="1"/>
  <c r="DV200" i="2"/>
  <c r="DU200" i="2"/>
  <c r="DT200" i="2"/>
  <c r="DS200" i="2"/>
  <c r="EL200" i="2" s="1"/>
  <c r="DR200" i="2"/>
  <c r="DQ200" i="2"/>
  <c r="DP200" i="2"/>
  <c r="DM200" i="2"/>
  <c r="DL200" i="2"/>
  <c r="HC199" i="2"/>
  <c r="HB199" i="2"/>
  <c r="GW199" i="2"/>
  <c r="GV199" i="2"/>
  <c r="GU199" i="2"/>
  <c r="GT199" i="2"/>
  <c r="GO199" i="2"/>
  <c r="GP199" i="2" s="1"/>
  <c r="GQ199" i="2" s="1"/>
  <c r="GI199" i="2"/>
  <c r="FY199" i="2"/>
  <c r="FX199" i="2"/>
  <c r="FT199" i="2"/>
  <c r="FS199" i="2"/>
  <c r="GL199" i="2" s="1"/>
  <c r="FQ199" i="2"/>
  <c r="GJ199" i="2" s="1"/>
  <c r="FP199" i="2"/>
  <c r="FO199" i="2"/>
  <c r="FN199" i="2"/>
  <c r="FM199" i="2"/>
  <c r="FL199" i="2"/>
  <c r="FK199" i="2"/>
  <c r="FJ199" i="2"/>
  <c r="FI199" i="2"/>
  <c r="GB199" i="2" s="1"/>
  <c r="FH199" i="2"/>
  <c r="FG199" i="2"/>
  <c r="FF199" i="2"/>
  <c r="FE199" i="2"/>
  <c r="FD199" i="2"/>
  <c r="FC199" i="2"/>
  <c r="FB199" i="2"/>
  <c r="EZ199" i="2"/>
  <c r="EX199" i="2"/>
  <c r="EW199" i="2"/>
  <c r="EP199" i="2"/>
  <c r="EM199" i="2"/>
  <c r="EH199" i="2"/>
  <c r="EG199" i="2"/>
  <c r="EE199" i="2"/>
  <c r="ED199" i="2"/>
  <c r="EC199" i="2"/>
  <c r="EB199" i="2"/>
  <c r="EA199" i="2"/>
  <c r="DZ199" i="2"/>
  <c r="DY199" i="2"/>
  <c r="DX199" i="2"/>
  <c r="DW199" i="2"/>
  <c r="DV199" i="2"/>
  <c r="DU199" i="2"/>
  <c r="DT199" i="2"/>
  <c r="DS199" i="2"/>
  <c r="EL199" i="2" s="1"/>
  <c r="DR199" i="2"/>
  <c r="DQ199" i="2"/>
  <c r="DP199" i="2"/>
  <c r="DM199" i="2"/>
  <c r="DL199" i="2"/>
  <c r="HC198" i="2"/>
  <c r="HB198" i="2"/>
  <c r="GW198" i="2"/>
  <c r="GV198" i="2"/>
  <c r="GU198" i="2"/>
  <c r="GT198" i="2"/>
  <c r="GP198" i="2"/>
  <c r="GO198" i="2"/>
  <c r="GQ198" i="2" s="1"/>
  <c r="GL198" i="2"/>
  <c r="GJ198" i="2"/>
  <c r="GI198" i="2"/>
  <c r="FY198" i="2"/>
  <c r="FT198" i="2"/>
  <c r="FS198" i="2"/>
  <c r="FQ198" i="2"/>
  <c r="FP198" i="2"/>
  <c r="FO198" i="2"/>
  <c r="FN198" i="2"/>
  <c r="FM198" i="2"/>
  <c r="FL198" i="2"/>
  <c r="FK198" i="2"/>
  <c r="FJ198" i="2"/>
  <c r="FI198" i="2"/>
  <c r="GB198" i="2" s="1"/>
  <c r="FH198" i="2"/>
  <c r="FG198" i="2"/>
  <c r="FF198" i="2"/>
  <c r="FE198" i="2"/>
  <c r="FX198" i="2" s="1"/>
  <c r="FD198" i="2"/>
  <c r="FC198" i="2"/>
  <c r="FB198" i="2"/>
  <c r="EX198" i="2"/>
  <c r="EW198" i="2"/>
  <c r="EM198" i="2"/>
  <c r="EH198" i="2"/>
  <c r="EG198" i="2"/>
  <c r="EZ198" i="2" s="1"/>
  <c r="EE198" i="2"/>
  <c r="ED198" i="2"/>
  <c r="EC198" i="2"/>
  <c r="EB198" i="2"/>
  <c r="EA198" i="2"/>
  <c r="DZ198" i="2"/>
  <c r="DY198" i="2"/>
  <c r="DX198" i="2"/>
  <c r="DW198" i="2"/>
  <c r="EP198" i="2" s="1"/>
  <c r="DV198" i="2"/>
  <c r="DU198" i="2"/>
  <c r="DT198" i="2"/>
  <c r="DS198" i="2"/>
  <c r="EL198" i="2" s="1"/>
  <c r="DR198" i="2"/>
  <c r="DQ198" i="2"/>
  <c r="DP198" i="2"/>
  <c r="DM198" i="2"/>
  <c r="DL198" i="2"/>
  <c r="HC197" i="2"/>
  <c r="HB197" i="2"/>
  <c r="GW197" i="2"/>
  <c r="GV197" i="2"/>
  <c r="GU197" i="2"/>
  <c r="GT197" i="2"/>
  <c r="GQ197" i="2"/>
  <c r="GP197" i="2"/>
  <c r="GO197" i="2"/>
  <c r="GI197" i="2"/>
  <c r="FY197" i="2"/>
  <c r="FX197" i="2"/>
  <c r="FT197" i="2"/>
  <c r="FS197" i="2"/>
  <c r="GL197" i="2" s="1"/>
  <c r="FQ197" i="2"/>
  <c r="GJ197" i="2" s="1"/>
  <c r="FP197" i="2"/>
  <c r="FO197" i="2"/>
  <c r="FN197" i="2"/>
  <c r="FM197" i="2"/>
  <c r="FL197" i="2"/>
  <c r="FK197" i="2"/>
  <c r="FJ197" i="2"/>
  <c r="FI197" i="2"/>
  <c r="GB197" i="2" s="1"/>
  <c r="FH197" i="2"/>
  <c r="FG197" i="2"/>
  <c r="FF197" i="2"/>
  <c r="FE197" i="2"/>
  <c r="FD197" i="2"/>
  <c r="FC197" i="2"/>
  <c r="FB197" i="2"/>
  <c r="EZ197" i="2"/>
  <c r="EX197" i="2"/>
  <c r="EW197" i="2"/>
  <c r="EP197" i="2"/>
  <c r="EL197" i="2"/>
  <c r="EH197" i="2"/>
  <c r="EG197" i="2"/>
  <c r="EE197" i="2"/>
  <c r="ED197" i="2"/>
  <c r="EC197" i="2"/>
  <c r="EB197" i="2"/>
  <c r="EA197" i="2"/>
  <c r="DZ197" i="2"/>
  <c r="DY197" i="2"/>
  <c r="DX197" i="2"/>
  <c r="DW197" i="2"/>
  <c r="DV197" i="2"/>
  <c r="DU197" i="2"/>
  <c r="DT197" i="2"/>
  <c r="EM197" i="2" s="1"/>
  <c r="DS197" i="2"/>
  <c r="DR197" i="2"/>
  <c r="DQ197" i="2"/>
  <c r="DP197" i="2"/>
  <c r="DM197" i="2"/>
  <c r="DL197" i="2"/>
  <c r="HC196" i="2"/>
  <c r="HB196" i="2"/>
  <c r="GW196" i="2"/>
  <c r="GV196" i="2"/>
  <c r="GU196" i="2"/>
  <c r="GT196" i="2"/>
  <c r="GP196" i="2"/>
  <c r="GO196" i="2"/>
  <c r="GQ196" i="2" s="1"/>
  <c r="GL196" i="2"/>
  <c r="GB196" i="2"/>
  <c r="FY196" i="2"/>
  <c r="FX196" i="2"/>
  <c r="FT196" i="2"/>
  <c r="FS196" i="2"/>
  <c r="FQ196" i="2"/>
  <c r="GJ196" i="2" s="1"/>
  <c r="FP196" i="2"/>
  <c r="GI196" i="2" s="1"/>
  <c r="FO196" i="2"/>
  <c r="FN196" i="2"/>
  <c r="FM196" i="2"/>
  <c r="FL196" i="2"/>
  <c r="FK196" i="2"/>
  <c r="FJ196" i="2"/>
  <c r="FI196" i="2"/>
  <c r="FH196" i="2"/>
  <c r="FG196" i="2"/>
  <c r="FF196" i="2"/>
  <c r="FE196" i="2"/>
  <c r="FD196" i="2"/>
  <c r="FC196" i="2"/>
  <c r="FB196" i="2"/>
  <c r="EX196" i="2"/>
  <c r="EW196" i="2"/>
  <c r="EM196" i="2"/>
  <c r="EH196" i="2"/>
  <c r="EG196" i="2"/>
  <c r="EZ196" i="2" s="1"/>
  <c r="EE196" i="2"/>
  <c r="ED196" i="2"/>
  <c r="EC196" i="2"/>
  <c r="EB196" i="2"/>
  <c r="EA196" i="2"/>
  <c r="DZ196" i="2"/>
  <c r="DY196" i="2"/>
  <c r="DX196" i="2"/>
  <c r="DW196" i="2"/>
  <c r="EP196" i="2" s="1"/>
  <c r="DV196" i="2"/>
  <c r="DU196" i="2"/>
  <c r="DT196" i="2"/>
  <c r="DS196" i="2"/>
  <c r="EL196" i="2" s="1"/>
  <c r="DR196" i="2"/>
  <c r="DQ196" i="2"/>
  <c r="DP196" i="2"/>
  <c r="DM196" i="2"/>
  <c r="DL196" i="2"/>
  <c r="HC195" i="2"/>
  <c r="HB195" i="2"/>
  <c r="GW195" i="2"/>
  <c r="GV195" i="2"/>
  <c r="GU195" i="2"/>
  <c r="GT195" i="2"/>
  <c r="GP195" i="2"/>
  <c r="GO195" i="2"/>
  <c r="GQ195" i="2" s="1"/>
  <c r="GI195" i="2"/>
  <c r="FY195" i="2"/>
  <c r="FX195" i="2"/>
  <c r="FT195" i="2"/>
  <c r="FS195" i="2"/>
  <c r="GL195" i="2" s="1"/>
  <c r="FQ195" i="2"/>
  <c r="GJ195" i="2" s="1"/>
  <c r="FP195" i="2"/>
  <c r="FO195" i="2"/>
  <c r="FN195" i="2"/>
  <c r="FM195" i="2"/>
  <c r="FL195" i="2"/>
  <c r="FK195" i="2"/>
  <c r="FJ195" i="2"/>
  <c r="FI195" i="2"/>
  <c r="GB195" i="2" s="1"/>
  <c r="FH195" i="2"/>
  <c r="FG195" i="2"/>
  <c r="FF195" i="2"/>
  <c r="FE195" i="2"/>
  <c r="FD195" i="2"/>
  <c r="FC195" i="2"/>
  <c r="FB195" i="2"/>
  <c r="EX195" i="2"/>
  <c r="EW195" i="2"/>
  <c r="EP195" i="2"/>
  <c r="EM195" i="2"/>
  <c r="EH195" i="2"/>
  <c r="EG195" i="2"/>
  <c r="EZ195" i="2" s="1"/>
  <c r="EE195" i="2"/>
  <c r="ED195" i="2"/>
  <c r="EC195" i="2"/>
  <c r="EB195" i="2"/>
  <c r="EA195" i="2"/>
  <c r="DZ195" i="2"/>
  <c r="DY195" i="2"/>
  <c r="DX195" i="2"/>
  <c r="DW195" i="2"/>
  <c r="DV195" i="2"/>
  <c r="DU195" i="2"/>
  <c r="DT195" i="2"/>
  <c r="DS195" i="2"/>
  <c r="EL195" i="2" s="1"/>
  <c r="DR195" i="2"/>
  <c r="DQ195" i="2"/>
  <c r="DP195" i="2"/>
  <c r="DM195" i="2"/>
  <c r="DL195" i="2"/>
  <c r="HC194" i="2"/>
  <c r="HB194" i="2"/>
  <c r="GW194" i="2"/>
  <c r="GV194" i="2"/>
  <c r="GU194" i="2"/>
  <c r="GT194" i="2"/>
  <c r="GP194" i="2"/>
  <c r="GO194" i="2"/>
  <c r="GL194" i="2"/>
  <c r="GJ194" i="2"/>
  <c r="FY194" i="2"/>
  <c r="FX194" i="2"/>
  <c r="FT194" i="2"/>
  <c r="FS194" i="2"/>
  <c r="FQ194" i="2"/>
  <c r="FP194" i="2"/>
  <c r="GI194" i="2" s="1"/>
  <c r="FO194" i="2"/>
  <c r="FN194" i="2"/>
  <c r="FM194" i="2"/>
  <c r="FL194" i="2"/>
  <c r="FK194" i="2"/>
  <c r="FJ194" i="2"/>
  <c r="FI194" i="2"/>
  <c r="GB194" i="2" s="1"/>
  <c r="FH194" i="2"/>
  <c r="FG194" i="2"/>
  <c r="FF194" i="2"/>
  <c r="FE194" i="2"/>
  <c r="FD194" i="2"/>
  <c r="FC194" i="2"/>
  <c r="FB194" i="2"/>
  <c r="EW194" i="2"/>
  <c r="EP194" i="2"/>
  <c r="EM194" i="2"/>
  <c r="EL194" i="2"/>
  <c r="EH194" i="2"/>
  <c r="EG194" i="2"/>
  <c r="EZ194" i="2" s="1"/>
  <c r="EE194" i="2"/>
  <c r="EX194" i="2" s="1"/>
  <c r="ED194" i="2"/>
  <c r="EC194" i="2"/>
  <c r="EB194" i="2"/>
  <c r="EA194" i="2"/>
  <c r="DZ194" i="2"/>
  <c r="DY194" i="2"/>
  <c r="DX194" i="2"/>
  <c r="DW194" i="2"/>
  <c r="DV194" i="2"/>
  <c r="DU194" i="2"/>
  <c r="DT194" i="2"/>
  <c r="DS194" i="2"/>
  <c r="DR194" i="2"/>
  <c r="DQ194" i="2"/>
  <c r="DP194" i="2"/>
  <c r="DM194" i="2"/>
  <c r="DL194" i="2"/>
  <c r="HC193" i="2"/>
  <c r="HB193" i="2"/>
  <c r="GW193" i="2"/>
  <c r="GV193" i="2"/>
  <c r="GU193" i="2"/>
  <c r="GT193" i="2"/>
  <c r="GP193" i="2"/>
  <c r="GQ193" i="2" s="1"/>
  <c r="GO193" i="2"/>
  <c r="GL193" i="2"/>
  <c r="GI193" i="2"/>
  <c r="FY193" i="2"/>
  <c r="FX193" i="2"/>
  <c r="FT193" i="2"/>
  <c r="FS193" i="2"/>
  <c r="FQ193" i="2"/>
  <c r="GJ193" i="2" s="1"/>
  <c r="FP193" i="2"/>
  <c r="FO193" i="2"/>
  <c r="FN193" i="2"/>
  <c r="FM193" i="2"/>
  <c r="FL193" i="2"/>
  <c r="FK193" i="2"/>
  <c r="FJ193" i="2"/>
  <c r="FI193" i="2"/>
  <c r="GB193" i="2" s="1"/>
  <c r="FH193" i="2"/>
  <c r="FG193" i="2"/>
  <c r="FF193" i="2"/>
  <c r="FE193" i="2"/>
  <c r="FD193" i="2"/>
  <c r="FC193" i="2"/>
  <c r="FB193" i="2"/>
  <c r="EW193" i="2"/>
  <c r="EM193" i="2"/>
  <c r="EL193" i="2"/>
  <c r="EH193" i="2"/>
  <c r="EG193" i="2"/>
  <c r="EZ193" i="2" s="1"/>
  <c r="EE193" i="2"/>
  <c r="EX193" i="2" s="1"/>
  <c r="ED193" i="2"/>
  <c r="EC193" i="2"/>
  <c r="EB193" i="2"/>
  <c r="EA193" i="2"/>
  <c r="DZ193" i="2"/>
  <c r="DY193" i="2"/>
  <c r="DX193" i="2"/>
  <c r="DW193" i="2"/>
  <c r="EP193" i="2" s="1"/>
  <c r="DV193" i="2"/>
  <c r="DU193" i="2"/>
  <c r="DT193" i="2"/>
  <c r="DS193" i="2"/>
  <c r="DR193" i="2"/>
  <c r="DQ193" i="2"/>
  <c r="DP193" i="2"/>
  <c r="DM193" i="2"/>
  <c r="DL193" i="2"/>
  <c r="HC192" i="2"/>
  <c r="HB192" i="2"/>
  <c r="GW192" i="2"/>
  <c r="GV192" i="2"/>
  <c r="GU192" i="2"/>
  <c r="GT192" i="2"/>
  <c r="GP192" i="2"/>
  <c r="GO192" i="2"/>
  <c r="GL192" i="2"/>
  <c r="GJ192" i="2"/>
  <c r="GI192" i="2"/>
  <c r="FY192" i="2"/>
  <c r="FT192" i="2"/>
  <c r="FS192" i="2"/>
  <c r="FQ192" i="2"/>
  <c r="FP192" i="2"/>
  <c r="FO192" i="2"/>
  <c r="FN192" i="2"/>
  <c r="FM192" i="2"/>
  <c r="FL192" i="2"/>
  <c r="FK192" i="2"/>
  <c r="FJ192" i="2"/>
  <c r="FI192" i="2"/>
  <c r="GB192" i="2" s="1"/>
  <c r="FH192" i="2"/>
  <c r="FG192" i="2"/>
  <c r="FF192" i="2"/>
  <c r="FE192" i="2"/>
  <c r="FX192" i="2" s="1"/>
  <c r="FD192" i="2"/>
  <c r="FC192" i="2"/>
  <c r="FB192" i="2"/>
  <c r="EW192" i="2"/>
  <c r="EM192" i="2"/>
  <c r="EL192" i="2"/>
  <c r="EH192" i="2"/>
  <c r="EG192" i="2"/>
  <c r="EZ192" i="2" s="1"/>
  <c r="EE192" i="2"/>
  <c r="EX192" i="2" s="1"/>
  <c r="ED192" i="2"/>
  <c r="EC192" i="2"/>
  <c r="EB192" i="2"/>
  <c r="EA192" i="2"/>
  <c r="DZ192" i="2"/>
  <c r="DY192" i="2"/>
  <c r="DX192" i="2"/>
  <c r="DW192" i="2"/>
  <c r="EP192" i="2" s="1"/>
  <c r="DV192" i="2"/>
  <c r="DU192" i="2"/>
  <c r="DT192" i="2"/>
  <c r="DS192" i="2"/>
  <c r="DR192" i="2"/>
  <c r="DQ192" i="2"/>
  <c r="DP192" i="2"/>
  <c r="DM192" i="2"/>
  <c r="DL192" i="2"/>
  <c r="HC191" i="2"/>
  <c r="HB191" i="2"/>
  <c r="GW191" i="2"/>
  <c r="GV191" i="2"/>
  <c r="GU191" i="2"/>
  <c r="GT191" i="2"/>
  <c r="GO191" i="2"/>
  <c r="GL191" i="2"/>
  <c r="GB191" i="2"/>
  <c r="FX191" i="2"/>
  <c r="FT191" i="2"/>
  <c r="FS191" i="2"/>
  <c r="FQ191" i="2"/>
  <c r="GJ191" i="2" s="1"/>
  <c r="FP191" i="2"/>
  <c r="GI191" i="2" s="1"/>
  <c r="FO191" i="2"/>
  <c r="FN191" i="2"/>
  <c r="FM191" i="2"/>
  <c r="FL191" i="2"/>
  <c r="FK191" i="2"/>
  <c r="FJ191" i="2"/>
  <c r="FI191" i="2"/>
  <c r="FH191" i="2"/>
  <c r="FG191" i="2"/>
  <c r="FF191" i="2"/>
  <c r="FY191" i="2" s="1"/>
  <c r="FE191" i="2"/>
  <c r="FD191" i="2"/>
  <c r="FC191" i="2"/>
  <c r="FB191" i="2"/>
  <c r="EW191" i="2"/>
  <c r="EM191" i="2"/>
  <c r="EH191" i="2"/>
  <c r="EG191" i="2"/>
  <c r="EZ191" i="2" s="1"/>
  <c r="EE191" i="2"/>
  <c r="EX191" i="2" s="1"/>
  <c r="ED191" i="2"/>
  <c r="EC191" i="2"/>
  <c r="EB191" i="2"/>
  <c r="EA191" i="2"/>
  <c r="DZ191" i="2"/>
  <c r="DY191" i="2"/>
  <c r="DX191" i="2"/>
  <c r="DW191" i="2"/>
  <c r="EP191" i="2" s="1"/>
  <c r="DV191" i="2"/>
  <c r="DU191" i="2"/>
  <c r="DT191" i="2"/>
  <c r="DS191" i="2"/>
  <c r="EL191" i="2" s="1"/>
  <c r="DR191" i="2"/>
  <c r="DQ191" i="2"/>
  <c r="DP191" i="2"/>
  <c r="DM191" i="2"/>
  <c r="DL191" i="2"/>
  <c r="HC190" i="2"/>
  <c r="HB190" i="2"/>
  <c r="GY190" i="2"/>
  <c r="GX190" i="2"/>
  <c r="GW190" i="2"/>
  <c r="GT190" i="2"/>
  <c r="FT190" i="2"/>
  <c r="FS190" i="2"/>
  <c r="GL190" i="2" s="1"/>
  <c r="FQ190" i="2"/>
  <c r="GJ190" i="2" s="1"/>
  <c r="FP190" i="2"/>
  <c r="GI190" i="2" s="1"/>
  <c r="FO190" i="2"/>
  <c r="FN190" i="2"/>
  <c r="FM190" i="2"/>
  <c r="FL190" i="2"/>
  <c r="FK190" i="2"/>
  <c r="FJ190" i="2"/>
  <c r="FI190" i="2"/>
  <c r="GB190" i="2" s="1"/>
  <c r="FH190" i="2"/>
  <c r="FG190" i="2"/>
  <c r="FF190" i="2"/>
  <c r="FY190" i="2" s="1"/>
  <c r="FE190" i="2"/>
  <c r="FX190" i="2" s="1"/>
  <c r="FD190" i="2"/>
  <c r="FC190" i="2"/>
  <c r="FB190" i="2"/>
  <c r="EB190" i="2"/>
  <c r="EA190" i="2"/>
  <c r="DZ190" i="2"/>
  <c r="DQ190" i="2"/>
  <c r="DP190" i="2"/>
  <c r="AY190" i="2"/>
  <c r="DY190" i="2" s="1"/>
  <c r="AM190" i="2"/>
  <c r="AD190" i="2"/>
  <c r="GO190" i="2" s="1"/>
  <c r="HC189" i="2"/>
  <c r="HB189" i="2"/>
  <c r="GW189" i="2"/>
  <c r="GV189" i="2"/>
  <c r="GU189" i="2"/>
  <c r="GT189" i="2"/>
  <c r="GP189" i="2"/>
  <c r="GQ189" i="2" s="1"/>
  <c r="GO189" i="2"/>
  <c r="GL189" i="2"/>
  <c r="GI189" i="2"/>
  <c r="FY189" i="2"/>
  <c r="FX189" i="2"/>
  <c r="FT189" i="2"/>
  <c r="FS189" i="2"/>
  <c r="FQ189" i="2"/>
  <c r="GJ189" i="2" s="1"/>
  <c r="FP189" i="2"/>
  <c r="FO189" i="2"/>
  <c r="FN189" i="2"/>
  <c r="FM189" i="2"/>
  <c r="FL189" i="2"/>
  <c r="FK189" i="2"/>
  <c r="FJ189" i="2"/>
  <c r="FI189" i="2"/>
  <c r="GB189" i="2" s="1"/>
  <c r="FH189" i="2"/>
  <c r="FG189" i="2"/>
  <c r="FF189" i="2"/>
  <c r="FE189" i="2"/>
  <c r="FD189" i="2"/>
  <c r="FC189" i="2"/>
  <c r="FB189" i="2"/>
  <c r="EL189" i="2"/>
  <c r="EH189" i="2"/>
  <c r="EG189" i="2"/>
  <c r="EZ189" i="2" s="1"/>
  <c r="EE189" i="2"/>
  <c r="EX189" i="2" s="1"/>
  <c r="ED189" i="2"/>
  <c r="EW189" i="2" s="1"/>
  <c r="EC189" i="2"/>
  <c r="EB189" i="2"/>
  <c r="EA189" i="2"/>
  <c r="DZ189" i="2"/>
  <c r="DY189" i="2"/>
  <c r="DX189" i="2"/>
  <c r="DW189" i="2"/>
  <c r="EP189" i="2" s="1"/>
  <c r="DV189" i="2"/>
  <c r="DU189" i="2"/>
  <c r="DT189" i="2"/>
  <c r="EM189" i="2" s="1"/>
  <c r="DS189" i="2"/>
  <c r="DR189" i="2"/>
  <c r="DQ189" i="2"/>
  <c r="DP189" i="2"/>
  <c r="DM189" i="2"/>
  <c r="DL189" i="2"/>
  <c r="HC188" i="2"/>
  <c r="HB188" i="2"/>
  <c r="GW188" i="2"/>
  <c r="GV188" i="2"/>
  <c r="GU188" i="2"/>
  <c r="GT188" i="2"/>
  <c r="GP188" i="2"/>
  <c r="GO188" i="2"/>
  <c r="GL188" i="2"/>
  <c r="GJ188" i="2"/>
  <c r="GI188" i="2"/>
  <c r="FY188" i="2"/>
  <c r="FT188" i="2"/>
  <c r="FS188" i="2"/>
  <c r="FQ188" i="2"/>
  <c r="FP188" i="2"/>
  <c r="FO188" i="2"/>
  <c r="FN188" i="2"/>
  <c r="FM188" i="2"/>
  <c r="FL188" i="2"/>
  <c r="FK188" i="2"/>
  <c r="FJ188" i="2"/>
  <c r="FI188" i="2"/>
  <c r="GB188" i="2" s="1"/>
  <c r="FH188" i="2"/>
  <c r="FG188" i="2"/>
  <c r="FF188" i="2"/>
  <c r="FE188" i="2"/>
  <c r="FX188" i="2" s="1"/>
  <c r="FD188" i="2"/>
  <c r="FC188" i="2"/>
  <c r="FB188" i="2"/>
  <c r="EW188" i="2"/>
  <c r="EM188" i="2"/>
  <c r="EL188" i="2"/>
  <c r="EH188" i="2"/>
  <c r="EG188" i="2"/>
  <c r="EZ188" i="2" s="1"/>
  <c r="EE188" i="2"/>
  <c r="EX188" i="2" s="1"/>
  <c r="ED188" i="2"/>
  <c r="EC188" i="2"/>
  <c r="EB188" i="2"/>
  <c r="EA188" i="2"/>
  <c r="DZ188" i="2"/>
  <c r="DY188" i="2"/>
  <c r="DX188" i="2"/>
  <c r="DW188" i="2"/>
  <c r="EP188" i="2" s="1"/>
  <c r="DV188" i="2"/>
  <c r="DU188" i="2"/>
  <c r="DT188" i="2"/>
  <c r="DS188" i="2"/>
  <c r="DR188" i="2"/>
  <c r="DQ188" i="2"/>
  <c r="DP188" i="2"/>
  <c r="DM188" i="2"/>
  <c r="DL188" i="2"/>
  <c r="HC187" i="2"/>
  <c r="HB187" i="2"/>
  <c r="GW187" i="2"/>
  <c r="GV187" i="2"/>
  <c r="GU187" i="2"/>
  <c r="GT187" i="2"/>
  <c r="GO187" i="2"/>
  <c r="GB187" i="2"/>
  <c r="FX187" i="2"/>
  <c r="FT187" i="2"/>
  <c r="FS187" i="2"/>
  <c r="GL187" i="2" s="1"/>
  <c r="FQ187" i="2"/>
  <c r="GJ187" i="2" s="1"/>
  <c r="FP187" i="2"/>
  <c r="GI187" i="2" s="1"/>
  <c r="FO187" i="2"/>
  <c r="FN187" i="2"/>
  <c r="FM187" i="2"/>
  <c r="FL187" i="2"/>
  <c r="FK187" i="2"/>
  <c r="FJ187" i="2"/>
  <c r="FI187" i="2"/>
  <c r="FH187" i="2"/>
  <c r="FG187" i="2"/>
  <c r="FF187" i="2"/>
  <c r="FY187" i="2" s="1"/>
  <c r="FE187" i="2"/>
  <c r="FD187" i="2"/>
  <c r="FC187" i="2"/>
  <c r="FB187" i="2"/>
  <c r="EW187" i="2"/>
  <c r="EM187" i="2"/>
  <c r="EL187" i="2"/>
  <c r="EH187" i="2"/>
  <c r="EG187" i="2"/>
  <c r="EZ187" i="2" s="1"/>
  <c r="EE187" i="2"/>
  <c r="EX187" i="2" s="1"/>
  <c r="ED187" i="2"/>
  <c r="EC187" i="2"/>
  <c r="EB187" i="2"/>
  <c r="EA187" i="2"/>
  <c r="DZ187" i="2"/>
  <c r="DY187" i="2"/>
  <c r="DX187" i="2"/>
  <c r="DW187" i="2"/>
  <c r="EP187" i="2" s="1"/>
  <c r="DV187" i="2"/>
  <c r="DU187" i="2"/>
  <c r="DT187" i="2"/>
  <c r="DS187" i="2"/>
  <c r="DR187" i="2"/>
  <c r="DQ187" i="2"/>
  <c r="DP187" i="2"/>
  <c r="DM187" i="2"/>
  <c r="DL187" i="2"/>
  <c r="HC186" i="2"/>
  <c r="HB186" i="2"/>
  <c r="GW186" i="2"/>
  <c r="GV186" i="2"/>
  <c r="GU186" i="2"/>
  <c r="GT186" i="2"/>
  <c r="GO186" i="2"/>
  <c r="GB186" i="2"/>
  <c r="FX186" i="2"/>
  <c r="FT186" i="2"/>
  <c r="FS186" i="2"/>
  <c r="GL186" i="2" s="1"/>
  <c r="FQ186" i="2"/>
  <c r="GJ186" i="2" s="1"/>
  <c r="FP186" i="2"/>
  <c r="GI186" i="2" s="1"/>
  <c r="FO186" i="2"/>
  <c r="FN186" i="2"/>
  <c r="FM186" i="2"/>
  <c r="FL186" i="2"/>
  <c r="FK186" i="2"/>
  <c r="FJ186" i="2"/>
  <c r="FI186" i="2"/>
  <c r="FH186" i="2"/>
  <c r="FG186" i="2"/>
  <c r="FF186" i="2"/>
  <c r="FY186" i="2" s="1"/>
  <c r="FE186" i="2"/>
  <c r="FD186" i="2"/>
  <c r="FC186" i="2"/>
  <c r="FB186" i="2"/>
  <c r="EW186" i="2"/>
  <c r="EM186" i="2"/>
  <c r="EL186" i="2"/>
  <c r="EH186" i="2"/>
  <c r="EG186" i="2"/>
  <c r="EZ186" i="2" s="1"/>
  <c r="EE186" i="2"/>
  <c r="EX186" i="2" s="1"/>
  <c r="ED186" i="2"/>
  <c r="EC186" i="2"/>
  <c r="EB186" i="2"/>
  <c r="EA186" i="2"/>
  <c r="DZ186" i="2"/>
  <c r="DY186" i="2"/>
  <c r="DX186" i="2"/>
  <c r="DW186" i="2"/>
  <c r="EP186" i="2" s="1"/>
  <c r="DV186" i="2"/>
  <c r="DU186" i="2"/>
  <c r="DT186" i="2"/>
  <c r="DS186" i="2"/>
  <c r="DR186" i="2"/>
  <c r="DQ186" i="2"/>
  <c r="DP186" i="2"/>
  <c r="DM186" i="2"/>
  <c r="DL186" i="2"/>
  <c r="HC185" i="2"/>
  <c r="HB185" i="2"/>
  <c r="GW185" i="2"/>
  <c r="GV185" i="2"/>
  <c r="GU185" i="2"/>
  <c r="GT185" i="2"/>
  <c r="GO185" i="2"/>
  <c r="GB185" i="2"/>
  <c r="FX185" i="2"/>
  <c r="FT185" i="2"/>
  <c r="FS185" i="2"/>
  <c r="GL185" i="2" s="1"/>
  <c r="FQ185" i="2"/>
  <c r="GJ185" i="2" s="1"/>
  <c r="FP185" i="2"/>
  <c r="GI185" i="2" s="1"/>
  <c r="FO185" i="2"/>
  <c r="FN185" i="2"/>
  <c r="FM185" i="2"/>
  <c r="FL185" i="2"/>
  <c r="FK185" i="2"/>
  <c r="FJ185" i="2"/>
  <c r="FI185" i="2"/>
  <c r="FH185" i="2"/>
  <c r="FG185" i="2"/>
  <c r="FF185" i="2"/>
  <c r="FY185" i="2" s="1"/>
  <c r="FE185" i="2"/>
  <c r="FD185" i="2"/>
  <c r="FC185" i="2"/>
  <c r="FB185" i="2"/>
  <c r="EW185" i="2"/>
  <c r="EM185" i="2"/>
  <c r="EL185" i="2"/>
  <c r="EH185" i="2"/>
  <c r="EG185" i="2"/>
  <c r="EZ185" i="2" s="1"/>
  <c r="EE185" i="2"/>
  <c r="EX185" i="2" s="1"/>
  <c r="ED185" i="2"/>
  <c r="EC185" i="2"/>
  <c r="EB185" i="2"/>
  <c r="EA185" i="2"/>
  <c r="DZ185" i="2"/>
  <c r="DY185" i="2"/>
  <c r="DX185" i="2"/>
  <c r="DW185" i="2"/>
  <c r="EP185" i="2" s="1"/>
  <c r="DV185" i="2"/>
  <c r="DU185" i="2"/>
  <c r="DT185" i="2"/>
  <c r="DS185" i="2"/>
  <c r="DR185" i="2"/>
  <c r="DQ185" i="2"/>
  <c r="DP185" i="2"/>
  <c r="DM185" i="2"/>
  <c r="DL185" i="2"/>
  <c r="HC184" i="2"/>
  <c r="HB184" i="2"/>
  <c r="GW184" i="2"/>
  <c r="GV184" i="2"/>
  <c r="GU184" i="2"/>
  <c r="GT184" i="2"/>
  <c r="GO184" i="2"/>
  <c r="GB184" i="2"/>
  <c r="FX184" i="2"/>
  <c r="FT184" i="2"/>
  <c r="FS184" i="2"/>
  <c r="GL184" i="2" s="1"/>
  <c r="FQ184" i="2"/>
  <c r="GJ184" i="2" s="1"/>
  <c r="FP184" i="2"/>
  <c r="GI184" i="2" s="1"/>
  <c r="FO184" i="2"/>
  <c r="FN184" i="2"/>
  <c r="FM184" i="2"/>
  <c r="FL184" i="2"/>
  <c r="FK184" i="2"/>
  <c r="FJ184" i="2"/>
  <c r="FI184" i="2"/>
  <c r="FH184" i="2"/>
  <c r="FG184" i="2"/>
  <c r="FF184" i="2"/>
  <c r="FY184" i="2" s="1"/>
  <c r="FE184" i="2"/>
  <c r="FD184" i="2"/>
  <c r="FC184" i="2"/>
  <c r="FB184" i="2"/>
  <c r="EW184" i="2"/>
  <c r="EM184" i="2"/>
  <c r="EL184" i="2"/>
  <c r="EH184" i="2"/>
  <c r="EG184" i="2"/>
  <c r="EZ184" i="2" s="1"/>
  <c r="EE184" i="2"/>
  <c r="EX184" i="2" s="1"/>
  <c r="ED184" i="2"/>
  <c r="EC184" i="2"/>
  <c r="EB184" i="2"/>
  <c r="EA184" i="2"/>
  <c r="DZ184" i="2"/>
  <c r="DY184" i="2"/>
  <c r="DX184" i="2"/>
  <c r="DW184" i="2"/>
  <c r="EP184" i="2" s="1"/>
  <c r="DV184" i="2"/>
  <c r="DU184" i="2"/>
  <c r="DT184" i="2"/>
  <c r="DS184" i="2"/>
  <c r="DR184" i="2"/>
  <c r="DQ184" i="2"/>
  <c r="DP184" i="2"/>
  <c r="DM184" i="2"/>
  <c r="DL184" i="2"/>
  <c r="HC183" i="2"/>
  <c r="HB183" i="2"/>
  <c r="GW183" i="2"/>
  <c r="GV183" i="2"/>
  <c r="GU183" i="2"/>
  <c r="GT183" i="2"/>
  <c r="GO183" i="2"/>
  <c r="GB183" i="2"/>
  <c r="FX183" i="2"/>
  <c r="FT183" i="2"/>
  <c r="FS183" i="2"/>
  <c r="GL183" i="2" s="1"/>
  <c r="FQ183" i="2"/>
  <c r="GJ183" i="2" s="1"/>
  <c r="FP183" i="2"/>
  <c r="GI183" i="2" s="1"/>
  <c r="FO183" i="2"/>
  <c r="FN183" i="2"/>
  <c r="FM183" i="2"/>
  <c r="FL183" i="2"/>
  <c r="FK183" i="2"/>
  <c r="FJ183" i="2"/>
  <c r="FI183" i="2"/>
  <c r="FH183" i="2"/>
  <c r="FG183" i="2"/>
  <c r="FF183" i="2"/>
  <c r="FY183" i="2" s="1"/>
  <c r="FE183" i="2"/>
  <c r="FD183" i="2"/>
  <c r="FC183" i="2"/>
  <c r="FB183" i="2"/>
  <c r="EW183" i="2"/>
  <c r="EM183" i="2"/>
  <c r="EL183" i="2"/>
  <c r="EH183" i="2"/>
  <c r="EG183" i="2"/>
  <c r="EZ183" i="2" s="1"/>
  <c r="EE183" i="2"/>
  <c r="EX183" i="2" s="1"/>
  <c r="ED183" i="2"/>
  <c r="EC183" i="2"/>
  <c r="EB183" i="2"/>
  <c r="EA183" i="2"/>
  <c r="DZ183" i="2"/>
  <c r="DY183" i="2"/>
  <c r="DX183" i="2"/>
  <c r="DW183" i="2"/>
  <c r="EP183" i="2" s="1"/>
  <c r="DV183" i="2"/>
  <c r="DU183" i="2"/>
  <c r="DT183" i="2"/>
  <c r="DS183" i="2"/>
  <c r="DR183" i="2"/>
  <c r="DQ183" i="2"/>
  <c r="DP183" i="2"/>
  <c r="DM183" i="2"/>
  <c r="DL183" i="2"/>
  <c r="HC182" i="2"/>
  <c r="HB182" i="2"/>
  <c r="GW182" i="2"/>
  <c r="GV182" i="2"/>
  <c r="GU182" i="2"/>
  <c r="GT182" i="2"/>
  <c r="GO182" i="2"/>
  <c r="GB182" i="2"/>
  <c r="FX182" i="2"/>
  <c r="FT182" i="2"/>
  <c r="FS182" i="2"/>
  <c r="GL182" i="2" s="1"/>
  <c r="FQ182" i="2"/>
  <c r="GJ182" i="2" s="1"/>
  <c r="FP182" i="2"/>
  <c r="GI182" i="2" s="1"/>
  <c r="FO182" i="2"/>
  <c r="FN182" i="2"/>
  <c r="FM182" i="2"/>
  <c r="FL182" i="2"/>
  <c r="FK182" i="2"/>
  <c r="FJ182" i="2"/>
  <c r="FI182" i="2"/>
  <c r="FH182" i="2"/>
  <c r="FG182" i="2"/>
  <c r="FF182" i="2"/>
  <c r="FY182" i="2" s="1"/>
  <c r="FE182" i="2"/>
  <c r="FD182" i="2"/>
  <c r="FC182" i="2"/>
  <c r="FB182" i="2"/>
  <c r="EW182" i="2"/>
  <c r="EM182" i="2"/>
  <c r="EL182" i="2"/>
  <c r="EH182" i="2"/>
  <c r="EG182" i="2"/>
  <c r="EZ182" i="2" s="1"/>
  <c r="EE182" i="2"/>
  <c r="EX182" i="2" s="1"/>
  <c r="ED182" i="2"/>
  <c r="EC182" i="2"/>
  <c r="EB182" i="2"/>
  <c r="EA182" i="2"/>
  <c r="DZ182" i="2"/>
  <c r="DY182" i="2"/>
  <c r="DX182" i="2"/>
  <c r="DW182" i="2"/>
  <c r="EP182" i="2" s="1"/>
  <c r="DV182" i="2"/>
  <c r="DU182" i="2"/>
  <c r="DT182" i="2"/>
  <c r="DS182" i="2"/>
  <c r="DR182" i="2"/>
  <c r="DQ182" i="2"/>
  <c r="DP182" i="2"/>
  <c r="DM182" i="2"/>
  <c r="DL182" i="2"/>
  <c r="HC181" i="2"/>
  <c r="HB181" i="2"/>
  <c r="GW181" i="2"/>
  <c r="GV181" i="2"/>
  <c r="GU181" i="2"/>
  <c r="GT181" i="2"/>
  <c r="GO181" i="2"/>
  <c r="GB181" i="2"/>
  <c r="FX181" i="2"/>
  <c r="FT181" i="2"/>
  <c r="FS181" i="2"/>
  <c r="GL181" i="2" s="1"/>
  <c r="FQ181" i="2"/>
  <c r="GJ181" i="2" s="1"/>
  <c r="FP181" i="2"/>
  <c r="GI181" i="2" s="1"/>
  <c r="FO181" i="2"/>
  <c r="FN181" i="2"/>
  <c r="FM181" i="2"/>
  <c r="FL181" i="2"/>
  <c r="FK181" i="2"/>
  <c r="FJ181" i="2"/>
  <c r="FI181" i="2"/>
  <c r="FH181" i="2"/>
  <c r="FG181" i="2"/>
  <c r="FF181" i="2"/>
  <c r="FY181" i="2" s="1"/>
  <c r="FE181" i="2"/>
  <c r="FD181" i="2"/>
  <c r="FC181" i="2"/>
  <c r="FB181" i="2"/>
  <c r="EW181" i="2"/>
  <c r="EM181" i="2"/>
  <c r="EL181" i="2"/>
  <c r="EH181" i="2"/>
  <c r="EG181" i="2"/>
  <c r="EZ181" i="2" s="1"/>
  <c r="EE181" i="2"/>
  <c r="EX181" i="2" s="1"/>
  <c r="ED181" i="2"/>
  <c r="EC181" i="2"/>
  <c r="EB181" i="2"/>
  <c r="EA181" i="2"/>
  <c r="DZ181" i="2"/>
  <c r="DY181" i="2"/>
  <c r="DX181" i="2"/>
  <c r="DW181" i="2"/>
  <c r="EP181" i="2" s="1"/>
  <c r="DV181" i="2"/>
  <c r="DU181" i="2"/>
  <c r="DT181" i="2"/>
  <c r="DS181" i="2"/>
  <c r="DR181" i="2"/>
  <c r="DQ181" i="2"/>
  <c r="DP181" i="2"/>
  <c r="DM181" i="2"/>
  <c r="DL181" i="2"/>
  <c r="HC180" i="2"/>
  <c r="HB180" i="2"/>
  <c r="GW180" i="2"/>
  <c r="GV180" i="2"/>
  <c r="GU180" i="2"/>
  <c r="GT180" i="2"/>
  <c r="GO180" i="2"/>
  <c r="GB180" i="2"/>
  <c r="FX180" i="2"/>
  <c r="FT180" i="2"/>
  <c r="FS180" i="2"/>
  <c r="GL180" i="2" s="1"/>
  <c r="FQ180" i="2"/>
  <c r="GJ180" i="2" s="1"/>
  <c r="FP180" i="2"/>
  <c r="GI180" i="2" s="1"/>
  <c r="FO180" i="2"/>
  <c r="FN180" i="2"/>
  <c r="FM180" i="2"/>
  <c r="FL180" i="2"/>
  <c r="FK180" i="2"/>
  <c r="FJ180" i="2"/>
  <c r="FI180" i="2"/>
  <c r="FH180" i="2"/>
  <c r="FG180" i="2"/>
  <c r="FF180" i="2"/>
  <c r="FY180" i="2" s="1"/>
  <c r="FE180" i="2"/>
  <c r="FD180" i="2"/>
  <c r="FC180" i="2"/>
  <c r="FB180" i="2"/>
  <c r="EW180" i="2"/>
  <c r="EM180" i="2"/>
  <c r="EL180" i="2"/>
  <c r="EH180" i="2"/>
  <c r="EG180" i="2"/>
  <c r="EZ180" i="2" s="1"/>
  <c r="EE180" i="2"/>
  <c r="EX180" i="2" s="1"/>
  <c r="ED180" i="2"/>
  <c r="EC180" i="2"/>
  <c r="EB180" i="2"/>
  <c r="EA180" i="2"/>
  <c r="DZ180" i="2"/>
  <c r="DY180" i="2"/>
  <c r="DX180" i="2"/>
  <c r="DW180" i="2"/>
  <c r="EP180" i="2" s="1"/>
  <c r="DV180" i="2"/>
  <c r="DU180" i="2"/>
  <c r="DT180" i="2"/>
  <c r="DS180" i="2"/>
  <c r="DR180" i="2"/>
  <c r="DQ180" i="2"/>
  <c r="DP180" i="2"/>
  <c r="DM180" i="2"/>
  <c r="DL180" i="2"/>
  <c r="HC179" i="2"/>
  <c r="HB179" i="2"/>
  <c r="GW179" i="2"/>
  <c r="GV179" i="2"/>
  <c r="GU179" i="2"/>
  <c r="GT179" i="2"/>
  <c r="GO179" i="2"/>
  <c r="GB179" i="2"/>
  <c r="FX179" i="2"/>
  <c r="FT179" i="2"/>
  <c r="FS179" i="2"/>
  <c r="GL179" i="2" s="1"/>
  <c r="FQ179" i="2"/>
  <c r="GJ179" i="2" s="1"/>
  <c r="FP179" i="2"/>
  <c r="GI179" i="2" s="1"/>
  <c r="FO179" i="2"/>
  <c r="FN179" i="2"/>
  <c r="FM179" i="2"/>
  <c r="FL179" i="2"/>
  <c r="FK179" i="2"/>
  <c r="FJ179" i="2"/>
  <c r="FI179" i="2"/>
  <c r="FH179" i="2"/>
  <c r="FG179" i="2"/>
  <c r="FF179" i="2"/>
  <c r="FY179" i="2" s="1"/>
  <c r="FE179" i="2"/>
  <c r="FD179" i="2"/>
  <c r="FC179" i="2"/>
  <c r="FB179" i="2"/>
  <c r="EW179" i="2"/>
  <c r="EM179" i="2"/>
  <c r="EL179" i="2"/>
  <c r="EH179" i="2"/>
  <c r="EG179" i="2"/>
  <c r="EZ179" i="2" s="1"/>
  <c r="EE179" i="2"/>
  <c r="EX179" i="2" s="1"/>
  <c r="ED179" i="2"/>
  <c r="EC179" i="2"/>
  <c r="EB179" i="2"/>
  <c r="EA179" i="2"/>
  <c r="DZ179" i="2"/>
  <c r="DY179" i="2"/>
  <c r="DX179" i="2"/>
  <c r="DW179" i="2"/>
  <c r="EP179" i="2" s="1"/>
  <c r="DV179" i="2"/>
  <c r="DU179" i="2"/>
  <c r="DT179" i="2"/>
  <c r="DS179" i="2"/>
  <c r="DR179" i="2"/>
  <c r="DQ179" i="2"/>
  <c r="DP179" i="2"/>
  <c r="DM179" i="2"/>
  <c r="DL179" i="2"/>
  <c r="HC178" i="2"/>
  <c r="HB178" i="2"/>
  <c r="GW178" i="2"/>
  <c r="GV178" i="2"/>
  <c r="GU178" i="2"/>
  <c r="GT178" i="2"/>
  <c r="GO178" i="2"/>
  <c r="GB178" i="2"/>
  <c r="FX178" i="2"/>
  <c r="FT178" i="2"/>
  <c r="FS178" i="2"/>
  <c r="GL178" i="2" s="1"/>
  <c r="FQ178" i="2"/>
  <c r="GJ178" i="2" s="1"/>
  <c r="FP178" i="2"/>
  <c r="GI178" i="2" s="1"/>
  <c r="FO178" i="2"/>
  <c r="FN178" i="2"/>
  <c r="FM178" i="2"/>
  <c r="FL178" i="2"/>
  <c r="FK178" i="2"/>
  <c r="FJ178" i="2"/>
  <c r="FI178" i="2"/>
  <c r="FH178" i="2"/>
  <c r="FG178" i="2"/>
  <c r="FF178" i="2"/>
  <c r="FY178" i="2" s="1"/>
  <c r="FE178" i="2"/>
  <c r="FD178" i="2"/>
  <c r="FC178" i="2"/>
  <c r="FB178" i="2"/>
  <c r="EW178" i="2"/>
  <c r="EM178" i="2"/>
  <c r="EL178" i="2"/>
  <c r="EH178" i="2"/>
  <c r="EG178" i="2"/>
  <c r="EZ178" i="2" s="1"/>
  <c r="EE178" i="2"/>
  <c r="EX178" i="2" s="1"/>
  <c r="ED178" i="2"/>
  <c r="EC178" i="2"/>
  <c r="EB178" i="2"/>
  <c r="EA178" i="2"/>
  <c r="DZ178" i="2"/>
  <c r="DY178" i="2"/>
  <c r="DX178" i="2"/>
  <c r="DW178" i="2"/>
  <c r="EP178" i="2" s="1"/>
  <c r="DV178" i="2"/>
  <c r="DU178" i="2"/>
  <c r="DT178" i="2"/>
  <c r="DS178" i="2"/>
  <c r="DR178" i="2"/>
  <c r="DQ178" i="2"/>
  <c r="DP178" i="2"/>
  <c r="DM178" i="2"/>
  <c r="DL178" i="2"/>
  <c r="HC177" i="2"/>
  <c r="HB177" i="2"/>
  <c r="GW177" i="2"/>
  <c r="GT177" i="2"/>
  <c r="GO177" i="2"/>
  <c r="GB177" i="2"/>
  <c r="FX177" i="2"/>
  <c r="FT177" i="2"/>
  <c r="FS177" i="2"/>
  <c r="GL177" i="2" s="1"/>
  <c r="FQ177" i="2"/>
  <c r="GJ177" i="2" s="1"/>
  <c r="FP177" i="2"/>
  <c r="GI177" i="2" s="1"/>
  <c r="FO177" i="2"/>
  <c r="FN177" i="2"/>
  <c r="FM177" i="2"/>
  <c r="FL177" i="2"/>
  <c r="FK177" i="2"/>
  <c r="FJ177" i="2"/>
  <c r="FI177" i="2"/>
  <c r="FH177" i="2"/>
  <c r="FG177" i="2"/>
  <c r="FF177" i="2"/>
  <c r="FY177" i="2" s="1"/>
  <c r="FE177" i="2"/>
  <c r="FD177" i="2"/>
  <c r="FC177" i="2"/>
  <c r="FB177" i="2"/>
  <c r="EB177" i="2"/>
  <c r="EA177" i="2"/>
  <c r="DR177" i="2"/>
  <c r="DQ177" i="2"/>
  <c r="AY177" i="2"/>
  <c r="DY177" i="2" s="1"/>
  <c r="AD177" i="2"/>
  <c r="DX177" i="2" s="1"/>
  <c r="HC176" i="2"/>
  <c r="HB176" i="2"/>
  <c r="GW176" i="2"/>
  <c r="GV176" i="2"/>
  <c r="GU176" i="2"/>
  <c r="GT176" i="2"/>
  <c r="GP176" i="2"/>
  <c r="GQ176" i="2" s="1"/>
  <c r="GO176" i="2"/>
  <c r="GL176" i="2"/>
  <c r="GB176" i="2"/>
  <c r="FT176" i="2"/>
  <c r="FS176" i="2"/>
  <c r="FQ176" i="2"/>
  <c r="GJ176" i="2" s="1"/>
  <c r="FP176" i="2"/>
  <c r="GI176" i="2" s="1"/>
  <c r="FO176" i="2"/>
  <c r="FN176" i="2"/>
  <c r="FM176" i="2"/>
  <c r="FL176" i="2"/>
  <c r="FK176" i="2"/>
  <c r="FJ176" i="2"/>
  <c r="FI176" i="2"/>
  <c r="FH176" i="2"/>
  <c r="FG176" i="2"/>
  <c r="FF176" i="2"/>
  <c r="FY176" i="2" s="1"/>
  <c r="FE176" i="2"/>
  <c r="FX176" i="2" s="1"/>
  <c r="FD176" i="2"/>
  <c r="FC176" i="2"/>
  <c r="FB176" i="2"/>
  <c r="EP176" i="2"/>
  <c r="EL176" i="2"/>
  <c r="EH176" i="2"/>
  <c r="EG176" i="2"/>
  <c r="EZ176" i="2" s="1"/>
  <c r="EE176" i="2"/>
  <c r="EX176" i="2" s="1"/>
  <c r="ED176" i="2"/>
  <c r="EW176" i="2" s="1"/>
  <c r="EC176" i="2"/>
  <c r="EB176" i="2"/>
  <c r="EA176" i="2"/>
  <c r="DZ176" i="2"/>
  <c r="DY176" i="2"/>
  <c r="DX176" i="2"/>
  <c r="DW176" i="2"/>
  <c r="DV176" i="2"/>
  <c r="DU176" i="2"/>
  <c r="DT176" i="2"/>
  <c r="EM176" i="2" s="1"/>
  <c r="DS176" i="2"/>
  <c r="DR176" i="2"/>
  <c r="DQ176" i="2"/>
  <c r="DP176" i="2"/>
  <c r="DM176" i="2"/>
  <c r="DL176" i="2"/>
  <c r="HC175" i="2"/>
  <c r="HB175" i="2"/>
  <c r="GW175" i="2"/>
  <c r="GV175" i="2"/>
  <c r="GU175" i="2"/>
  <c r="GT175" i="2"/>
  <c r="GQ175" i="2"/>
  <c r="GP175" i="2"/>
  <c r="GO175" i="2"/>
  <c r="GL175" i="2"/>
  <c r="GB175" i="2"/>
  <c r="FT175" i="2"/>
  <c r="FS175" i="2"/>
  <c r="FQ175" i="2"/>
  <c r="GJ175" i="2" s="1"/>
  <c r="FP175" i="2"/>
  <c r="GI175" i="2" s="1"/>
  <c r="FO175" i="2"/>
  <c r="FN175" i="2"/>
  <c r="FM175" i="2"/>
  <c r="FL175" i="2"/>
  <c r="FK175" i="2"/>
  <c r="FJ175" i="2"/>
  <c r="FI175" i="2"/>
  <c r="FH175" i="2"/>
  <c r="FG175" i="2"/>
  <c r="FF175" i="2"/>
  <c r="FY175" i="2" s="1"/>
  <c r="FE175" i="2"/>
  <c r="FX175" i="2" s="1"/>
  <c r="FD175" i="2"/>
  <c r="FC175" i="2"/>
  <c r="FB175" i="2"/>
  <c r="EP175" i="2"/>
  <c r="EL175" i="2"/>
  <c r="EH175" i="2"/>
  <c r="EG175" i="2"/>
  <c r="EZ175" i="2" s="1"/>
  <c r="EE175" i="2"/>
  <c r="EX175" i="2" s="1"/>
  <c r="ED175" i="2"/>
  <c r="EW175" i="2" s="1"/>
  <c r="EC175" i="2"/>
  <c r="EB175" i="2"/>
  <c r="EA175" i="2"/>
  <c r="DZ175" i="2"/>
  <c r="DY175" i="2"/>
  <c r="DX175" i="2"/>
  <c r="DW175" i="2"/>
  <c r="DV175" i="2"/>
  <c r="DU175" i="2"/>
  <c r="DT175" i="2"/>
  <c r="EM175" i="2" s="1"/>
  <c r="DS175" i="2"/>
  <c r="DR175" i="2"/>
  <c r="DQ175" i="2"/>
  <c r="DP175" i="2"/>
  <c r="DM175" i="2"/>
  <c r="DL175" i="2"/>
  <c r="HC174" i="2"/>
  <c r="HB174" i="2"/>
  <c r="GW174" i="2"/>
  <c r="GV174" i="2"/>
  <c r="GU174" i="2"/>
  <c r="GT174" i="2"/>
  <c r="GP174" i="2"/>
  <c r="GQ174" i="2" s="1"/>
  <c r="GO174" i="2"/>
  <c r="GL174" i="2"/>
  <c r="GB174" i="2"/>
  <c r="FT174" i="2"/>
  <c r="FS174" i="2"/>
  <c r="FQ174" i="2"/>
  <c r="GJ174" i="2" s="1"/>
  <c r="FP174" i="2"/>
  <c r="GI174" i="2" s="1"/>
  <c r="FO174" i="2"/>
  <c r="FN174" i="2"/>
  <c r="FM174" i="2"/>
  <c r="FL174" i="2"/>
  <c r="FK174" i="2"/>
  <c r="FJ174" i="2"/>
  <c r="FI174" i="2"/>
  <c r="FH174" i="2"/>
  <c r="FG174" i="2"/>
  <c r="FF174" i="2"/>
  <c r="FY174" i="2" s="1"/>
  <c r="FE174" i="2"/>
  <c r="FX174" i="2" s="1"/>
  <c r="FD174" i="2"/>
  <c r="FC174" i="2"/>
  <c r="FB174" i="2"/>
  <c r="EP174" i="2"/>
  <c r="EL174" i="2"/>
  <c r="EH174" i="2"/>
  <c r="EG174" i="2"/>
  <c r="EZ174" i="2" s="1"/>
  <c r="EE174" i="2"/>
  <c r="EX174" i="2" s="1"/>
  <c r="ED174" i="2"/>
  <c r="EW174" i="2" s="1"/>
  <c r="EC174" i="2"/>
  <c r="EB174" i="2"/>
  <c r="EA174" i="2"/>
  <c r="DZ174" i="2"/>
  <c r="DY174" i="2"/>
  <c r="DX174" i="2"/>
  <c r="DW174" i="2"/>
  <c r="DV174" i="2"/>
  <c r="DU174" i="2"/>
  <c r="DT174" i="2"/>
  <c r="EM174" i="2" s="1"/>
  <c r="DS174" i="2"/>
  <c r="DR174" i="2"/>
  <c r="DQ174" i="2"/>
  <c r="DP174" i="2"/>
  <c r="DM174" i="2"/>
  <c r="DL174" i="2"/>
  <c r="HC173" i="2"/>
  <c r="HB173" i="2"/>
  <c r="GW173" i="2"/>
  <c r="GV173" i="2"/>
  <c r="GU173" i="2"/>
  <c r="GT173" i="2"/>
  <c r="GQ173" i="2"/>
  <c r="GP173" i="2"/>
  <c r="GO173" i="2"/>
  <c r="GL173" i="2"/>
  <c r="GB173" i="2"/>
  <c r="FT173" i="2"/>
  <c r="FS173" i="2"/>
  <c r="FQ173" i="2"/>
  <c r="GJ173" i="2" s="1"/>
  <c r="FP173" i="2"/>
  <c r="GI173" i="2" s="1"/>
  <c r="FO173" i="2"/>
  <c r="FN173" i="2"/>
  <c r="FM173" i="2"/>
  <c r="FL173" i="2"/>
  <c r="FK173" i="2"/>
  <c r="FJ173" i="2"/>
  <c r="FI173" i="2"/>
  <c r="FH173" i="2"/>
  <c r="FG173" i="2"/>
  <c r="FF173" i="2"/>
  <c r="FY173" i="2" s="1"/>
  <c r="FE173" i="2"/>
  <c r="FX173" i="2" s="1"/>
  <c r="FD173" i="2"/>
  <c r="FC173" i="2"/>
  <c r="FB173" i="2"/>
  <c r="EP173" i="2"/>
  <c r="EL173" i="2"/>
  <c r="EH173" i="2"/>
  <c r="EG173" i="2"/>
  <c r="EZ173" i="2" s="1"/>
  <c r="EE173" i="2"/>
  <c r="EX173" i="2" s="1"/>
  <c r="ED173" i="2"/>
  <c r="EW173" i="2" s="1"/>
  <c r="EC173" i="2"/>
  <c r="EB173" i="2"/>
  <c r="EA173" i="2"/>
  <c r="DZ173" i="2"/>
  <c r="DY173" i="2"/>
  <c r="DX173" i="2"/>
  <c r="DW173" i="2"/>
  <c r="DV173" i="2"/>
  <c r="DU173" i="2"/>
  <c r="DT173" i="2"/>
  <c r="EM173" i="2" s="1"/>
  <c r="DS173" i="2"/>
  <c r="DR173" i="2"/>
  <c r="DQ173" i="2"/>
  <c r="DP173" i="2"/>
  <c r="DM173" i="2"/>
  <c r="DL173" i="2"/>
  <c r="HC172" i="2"/>
  <c r="HB172" i="2"/>
  <c r="GW172" i="2"/>
  <c r="GV172" i="2"/>
  <c r="GU172" i="2"/>
  <c r="GT172" i="2"/>
  <c r="GP172" i="2"/>
  <c r="GQ172" i="2" s="1"/>
  <c r="GO172" i="2"/>
  <c r="GL172" i="2"/>
  <c r="GB172" i="2"/>
  <c r="FT172" i="2"/>
  <c r="FS172" i="2"/>
  <c r="FQ172" i="2"/>
  <c r="GJ172" i="2" s="1"/>
  <c r="FP172" i="2"/>
  <c r="GI172" i="2" s="1"/>
  <c r="FO172" i="2"/>
  <c r="FN172" i="2"/>
  <c r="FM172" i="2"/>
  <c r="FL172" i="2"/>
  <c r="FK172" i="2"/>
  <c r="FJ172" i="2"/>
  <c r="FI172" i="2"/>
  <c r="FH172" i="2"/>
  <c r="FG172" i="2"/>
  <c r="FF172" i="2"/>
  <c r="FY172" i="2" s="1"/>
  <c r="FE172" i="2"/>
  <c r="FX172" i="2" s="1"/>
  <c r="FD172" i="2"/>
  <c r="FC172" i="2"/>
  <c r="FB172" i="2"/>
  <c r="EP172" i="2"/>
  <c r="EL172" i="2"/>
  <c r="EH172" i="2"/>
  <c r="EG172" i="2"/>
  <c r="EZ172" i="2" s="1"/>
  <c r="EE172" i="2"/>
  <c r="EX172" i="2" s="1"/>
  <c r="ED172" i="2"/>
  <c r="EW172" i="2" s="1"/>
  <c r="EC172" i="2"/>
  <c r="EB172" i="2"/>
  <c r="EA172" i="2"/>
  <c r="DZ172" i="2"/>
  <c r="DY172" i="2"/>
  <c r="DX172" i="2"/>
  <c r="DW172" i="2"/>
  <c r="DV172" i="2"/>
  <c r="DU172" i="2"/>
  <c r="DT172" i="2"/>
  <c r="EM172" i="2" s="1"/>
  <c r="DS172" i="2"/>
  <c r="DR172" i="2"/>
  <c r="DQ172" i="2"/>
  <c r="DP172" i="2"/>
  <c r="DM172" i="2"/>
  <c r="DL172" i="2"/>
  <c r="HC171" i="2"/>
  <c r="HB171" i="2"/>
  <c r="GW171" i="2"/>
  <c r="GT171" i="2"/>
  <c r="GL171" i="2"/>
  <c r="GB171" i="2"/>
  <c r="FT171" i="2"/>
  <c r="FS171" i="2"/>
  <c r="FQ171" i="2"/>
  <c r="GJ171" i="2" s="1"/>
  <c r="FP171" i="2"/>
  <c r="GI171" i="2" s="1"/>
  <c r="FO171" i="2"/>
  <c r="FN171" i="2"/>
  <c r="FM171" i="2"/>
  <c r="FL171" i="2"/>
  <c r="FK171" i="2"/>
  <c r="FJ171" i="2"/>
  <c r="FI171" i="2"/>
  <c r="FH171" i="2"/>
  <c r="FG171" i="2"/>
  <c r="FF171" i="2"/>
  <c r="FY171" i="2" s="1"/>
  <c r="FE171" i="2"/>
  <c r="FX171" i="2" s="1"/>
  <c r="FD171" i="2"/>
  <c r="FC171" i="2"/>
  <c r="FB171" i="2"/>
  <c r="EG171" i="2"/>
  <c r="EZ171" i="2" s="1"/>
  <c r="ED171" i="2"/>
  <c r="EW171" i="2" s="1"/>
  <c r="EA171" i="2"/>
  <c r="DZ171" i="2"/>
  <c r="DV171" i="2"/>
  <c r="DU171" i="2"/>
  <c r="DT171" i="2"/>
  <c r="EM171" i="2" s="1"/>
  <c r="DQ171" i="2"/>
  <c r="DP171" i="2"/>
  <c r="BO171" i="2"/>
  <c r="EE171" i="2" s="1"/>
  <c r="EX171" i="2" s="1"/>
  <c r="BH171" i="2"/>
  <c r="BG171" i="2"/>
  <c r="GV171" i="2" s="1"/>
  <c r="AY171" i="2"/>
  <c r="EC171" i="2" s="1"/>
  <c r="AT171" i="2"/>
  <c r="AM171" i="2"/>
  <c r="DM171" i="2" s="1"/>
  <c r="AD171" i="2"/>
  <c r="GO171" i="2" s="1"/>
  <c r="HC170" i="2"/>
  <c r="HB170" i="2"/>
  <c r="GW170" i="2"/>
  <c r="GV170" i="2"/>
  <c r="GU170" i="2"/>
  <c r="GT170" i="2"/>
  <c r="GP170" i="2"/>
  <c r="GQ170" i="2" s="1"/>
  <c r="GO170" i="2"/>
  <c r="GL170" i="2"/>
  <c r="GB170" i="2"/>
  <c r="FT170" i="2"/>
  <c r="FS170" i="2"/>
  <c r="FQ170" i="2"/>
  <c r="GJ170" i="2" s="1"/>
  <c r="FP170" i="2"/>
  <c r="GI170" i="2" s="1"/>
  <c r="FO170" i="2"/>
  <c r="FN170" i="2"/>
  <c r="FM170" i="2"/>
  <c r="FL170" i="2"/>
  <c r="FK170" i="2"/>
  <c r="FJ170" i="2"/>
  <c r="FI170" i="2"/>
  <c r="FH170" i="2"/>
  <c r="FG170" i="2"/>
  <c r="FF170" i="2"/>
  <c r="FY170" i="2" s="1"/>
  <c r="FE170" i="2"/>
  <c r="FX170" i="2" s="1"/>
  <c r="FD170" i="2"/>
  <c r="FC170" i="2"/>
  <c r="FB170" i="2"/>
  <c r="EP170" i="2"/>
  <c r="EL170" i="2"/>
  <c r="EH170" i="2"/>
  <c r="EG170" i="2"/>
  <c r="EZ170" i="2" s="1"/>
  <c r="EE170" i="2"/>
  <c r="EX170" i="2" s="1"/>
  <c r="ED170" i="2"/>
  <c r="EW170" i="2" s="1"/>
  <c r="EC170" i="2"/>
  <c r="EB170" i="2"/>
  <c r="EA170" i="2"/>
  <c r="DZ170" i="2"/>
  <c r="DY170" i="2"/>
  <c r="DX170" i="2"/>
  <c r="DW170" i="2"/>
  <c r="DV170" i="2"/>
  <c r="DU170" i="2"/>
  <c r="DT170" i="2"/>
  <c r="EM170" i="2" s="1"/>
  <c r="DS170" i="2"/>
  <c r="DR170" i="2"/>
  <c r="DQ170" i="2"/>
  <c r="DP170" i="2"/>
  <c r="DM170" i="2"/>
  <c r="DL170" i="2"/>
  <c r="D170" i="2"/>
  <c r="C170" i="2"/>
  <c r="HB169" i="2"/>
  <c r="GW169" i="2"/>
  <c r="GT169" i="2"/>
  <c r="GO169" i="2"/>
  <c r="FX169" i="2"/>
  <c r="FS169" i="2"/>
  <c r="GL169" i="2" s="1"/>
  <c r="FQ169" i="2"/>
  <c r="GJ169" i="2" s="1"/>
  <c r="FP169" i="2"/>
  <c r="GI169" i="2" s="1"/>
  <c r="FO169" i="2"/>
  <c r="FM169" i="2"/>
  <c r="FL169" i="2"/>
  <c r="FH169" i="2"/>
  <c r="FG169" i="2"/>
  <c r="FF169" i="2"/>
  <c r="FY169" i="2" s="1"/>
  <c r="FE169" i="2"/>
  <c r="FC169" i="2"/>
  <c r="FB169" i="2"/>
  <c r="EB169" i="2"/>
  <c r="EA169" i="2"/>
  <c r="DR169" i="2"/>
  <c r="DQ169" i="2"/>
  <c r="DI169" i="2"/>
  <c r="DE169" i="2"/>
  <c r="CO169" i="2"/>
  <c r="FN169" i="2" s="1"/>
  <c r="BS169" i="2"/>
  <c r="BO169" i="2"/>
  <c r="BG169" i="2"/>
  <c r="GV169" i="2" s="1"/>
  <c r="AY169" i="2"/>
  <c r="AX169" i="2"/>
  <c r="AD169" i="2"/>
  <c r="DY169" i="2" s="1"/>
  <c r="HC168" i="2"/>
  <c r="HB168" i="2"/>
  <c r="GY168" i="2"/>
  <c r="GX168" i="2"/>
  <c r="GW168" i="2"/>
  <c r="GV168" i="2"/>
  <c r="GU168" i="2"/>
  <c r="GT168" i="2"/>
  <c r="GO168" i="2"/>
  <c r="GI168" i="2"/>
  <c r="FY168" i="2"/>
  <c r="FX168" i="2"/>
  <c r="FT168" i="2"/>
  <c r="FS168" i="2"/>
  <c r="GL168" i="2" s="1"/>
  <c r="FQ168" i="2"/>
  <c r="GJ168" i="2" s="1"/>
  <c r="FP168" i="2"/>
  <c r="FO168" i="2"/>
  <c r="FN168" i="2"/>
  <c r="FM168" i="2"/>
  <c r="FL168" i="2"/>
  <c r="FK168" i="2"/>
  <c r="FJ168" i="2"/>
  <c r="FI168" i="2"/>
  <c r="GB168" i="2" s="1"/>
  <c r="FH168" i="2"/>
  <c r="FG168" i="2"/>
  <c r="FF168" i="2"/>
  <c r="FE168" i="2"/>
  <c r="FD168" i="2"/>
  <c r="FC168" i="2"/>
  <c r="FB168" i="2"/>
  <c r="EX168" i="2"/>
  <c r="EW168" i="2"/>
  <c r="EM168" i="2"/>
  <c r="EH168" i="2"/>
  <c r="EG168" i="2"/>
  <c r="EZ168" i="2" s="1"/>
  <c r="EE168" i="2"/>
  <c r="ED168" i="2"/>
  <c r="EC168" i="2"/>
  <c r="EB168" i="2"/>
  <c r="EA168" i="2"/>
  <c r="DZ168" i="2"/>
  <c r="DY168" i="2"/>
  <c r="DX168" i="2"/>
  <c r="DW168" i="2"/>
  <c r="EP168" i="2" s="1"/>
  <c r="DV168" i="2"/>
  <c r="DU168" i="2"/>
  <c r="DT168" i="2"/>
  <c r="DS168" i="2"/>
  <c r="EL168" i="2" s="1"/>
  <c r="DR168" i="2"/>
  <c r="DQ168" i="2"/>
  <c r="DP168" i="2"/>
  <c r="DM168" i="2"/>
  <c r="DL168" i="2"/>
  <c r="HC167" i="2"/>
  <c r="HB167" i="2"/>
  <c r="GW167" i="2"/>
  <c r="GV167" i="2"/>
  <c r="GU167" i="2"/>
  <c r="GT167" i="2"/>
  <c r="GO167" i="2"/>
  <c r="GI167" i="2"/>
  <c r="FY167" i="2"/>
  <c r="FX167" i="2"/>
  <c r="FT167" i="2"/>
  <c r="FS167" i="2"/>
  <c r="GL167" i="2" s="1"/>
  <c r="FQ167" i="2"/>
  <c r="GJ167" i="2" s="1"/>
  <c r="FP167" i="2"/>
  <c r="FO167" i="2"/>
  <c r="FN167" i="2"/>
  <c r="FM167" i="2"/>
  <c r="FL167" i="2"/>
  <c r="FK167" i="2"/>
  <c r="FJ167" i="2"/>
  <c r="FI167" i="2"/>
  <c r="GB167" i="2" s="1"/>
  <c r="FH167" i="2"/>
  <c r="FG167" i="2"/>
  <c r="FF167" i="2"/>
  <c r="FE167" i="2"/>
  <c r="FD167" i="2"/>
  <c r="FC167" i="2"/>
  <c r="FB167" i="2"/>
  <c r="EX167" i="2"/>
  <c r="EW167" i="2"/>
  <c r="EM167" i="2"/>
  <c r="EH167" i="2"/>
  <c r="EG167" i="2"/>
  <c r="EZ167" i="2" s="1"/>
  <c r="EE167" i="2"/>
  <c r="ED167" i="2"/>
  <c r="EC167" i="2"/>
  <c r="EB167" i="2"/>
  <c r="EA167" i="2"/>
  <c r="DZ167" i="2"/>
  <c r="DY167" i="2"/>
  <c r="DX167" i="2"/>
  <c r="DW167" i="2"/>
  <c r="EP167" i="2" s="1"/>
  <c r="DV167" i="2"/>
  <c r="DU167" i="2"/>
  <c r="DT167" i="2"/>
  <c r="DS167" i="2"/>
  <c r="EL167" i="2" s="1"/>
  <c r="DR167" i="2"/>
  <c r="DQ167" i="2"/>
  <c r="DP167" i="2"/>
  <c r="DM167" i="2"/>
  <c r="DL167" i="2"/>
  <c r="HC166" i="2"/>
  <c r="HB166" i="2"/>
  <c r="GW166" i="2"/>
  <c r="GV166" i="2"/>
  <c r="GU166" i="2"/>
  <c r="GT166" i="2"/>
  <c r="GO166" i="2"/>
  <c r="GI166" i="2"/>
  <c r="FY166" i="2"/>
  <c r="FX166" i="2"/>
  <c r="FT166" i="2"/>
  <c r="FS166" i="2"/>
  <c r="GL166" i="2" s="1"/>
  <c r="FQ166" i="2"/>
  <c r="GJ166" i="2" s="1"/>
  <c r="FP166" i="2"/>
  <c r="FO166" i="2"/>
  <c r="FN166" i="2"/>
  <c r="FM166" i="2"/>
  <c r="FL166" i="2"/>
  <c r="FK166" i="2"/>
  <c r="FJ166" i="2"/>
  <c r="FI166" i="2"/>
  <c r="GB166" i="2" s="1"/>
  <c r="FH166" i="2"/>
  <c r="FG166" i="2"/>
  <c r="FF166" i="2"/>
  <c r="FE166" i="2"/>
  <c r="FD166" i="2"/>
  <c r="FC166" i="2"/>
  <c r="FB166" i="2"/>
  <c r="EX166" i="2"/>
  <c r="EW166" i="2"/>
  <c r="EM166" i="2"/>
  <c r="EH166" i="2"/>
  <c r="EG166" i="2"/>
  <c r="EZ166" i="2" s="1"/>
  <c r="EE166" i="2"/>
  <c r="ED166" i="2"/>
  <c r="EC166" i="2"/>
  <c r="EB166" i="2"/>
  <c r="EA166" i="2"/>
  <c r="DZ166" i="2"/>
  <c r="DY166" i="2"/>
  <c r="DX166" i="2"/>
  <c r="DW166" i="2"/>
  <c r="EP166" i="2" s="1"/>
  <c r="DV166" i="2"/>
  <c r="DU166" i="2"/>
  <c r="DT166" i="2"/>
  <c r="DS166" i="2"/>
  <c r="EL166" i="2" s="1"/>
  <c r="DR166" i="2"/>
  <c r="DQ166" i="2"/>
  <c r="DP166" i="2"/>
  <c r="DM166" i="2"/>
  <c r="DL166" i="2"/>
  <c r="HC165" i="2"/>
  <c r="HB165" i="2"/>
  <c r="GW165" i="2"/>
  <c r="GV165" i="2"/>
  <c r="GU165" i="2"/>
  <c r="GT165" i="2"/>
  <c r="GO165" i="2"/>
  <c r="GI165" i="2"/>
  <c r="FY165" i="2"/>
  <c r="FX165" i="2"/>
  <c r="FT165" i="2"/>
  <c r="FS165" i="2"/>
  <c r="GL165" i="2" s="1"/>
  <c r="FQ165" i="2"/>
  <c r="GJ165" i="2" s="1"/>
  <c r="FP165" i="2"/>
  <c r="FO165" i="2"/>
  <c r="FN165" i="2"/>
  <c r="FM165" i="2"/>
  <c r="FL165" i="2"/>
  <c r="FK165" i="2"/>
  <c r="FJ165" i="2"/>
  <c r="FI165" i="2"/>
  <c r="GB165" i="2" s="1"/>
  <c r="FH165" i="2"/>
  <c r="FG165" i="2"/>
  <c r="FF165" i="2"/>
  <c r="FE165" i="2"/>
  <c r="FD165" i="2"/>
  <c r="FC165" i="2"/>
  <c r="FB165" i="2"/>
  <c r="EX165" i="2"/>
  <c r="EW165" i="2"/>
  <c r="EM165" i="2"/>
  <c r="EH165" i="2"/>
  <c r="EG165" i="2"/>
  <c r="EZ165" i="2" s="1"/>
  <c r="EE165" i="2"/>
  <c r="ED165" i="2"/>
  <c r="EC165" i="2"/>
  <c r="EB165" i="2"/>
  <c r="EA165" i="2"/>
  <c r="DZ165" i="2"/>
  <c r="DY165" i="2"/>
  <c r="DX165" i="2"/>
  <c r="DW165" i="2"/>
  <c r="EP165" i="2" s="1"/>
  <c r="DV165" i="2"/>
  <c r="DU165" i="2"/>
  <c r="DT165" i="2"/>
  <c r="DS165" i="2"/>
  <c r="EL165" i="2" s="1"/>
  <c r="DR165" i="2"/>
  <c r="DQ165" i="2"/>
  <c r="DP165" i="2"/>
  <c r="DM165" i="2"/>
  <c r="DL165" i="2"/>
  <c r="HC164" i="2"/>
  <c r="HB164" i="2"/>
  <c r="GX164" i="2"/>
  <c r="GY164" i="2" s="1"/>
  <c r="GW164" i="2"/>
  <c r="GV164" i="2"/>
  <c r="GU164" i="2"/>
  <c r="GT164" i="2"/>
  <c r="GO164" i="2"/>
  <c r="GB164" i="2"/>
  <c r="FX164" i="2"/>
  <c r="FT164" i="2"/>
  <c r="FS164" i="2"/>
  <c r="GL164" i="2" s="1"/>
  <c r="FQ164" i="2"/>
  <c r="GJ164" i="2" s="1"/>
  <c r="FP164" i="2"/>
  <c r="GI164" i="2" s="1"/>
  <c r="FO164" i="2"/>
  <c r="FN164" i="2"/>
  <c r="FM164" i="2"/>
  <c r="FL164" i="2"/>
  <c r="FK164" i="2"/>
  <c r="FJ164" i="2"/>
  <c r="FI164" i="2"/>
  <c r="FH164" i="2"/>
  <c r="FG164" i="2"/>
  <c r="FF164" i="2"/>
  <c r="FY164" i="2" s="1"/>
  <c r="FE164" i="2"/>
  <c r="FD164" i="2"/>
  <c r="FC164" i="2"/>
  <c r="FB164" i="2"/>
  <c r="EL164" i="2"/>
  <c r="EH164" i="2"/>
  <c r="EG164" i="2"/>
  <c r="EZ164" i="2" s="1"/>
  <c r="EE164" i="2"/>
  <c r="EX164" i="2" s="1"/>
  <c r="ED164" i="2"/>
  <c r="EW164" i="2" s="1"/>
  <c r="EC164" i="2"/>
  <c r="EB164" i="2"/>
  <c r="EA164" i="2"/>
  <c r="DZ164" i="2"/>
  <c r="DY164" i="2"/>
  <c r="DX164" i="2"/>
  <c r="DW164" i="2"/>
  <c r="EP164" i="2" s="1"/>
  <c r="DV164" i="2"/>
  <c r="DU164" i="2"/>
  <c r="DT164" i="2"/>
  <c r="EM164" i="2" s="1"/>
  <c r="DS164" i="2"/>
  <c r="DR164" i="2"/>
  <c r="DQ164" i="2"/>
  <c r="DP164" i="2"/>
  <c r="DM164" i="2"/>
  <c r="DL164" i="2"/>
  <c r="HC163" i="2"/>
  <c r="HB163" i="2"/>
  <c r="GW163" i="2"/>
  <c r="GV163" i="2"/>
  <c r="GU163" i="2"/>
  <c r="GT163" i="2"/>
  <c r="GO163" i="2"/>
  <c r="GB163" i="2"/>
  <c r="FT163" i="2"/>
  <c r="FS163" i="2"/>
  <c r="GL163" i="2" s="1"/>
  <c r="FQ163" i="2"/>
  <c r="GJ163" i="2" s="1"/>
  <c r="FP163" i="2"/>
  <c r="GI163" i="2" s="1"/>
  <c r="FO163" i="2"/>
  <c r="FN163" i="2"/>
  <c r="FM163" i="2"/>
  <c r="FL163" i="2"/>
  <c r="FK163" i="2"/>
  <c r="FJ163" i="2"/>
  <c r="FI163" i="2"/>
  <c r="FH163" i="2"/>
  <c r="FG163" i="2"/>
  <c r="FF163" i="2"/>
  <c r="FY163" i="2" s="1"/>
  <c r="FE163" i="2"/>
  <c r="FX163" i="2" s="1"/>
  <c r="FD163" i="2"/>
  <c r="FC163" i="2"/>
  <c r="FB163" i="2"/>
  <c r="EW163" i="2"/>
  <c r="EM163" i="2"/>
  <c r="EL163" i="2"/>
  <c r="EH163" i="2"/>
  <c r="EG163" i="2"/>
  <c r="EZ163" i="2" s="1"/>
  <c r="EE163" i="2"/>
  <c r="EX163" i="2" s="1"/>
  <c r="ED163" i="2"/>
  <c r="EC163" i="2"/>
  <c r="EB163" i="2"/>
  <c r="EA163" i="2"/>
  <c r="DZ163" i="2"/>
  <c r="DY163" i="2"/>
  <c r="DX163" i="2"/>
  <c r="DW163" i="2"/>
  <c r="EP163" i="2" s="1"/>
  <c r="DV163" i="2"/>
  <c r="DU163" i="2"/>
  <c r="DT163" i="2"/>
  <c r="DS163" i="2"/>
  <c r="DR163" i="2"/>
  <c r="DQ163" i="2"/>
  <c r="DP163" i="2"/>
  <c r="DM163" i="2"/>
  <c r="DL163" i="2"/>
  <c r="HC162" i="2"/>
  <c r="HB162" i="2"/>
  <c r="GW162" i="2"/>
  <c r="GV162" i="2"/>
  <c r="GU162" i="2"/>
  <c r="GT162" i="2"/>
  <c r="GO162" i="2"/>
  <c r="GP162" i="2" s="1"/>
  <c r="GQ162" i="2" s="1"/>
  <c r="GB162" i="2"/>
  <c r="FX162" i="2"/>
  <c r="FT162" i="2"/>
  <c r="FS162" i="2"/>
  <c r="GL162" i="2" s="1"/>
  <c r="FQ162" i="2"/>
  <c r="GJ162" i="2" s="1"/>
  <c r="FP162" i="2"/>
  <c r="GI162" i="2" s="1"/>
  <c r="FO162" i="2"/>
  <c r="FN162" i="2"/>
  <c r="FM162" i="2"/>
  <c r="FL162" i="2"/>
  <c r="FK162" i="2"/>
  <c r="FJ162" i="2"/>
  <c r="FI162" i="2"/>
  <c r="FH162" i="2"/>
  <c r="FG162" i="2"/>
  <c r="FF162" i="2"/>
  <c r="FY162" i="2" s="1"/>
  <c r="FE162" i="2"/>
  <c r="FD162" i="2"/>
  <c r="FC162" i="2"/>
  <c r="FB162" i="2"/>
  <c r="EL162" i="2"/>
  <c r="EH162" i="2"/>
  <c r="EG162" i="2"/>
  <c r="EZ162" i="2" s="1"/>
  <c r="EE162" i="2"/>
  <c r="EX162" i="2" s="1"/>
  <c r="ED162" i="2"/>
  <c r="EW162" i="2" s="1"/>
  <c r="EC162" i="2"/>
  <c r="EB162" i="2"/>
  <c r="EA162" i="2"/>
  <c r="DZ162" i="2"/>
  <c r="DY162" i="2"/>
  <c r="DX162" i="2"/>
  <c r="DW162" i="2"/>
  <c r="EP162" i="2" s="1"/>
  <c r="DV162" i="2"/>
  <c r="DU162" i="2"/>
  <c r="DT162" i="2"/>
  <c r="EM162" i="2" s="1"/>
  <c r="DS162" i="2"/>
  <c r="DR162" i="2"/>
  <c r="DQ162" i="2"/>
  <c r="DP162" i="2"/>
  <c r="DM162" i="2"/>
  <c r="DL162" i="2"/>
  <c r="HC161" i="2"/>
  <c r="HB161" i="2"/>
  <c r="GW161" i="2"/>
  <c r="GV161" i="2"/>
  <c r="GU161" i="2"/>
  <c r="GT161" i="2"/>
  <c r="GO161" i="2"/>
  <c r="GB161" i="2"/>
  <c r="FT161" i="2"/>
  <c r="FS161" i="2"/>
  <c r="GL161" i="2" s="1"/>
  <c r="FQ161" i="2"/>
  <c r="GJ161" i="2" s="1"/>
  <c r="FP161" i="2"/>
  <c r="GI161" i="2" s="1"/>
  <c r="FO161" i="2"/>
  <c r="FN161" i="2"/>
  <c r="FM161" i="2"/>
  <c r="FL161" i="2"/>
  <c r="FK161" i="2"/>
  <c r="FJ161" i="2"/>
  <c r="FI161" i="2"/>
  <c r="FH161" i="2"/>
  <c r="FG161" i="2"/>
  <c r="FF161" i="2"/>
  <c r="FY161" i="2" s="1"/>
  <c r="FE161" i="2"/>
  <c r="FX161" i="2" s="1"/>
  <c r="FD161" i="2"/>
  <c r="FC161" i="2"/>
  <c r="FB161" i="2"/>
  <c r="EW161" i="2"/>
  <c r="EM161" i="2"/>
  <c r="EL161" i="2"/>
  <c r="EH161" i="2"/>
  <c r="EG161" i="2"/>
  <c r="EZ161" i="2" s="1"/>
  <c r="EE161" i="2"/>
  <c r="EX161" i="2" s="1"/>
  <c r="ED161" i="2"/>
  <c r="EC161" i="2"/>
  <c r="EB161" i="2"/>
  <c r="EA161" i="2"/>
  <c r="DZ161" i="2"/>
  <c r="DY161" i="2"/>
  <c r="DX161" i="2"/>
  <c r="DW161" i="2"/>
  <c r="EP161" i="2" s="1"/>
  <c r="DV161" i="2"/>
  <c r="DU161" i="2"/>
  <c r="DT161" i="2"/>
  <c r="DS161" i="2"/>
  <c r="DR161" i="2"/>
  <c r="DQ161" i="2"/>
  <c r="DP161" i="2"/>
  <c r="DM161" i="2"/>
  <c r="DL161" i="2"/>
  <c r="HC160" i="2"/>
  <c r="HB160" i="2"/>
  <c r="GW160" i="2"/>
  <c r="GV160" i="2"/>
  <c r="GT160" i="2"/>
  <c r="GB160" i="2"/>
  <c r="FX160" i="2"/>
  <c r="FT160" i="2"/>
  <c r="FS160" i="2"/>
  <c r="GL160" i="2" s="1"/>
  <c r="FQ160" i="2"/>
  <c r="GJ160" i="2" s="1"/>
  <c r="FP160" i="2"/>
  <c r="GI160" i="2" s="1"/>
  <c r="FO160" i="2"/>
  <c r="FN160" i="2"/>
  <c r="FM160" i="2"/>
  <c r="FL160" i="2"/>
  <c r="FK160" i="2"/>
  <c r="FJ160" i="2"/>
  <c r="FI160" i="2"/>
  <c r="FH160" i="2"/>
  <c r="FG160" i="2"/>
  <c r="FF160" i="2"/>
  <c r="FY160" i="2" s="1"/>
  <c r="FE160" i="2"/>
  <c r="FD160" i="2"/>
  <c r="FC160" i="2"/>
  <c r="FB160" i="2"/>
  <c r="EH160" i="2"/>
  <c r="EG160" i="2"/>
  <c r="EZ160" i="2" s="1"/>
  <c r="DV160" i="2"/>
  <c r="AM160" i="2"/>
  <c r="AL160" i="2"/>
  <c r="AD160" i="2"/>
  <c r="ED160" i="2" s="1"/>
  <c r="EW160" i="2" s="1"/>
  <c r="HC159" i="2"/>
  <c r="HB159" i="2"/>
  <c r="GW159" i="2"/>
  <c r="GU159" i="2"/>
  <c r="GT159" i="2"/>
  <c r="GJ159" i="2"/>
  <c r="FT159" i="2"/>
  <c r="FS159" i="2"/>
  <c r="GL159" i="2" s="1"/>
  <c r="FQ159" i="2"/>
  <c r="FP159" i="2"/>
  <c r="GI159" i="2" s="1"/>
  <c r="FO159" i="2"/>
  <c r="FN159" i="2"/>
  <c r="FM159" i="2"/>
  <c r="FL159" i="2"/>
  <c r="FK159" i="2"/>
  <c r="FJ159" i="2"/>
  <c r="FI159" i="2"/>
  <c r="GB159" i="2" s="1"/>
  <c r="FH159" i="2"/>
  <c r="FG159" i="2"/>
  <c r="FF159" i="2"/>
  <c r="FY159" i="2" s="1"/>
  <c r="FE159" i="2"/>
  <c r="FX159" i="2" s="1"/>
  <c r="FD159" i="2"/>
  <c r="FC159" i="2"/>
  <c r="FB159" i="2"/>
  <c r="AY159" i="2"/>
  <c r="HC158" i="2"/>
  <c r="HB158" i="2"/>
  <c r="GW158" i="2"/>
  <c r="GV158" i="2"/>
  <c r="GU158" i="2"/>
  <c r="GT158" i="2"/>
  <c r="GP158" i="2"/>
  <c r="GQ158" i="2" s="1"/>
  <c r="GO158" i="2"/>
  <c r="GI158" i="2"/>
  <c r="FY158" i="2"/>
  <c r="FT158" i="2"/>
  <c r="FS158" i="2"/>
  <c r="GL158" i="2" s="1"/>
  <c r="FQ158" i="2"/>
  <c r="GJ158" i="2" s="1"/>
  <c r="FP158" i="2"/>
  <c r="FO158" i="2"/>
  <c r="FN158" i="2"/>
  <c r="FM158" i="2"/>
  <c r="FL158" i="2"/>
  <c r="FK158" i="2"/>
  <c r="FJ158" i="2"/>
  <c r="FI158" i="2"/>
  <c r="GB158" i="2" s="1"/>
  <c r="FH158" i="2"/>
  <c r="FG158" i="2"/>
  <c r="FF158" i="2"/>
  <c r="FE158" i="2"/>
  <c r="FX158" i="2" s="1"/>
  <c r="FD158" i="2"/>
  <c r="FC158" i="2"/>
  <c r="FB158" i="2"/>
  <c r="EZ158" i="2"/>
  <c r="EX158" i="2"/>
  <c r="EH158" i="2"/>
  <c r="EG158" i="2"/>
  <c r="EE158" i="2"/>
  <c r="ED158" i="2"/>
  <c r="EW158" i="2" s="1"/>
  <c r="EC158" i="2"/>
  <c r="EB158" i="2"/>
  <c r="EA158" i="2"/>
  <c r="DZ158" i="2"/>
  <c r="DY158" i="2"/>
  <c r="DX158" i="2"/>
  <c r="DW158" i="2"/>
  <c r="EP158" i="2" s="1"/>
  <c r="DV158" i="2"/>
  <c r="DU158" i="2"/>
  <c r="DT158" i="2"/>
  <c r="EM158" i="2" s="1"/>
  <c r="DS158" i="2"/>
  <c r="EL158" i="2" s="1"/>
  <c r="DR158" i="2"/>
  <c r="DQ158" i="2"/>
  <c r="DP158" i="2"/>
  <c r="DM158" i="2"/>
  <c r="DL158" i="2"/>
  <c r="HC157" i="2"/>
  <c r="HB157" i="2"/>
  <c r="GW157" i="2"/>
  <c r="GV157" i="2"/>
  <c r="GU157" i="2"/>
  <c r="GT157" i="2"/>
  <c r="GP157" i="2"/>
  <c r="GQ157" i="2" s="1"/>
  <c r="GO157" i="2"/>
  <c r="GJ157" i="2"/>
  <c r="GI157" i="2"/>
  <c r="FY157" i="2"/>
  <c r="FT157" i="2"/>
  <c r="FS157" i="2"/>
  <c r="GL157" i="2" s="1"/>
  <c r="FQ157" i="2"/>
  <c r="FP157" i="2"/>
  <c r="FO157" i="2"/>
  <c r="FN157" i="2"/>
  <c r="FM157" i="2"/>
  <c r="FL157" i="2"/>
  <c r="FK157" i="2"/>
  <c r="FJ157" i="2"/>
  <c r="FI157" i="2"/>
  <c r="GB157" i="2" s="1"/>
  <c r="FH157" i="2"/>
  <c r="FG157" i="2"/>
  <c r="FF157" i="2"/>
  <c r="FE157" i="2"/>
  <c r="FX157" i="2" s="1"/>
  <c r="FD157" i="2"/>
  <c r="FC157" i="2"/>
  <c r="FB157" i="2"/>
  <c r="EX157" i="2"/>
  <c r="EH157" i="2"/>
  <c r="EG157" i="2"/>
  <c r="EZ157" i="2" s="1"/>
  <c r="EE157" i="2"/>
  <c r="ED157" i="2"/>
  <c r="EW157" i="2" s="1"/>
  <c r="EC157" i="2"/>
  <c r="EB157" i="2"/>
  <c r="EA157" i="2"/>
  <c r="DZ157" i="2"/>
  <c r="DY157" i="2"/>
  <c r="DX157" i="2"/>
  <c r="DW157" i="2"/>
  <c r="EP157" i="2" s="1"/>
  <c r="DV157" i="2"/>
  <c r="DU157" i="2"/>
  <c r="DT157" i="2"/>
  <c r="EM157" i="2" s="1"/>
  <c r="DS157" i="2"/>
  <c r="EL157" i="2" s="1"/>
  <c r="DR157" i="2"/>
  <c r="DQ157" i="2"/>
  <c r="DP157" i="2"/>
  <c r="DM157" i="2"/>
  <c r="DL157" i="2"/>
  <c r="HC156" i="2"/>
  <c r="HB156" i="2"/>
  <c r="GW156" i="2"/>
  <c r="GX156" i="2" s="1"/>
  <c r="GY156" i="2" s="1"/>
  <c r="GV156" i="2"/>
  <c r="GU156" i="2"/>
  <c r="GT156" i="2"/>
  <c r="GO156" i="2"/>
  <c r="GI156" i="2"/>
  <c r="FY156" i="2"/>
  <c r="FX156" i="2"/>
  <c r="FT156" i="2"/>
  <c r="FS156" i="2"/>
  <c r="GL156" i="2" s="1"/>
  <c r="FQ156" i="2"/>
  <c r="GJ156" i="2" s="1"/>
  <c r="FP156" i="2"/>
  <c r="FO156" i="2"/>
  <c r="FN156" i="2"/>
  <c r="FM156" i="2"/>
  <c r="FL156" i="2"/>
  <c r="FK156" i="2"/>
  <c r="FJ156" i="2"/>
  <c r="FI156" i="2"/>
  <c r="GB156" i="2" s="1"/>
  <c r="FH156" i="2"/>
  <c r="FG156" i="2"/>
  <c r="FF156" i="2"/>
  <c r="FE156" i="2"/>
  <c r="FD156" i="2"/>
  <c r="FC156" i="2"/>
  <c r="FB156" i="2"/>
  <c r="EW156" i="2"/>
  <c r="EM156" i="2"/>
  <c r="EH156" i="2"/>
  <c r="EG156" i="2"/>
  <c r="EZ156" i="2" s="1"/>
  <c r="EE156" i="2"/>
  <c r="EX156" i="2" s="1"/>
  <c r="ED156" i="2"/>
  <c r="EC156" i="2"/>
  <c r="EB156" i="2"/>
  <c r="EA156" i="2"/>
  <c r="DZ156" i="2"/>
  <c r="DY156" i="2"/>
  <c r="DX156" i="2"/>
  <c r="DW156" i="2"/>
  <c r="EP156" i="2" s="1"/>
  <c r="DV156" i="2"/>
  <c r="DU156" i="2"/>
  <c r="DT156" i="2"/>
  <c r="DS156" i="2"/>
  <c r="EL156" i="2" s="1"/>
  <c r="DR156" i="2"/>
  <c r="DQ156" i="2"/>
  <c r="DP156" i="2"/>
  <c r="DM156" i="2"/>
  <c r="DL156" i="2"/>
  <c r="HC155" i="2"/>
  <c r="HB155" i="2"/>
  <c r="GW155" i="2"/>
  <c r="GV155" i="2"/>
  <c r="GU155" i="2"/>
  <c r="GT155" i="2"/>
  <c r="GP155" i="2"/>
  <c r="GO155" i="2"/>
  <c r="FX155" i="2"/>
  <c r="FT155" i="2"/>
  <c r="FS155" i="2"/>
  <c r="GL155" i="2" s="1"/>
  <c r="FQ155" i="2"/>
  <c r="GJ155" i="2" s="1"/>
  <c r="FP155" i="2"/>
  <c r="GI155" i="2" s="1"/>
  <c r="FO155" i="2"/>
  <c r="FN155" i="2"/>
  <c r="FM155" i="2"/>
  <c r="FL155" i="2"/>
  <c r="FK155" i="2"/>
  <c r="FJ155" i="2"/>
  <c r="FI155" i="2"/>
  <c r="GB155" i="2" s="1"/>
  <c r="FH155" i="2"/>
  <c r="FG155" i="2"/>
  <c r="FF155" i="2"/>
  <c r="FY155" i="2" s="1"/>
  <c r="FE155" i="2"/>
  <c r="FD155" i="2"/>
  <c r="FC155" i="2"/>
  <c r="FB155" i="2"/>
  <c r="EX155" i="2"/>
  <c r="EW155" i="2"/>
  <c r="EM155" i="2"/>
  <c r="EH155" i="2"/>
  <c r="EG155" i="2"/>
  <c r="EZ155" i="2" s="1"/>
  <c r="EE155" i="2"/>
  <c r="ED155" i="2"/>
  <c r="EC155" i="2"/>
  <c r="EB155" i="2"/>
  <c r="EA155" i="2"/>
  <c r="DZ155" i="2"/>
  <c r="DY155" i="2"/>
  <c r="DX155" i="2"/>
  <c r="DW155" i="2"/>
  <c r="EP155" i="2" s="1"/>
  <c r="DV155" i="2"/>
  <c r="DU155" i="2"/>
  <c r="DT155" i="2"/>
  <c r="DS155" i="2"/>
  <c r="EL155" i="2" s="1"/>
  <c r="DR155" i="2"/>
  <c r="DQ155" i="2"/>
  <c r="DP155" i="2"/>
  <c r="DM155" i="2"/>
  <c r="DL155" i="2"/>
  <c r="HC154" i="2"/>
  <c r="HB154" i="2"/>
  <c r="GX154" i="2"/>
  <c r="GY154" i="2" s="1"/>
  <c r="GW154" i="2"/>
  <c r="GV154" i="2"/>
  <c r="GU154" i="2"/>
  <c r="GT154" i="2"/>
  <c r="GO154" i="2"/>
  <c r="GB154" i="2"/>
  <c r="FT154" i="2"/>
  <c r="FS154" i="2"/>
  <c r="GL154" i="2" s="1"/>
  <c r="FQ154" i="2"/>
  <c r="GJ154" i="2" s="1"/>
  <c r="FP154" i="2"/>
  <c r="GI154" i="2" s="1"/>
  <c r="FO154" i="2"/>
  <c r="FN154" i="2"/>
  <c r="FM154" i="2"/>
  <c r="FL154" i="2"/>
  <c r="FK154" i="2"/>
  <c r="FJ154" i="2"/>
  <c r="FI154" i="2"/>
  <c r="FH154" i="2"/>
  <c r="FG154" i="2"/>
  <c r="FF154" i="2"/>
  <c r="FY154" i="2" s="1"/>
  <c r="FE154" i="2"/>
  <c r="FX154" i="2" s="1"/>
  <c r="FD154" i="2"/>
  <c r="FC154" i="2"/>
  <c r="FB154" i="2"/>
  <c r="EW154" i="2"/>
  <c r="EM154" i="2"/>
  <c r="EL154" i="2"/>
  <c r="EH154" i="2"/>
  <c r="EG154" i="2"/>
  <c r="EZ154" i="2" s="1"/>
  <c r="EE154" i="2"/>
  <c r="EX154" i="2" s="1"/>
  <c r="ED154" i="2"/>
  <c r="EC154" i="2"/>
  <c r="EB154" i="2"/>
  <c r="EA154" i="2"/>
  <c r="DZ154" i="2"/>
  <c r="DY154" i="2"/>
  <c r="DX154" i="2"/>
  <c r="DW154" i="2"/>
  <c r="EP154" i="2" s="1"/>
  <c r="DV154" i="2"/>
  <c r="DU154" i="2"/>
  <c r="DT154" i="2"/>
  <c r="DS154" i="2"/>
  <c r="DR154" i="2"/>
  <c r="DQ154" i="2"/>
  <c r="DP154" i="2"/>
  <c r="DM154" i="2"/>
  <c r="DL154" i="2"/>
  <c r="HC153" i="2"/>
  <c r="HB153" i="2"/>
  <c r="GW153" i="2"/>
  <c r="GV153" i="2"/>
  <c r="GU153" i="2"/>
  <c r="GL153" i="2"/>
  <c r="GB153" i="2"/>
  <c r="FT153" i="2"/>
  <c r="FS153" i="2"/>
  <c r="FQ153" i="2"/>
  <c r="GJ153" i="2" s="1"/>
  <c r="FP153" i="2"/>
  <c r="GI153" i="2" s="1"/>
  <c r="FO153" i="2"/>
  <c r="FN153" i="2"/>
  <c r="FM153" i="2"/>
  <c r="FL153" i="2"/>
  <c r="FK153" i="2"/>
  <c r="FJ153" i="2"/>
  <c r="FI153" i="2"/>
  <c r="FH153" i="2"/>
  <c r="FG153" i="2"/>
  <c r="FF153" i="2"/>
  <c r="FY153" i="2" s="1"/>
  <c r="FE153" i="2"/>
  <c r="FX153" i="2" s="1"/>
  <c r="FD153" i="2"/>
  <c r="FC153" i="2"/>
  <c r="FB153" i="2"/>
  <c r="EA153" i="2"/>
  <c r="DZ153" i="2"/>
  <c r="DQ153" i="2"/>
  <c r="DP153" i="2"/>
  <c r="I153" i="2"/>
  <c r="EH153" i="2" s="1"/>
  <c r="HC152" i="2"/>
  <c r="HB152" i="2"/>
  <c r="GW152" i="2"/>
  <c r="GV152" i="2"/>
  <c r="GU152" i="2"/>
  <c r="GT152" i="2"/>
  <c r="GP152" i="2"/>
  <c r="GQ152" i="2" s="1"/>
  <c r="GO152" i="2"/>
  <c r="GJ152" i="2"/>
  <c r="GI152" i="2"/>
  <c r="FY152" i="2"/>
  <c r="FT152" i="2"/>
  <c r="FS152" i="2"/>
  <c r="GL152" i="2" s="1"/>
  <c r="FQ152" i="2"/>
  <c r="FP152" i="2"/>
  <c r="FO152" i="2"/>
  <c r="FN152" i="2"/>
  <c r="FM152" i="2"/>
  <c r="FL152" i="2"/>
  <c r="FK152" i="2"/>
  <c r="FJ152" i="2"/>
  <c r="FI152" i="2"/>
  <c r="GB152" i="2" s="1"/>
  <c r="FH152" i="2"/>
  <c r="FG152" i="2"/>
  <c r="FF152" i="2"/>
  <c r="FE152" i="2"/>
  <c r="FX152" i="2" s="1"/>
  <c r="FD152" i="2"/>
  <c r="FC152" i="2"/>
  <c r="FB152" i="2"/>
  <c r="EX152" i="2"/>
  <c r="EH152" i="2"/>
  <c r="EG152" i="2"/>
  <c r="EZ152" i="2" s="1"/>
  <c r="EE152" i="2"/>
  <c r="ED152" i="2"/>
  <c r="EW152" i="2" s="1"/>
  <c r="EC152" i="2"/>
  <c r="EB152" i="2"/>
  <c r="EA152" i="2"/>
  <c r="DZ152" i="2"/>
  <c r="DY152" i="2"/>
  <c r="DX152" i="2"/>
  <c r="DW152" i="2"/>
  <c r="EP152" i="2" s="1"/>
  <c r="DV152" i="2"/>
  <c r="DU152" i="2"/>
  <c r="DT152" i="2"/>
  <c r="EM152" i="2" s="1"/>
  <c r="DS152" i="2"/>
  <c r="EL152" i="2" s="1"/>
  <c r="DR152" i="2"/>
  <c r="DQ152" i="2"/>
  <c r="DP152" i="2"/>
  <c r="DM152" i="2"/>
  <c r="DL152" i="2"/>
  <c r="HC151" i="2"/>
  <c r="HB151" i="2"/>
  <c r="GW151" i="2"/>
  <c r="GV151" i="2"/>
  <c r="GU151" i="2"/>
  <c r="GT151" i="2"/>
  <c r="GO151" i="2"/>
  <c r="GI151" i="2"/>
  <c r="FY151" i="2"/>
  <c r="FT151" i="2"/>
  <c r="FS151" i="2"/>
  <c r="GL151" i="2" s="1"/>
  <c r="FQ151" i="2"/>
  <c r="GJ151" i="2" s="1"/>
  <c r="FP151" i="2"/>
  <c r="FO151" i="2"/>
  <c r="FN151" i="2"/>
  <c r="FM151" i="2"/>
  <c r="FL151" i="2"/>
  <c r="FK151" i="2"/>
  <c r="FJ151" i="2"/>
  <c r="FI151" i="2"/>
  <c r="GB151" i="2" s="1"/>
  <c r="FH151" i="2"/>
  <c r="FG151" i="2"/>
  <c r="FF151" i="2"/>
  <c r="FE151" i="2"/>
  <c r="FX151" i="2" s="1"/>
  <c r="FD151" i="2"/>
  <c r="FC151" i="2"/>
  <c r="FB151" i="2"/>
  <c r="EZ151" i="2"/>
  <c r="EX151" i="2"/>
  <c r="EH151" i="2"/>
  <c r="EG151" i="2"/>
  <c r="EE151" i="2"/>
  <c r="ED151" i="2"/>
  <c r="EW151" i="2" s="1"/>
  <c r="EC151" i="2"/>
  <c r="EB151" i="2"/>
  <c r="EA151" i="2"/>
  <c r="DZ151" i="2"/>
  <c r="DY151" i="2"/>
  <c r="DX151" i="2"/>
  <c r="DW151" i="2"/>
  <c r="EP151" i="2" s="1"/>
  <c r="DV151" i="2"/>
  <c r="DU151" i="2"/>
  <c r="DT151" i="2"/>
  <c r="EM151" i="2" s="1"/>
  <c r="DS151" i="2"/>
  <c r="EL151" i="2" s="1"/>
  <c r="DR151" i="2"/>
  <c r="DQ151" i="2"/>
  <c r="DP151" i="2"/>
  <c r="DM151" i="2"/>
  <c r="DL151" i="2"/>
  <c r="HC150" i="2"/>
  <c r="HB150" i="2"/>
  <c r="GW150" i="2"/>
  <c r="GV150" i="2"/>
  <c r="GU150" i="2"/>
  <c r="GT150" i="2"/>
  <c r="GP150" i="2"/>
  <c r="GQ150" i="2" s="1"/>
  <c r="GO150" i="2"/>
  <c r="GJ150" i="2"/>
  <c r="GI150" i="2"/>
  <c r="FY150" i="2"/>
  <c r="FX150" i="2"/>
  <c r="FT150" i="2"/>
  <c r="FS150" i="2"/>
  <c r="GL150" i="2" s="1"/>
  <c r="FQ150" i="2"/>
  <c r="FP150" i="2"/>
  <c r="FO150" i="2"/>
  <c r="FN150" i="2"/>
  <c r="FM150" i="2"/>
  <c r="FL150" i="2"/>
  <c r="FK150" i="2"/>
  <c r="FJ150" i="2"/>
  <c r="FI150" i="2"/>
  <c r="GB150" i="2" s="1"/>
  <c r="FH150" i="2"/>
  <c r="FG150" i="2"/>
  <c r="FF150" i="2"/>
  <c r="FE150" i="2"/>
  <c r="FD150" i="2"/>
  <c r="FC150" i="2"/>
  <c r="FB150" i="2"/>
  <c r="EX150" i="2"/>
  <c r="EH150" i="2"/>
  <c r="EG150" i="2"/>
  <c r="EZ150" i="2" s="1"/>
  <c r="EE150" i="2"/>
  <c r="ED150" i="2"/>
  <c r="EW150" i="2" s="1"/>
  <c r="EC150" i="2"/>
  <c r="EB150" i="2"/>
  <c r="EA150" i="2"/>
  <c r="DZ150" i="2"/>
  <c r="DY150" i="2"/>
  <c r="DX150" i="2"/>
  <c r="DW150" i="2"/>
  <c r="EP150" i="2" s="1"/>
  <c r="DV150" i="2"/>
  <c r="DU150" i="2"/>
  <c r="DT150" i="2"/>
  <c r="EM150" i="2" s="1"/>
  <c r="DS150" i="2"/>
  <c r="EL150" i="2" s="1"/>
  <c r="DR150" i="2"/>
  <c r="DQ150" i="2"/>
  <c r="DP150" i="2"/>
  <c r="DM150" i="2"/>
  <c r="DL150" i="2"/>
  <c r="HC149" i="2"/>
  <c r="HB149" i="2"/>
  <c r="GW149" i="2"/>
  <c r="GV149" i="2"/>
  <c r="GU149" i="2"/>
  <c r="GT149" i="2"/>
  <c r="GP149" i="2"/>
  <c r="GQ149" i="2" s="1"/>
  <c r="GO149" i="2"/>
  <c r="GI149" i="2"/>
  <c r="FY149" i="2"/>
  <c r="FT149" i="2"/>
  <c r="FS149" i="2"/>
  <c r="GL149" i="2" s="1"/>
  <c r="FQ149" i="2"/>
  <c r="GJ149" i="2" s="1"/>
  <c r="FP149" i="2"/>
  <c r="FO149" i="2"/>
  <c r="FN149" i="2"/>
  <c r="FM149" i="2"/>
  <c r="FL149" i="2"/>
  <c r="FK149" i="2"/>
  <c r="FJ149" i="2"/>
  <c r="FI149" i="2"/>
  <c r="GB149" i="2" s="1"/>
  <c r="FH149" i="2"/>
  <c r="FG149" i="2"/>
  <c r="FF149" i="2"/>
  <c r="FE149" i="2"/>
  <c r="FX149" i="2" s="1"/>
  <c r="FD149" i="2"/>
  <c r="FC149" i="2"/>
  <c r="FB149" i="2"/>
  <c r="EZ149" i="2"/>
  <c r="EX149" i="2"/>
  <c r="EW149" i="2"/>
  <c r="EH149" i="2"/>
  <c r="EG149" i="2"/>
  <c r="EE149" i="2"/>
  <c r="ED149" i="2"/>
  <c r="EC149" i="2"/>
  <c r="EB149" i="2"/>
  <c r="EA149" i="2"/>
  <c r="DZ149" i="2"/>
  <c r="DY149" i="2"/>
  <c r="DX149" i="2"/>
  <c r="DW149" i="2"/>
  <c r="EP149" i="2" s="1"/>
  <c r="DV149" i="2"/>
  <c r="DU149" i="2"/>
  <c r="DT149" i="2"/>
  <c r="EM149" i="2" s="1"/>
  <c r="DS149" i="2"/>
  <c r="EL149" i="2" s="1"/>
  <c r="DR149" i="2"/>
  <c r="DQ149" i="2"/>
  <c r="DP149" i="2"/>
  <c r="DM149" i="2"/>
  <c r="DL149" i="2"/>
  <c r="HC148" i="2"/>
  <c r="HB148" i="2"/>
  <c r="GW148" i="2"/>
  <c r="GV148" i="2"/>
  <c r="GU148" i="2"/>
  <c r="GT148" i="2"/>
  <c r="GP148" i="2"/>
  <c r="GQ148" i="2" s="1"/>
  <c r="GO148" i="2"/>
  <c r="GJ148" i="2"/>
  <c r="GI148" i="2"/>
  <c r="FY148" i="2"/>
  <c r="FX148" i="2"/>
  <c r="FT148" i="2"/>
  <c r="FS148" i="2"/>
  <c r="GL148" i="2" s="1"/>
  <c r="FQ148" i="2"/>
  <c r="FP148" i="2"/>
  <c r="FO148" i="2"/>
  <c r="FN148" i="2"/>
  <c r="FM148" i="2"/>
  <c r="FL148" i="2"/>
  <c r="FK148" i="2"/>
  <c r="FJ148" i="2"/>
  <c r="FI148" i="2"/>
  <c r="GB148" i="2" s="1"/>
  <c r="FH148" i="2"/>
  <c r="FG148" i="2"/>
  <c r="FF148" i="2"/>
  <c r="FE148" i="2"/>
  <c r="FD148" i="2"/>
  <c r="FC148" i="2"/>
  <c r="FB148" i="2"/>
  <c r="EX148" i="2"/>
  <c r="EH148" i="2"/>
  <c r="EG148" i="2"/>
  <c r="EZ148" i="2" s="1"/>
  <c r="EE148" i="2"/>
  <c r="ED148" i="2"/>
  <c r="EW148" i="2" s="1"/>
  <c r="EC148" i="2"/>
  <c r="EB148" i="2"/>
  <c r="EA148" i="2"/>
  <c r="DZ148" i="2"/>
  <c r="DY148" i="2"/>
  <c r="DX148" i="2"/>
  <c r="DW148" i="2"/>
  <c r="EP148" i="2" s="1"/>
  <c r="DV148" i="2"/>
  <c r="DU148" i="2"/>
  <c r="DT148" i="2"/>
  <c r="EM148" i="2" s="1"/>
  <c r="DS148" i="2"/>
  <c r="EL148" i="2" s="1"/>
  <c r="DR148" i="2"/>
  <c r="DQ148" i="2"/>
  <c r="DP148" i="2"/>
  <c r="DM148" i="2"/>
  <c r="DL148" i="2"/>
  <c r="HC147" i="2"/>
  <c r="HB147" i="2"/>
  <c r="GW147" i="2"/>
  <c r="GV147" i="2"/>
  <c r="GU147" i="2"/>
  <c r="GT147" i="2"/>
  <c r="GO147" i="2"/>
  <c r="GP147" i="2" s="1"/>
  <c r="GQ147" i="2" s="1"/>
  <c r="GI147" i="2"/>
  <c r="FY147" i="2"/>
  <c r="FT147" i="2"/>
  <c r="FS147" i="2"/>
  <c r="GL147" i="2" s="1"/>
  <c r="FQ147" i="2"/>
  <c r="GJ147" i="2" s="1"/>
  <c r="FP147" i="2"/>
  <c r="FO147" i="2"/>
  <c r="FN147" i="2"/>
  <c r="FM147" i="2"/>
  <c r="FL147" i="2"/>
  <c r="FK147" i="2"/>
  <c r="FJ147" i="2"/>
  <c r="FI147" i="2"/>
  <c r="GB147" i="2" s="1"/>
  <c r="FH147" i="2"/>
  <c r="FG147" i="2"/>
  <c r="FF147" i="2"/>
  <c r="FE147" i="2"/>
  <c r="FX147" i="2" s="1"/>
  <c r="FD147" i="2"/>
  <c r="FC147" i="2"/>
  <c r="FB147" i="2"/>
  <c r="EZ147" i="2"/>
  <c r="EX147" i="2"/>
  <c r="EW147" i="2"/>
  <c r="EH147" i="2"/>
  <c r="EG147" i="2"/>
  <c r="EE147" i="2"/>
  <c r="ED147" i="2"/>
  <c r="EC147" i="2"/>
  <c r="EB147" i="2"/>
  <c r="EA147" i="2"/>
  <c r="DZ147" i="2"/>
  <c r="DY147" i="2"/>
  <c r="DX147" i="2"/>
  <c r="DW147" i="2"/>
  <c r="EP147" i="2" s="1"/>
  <c r="DV147" i="2"/>
  <c r="DU147" i="2"/>
  <c r="DT147" i="2"/>
  <c r="EM147" i="2" s="1"/>
  <c r="DS147" i="2"/>
  <c r="EL147" i="2" s="1"/>
  <c r="DR147" i="2"/>
  <c r="DQ147" i="2"/>
  <c r="DP147" i="2"/>
  <c r="DM147" i="2"/>
  <c r="DL147" i="2"/>
  <c r="HC146" i="2"/>
  <c r="HB146" i="2"/>
  <c r="GW146" i="2"/>
  <c r="GV146" i="2"/>
  <c r="GU146" i="2"/>
  <c r="GT146" i="2"/>
  <c r="GP146" i="2"/>
  <c r="GQ146" i="2" s="1"/>
  <c r="GO146" i="2"/>
  <c r="GJ146" i="2"/>
  <c r="GI146" i="2"/>
  <c r="FY146" i="2"/>
  <c r="FX146" i="2"/>
  <c r="FT146" i="2"/>
  <c r="FS146" i="2"/>
  <c r="GL146" i="2" s="1"/>
  <c r="FQ146" i="2"/>
  <c r="FP146" i="2"/>
  <c r="FO146" i="2"/>
  <c r="FN146" i="2"/>
  <c r="FM146" i="2"/>
  <c r="FL146" i="2"/>
  <c r="FK146" i="2"/>
  <c r="FJ146" i="2"/>
  <c r="FI146" i="2"/>
  <c r="GB146" i="2" s="1"/>
  <c r="FH146" i="2"/>
  <c r="FG146" i="2"/>
  <c r="FF146" i="2"/>
  <c r="FE146" i="2"/>
  <c r="FD146" i="2"/>
  <c r="FC146" i="2"/>
  <c r="FB146" i="2"/>
  <c r="EX146" i="2"/>
  <c r="EH146" i="2"/>
  <c r="EG146" i="2"/>
  <c r="EZ146" i="2" s="1"/>
  <c r="EE146" i="2"/>
  <c r="ED146" i="2"/>
  <c r="EW146" i="2" s="1"/>
  <c r="EC146" i="2"/>
  <c r="EB146" i="2"/>
  <c r="EA146" i="2"/>
  <c r="DZ146" i="2"/>
  <c r="DY146" i="2"/>
  <c r="DX146" i="2"/>
  <c r="DW146" i="2"/>
  <c r="EP146" i="2" s="1"/>
  <c r="DV146" i="2"/>
  <c r="DU146" i="2"/>
  <c r="DT146" i="2"/>
  <c r="EM146" i="2" s="1"/>
  <c r="DS146" i="2"/>
  <c r="EL146" i="2" s="1"/>
  <c r="DR146" i="2"/>
  <c r="DQ146" i="2"/>
  <c r="DP146" i="2"/>
  <c r="DM146" i="2"/>
  <c r="DL146" i="2"/>
  <c r="HC145" i="2"/>
  <c r="HB145" i="2"/>
  <c r="GW145" i="2"/>
  <c r="GU145" i="2"/>
  <c r="GT145" i="2"/>
  <c r="GO145" i="2"/>
  <c r="GP145" i="2" s="1"/>
  <c r="GQ145" i="2" s="1"/>
  <c r="GI145" i="2"/>
  <c r="FY145" i="2"/>
  <c r="FT145" i="2"/>
  <c r="FS145" i="2"/>
  <c r="GL145" i="2" s="1"/>
  <c r="FQ145" i="2"/>
  <c r="GJ145" i="2" s="1"/>
  <c r="FP145" i="2"/>
  <c r="FO145" i="2"/>
  <c r="FN145" i="2"/>
  <c r="FM145" i="2"/>
  <c r="FL145" i="2"/>
  <c r="FK145" i="2"/>
  <c r="FJ145" i="2"/>
  <c r="FI145" i="2"/>
  <c r="GB145" i="2" s="1"/>
  <c r="FH145" i="2"/>
  <c r="FG145" i="2"/>
  <c r="FF145" i="2"/>
  <c r="FE145" i="2"/>
  <c r="FX145" i="2" s="1"/>
  <c r="FD145" i="2"/>
  <c r="FC145" i="2"/>
  <c r="FB145" i="2"/>
  <c r="EW145" i="2"/>
  <c r="ED145" i="2"/>
  <c r="EC145" i="2"/>
  <c r="EB145" i="2"/>
  <c r="DX145" i="2"/>
  <c r="DT145" i="2"/>
  <c r="EM145" i="2" s="1"/>
  <c r="DS145" i="2"/>
  <c r="EL145" i="2" s="1"/>
  <c r="DR145" i="2"/>
  <c r="DL145" i="2"/>
  <c r="BG145" i="2"/>
  <c r="DW145" i="2" s="1"/>
  <c r="EP145" i="2" s="1"/>
  <c r="AY145" i="2"/>
  <c r="EA145" i="2" s="1"/>
  <c r="HC144" i="2"/>
  <c r="HB144" i="2"/>
  <c r="GW144" i="2"/>
  <c r="GV144" i="2"/>
  <c r="GU144" i="2"/>
  <c r="GT144" i="2"/>
  <c r="GL144" i="2"/>
  <c r="GJ144" i="2"/>
  <c r="FT144" i="2"/>
  <c r="FS144" i="2"/>
  <c r="FQ144" i="2"/>
  <c r="FP144" i="2"/>
  <c r="GI144" i="2" s="1"/>
  <c r="FO144" i="2"/>
  <c r="FN144" i="2"/>
  <c r="FM144" i="2"/>
  <c r="FL144" i="2"/>
  <c r="FK144" i="2"/>
  <c r="FJ144" i="2"/>
  <c r="FI144" i="2"/>
  <c r="GB144" i="2" s="1"/>
  <c r="FH144" i="2"/>
  <c r="FG144" i="2"/>
  <c r="FF144" i="2"/>
  <c r="FY144" i="2" s="1"/>
  <c r="FE144" i="2"/>
  <c r="FX144" i="2" s="1"/>
  <c r="FD144" i="2"/>
  <c r="FC144" i="2"/>
  <c r="FB144" i="2"/>
  <c r="EX144" i="2"/>
  <c r="EP144" i="2"/>
  <c r="EH144" i="2"/>
  <c r="EE144" i="2"/>
  <c r="EC144" i="2"/>
  <c r="EA144" i="2"/>
  <c r="DZ144" i="2"/>
  <c r="DY144" i="2"/>
  <c r="DX144" i="2"/>
  <c r="DU144" i="2"/>
  <c r="DS144" i="2"/>
  <c r="EL144" i="2" s="1"/>
  <c r="DQ144" i="2"/>
  <c r="DP144" i="2"/>
  <c r="DM144" i="2"/>
  <c r="DL144" i="2"/>
  <c r="BG144" i="2"/>
  <c r="DW144" i="2" s="1"/>
  <c r="AY144" i="2"/>
  <c r="EG144" i="2" s="1"/>
  <c r="EZ144" i="2" s="1"/>
  <c r="HC143" i="2"/>
  <c r="HB143" i="2"/>
  <c r="GW143" i="2"/>
  <c r="GV143" i="2"/>
  <c r="GU143" i="2"/>
  <c r="GT143" i="2"/>
  <c r="GO143" i="2"/>
  <c r="GL143" i="2"/>
  <c r="FX143" i="2"/>
  <c r="FT143" i="2"/>
  <c r="FS143" i="2"/>
  <c r="FQ143" i="2"/>
  <c r="GJ143" i="2" s="1"/>
  <c r="FP143" i="2"/>
  <c r="GI143" i="2" s="1"/>
  <c r="FO143" i="2"/>
  <c r="FN143" i="2"/>
  <c r="FM143" i="2"/>
  <c r="FL143" i="2"/>
  <c r="FK143" i="2"/>
  <c r="FJ143" i="2"/>
  <c r="FI143" i="2"/>
  <c r="GB143" i="2" s="1"/>
  <c r="FH143" i="2"/>
  <c r="FG143" i="2"/>
  <c r="FF143" i="2"/>
  <c r="FY143" i="2" s="1"/>
  <c r="FE143" i="2"/>
  <c r="FD143" i="2"/>
  <c r="FC143" i="2"/>
  <c r="FB143" i="2"/>
  <c r="EW143" i="2"/>
  <c r="EP143" i="2"/>
  <c r="EM143" i="2"/>
  <c r="EH143" i="2"/>
  <c r="EG143" i="2"/>
  <c r="EZ143" i="2" s="1"/>
  <c r="EE143" i="2"/>
  <c r="EX143" i="2" s="1"/>
  <c r="ED143" i="2"/>
  <c r="EC143" i="2"/>
  <c r="EB143" i="2"/>
  <c r="EA143" i="2"/>
  <c r="DZ143" i="2"/>
  <c r="DY143" i="2"/>
  <c r="DX143" i="2"/>
  <c r="DW143" i="2"/>
  <c r="DV143" i="2"/>
  <c r="DU143" i="2"/>
  <c r="DT143" i="2"/>
  <c r="DS143" i="2"/>
  <c r="EL143" i="2" s="1"/>
  <c r="DR143" i="2"/>
  <c r="DQ143" i="2"/>
  <c r="DP143" i="2"/>
  <c r="DM143" i="2"/>
  <c r="DL143" i="2"/>
  <c r="HC142" i="2"/>
  <c r="HB142" i="2"/>
  <c r="GW142" i="2"/>
  <c r="GV142" i="2"/>
  <c r="GU142" i="2"/>
  <c r="GT142" i="2"/>
  <c r="GP142" i="2"/>
  <c r="GO142" i="2"/>
  <c r="GB142" i="2"/>
  <c r="FX142" i="2"/>
  <c r="FT142" i="2"/>
  <c r="FS142" i="2"/>
  <c r="GL142" i="2" s="1"/>
  <c r="FQ142" i="2"/>
  <c r="GJ142" i="2" s="1"/>
  <c r="FP142" i="2"/>
  <c r="GI142" i="2" s="1"/>
  <c r="FO142" i="2"/>
  <c r="FN142" i="2"/>
  <c r="FM142" i="2"/>
  <c r="FL142" i="2"/>
  <c r="FK142" i="2"/>
  <c r="FJ142" i="2"/>
  <c r="FI142" i="2"/>
  <c r="FH142" i="2"/>
  <c r="FG142" i="2"/>
  <c r="FF142" i="2"/>
  <c r="FY142" i="2" s="1"/>
  <c r="FE142" i="2"/>
  <c r="FD142" i="2"/>
  <c r="FC142" i="2"/>
  <c r="FB142" i="2"/>
  <c r="EW142" i="2"/>
  <c r="EP142" i="2"/>
  <c r="EM142" i="2"/>
  <c r="EL142" i="2"/>
  <c r="EH142" i="2"/>
  <c r="EG142" i="2"/>
  <c r="EZ142" i="2" s="1"/>
  <c r="EE142" i="2"/>
  <c r="EX142" i="2" s="1"/>
  <c r="ED142" i="2"/>
  <c r="EC142" i="2"/>
  <c r="EB142" i="2"/>
  <c r="EA142" i="2"/>
  <c r="DZ142" i="2"/>
  <c r="DY142" i="2"/>
  <c r="DX142" i="2"/>
  <c r="DW142" i="2"/>
  <c r="DV142" i="2"/>
  <c r="DU142" i="2"/>
  <c r="DT142" i="2"/>
  <c r="DS142" i="2"/>
  <c r="DR142" i="2"/>
  <c r="DQ142" i="2"/>
  <c r="DP142" i="2"/>
  <c r="DM142" i="2"/>
  <c r="DL142" i="2"/>
  <c r="HC141" i="2"/>
  <c r="HB141" i="2"/>
  <c r="GW141" i="2"/>
  <c r="GV141" i="2"/>
  <c r="GU141" i="2"/>
  <c r="GT141" i="2"/>
  <c r="GO141" i="2"/>
  <c r="GL141" i="2"/>
  <c r="FX141" i="2"/>
  <c r="FT141" i="2"/>
  <c r="FS141" i="2"/>
  <c r="FQ141" i="2"/>
  <c r="GJ141" i="2" s="1"/>
  <c r="FP141" i="2"/>
  <c r="GI141" i="2" s="1"/>
  <c r="FO141" i="2"/>
  <c r="FN141" i="2"/>
  <c r="FM141" i="2"/>
  <c r="FL141" i="2"/>
  <c r="FK141" i="2"/>
  <c r="FJ141" i="2"/>
  <c r="FI141" i="2"/>
  <c r="GB141" i="2" s="1"/>
  <c r="FH141" i="2"/>
  <c r="FG141" i="2"/>
  <c r="FF141" i="2"/>
  <c r="FY141" i="2" s="1"/>
  <c r="FE141" i="2"/>
  <c r="FD141" i="2"/>
  <c r="FC141" i="2"/>
  <c r="FB141" i="2"/>
  <c r="EW141" i="2"/>
  <c r="EM141" i="2"/>
  <c r="EH141" i="2"/>
  <c r="EG141" i="2"/>
  <c r="EZ141" i="2" s="1"/>
  <c r="EE141" i="2"/>
  <c r="EX141" i="2" s="1"/>
  <c r="ED141" i="2"/>
  <c r="EC141" i="2"/>
  <c r="EB141" i="2"/>
  <c r="EA141" i="2"/>
  <c r="DZ141" i="2"/>
  <c r="DY141" i="2"/>
  <c r="DX141" i="2"/>
  <c r="DW141" i="2"/>
  <c r="EP141" i="2" s="1"/>
  <c r="DV141" i="2"/>
  <c r="DU141" i="2"/>
  <c r="DT141" i="2"/>
  <c r="DS141" i="2"/>
  <c r="EL141" i="2" s="1"/>
  <c r="DR141" i="2"/>
  <c r="DQ141" i="2"/>
  <c r="DP141" i="2"/>
  <c r="DM141" i="2"/>
  <c r="DL141" i="2"/>
  <c r="HC140" i="2"/>
  <c r="HB140" i="2"/>
  <c r="GW140" i="2"/>
  <c r="GV140" i="2"/>
  <c r="GU140" i="2"/>
  <c r="GT140" i="2"/>
  <c r="GP140" i="2"/>
  <c r="GO140" i="2"/>
  <c r="GL140" i="2"/>
  <c r="FX140" i="2"/>
  <c r="FT140" i="2"/>
  <c r="FS140" i="2"/>
  <c r="FQ140" i="2"/>
  <c r="GJ140" i="2" s="1"/>
  <c r="FP140" i="2"/>
  <c r="GI140" i="2" s="1"/>
  <c r="FO140" i="2"/>
  <c r="FN140" i="2"/>
  <c r="FM140" i="2"/>
  <c r="FL140" i="2"/>
  <c r="FK140" i="2"/>
  <c r="FJ140" i="2"/>
  <c r="FI140" i="2"/>
  <c r="GB140" i="2" s="1"/>
  <c r="FH140" i="2"/>
  <c r="FG140" i="2"/>
  <c r="FF140" i="2"/>
  <c r="FY140" i="2" s="1"/>
  <c r="FE140" i="2"/>
  <c r="FD140" i="2"/>
  <c r="FC140" i="2"/>
  <c r="FB140" i="2"/>
  <c r="EW140" i="2"/>
  <c r="EM140" i="2"/>
  <c r="EL140" i="2"/>
  <c r="EH140" i="2"/>
  <c r="EG140" i="2"/>
  <c r="EZ140" i="2" s="1"/>
  <c r="EE140" i="2"/>
  <c r="EX140" i="2" s="1"/>
  <c r="ED140" i="2"/>
  <c r="EC140" i="2"/>
  <c r="EB140" i="2"/>
  <c r="EA140" i="2"/>
  <c r="DZ140" i="2"/>
  <c r="DY140" i="2"/>
  <c r="DX140" i="2"/>
  <c r="DW140" i="2"/>
  <c r="EP140" i="2" s="1"/>
  <c r="DV140" i="2"/>
  <c r="DU140" i="2"/>
  <c r="DT140" i="2"/>
  <c r="DS140" i="2"/>
  <c r="DR140" i="2"/>
  <c r="DQ140" i="2"/>
  <c r="DP140" i="2"/>
  <c r="DM140" i="2"/>
  <c r="DL140" i="2"/>
  <c r="HC139" i="2"/>
  <c r="HB139" i="2"/>
  <c r="GW139" i="2"/>
  <c r="GU139" i="2"/>
  <c r="GT139" i="2"/>
  <c r="GO139" i="2"/>
  <c r="GL139" i="2"/>
  <c r="FX139" i="2"/>
  <c r="FT139" i="2"/>
  <c r="FS139" i="2"/>
  <c r="FQ139" i="2"/>
  <c r="GJ139" i="2" s="1"/>
  <c r="FP139" i="2"/>
  <c r="GI139" i="2" s="1"/>
  <c r="FO139" i="2"/>
  <c r="FN139" i="2"/>
  <c r="FM139" i="2"/>
  <c r="FL139" i="2"/>
  <c r="FK139" i="2"/>
  <c r="FJ139" i="2"/>
  <c r="FI139" i="2"/>
  <c r="GB139" i="2" s="1"/>
  <c r="FH139" i="2"/>
  <c r="FG139" i="2"/>
  <c r="FF139" i="2"/>
  <c r="FY139" i="2" s="1"/>
  <c r="FE139" i="2"/>
  <c r="FD139" i="2"/>
  <c r="FC139" i="2"/>
  <c r="FB139" i="2"/>
  <c r="EH139" i="2"/>
  <c r="DZ139" i="2"/>
  <c r="DX139" i="2"/>
  <c r="DW139" i="2"/>
  <c r="EP139" i="2" s="1"/>
  <c r="DP139" i="2"/>
  <c r="AY139" i="2"/>
  <c r="EB139" i="2" s="1"/>
  <c r="HC138" i="2"/>
  <c r="HB138" i="2"/>
  <c r="GW138" i="2"/>
  <c r="GV138" i="2"/>
  <c r="GU138" i="2"/>
  <c r="GT138" i="2"/>
  <c r="GO138" i="2"/>
  <c r="GP138" i="2" s="1"/>
  <c r="GQ138" i="2" s="1"/>
  <c r="GI138" i="2"/>
  <c r="FY138" i="2"/>
  <c r="FT138" i="2"/>
  <c r="FS138" i="2"/>
  <c r="GL138" i="2" s="1"/>
  <c r="FQ138" i="2"/>
  <c r="GJ138" i="2" s="1"/>
  <c r="FP138" i="2"/>
  <c r="FO138" i="2"/>
  <c r="FN138" i="2"/>
  <c r="FM138" i="2"/>
  <c r="FL138" i="2"/>
  <c r="FK138" i="2"/>
  <c r="FJ138" i="2"/>
  <c r="FI138" i="2"/>
  <c r="GB138" i="2" s="1"/>
  <c r="FH138" i="2"/>
  <c r="FG138" i="2"/>
  <c r="FF138" i="2"/>
  <c r="FE138" i="2"/>
  <c r="FX138" i="2" s="1"/>
  <c r="FD138" i="2"/>
  <c r="FC138" i="2"/>
  <c r="FB138" i="2"/>
  <c r="EZ138" i="2"/>
  <c r="EX138" i="2"/>
  <c r="EH138" i="2"/>
  <c r="EG138" i="2"/>
  <c r="EE138" i="2"/>
  <c r="ED138" i="2"/>
  <c r="EW138" i="2" s="1"/>
  <c r="EC138" i="2"/>
  <c r="EB138" i="2"/>
  <c r="EA138" i="2"/>
  <c r="DZ138" i="2"/>
  <c r="DY138" i="2"/>
  <c r="DX138" i="2"/>
  <c r="DW138" i="2"/>
  <c r="EP138" i="2" s="1"/>
  <c r="DV138" i="2"/>
  <c r="DU138" i="2"/>
  <c r="DT138" i="2"/>
  <c r="EM138" i="2" s="1"/>
  <c r="DS138" i="2"/>
  <c r="EL138" i="2" s="1"/>
  <c r="DR138" i="2"/>
  <c r="DQ138" i="2"/>
  <c r="DP138" i="2"/>
  <c r="DM138" i="2"/>
  <c r="DL138" i="2"/>
  <c r="HC137" i="2"/>
  <c r="HB137" i="2"/>
  <c r="GW137" i="2"/>
  <c r="GV137" i="2"/>
  <c r="GU137" i="2"/>
  <c r="GT137" i="2"/>
  <c r="GP137" i="2"/>
  <c r="GQ137" i="2" s="1"/>
  <c r="GO137" i="2"/>
  <c r="GI137" i="2"/>
  <c r="FY137" i="2"/>
  <c r="FT137" i="2"/>
  <c r="FS137" i="2"/>
  <c r="GL137" i="2" s="1"/>
  <c r="FQ137" i="2"/>
  <c r="GJ137" i="2" s="1"/>
  <c r="FP137" i="2"/>
  <c r="FO137" i="2"/>
  <c r="FN137" i="2"/>
  <c r="FM137" i="2"/>
  <c r="FL137" i="2"/>
  <c r="FK137" i="2"/>
  <c r="FJ137" i="2"/>
  <c r="FI137" i="2"/>
  <c r="GB137" i="2" s="1"/>
  <c r="FH137" i="2"/>
  <c r="FG137" i="2"/>
  <c r="FF137" i="2"/>
  <c r="FE137" i="2"/>
  <c r="FX137" i="2" s="1"/>
  <c r="FD137" i="2"/>
  <c r="FC137" i="2"/>
  <c r="FB137" i="2"/>
  <c r="EX137" i="2"/>
  <c r="EH137" i="2"/>
  <c r="EG137" i="2"/>
  <c r="EZ137" i="2" s="1"/>
  <c r="EE137" i="2"/>
  <c r="ED137" i="2"/>
  <c r="EW137" i="2" s="1"/>
  <c r="EC137" i="2"/>
  <c r="EB137" i="2"/>
  <c r="EA137" i="2"/>
  <c r="DZ137" i="2"/>
  <c r="DY137" i="2"/>
  <c r="DX137" i="2"/>
  <c r="DW137" i="2"/>
  <c r="EP137" i="2" s="1"/>
  <c r="DV137" i="2"/>
  <c r="DU137" i="2"/>
  <c r="DT137" i="2"/>
  <c r="EM137" i="2" s="1"/>
  <c r="DS137" i="2"/>
  <c r="EL137" i="2" s="1"/>
  <c r="DR137" i="2"/>
  <c r="DQ137" i="2"/>
  <c r="DP137" i="2"/>
  <c r="DM137" i="2"/>
  <c r="DL137" i="2"/>
  <c r="HC136" i="2"/>
  <c r="HB136" i="2"/>
  <c r="GW136" i="2"/>
  <c r="GV136" i="2"/>
  <c r="GU136" i="2"/>
  <c r="GT136" i="2"/>
  <c r="GO136" i="2"/>
  <c r="GL136" i="2"/>
  <c r="FT136" i="2"/>
  <c r="FS136" i="2"/>
  <c r="FQ136" i="2"/>
  <c r="GJ136" i="2" s="1"/>
  <c r="FP136" i="2"/>
  <c r="GI136" i="2" s="1"/>
  <c r="FO136" i="2"/>
  <c r="FN136" i="2"/>
  <c r="FM136" i="2"/>
  <c r="FL136" i="2"/>
  <c r="FK136" i="2"/>
  <c r="FJ136" i="2"/>
  <c r="FI136" i="2"/>
  <c r="GB136" i="2" s="1"/>
  <c r="FH136" i="2"/>
  <c r="FG136" i="2"/>
  <c r="FF136" i="2"/>
  <c r="FY136" i="2" s="1"/>
  <c r="FE136" i="2"/>
  <c r="FX136" i="2" s="1"/>
  <c r="FD136" i="2"/>
  <c r="FC136" i="2"/>
  <c r="FB136" i="2"/>
  <c r="EZ136" i="2"/>
  <c r="EL136" i="2"/>
  <c r="EG136" i="2"/>
  <c r="ED136" i="2"/>
  <c r="EW136" i="2" s="1"/>
  <c r="EC136" i="2"/>
  <c r="EB136" i="2"/>
  <c r="EA136" i="2"/>
  <c r="DZ136" i="2"/>
  <c r="DY136" i="2"/>
  <c r="DX136" i="2"/>
  <c r="DV136" i="2"/>
  <c r="DT136" i="2"/>
  <c r="EM136" i="2" s="1"/>
  <c r="DS136" i="2"/>
  <c r="DR136" i="2"/>
  <c r="DQ136" i="2"/>
  <c r="DP136" i="2"/>
  <c r="DM136" i="2"/>
  <c r="DL136" i="2"/>
  <c r="AY136" i="2"/>
  <c r="EH136" i="2" s="1"/>
  <c r="HC135" i="2"/>
  <c r="HB135" i="2"/>
  <c r="GW135" i="2"/>
  <c r="GU135" i="2"/>
  <c r="GT135" i="2"/>
  <c r="GJ135" i="2"/>
  <c r="GI135" i="2"/>
  <c r="FY135" i="2"/>
  <c r="FX135" i="2"/>
  <c r="FT135" i="2"/>
  <c r="FS135" i="2"/>
  <c r="GL135" i="2" s="1"/>
  <c r="FQ135" i="2"/>
  <c r="FP135" i="2"/>
  <c r="FO135" i="2"/>
  <c r="FN135" i="2"/>
  <c r="FM135" i="2"/>
  <c r="FL135" i="2"/>
  <c r="FK135" i="2"/>
  <c r="FJ135" i="2"/>
  <c r="FI135" i="2"/>
  <c r="GB135" i="2" s="1"/>
  <c r="FH135" i="2"/>
  <c r="FG135" i="2"/>
  <c r="FF135" i="2"/>
  <c r="FE135" i="2"/>
  <c r="FD135" i="2"/>
  <c r="FC135" i="2"/>
  <c r="FB135" i="2"/>
  <c r="EW135" i="2"/>
  <c r="ED135" i="2"/>
  <c r="EB135" i="2"/>
  <c r="DZ135" i="2"/>
  <c r="DX135" i="2"/>
  <c r="DW135" i="2"/>
  <c r="EP135" i="2" s="1"/>
  <c r="DV135" i="2"/>
  <c r="DP135" i="2"/>
  <c r="DM135" i="2"/>
  <c r="DL135" i="2"/>
  <c r="AY135" i="2"/>
  <c r="HC134" i="2"/>
  <c r="HB134" i="2"/>
  <c r="GW134" i="2"/>
  <c r="GV134" i="2"/>
  <c r="GU134" i="2"/>
  <c r="GT134" i="2"/>
  <c r="GO134" i="2"/>
  <c r="GL134" i="2"/>
  <c r="FY134" i="2"/>
  <c r="FT134" i="2"/>
  <c r="FS134" i="2"/>
  <c r="FQ134" i="2"/>
  <c r="GJ134" i="2" s="1"/>
  <c r="FP134" i="2"/>
  <c r="GI134" i="2" s="1"/>
  <c r="FO134" i="2"/>
  <c r="FN134" i="2"/>
  <c r="FM134" i="2"/>
  <c r="FL134" i="2"/>
  <c r="FK134" i="2"/>
  <c r="FJ134" i="2"/>
  <c r="FI134" i="2"/>
  <c r="GB134" i="2" s="1"/>
  <c r="FH134" i="2"/>
  <c r="FG134" i="2"/>
  <c r="FF134" i="2"/>
  <c r="FE134" i="2"/>
  <c r="FX134" i="2" s="1"/>
  <c r="FD134" i="2"/>
  <c r="FC134" i="2"/>
  <c r="FB134" i="2"/>
  <c r="EP134" i="2"/>
  <c r="EH134" i="2"/>
  <c r="EG134" i="2"/>
  <c r="EZ134" i="2" s="1"/>
  <c r="EE134" i="2"/>
  <c r="EX134" i="2" s="1"/>
  <c r="ED134" i="2"/>
  <c r="EW134" i="2" s="1"/>
  <c r="EC134" i="2"/>
  <c r="EB134" i="2"/>
  <c r="EA134" i="2"/>
  <c r="DZ134" i="2"/>
  <c r="DY134" i="2"/>
  <c r="DX134" i="2"/>
  <c r="DW134" i="2"/>
  <c r="DV134" i="2"/>
  <c r="DU134" i="2"/>
  <c r="DT134" i="2"/>
  <c r="EM134" i="2" s="1"/>
  <c r="DS134" i="2"/>
  <c r="EL134" i="2" s="1"/>
  <c r="DR134" i="2"/>
  <c r="DQ134" i="2"/>
  <c r="DP134" i="2"/>
  <c r="DM134" i="2"/>
  <c r="DL134" i="2"/>
  <c r="HC133" i="2"/>
  <c r="HB133" i="2"/>
  <c r="GW133" i="2"/>
  <c r="GV133" i="2"/>
  <c r="GU133" i="2"/>
  <c r="GT133" i="2"/>
  <c r="GP133" i="2"/>
  <c r="GQ133" i="2" s="1"/>
  <c r="GO133" i="2"/>
  <c r="GL133" i="2"/>
  <c r="GJ133" i="2"/>
  <c r="GI133" i="2"/>
  <c r="GB133" i="2"/>
  <c r="FX133" i="2"/>
  <c r="FT133" i="2"/>
  <c r="FS133" i="2"/>
  <c r="FQ133" i="2"/>
  <c r="FP133" i="2"/>
  <c r="FO133" i="2"/>
  <c r="FN133" i="2"/>
  <c r="FM133" i="2"/>
  <c r="FL133" i="2"/>
  <c r="FK133" i="2"/>
  <c r="FJ133" i="2"/>
  <c r="FI133" i="2"/>
  <c r="FH133" i="2"/>
  <c r="FG133" i="2"/>
  <c r="FF133" i="2"/>
  <c r="FY133" i="2" s="1"/>
  <c r="FE133" i="2"/>
  <c r="FD133" i="2"/>
  <c r="FC133" i="2"/>
  <c r="FB133" i="2"/>
  <c r="EX133" i="2"/>
  <c r="EL133" i="2"/>
  <c r="EH133" i="2"/>
  <c r="EG133" i="2"/>
  <c r="EZ133" i="2" s="1"/>
  <c r="EE133" i="2"/>
  <c r="ED133" i="2"/>
  <c r="EW133" i="2" s="1"/>
  <c r="EC133" i="2"/>
  <c r="EB133" i="2"/>
  <c r="EA133" i="2"/>
  <c r="DZ133" i="2"/>
  <c r="DY133" i="2"/>
  <c r="DX133" i="2"/>
  <c r="DW133" i="2"/>
  <c r="EP133" i="2" s="1"/>
  <c r="DV133" i="2"/>
  <c r="DU133" i="2"/>
  <c r="DT133" i="2"/>
  <c r="EM133" i="2" s="1"/>
  <c r="DS133" i="2"/>
  <c r="DR133" i="2"/>
  <c r="DQ133" i="2"/>
  <c r="DP133" i="2"/>
  <c r="DM133" i="2"/>
  <c r="DL133" i="2"/>
  <c r="HC132" i="2"/>
  <c r="HB132" i="2"/>
  <c r="GW132" i="2"/>
  <c r="GV132" i="2"/>
  <c r="GU132" i="2"/>
  <c r="GT132" i="2"/>
  <c r="GO132" i="2"/>
  <c r="GI132" i="2"/>
  <c r="FY132" i="2"/>
  <c r="FT132" i="2"/>
  <c r="FS132" i="2"/>
  <c r="GL132" i="2" s="1"/>
  <c r="FQ132" i="2"/>
  <c r="GJ132" i="2" s="1"/>
  <c r="FP132" i="2"/>
  <c r="FO132" i="2"/>
  <c r="FN132" i="2"/>
  <c r="FM132" i="2"/>
  <c r="FL132" i="2"/>
  <c r="FK132" i="2"/>
  <c r="FJ132" i="2"/>
  <c r="FI132" i="2"/>
  <c r="GB132" i="2" s="1"/>
  <c r="FH132" i="2"/>
  <c r="FG132" i="2"/>
  <c r="FF132" i="2"/>
  <c r="FE132" i="2"/>
  <c r="FX132" i="2" s="1"/>
  <c r="FD132" i="2"/>
  <c r="FC132" i="2"/>
  <c r="FB132" i="2"/>
  <c r="EX132" i="2"/>
  <c r="EW132" i="2"/>
  <c r="EP132" i="2"/>
  <c r="EM132" i="2"/>
  <c r="EL132" i="2"/>
  <c r="EH132" i="2"/>
  <c r="EG132" i="2"/>
  <c r="EZ132" i="2" s="1"/>
  <c r="EE132" i="2"/>
  <c r="ED132" i="2"/>
  <c r="EC132" i="2"/>
  <c r="EB132" i="2"/>
  <c r="EA132" i="2"/>
  <c r="DZ132" i="2"/>
  <c r="DY132" i="2"/>
  <c r="DX132" i="2"/>
  <c r="DW132" i="2"/>
  <c r="DV132" i="2"/>
  <c r="DU132" i="2"/>
  <c r="DT132" i="2"/>
  <c r="DS132" i="2"/>
  <c r="DR132" i="2"/>
  <c r="DQ132" i="2"/>
  <c r="DP132" i="2"/>
  <c r="DM132" i="2"/>
  <c r="DL132" i="2"/>
  <c r="HC131" i="2"/>
  <c r="HB131" i="2"/>
  <c r="GW131" i="2"/>
  <c r="GV131" i="2"/>
  <c r="GU131" i="2"/>
  <c r="GT131" i="2"/>
  <c r="GP131" i="2"/>
  <c r="GQ131" i="2" s="1"/>
  <c r="GO131" i="2"/>
  <c r="GL131" i="2"/>
  <c r="GJ131" i="2"/>
  <c r="GB131" i="2"/>
  <c r="FT131" i="2"/>
  <c r="FS131" i="2"/>
  <c r="FQ131" i="2"/>
  <c r="FP131" i="2"/>
  <c r="GI131" i="2" s="1"/>
  <c r="FO131" i="2"/>
  <c r="FN131" i="2"/>
  <c r="FM131" i="2"/>
  <c r="FL131" i="2"/>
  <c r="FK131" i="2"/>
  <c r="FJ131" i="2"/>
  <c r="FI131" i="2"/>
  <c r="FH131" i="2"/>
  <c r="FG131" i="2"/>
  <c r="FF131" i="2"/>
  <c r="FY131" i="2" s="1"/>
  <c r="FE131" i="2"/>
  <c r="FX131" i="2" s="1"/>
  <c r="FD131" i="2"/>
  <c r="FC131" i="2"/>
  <c r="FB131" i="2"/>
  <c r="EZ131" i="2"/>
  <c r="EP131" i="2"/>
  <c r="EH131" i="2"/>
  <c r="EG131" i="2"/>
  <c r="EE131" i="2"/>
  <c r="EX131" i="2" s="1"/>
  <c r="ED131" i="2"/>
  <c r="EW131" i="2" s="1"/>
  <c r="EC131" i="2"/>
  <c r="EB131" i="2"/>
  <c r="EA131" i="2"/>
  <c r="DZ131" i="2"/>
  <c r="DY131" i="2"/>
  <c r="DX131" i="2"/>
  <c r="DW131" i="2"/>
  <c r="DV131" i="2"/>
  <c r="DU131" i="2"/>
  <c r="DT131" i="2"/>
  <c r="EM131" i="2" s="1"/>
  <c r="DS131" i="2"/>
  <c r="EL131" i="2" s="1"/>
  <c r="DR131" i="2"/>
  <c r="DQ131" i="2"/>
  <c r="DP131" i="2"/>
  <c r="DM131" i="2"/>
  <c r="DL131" i="2"/>
  <c r="HC130" i="2"/>
  <c r="HB130" i="2"/>
  <c r="GW130" i="2"/>
  <c r="GV130" i="2"/>
  <c r="GU130" i="2"/>
  <c r="GT130" i="2"/>
  <c r="GP130" i="2"/>
  <c r="GO130" i="2"/>
  <c r="GQ130" i="2" s="1"/>
  <c r="GJ130" i="2"/>
  <c r="GI130" i="2"/>
  <c r="GB130" i="2"/>
  <c r="FY130" i="2"/>
  <c r="FT130" i="2"/>
  <c r="FS130" i="2"/>
  <c r="GL130" i="2" s="1"/>
  <c r="FQ130" i="2"/>
  <c r="FP130" i="2"/>
  <c r="FO130" i="2"/>
  <c r="FN130" i="2"/>
  <c r="FM130" i="2"/>
  <c r="FL130" i="2"/>
  <c r="FK130" i="2"/>
  <c r="FJ130" i="2"/>
  <c r="FI130" i="2"/>
  <c r="FH130" i="2"/>
  <c r="FG130" i="2"/>
  <c r="FF130" i="2"/>
  <c r="FE130" i="2"/>
  <c r="FX130" i="2" s="1"/>
  <c r="FD130" i="2"/>
  <c r="FC130" i="2"/>
  <c r="FB130" i="2"/>
  <c r="EP130" i="2"/>
  <c r="EL130" i="2"/>
  <c r="EH130" i="2"/>
  <c r="EG130" i="2"/>
  <c r="EZ130" i="2" s="1"/>
  <c r="EE130" i="2"/>
  <c r="EX130" i="2" s="1"/>
  <c r="ED130" i="2"/>
  <c r="EW130" i="2" s="1"/>
  <c r="EC130" i="2"/>
  <c r="EB130" i="2"/>
  <c r="EA130" i="2"/>
  <c r="DZ130" i="2"/>
  <c r="DY130" i="2"/>
  <c r="DX130" i="2"/>
  <c r="DW130" i="2"/>
  <c r="DV130" i="2"/>
  <c r="DU130" i="2"/>
  <c r="DT130" i="2"/>
  <c r="EM130" i="2" s="1"/>
  <c r="DS130" i="2"/>
  <c r="DR130" i="2"/>
  <c r="DQ130" i="2"/>
  <c r="DP130" i="2"/>
  <c r="DM130" i="2"/>
  <c r="DL130" i="2"/>
  <c r="HC129" i="2"/>
  <c r="HB129" i="2"/>
  <c r="GW129" i="2"/>
  <c r="GV129" i="2"/>
  <c r="GU129" i="2"/>
  <c r="GT129" i="2"/>
  <c r="GP129" i="2"/>
  <c r="GQ129" i="2" s="1"/>
  <c r="GO129" i="2"/>
  <c r="GL129" i="2"/>
  <c r="GJ129" i="2"/>
  <c r="FT129" i="2"/>
  <c r="FS129" i="2"/>
  <c r="FQ129" i="2"/>
  <c r="FP129" i="2"/>
  <c r="GI129" i="2" s="1"/>
  <c r="FO129" i="2"/>
  <c r="FN129" i="2"/>
  <c r="FM129" i="2"/>
  <c r="FL129" i="2"/>
  <c r="FK129" i="2"/>
  <c r="FJ129" i="2"/>
  <c r="FI129" i="2"/>
  <c r="GB129" i="2" s="1"/>
  <c r="FH129" i="2"/>
  <c r="FG129" i="2"/>
  <c r="FF129" i="2"/>
  <c r="FY129" i="2" s="1"/>
  <c r="FE129" i="2"/>
  <c r="FX129" i="2" s="1"/>
  <c r="FD129" i="2"/>
  <c r="FC129" i="2"/>
  <c r="FB129" i="2"/>
  <c r="EX129" i="2"/>
  <c r="EL129" i="2"/>
  <c r="EH129" i="2"/>
  <c r="EG129" i="2"/>
  <c r="EZ129" i="2" s="1"/>
  <c r="EE129" i="2"/>
  <c r="ED129" i="2"/>
  <c r="EW129" i="2" s="1"/>
  <c r="EC129" i="2"/>
  <c r="EB129" i="2"/>
  <c r="EA129" i="2"/>
  <c r="DZ129" i="2"/>
  <c r="DY129" i="2"/>
  <c r="DX129" i="2"/>
  <c r="DW129" i="2"/>
  <c r="EP129" i="2" s="1"/>
  <c r="DV129" i="2"/>
  <c r="DU129" i="2"/>
  <c r="DT129" i="2"/>
  <c r="EM129" i="2" s="1"/>
  <c r="DS129" i="2"/>
  <c r="DR129" i="2"/>
  <c r="DQ129" i="2"/>
  <c r="DP129" i="2"/>
  <c r="DM129" i="2"/>
  <c r="DL129" i="2"/>
  <c r="HC128" i="2"/>
  <c r="HB128" i="2"/>
  <c r="GW128" i="2"/>
  <c r="GV128" i="2"/>
  <c r="GU128" i="2"/>
  <c r="GT128" i="2"/>
  <c r="GO128" i="2"/>
  <c r="GI128" i="2"/>
  <c r="FY128" i="2"/>
  <c r="FX128" i="2"/>
  <c r="FT128" i="2"/>
  <c r="FS128" i="2"/>
  <c r="GL128" i="2" s="1"/>
  <c r="FQ128" i="2"/>
  <c r="GJ128" i="2" s="1"/>
  <c r="FP128" i="2"/>
  <c r="FO128" i="2"/>
  <c r="FN128" i="2"/>
  <c r="FM128" i="2"/>
  <c r="FL128" i="2"/>
  <c r="FK128" i="2"/>
  <c r="FJ128" i="2"/>
  <c r="FI128" i="2"/>
  <c r="GB128" i="2" s="1"/>
  <c r="FH128" i="2"/>
  <c r="FG128" i="2"/>
  <c r="FF128" i="2"/>
  <c r="FE128" i="2"/>
  <c r="FD128" i="2"/>
  <c r="FC128" i="2"/>
  <c r="FB128" i="2"/>
  <c r="EX128" i="2"/>
  <c r="EW128" i="2"/>
  <c r="EM128" i="2"/>
  <c r="EL128" i="2"/>
  <c r="EH128" i="2"/>
  <c r="EG128" i="2"/>
  <c r="EZ128" i="2" s="1"/>
  <c r="EE128" i="2"/>
  <c r="ED128" i="2"/>
  <c r="EC128" i="2"/>
  <c r="EB128" i="2"/>
  <c r="EA128" i="2"/>
  <c r="DZ128" i="2"/>
  <c r="DY128" i="2"/>
  <c r="DX128" i="2"/>
  <c r="DW128" i="2"/>
  <c r="EP128" i="2" s="1"/>
  <c r="DV128" i="2"/>
  <c r="DU128" i="2"/>
  <c r="DT128" i="2"/>
  <c r="DS128" i="2"/>
  <c r="DR128" i="2"/>
  <c r="DQ128" i="2"/>
  <c r="DP128" i="2"/>
  <c r="DM128" i="2"/>
  <c r="DL128" i="2"/>
  <c r="HC127" i="2"/>
  <c r="HB127" i="2"/>
  <c r="GW127" i="2"/>
  <c r="GV127" i="2"/>
  <c r="GU127" i="2"/>
  <c r="GT127" i="2"/>
  <c r="GO127" i="2"/>
  <c r="GI127" i="2"/>
  <c r="GB127" i="2"/>
  <c r="FY127" i="2"/>
  <c r="FX127" i="2"/>
  <c r="FT127" i="2"/>
  <c r="FS127" i="2"/>
  <c r="GL127" i="2" s="1"/>
  <c r="FQ127" i="2"/>
  <c r="GJ127" i="2" s="1"/>
  <c r="FP127" i="2"/>
  <c r="FO127" i="2"/>
  <c r="FN127" i="2"/>
  <c r="FM127" i="2"/>
  <c r="FL127" i="2"/>
  <c r="FK127" i="2"/>
  <c r="FJ127" i="2"/>
  <c r="FI127" i="2"/>
  <c r="FH127" i="2"/>
  <c r="FG127" i="2"/>
  <c r="FF127" i="2"/>
  <c r="FE127" i="2"/>
  <c r="FD127" i="2"/>
  <c r="FC127" i="2"/>
  <c r="FB127" i="2"/>
  <c r="EX127" i="2"/>
  <c r="EW127" i="2"/>
  <c r="EM127" i="2"/>
  <c r="EL127" i="2"/>
  <c r="EH127" i="2"/>
  <c r="EG127" i="2"/>
  <c r="EZ127" i="2" s="1"/>
  <c r="EE127" i="2"/>
  <c r="ED127" i="2"/>
  <c r="EC127" i="2"/>
  <c r="EB127" i="2"/>
  <c r="EA127" i="2"/>
  <c r="DZ127" i="2"/>
  <c r="DY127" i="2"/>
  <c r="DX127" i="2"/>
  <c r="DW127" i="2"/>
  <c r="EP127" i="2" s="1"/>
  <c r="DV127" i="2"/>
  <c r="DU127" i="2"/>
  <c r="DT127" i="2"/>
  <c r="DS127" i="2"/>
  <c r="DR127" i="2"/>
  <c r="DQ127" i="2"/>
  <c r="DP127" i="2"/>
  <c r="DM127" i="2"/>
  <c r="DL127" i="2"/>
  <c r="HC126" i="2"/>
  <c r="HB126" i="2"/>
  <c r="GW126" i="2"/>
  <c r="GV126" i="2"/>
  <c r="GU126" i="2"/>
  <c r="GT126" i="2"/>
  <c r="GO126" i="2"/>
  <c r="GI126" i="2"/>
  <c r="FY126" i="2"/>
  <c r="FX126" i="2"/>
  <c r="FT126" i="2"/>
  <c r="FS126" i="2"/>
  <c r="GL126" i="2" s="1"/>
  <c r="FQ126" i="2"/>
  <c r="GJ126" i="2" s="1"/>
  <c r="FP126" i="2"/>
  <c r="FO126" i="2"/>
  <c r="FN126" i="2"/>
  <c r="FM126" i="2"/>
  <c r="FL126" i="2"/>
  <c r="FK126" i="2"/>
  <c r="FJ126" i="2"/>
  <c r="FI126" i="2"/>
  <c r="GB126" i="2" s="1"/>
  <c r="FH126" i="2"/>
  <c r="FG126" i="2"/>
  <c r="FF126" i="2"/>
  <c r="FE126" i="2"/>
  <c r="FD126" i="2"/>
  <c r="FC126" i="2"/>
  <c r="FB126" i="2"/>
  <c r="EX126" i="2"/>
  <c r="EW126" i="2"/>
  <c r="EM126" i="2"/>
  <c r="EL126" i="2"/>
  <c r="EH126" i="2"/>
  <c r="EG126" i="2"/>
  <c r="EZ126" i="2" s="1"/>
  <c r="EE126" i="2"/>
  <c r="ED126" i="2"/>
  <c r="EC126" i="2"/>
  <c r="EB126" i="2"/>
  <c r="EA126" i="2"/>
  <c r="DZ126" i="2"/>
  <c r="DY126" i="2"/>
  <c r="DX126" i="2"/>
  <c r="DW126" i="2"/>
  <c r="EP126" i="2" s="1"/>
  <c r="DV126" i="2"/>
  <c r="DU126" i="2"/>
  <c r="DT126" i="2"/>
  <c r="DS126" i="2"/>
  <c r="DR126" i="2"/>
  <c r="DQ126" i="2"/>
  <c r="DP126" i="2"/>
  <c r="DM126" i="2"/>
  <c r="DL126" i="2"/>
  <c r="D126" i="2"/>
  <c r="C126" i="2"/>
  <c r="HC125" i="2"/>
  <c r="HB125" i="2"/>
  <c r="GW125" i="2"/>
  <c r="GV125" i="2"/>
  <c r="GU125" i="2"/>
  <c r="GT125" i="2"/>
  <c r="GO125" i="2"/>
  <c r="GP125" i="2" s="1"/>
  <c r="GQ125" i="2" s="1"/>
  <c r="GL125" i="2"/>
  <c r="GJ125" i="2"/>
  <c r="GI125" i="2"/>
  <c r="FT125" i="2"/>
  <c r="FS125" i="2"/>
  <c r="FQ125" i="2"/>
  <c r="FP125" i="2"/>
  <c r="FO125" i="2"/>
  <c r="FN125" i="2"/>
  <c r="FM125" i="2"/>
  <c r="FL125" i="2"/>
  <c r="FK125" i="2"/>
  <c r="FJ125" i="2"/>
  <c r="FI125" i="2"/>
  <c r="GB125" i="2" s="1"/>
  <c r="FH125" i="2"/>
  <c r="FG125" i="2"/>
  <c r="FF125" i="2"/>
  <c r="FY125" i="2" s="1"/>
  <c r="FE125" i="2"/>
  <c r="FX125" i="2" s="1"/>
  <c r="FD125" i="2"/>
  <c r="FC125" i="2"/>
  <c r="FB125" i="2"/>
  <c r="EZ125" i="2"/>
  <c r="EX125" i="2"/>
  <c r="EP125" i="2"/>
  <c r="EH125" i="2"/>
  <c r="EG125" i="2"/>
  <c r="EE125" i="2"/>
  <c r="ED125" i="2"/>
  <c r="EW125" i="2" s="1"/>
  <c r="EC125" i="2"/>
  <c r="EB125" i="2"/>
  <c r="EA125" i="2"/>
  <c r="DZ125" i="2"/>
  <c r="DY125" i="2"/>
  <c r="DX125" i="2"/>
  <c r="DW125" i="2"/>
  <c r="DV125" i="2"/>
  <c r="DU125" i="2"/>
  <c r="DT125" i="2"/>
  <c r="EM125" i="2" s="1"/>
  <c r="DS125" i="2"/>
  <c r="EL125" i="2" s="1"/>
  <c r="DR125" i="2"/>
  <c r="DQ125" i="2"/>
  <c r="DP125" i="2"/>
  <c r="DM125" i="2"/>
  <c r="DL125" i="2"/>
  <c r="HC124" i="2"/>
  <c r="HB124" i="2"/>
  <c r="GW124" i="2"/>
  <c r="GV124" i="2"/>
  <c r="GU124" i="2"/>
  <c r="GT124" i="2"/>
  <c r="GP124" i="2"/>
  <c r="GQ124" i="2" s="1"/>
  <c r="GO124" i="2"/>
  <c r="GL124" i="2"/>
  <c r="GJ124" i="2"/>
  <c r="FT124" i="2"/>
  <c r="FS124" i="2"/>
  <c r="FQ124" i="2"/>
  <c r="FP124" i="2"/>
  <c r="GI124" i="2" s="1"/>
  <c r="FO124" i="2"/>
  <c r="FN124" i="2"/>
  <c r="FM124" i="2"/>
  <c r="FL124" i="2"/>
  <c r="FK124" i="2"/>
  <c r="FJ124" i="2"/>
  <c r="FI124" i="2"/>
  <c r="GB124" i="2" s="1"/>
  <c r="FH124" i="2"/>
  <c r="FG124" i="2"/>
  <c r="FF124" i="2"/>
  <c r="FY124" i="2" s="1"/>
  <c r="FE124" i="2"/>
  <c r="FX124" i="2" s="1"/>
  <c r="FD124" i="2"/>
  <c r="FC124" i="2"/>
  <c r="FB124" i="2"/>
  <c r="EZ124" i="2"/>
  <c r="EX124" i="2"/>
  <c r="EP124" i="2"/>
  <c r="EH124" i="2"/>
  <c r="EG124" i="2"/>
  <c r="EE124" i="2"/>
  <c r="ED124" i="2"/>
  <c r="EW124" i="2" s="1"/>
  <c r="EC124" i="2"/>
  <c r="EB124" i="2"/>
  <c r="EA124" i="2"/>
  <c r="DZ124" i="2"/>
  <c r="DY124" i="2"/>
  <c r="DX124" i="2"/>
  <c r="DW124" i="2"/>
  <c r="DV124" i="2"/>
  <c r="DU124" i="2"/>
  <c r="DT124" i="2"/>
  <c r="EM124" i="2" s="1"/>
  <c r="DS124" i="2"/>
  <c r="EL124" i="2" s="1"/>
  <c r="DR124" i="2"/>
  <c r="DQ124" i="2"/>
  <c r="DP124" i="2"/>
  <c r="DM124" i="2"/>
  <c r="DL124" i="2"/>
  <c r="HC123" i="2"/>
  <c r="HB123" i="2"/>
  <c r="GW123" i="2"/>
  <c r="GV123" i="2"/>
  <c r="GU123" i="2"/>
  <c r="GT123" i="2"/>
  <c r="GO123" i="2"/>
  <c r="GP123" i="2" s="1"/>
  <c r="GQ123" i="2" s="1"/>
  <c r="GL123" i="2"/>
  <c r="GJ123" i="2"/>
  <c r="GI123" i="2"/>
  <c r="FT123" i="2"/>
  <c r="FS123" i="2"/>
  <c r="FQ123" i="2"/>
  <c r="FP123" i="2"/>
  <c r="FO123" i="2"/>
  <c r="FN123" i="2"/>
  <c r="FM123" i="2"/>
  <c r="FL123" i="2"/>
  <c r="FK123" i="2"/>
  <c r="FJ123" i="2"/>
  <c r="FI123" i="2"/>
  <c r="GB123" i="2" s="1"/>
  <c r="FH123" i="2"/>
  <c r="FG123" i="2"/>
  <c r="FF123" i="2"/>
  <c r="FY123" i="2" s="1"/>
  <c r="FE123" i="2"/>
  <c r="FX123" i="2" s="1"/>
  <c r="FD123" i="2"/>
  <c r="FC123" i="2"/>
  <c r="FB123" i="2"/>
  <c r="EZ123" i="2"/>
  <c r="EP123" i="2"/>
  <c r="EH123" i="2"/>
  <c r="EG123" i="2"/>
  <c r="EE123" i="2"/>
  <c r="EX123" i="2" s="1"/>
  <c r="ED123" i="2"/>
  <c r="EW123" i="2" s="1"/>
  <c r="EC123" i="2"/>
  <c r="EB123" i="2"/>
  <c r="EA123" i="2"/>
  <c r="DZ123" i="2"/>
  <c r="DY123" i="2"/>
  <c r="DX123" i="2"/>
  <c r="DW123" i="2"/>
  <c r="DV123" i="2"/>
  <c r="DU123" i="2"/>
  <c r="DT123" i="2"/>
  <c r="EM123" i="2" s="1"/>
  <c r="DS123" i="2"/>
  <c r="EL123" i="2" s="1"/>
  <c r="DR123" i="2"/>
  <c r="DQ123" i="2"/>
  <c r="DP123" i="2"/>
  <c r="DM123" i="2"/>
  <c r="DL123" i="2"/>
  <c r="HC122" i="2"/>
  <c r="HB122" i="2"/>
  <c r="GW122" i="2"/>
  <c r="GV122" i="2"/>
  <c r="GU122" i="2"/>
  <c r="GT122" i="2"/>
  <c r="GP122" i="2"/>
  <c r="GQ122" i="2" s="1"/>
  <c r="GO122" i="2"/>
  <c r="GL122" i="2"/>
  <c r="GJ122" i="2"/>
  <c r="FT122" i="2"/>
  <c r="FS122" i="2"/>
  <c r="FQ122" i="2"/>
  <c r="FP122" i="2"/>
  <c r="GI122" i="2" s="1"/>
  <c r="FO122" i="2"/>
  <c r="FN122" i="2"/>
  <c r="FM122" i="2"/>
  <c r="FL122" i="2"/>
  <c r="FK122" i="2"/>
  <c r="FJ122" i="2"/>
  <c r="FI122" i="2"/>
  <c r="GB122" i="2" s="1"/>
  <c r="FH122" i="2"/>
  <c r="FG122" i="2"/>
  <c r="FF122" i="2"/>
  <c r="FY122" i="2" s="1"/>
  <c r="FE122" i="2"/>
  <c r="FX122" i="2" s="1"/>
  <c r="FD122" i="2"/>
  <c r="FC122" i="2"/>
  <c r="FB122" i="2"/>
  <c r="EZ122" i="2"/>
  <c r="EX122" i="2"/>
  <c r="EP122" i="2"/>
  <c r="EH122" i="2"/>
  <c r="EG122" i="2"/>
  <c r="EE122" i="2"/>
  <c r="ED122" i="2"/>
  <c r="EW122" i="2" s="1"/>
  <c r="EC122" i="2"/>
  <c r="EB122" i="2"/>
  <c r="EA122" i="2"/>
  <c r="DZ122" i="2"/>
  <c r="DY122" i="2"/>
  <c r="DX122" i="2"/>
  <c r="DW122" i="2"/>
  <c r="DV122" i="2"/>
  <c r="DU122" i="2"/>
  <c r="DT122" i="2"/>
  <c r="EM122" i="2" s="1"/>
  <c r="DS122" i="2"/>
  <c r="EL122" i="2" s="1"/>
  <c r="DR122" i="2"/>
  <c r="DQ122" i="2"/>
  <c r="DP122" i="2"/>
  <c r="DM122" i="2"/>
  <c r="DL122" i="2"/>
  <c r="HC121" i="2"/>
  <c r="HB121" i="2"/>
  <c r="GW121" i="2"/>
  <c r="GV121" i="2"/>
  <c r="GU121" i="2"/>
  <c r="GT121" i="2"/>
  <c r="GO121" i="2"/>
  <c r="GP121" i="2" s="1"/>
  <c r="GQ121" i="2" s="1"/>
  <c r="GL121" i="2"/>
  <c r="GJ121" i="2"/>
  <c r="GI121" i="2"/>
  <c r="FT121" i="2"/>
  <c r="FS121" i="2"/>
  <c r="FQ121" i="2"/>
  <c r="FP121" i="2"/>
  <c r="FO121" i="2"/>
  <c r="FN121" i="2"/>
  <c r="FM121" i="2"/>
  <c r="FL121" i="2"/>
  <c r="FK121" i="2"/>
  <c r="FJ121" i="2"/>
  <c r="FI121" i="2"/>
  <c r="GB121" i="2" s="1"/>
  <c r="FH121" i="2"/>
  <c r="FG121" i="2"/>
  <c r="FF121" i="2"/>
  <c r="FY121" i="2" s="1"/>
  <c r="FE121" i="2"/>
  <c r="FX121" i="2" s="1"/>
  <c r="FD121" i="2"/>
  <c r="FC121" i="2"/>
  <c r="FB121" i="2"/>
  <c r="EZ121" i="2"/>
  <c r="EP121" i="2"/>
  <c r="EH121" i="2"/>
  <c r="EG121" i="2"/>
  <c r="EE121" i="2"/>
  <c r="EX121" i="2" s="1"/>
  <c r="ED121" i="2"/>
  <c r="EW121" i="2" s="1"/>
  <c r="EC121" i="2"/>
  <c r="EB121" i="2"/>
  <c r="EA121" i="2"/>
  <c r="DZ121" i="2"/>
  <c r="DY121" i="2"/>
  <c r="DX121" i="2"/>
  <c r="DW121" i="2"/>
  <c r="DV121" i="2"/>
  <c r="DU121" i="2"/>
  <c r="DT121" i="2"/>
  <c r="EM121" i="2" s="1"/>
  <c r="DS121" i="2"/>
  <c r="EL121" i="2" s="1"/>
  <c r="DR121" i="2"/>
  <c r="DQ121" i="2"/>
  <c r="DP121" i="2"/>
  <c r="DM121" i="2"/>
  <c r="DL121" i="2"/>
  <c r="HC120" i="2"/>
  <c r="HB120" i="2"/>
  <c r="GW120" i="2"/>
  <c r="GU120" i="2"/>
  <c r="GT120" i="2"/>
  <c r="GL120" i="2"/>
  <c r="GJ120" i="2"/>
  <c r="FT120" i="2"/>
  <c r="FS120" i="2"/>
  <c r="FQ120" i="2"/>
  <c r="FP120" i="2"/>
  <c r="GI120" i="2" s="1"/>
  <c r="FO120" i="2"/>
  <c r="FN120" i="2"/>
  <c r="FM120" i="2"/>
  <c r="FL120" i="2"/>
  <c r="FK120" i="2"/>
  <c r="FJ120" i="2"/>
  <c r="FI120" i="2"/>
  <c r="GB120" i="2" s="1"/>
  <c r="FH120" i="2"/>
  <c r="FG120" i="2"/>
  <c r="FF120" i="2"/>
  <c r="FY120" i="2" s="1"/>
  <c r="FE120" i="2"/>
  <c r="FX120" i="2" s="1"/>
  <c r="FD120" i="2"/>
  <c r="FC120" i="2"/>
  <c r="FB120" i="2"/>
  <c r="ED120" i="2"/>
  <c r="EW120" i="2" s="1"/>
  <c r="AY120" i="2"/>
  <c r="HC119" i="2"/>
  <c r="HB119" i="2"/>
  <c r="GX119" i="2"/>
  <c r="GW119" i="2"/>
  <c r="GY119" i="2" s="1"/>
  <c r="GV119" i="2"/>
  <c r="GU119" i="2"/>
  <c r="GT119" i="2"/>
  <c r="GO119" i="2"/>
  <c r="GB119" i="2"/>
  <c r="FX119" i="2"/>
  <c r="FT119" i="2"/>
  <c r="FS119" i="2"/>
  <c r="GL119" i="2" s="1"/>
  <c r="FQ119" i="2"/>
  <c r="GJ119" i="2" s="1"/>
  <c r="FP119" i="2"/>
  <c r="GI119" i="2" s="1"/>
  <c r="FO119" i="2"/>
  <c r="FN119" i="2"/>
  <c r="FM119" i="2"/>
  <c r="FL119" i="2"/>
  <c r="FK119" i="2"/>
  <c r="FJ119" i="2"/>
  <c r="FI119" i="2"/>
  <c r="FH119" i="2"/>
  <c r="FG119" i="2"/>
  <c r="FF119" i="2"/>
  <c r="FY119" i="2" s="1"/>
  <c r="FE119" i="2"/>
  <c r="FD119" i="2"/>
  <c r="FC119" i="2"/>
  <c r="FB119" i="2"/>
  <c r="EW119" i="2"/>
  <c r="EM119" i="2"/>
  <c r="EL119" i="2"/>
  <c r="EH119" i="2"/>
  <c r="EG119" i="2"/>
  <c r="EZ119" i="2" s="1"/>
  <c r="EE119" i="2"/>
  <c r="EX119" i="2" s="1"/>
  <c r="ED119" i="2"/>
  <c r="EC119" i="2"/>
  <c r="EB119" i="2"/>
  <c r="EA119" i="2"/>
  <c r="DZ119" i="2"/>
  <c r="DY119" i="2"/>
  <c r="DX119" i="2"/>
  <c r="DW119" i="2"/>
  <c r="EP119" i="2" s="1"/>
  <c r="DV119" i="2"/>
  <c r="DU119" i="2"/>
  <c r="DT119" i="2"/>
  <c r="DS119" i="2"/>
  <c r="DR119" i="2"/>
  <c r="DQ119" i="2"/>
  <c r="DP119" i="2"/>
  <c r="DM119" i="2"/>
  <c r="DL119" i="2"/>
  <c r="HC118" i="2"/>
  <c r="HB118" i="2"/>
  <c r="GW118" i="2"/>
  <c r="GV118" i="2"/>
  <c r="GU118" i="2"/>
  <c r="GT118" i="2"/>
  <c r="GQ118" i="2"/>
  <c r="GP118" i="2"/>
  <c r="GO118" i="2"/>
  <c r="GL118" i="2"/>
  <c r="GB118" i="2"/>
  <c r="FT118" i="2"/>
  <c r="FS118" i="2"/>
  <c r="FQ118" i="2"/>
  <c r="GJ118" i="2" s="1"/>
  <c r="FP118" i="2"/>
  <c r="GI118" i="2" s="1"/>
  <c r="FO118" i="2"/>
  <c r="FN118" i="2"/>
  <c r="FM118" i="2"/>
  <c r="FL118" i="2"/>
  <c r="FK118" i="2"/>
  <c r="FJ118" i="2"/>
  <c r="FI118" i="2"/>
  <c r="FH118" i="2"/>
  <c r="FG118" i="2"/>
  <c r="FF118" i="2"/>
  <c r="FY118" i="2" s="1"/>
  <c r="FE118" i="2"/>
  <c r="FX118" i="2" s="1"/>
  <c r="FD118" i="2"/>
  <c r="FC118" i="2"/>
  <c r="FB118" i="2"/>
  <c r="EZ118" i="2"/>
  <c r="EP118" i="2"/>
  <c r="EL118" i="2"/>
  <c r="EH118" i="2"/>
  <c r="EG118" i="2"/>
  <c r="EE118" i="2"/>
  <c r="EX118" i="2" s="1"/>
  <c r="ED118" i="2"/>
  <c r="EW118" i="2" s="1"/>
  <c r="EC118" i="2"/>
  <c r="EB118" i="2"/>
  <c r="EA118" i="2"/>
  <c r="DZ118" i="2"/>
  <c r="DY118" i="2"/>
  <c r="DX118" i="2"/>
  <c r="DW118" i="2"/>
  <c r="DV118" i="2"/>
  <c r="DU118" i="2"/>
  <c r="DT118" i="2"/>
  <c r="EM118" i="2" s="1"/>
  <c r="DS118" i="2"/>
  <c r="DR118" i="2"/>
  <c r="DQ118" i="2"/>
  <c r="DP118" i="2"/>
  <c r="DM118" i="2"/>
  <c r="DL118" i="2"/>
  <c r="HB117" i="2"/>
  <c r="FK117" i="2"/>
  <c r="DS117" i="2"/>
  <c r="EL117" i="2" s="1"/>
  <c r="CX117" i="2"/>
  <c r="FJ117" i="2" s="1"/>
  <c r="CW117" i="2"/>
  <c r="CO117" i="2"/>
  <c r="FT117" i="2" s="1"/>
  <c r="CC117" i="2"/>
  <c r="CB117" i="2"/>
  <c r="BT117" i="2"/>
  <c r="FS117" i="2" s="1"/>
  <c r="GL117" i="2" s="1"/>
  <c r="AY117" i="2"/>
  <c r="AM117" i="2"/>
  <c r="AL117" i="2"/>
  <c r="GU117" i="2" s="1"/>
  <c r="AD117" i="2"/>
  <c r="AU117" i="2" s="1"/>
  <c r="R117" i="2"/>
  <c r="Q117" i="2"/>
  <c r="I117" i="2"/>
  <c r="FN116" i="2"/>
  <c r="FM116" i="2"/>
  <c r="FE116" i="2"/>
  <c r="FX116" i="2" s="1"/>
  <c r="FD116" i="2"/>
  <c r="FC116" i="2"/>
  <c r="DF116" i="2"/>
  <c r="CO116" i="2"/>
  <c r="DE116" i="2" s="1"/>
  <c r="CB116" i="2"/>
  <c r="BT116" i="2"/>
  <c r="BP116" i="2"/>
  <c r="AY116" i="2"/>
  <c r="BO116" i="2" s="1"/>
  <c r="AD116" i="2"/>
  <c r="Z116" i="2"/>
  <c r="I116" i="2"/>
  <c r="EG116" i="2" s="1"/>
  <c r="EZ116" i="2" s="1"/>
  <c r="HC115" i="2"/>
  <c r="HB115" i="2"/>
  <c r="GW115" i="2"/>
  <c r="GV115" i="2"/>
  <c r="GU115" i="2"/>
  <c r="GT115" i="2"/>
  <c r="GP115" i="2"/>
  <c r="GQ115" i="2" s="1"/>
  <c r="GO115" i="2"/>
  <c r="GJ115" i="2"/>
  <c r="GI115" i="2"/>
  <c r="FY115" i="2"/>
  <c r="FT115" i="2"/>
  <c r="FS115" i="2"/>
  <c r="GL115" i="2" s="1"/>
  <c r="FQ115" i="2"/>
  <c r="FP115" i="2"/>
  <c r="FO115" i="2"/>
  <c r="FN115" i="2"/>
  <c r="FM115" i="2"/>
  <c r="FL115" i="2"/>
  <c r="FK115" i="2"/>
  <c r="FJ115" i="2"/>
  <c r="FI115" i="2"/>
  <c r="GB115" i="2" s="1"/>
  <c r="FH115" i="2"/>
  <c r="FG115" i="2"/>
  <c r="FF115" i="2"/>
  <c r="FE115" i="2"/>
  <c r="FX115" i="2" s="1"/>
  <c r="FD115" i="2"/>
  <c r="FC115" i="2"/>
  <c r="FB115" i="2"/>
  <c r="EZ115" i="2"/>
  <c r="EX115" i="2"/>
  <c r="EH115" i="2"/>
  <c r="EG115" i="2"/>
  <c r="EE115" i="2"/>
  <c r="ED115" i="2"/>
  <c r="EW115" i="2" s="1"/>
  <c r="EC115" i="2"/>
  <c r="EB115" i="2"/>
  <c r="EA115" i="2"/>
  <c r="DZ115" i="2"/>
  <c r="DY115" i="2"/>
  <c r="DX115" i="2"/>
  <c r="DW115" i="2"/>
  <c r="EP115" i="2" s="1"/>
  <c r="DV115" i="2"/>
  <c r="DU115" i="2"/>
  <c r="DT115" i="2"/>
  <c r="EM115" i="2" s="1"/>
  <c r="DS115" i="2"/>
  <c r="EL115" i="2" s="1"/>
  <c r="DR115" i="2"/>
  <c r="DQ115" i="2"/>
  <c r="DP115" i="2"/>
  <c r="DM115" i="2"/>
  <c r="DL115" i="2"/>
  <c r="HC114" i="2"/>
  <c r="HB114" i="2"/>
  <c r="GW114" i="2"/>
  <c r="GV114" i="2"/>
  <c r="GU114" i="2"/>
  <c r="GT114" i="2"/>
  <c r="GO114" i="2"/>
  <c r="GJ114" i="2"/>
  <c r="GI114" i="2"/>
  <c r="FY114" i="2"/>
  <c r="FT114" i="2"/>
  <c r="FS114" i="2"/>
  <c r="GL114" i="2" s="1"/>
  <c r="FQ114" i="2"/>
  <c r="FP114" i="2"/>
  <c r="FO114" i="2"/>
  <c r="FN114" i="2"/>
  <c r="FM114" i="2"/>
  <c r="FL114" i="2"/>
  <c r="FK114" i="2"/>
  <c r="FJ114" i="2"/>
  <c r="FI114" i="2"/>
  <c r="GB114" i="2" s="1"/>
  <c r="FH114" i="2"/>
  <c r="FG114" i="2"/>
  <c r="FF114" i="2"/>
  <c r="FE114" i="2"/>
  <c r="FX114" i="2" s="1"/>
  <c r="FD114" i="2"/>
  <c r="FC114" i="2"/>
  <c r="FB114" i="2"/>
  <c r="EZ114" i="2"/>
  <c r="EX114" i="2"/>
  <c r="EW114" i="2"/>
  <c r="EM114" i="2"/>
  <c r="EH114" i="2"/>
  <c r="EG114" i="2"/>
  <c r="EE114" i="2"/>
  <c r="ED114" i="2"/>
  <c r="EC114" i="2"/>
  <c r="EB114" i="2"/>
  <c r="EA114" i="2"/>
  <c r="DZ114" i="2"/>
  <c r="DY114" i="2"/>
  <c r="DX114" i="2"/>
  <c r="DW114" i="2"/>
  <c r="EP114" i="2" s="1"/>
  <c r="DV114" i="2"/>
  <c r="DU114" i="2"/>
  <c r="DT114" i="2"/>
  <c r="DS114" i="2"/>
  <c r="EL114" i="2" s="1"/>
  <c r="DR114" i="2"/>
  <c r="DQ114" i="2"/>
  <c r="DP114" i="2"/>
  <c r="DM114" i="2"/>
  <c r="DL114" i="2"/>
  <c r="HC113" i="2"/>
  <c r="HB113" i="2"/>
  <c r="GW113" i="2"/>
  <c r="GV113" i="2"/>
  <c r="GU113" i="2"/>
  <c r="GT113" i="2"/>
  <c r="GP113" i="2"/>
  <c r="GQ113" i="2" s="1"/>
  <c r="GO113" i="2"/>
  <c r="GJ113" i="2"/>
  <c r="GI113" i="2"/>
  <c r="FY113" i="2"/>
  <c r="FT113" i="2"/>
  <c r="FS113" i="2"/>
  <c r="GL113" i="2" s="1"/>
  <c r="FQ113" i="2"/>
  <c r="FP113" i="2"/>
  <c r="FO113" i="2"/>
  <c r="FN113" i="2"/>
  <c r="FM113" i="2"/>
  <c r="FL113" i="2"/>
  <c r="FK113" i="2"/>
  <c r="FJ113" i="2"/>
  <c r="FI113" i="2"/>
  <c r="GB113" i="2" s="1"/>
  <c r="FH113" i="2"/>
  <c r="FG113" i="2"/>
  <c r="FF113" i="2"/>
  <c r="FE113" i="2"/>
  <c r="FX113" i="2" s="1"/>
  <c r="FD113" i="2"/>
  <c r="FC113" i="2"/>
  <c r="FB113" i="2"/>
  <c r="EZ113" i="2"/>
  <c r="EX113" i="2"/>
  <c r="EH113" i="2"/>
  <c r="EG113" i="2"/>
  <c r="EE113" i="2"/>
  <c r="ED113" i="2"/>
  <c r="EW113" i="2" s="1"/>
  <c r="EC113" i="2"/>
  <c r="EB113" i="2"/>
  <c r="EA113" i="2"/>
  <c r="DZ113" i="2"/>
  <c r="DY113" i="2"/>
  <c r="DX113" i="2"/>
  <c r="DW113" i="2"/>
  <c r="EP113" i="2" s="1"/>
  <c r="DV113" i="2"/>
  <c r="DU113" i="2"/>
  <c r="DT113" i="2"/>
  <c r="EM113" i="2" s="1"/>
  <c r="DS113" i="2"/>
  <c r="EL113" i="2" s="1"/>
  <c r="DR113" i="2"/>
  <c r="DQ113" i="2"/>
  <c r="DP113" i="2"/>
  <c r="DM113" i="2"/>
  <c r="DL113" i="2"/>
  <c r="HC112" i="2"/>
  <c r="HB112" i="2"/>
  <c r="GW112" i="2"/>
  <c r="GX112" i="2" s="1"/>
  <c r="GY112" i="2" s="1"/>
  <c r="GT112" i="2"/>
  <c r="GI112" i="2"/>
  <c r="FY112" i="2"/>
  <c r="FX112" i="2"/>
  <c r="FT112" i="2"/>
  <c r="FS112" i="2"/>
  <c r="GL112" i="2" s="1"/>
  <c r="FP112" i="2"/>
  <c r="FO112" i="2"/>
  <c r="FN112" i="2"/>
  <c r="FM112" i="2"/>
  <c r="FL112" i="2"/>
  <c r="FI112" i="2"/>
  <c r="GB112" i="2" s="1"/>
  <c r="FH112" i="2"/>
  <c r="FG112" i="2"/>
  <c r="FF112" i="2"/>
  <c r="FE112" i="2"/>
  <c r="FD112" i="2"/>
  <c r="FC112" i="2"/>
  <c r="FB112" i="2"/>
  <c r="EH112" i="2"/>
  <c r="EG112" i="2"/>
  <c r="EZ112" i="2" s="1"/>
  <c r="DI112" i="2"/>
  <c r="DE112" i="2"/>
  <c r="FQ112" i="2" s="1"/>
  <c r="GJ112" i="2" s="1"/>
  <c r="CW112" i="2"/>
  <c r="CO112" i="2"/>
  <c r="FK112" i="2" s="1"/>
  <c r="BS112" i="2"/>
  <c r="BO112" i="2"/>
  <c r="AY112" i="2"/>
  <c r="BG112" i="2" s="1"/>
  <c r="GV112" i="2" s="1"/>
  <c r="AX112" i="2"/>
  <c r="AD112" i="2"/>
  <c r="HC111" i="2"/>
  <c r="HB111" i="2"/>
  <c r="GW111" i="2"/>
  <c r="GV111" i="2"/>
  <c r="GU111" i="2"/>
  <c r="GT111" i="2"/>
  <c r="GP111" i="2"/>
  <c r="GQ111" i="2" s="1"/>
  <c r="GO111" i="2"/>
  <c r="GL111" i="2"/>
  <c r="GJ111" i="2"/>
  <c r="FT111" i="2"/>
  <c r="FS111" i="2"/>
  <c r="FQ111" i="2"/>
  <c r="FP111" i="2"/>
  <c r="GI111" i="2" s="1"/>
  <c r="FO111" i="2"/>
  <c r="FN111" i="2"/>
  <c r="FM111" i="2"/>
  <c r="FL111" i="2"/>
  <c r="FK111" i="2"/>
  <c r="FJ111" i="2"/>
  <c r="FI111" i="2"/>
  <c r="GB111" i="2" s="1"/>
  <c r="FH111" i="2"/>
  <c r="FG111" i="2"/>
  <c r="FF111" i="2"/>
  <c r="FY111" i="2" s="1"/>
  <c r="FE111" i="2"/>
  <c r="FX111" i="2" s="1"/>
  <c r="FD111" i="2"/>
  <c r="FC111" i="2"/>
  <c r="FB111" i="2"/>
  <c r="EZ111" i="2"/>
  <c r="EP111" i="2"/>
  <c r="EH111" i="2"/>
  <c r="EG111" i="2"/>
  <c r="EE111" i="2"/>
  <c r="EX111" i="2" s="1"/>
  <c r="ED111" i="2"/>
  <c r="EW111" i="2" s="1"/>
  <c r="EC111" i="2"/>
  <c r="EB111" i="2"/>
  <c r="EA111" i="2"/>
  <c r="DZ111" i="2"/>
  <c r="DY111" i="2"/>
  <c r="DX111" i="2"/>
  <c r="DW111" i="2"/>
  <c r="DV111" i="2"/>
  <c r="DU111" i="2"/>
  <c r="DT111" i="2"/>
  <c r="EM111" i="2" s="1"/>
  <c r="DS111" i="2"/>
  <c r="EL111" i="2" s="1"/>
  <c r="DR111" i="2"/>
  <c r="DQ111" i="2"/>
  <c r="DP111" i="2"/>
  <c r="DM111" i="2"/>
  <c r="DL111" i="2"/>
  <c r="AT111" i="2"/>
  <c r="HC110" i="2"/>
  <c r="HB110" i="2"/>
  <c r="GW110" i="2"/>
  <c r="GV110" i="2"/>
  <c r="GU110" i="2"/>
  <c r="GT110" i="2"/>
  <c r="GP110" i="2"/>
  <c r="GQ110" i="2" s="1"/>
  <c r="GO110" i="2"/>
  <c r="GL110" i="2"/>
  <c r="GJ110" i="2"/>
  <c r="GB110" i="2"/>
  <c r="FT110" i="2"/>
  <c r="FS110" i="2"/>
  <c r="FQ110" i="2"/>
  <c r="FP110" i="2"/>
  <c r="GI110" i="2" s="1"/>
  <c r="FO110" i="2"/>
  <c r="FN110" i="2"/>
  <c r="FM110" i="2"/>
  <c r="FL110" i="2"/>
  <c r="FK110" i="2"/>
  <c r="FJ110" i="2"/>
  <c r="FI110" i="2"/>
  <c r="FH110" i="2"/>
  <c r="FG110" i="2"/>
  <c r="FF110" i="2"/>
  <c r="FY110" i="2" s="1"/>
  <c r="FE110" i="2"/>
  <c r="FX110" i="2" s="1"/>
  <c r="FD110" i="2"/>
  <c r="FC110" i="2"/>
  <c r="FB110" i="2"/>
  <c r="EP110" i="2"/>
  <c r="EL110" i="2"/>
  <c r="EH110" i="2"/>
  <c r="EG110" i="2"/>
  <c r="EZ110" i="2" s="1"/>
  <c r="EE110" i="2"/>
  <c r="EX110" i="2" s="1"/>
  <c r="ED110" i="2"/>
  <c r="EW110" i="2" s="1"/>
  <c r="EC110" i="2"/>
  <c r="EB110" i="2"/>
  <c r="EA110" i="2"/>
  <c r="DZ110" i="2"/>
  <c r="DY110" i="2"/>
  <c r="DX110" i="2"/>
  <c r="DW110" i="2"/>
  <c r="DV110" i="2"/>
  <c r="DU110" i="2"/>
  <c r="DT110" i="2"/>
  <c r="EM110" i="2" s="1"/>
  <c r="DS110" i="2"/>
  <c r="DR110" i="2"/>
  <c r="DQ110" i="2"/>
  <c r="DP110" i="2"/>
  <c r="DM110" i="2"/>
  <c r="DL110" i="2"/>
  <c r="HC109" i="2"/>
  <c r="HB109" i="2"/>
  <c r="GW109" i="2"/>
  <c r="GV109" i="2"/>
  <c r="GU109" i="2"/>
  <c r="GT109" i="2"/>
  <c r="GQ109" i="2"/>
  <c r="GP109" i="2"/>
  <c r="GO109" i="2"/>
  <c r="GL109" i="2"/>
  <c r="GB109" i="2"/>
  <c r="FT109" i="2"/>
  <c r="FS109" i="2"/>
  <c r="FQ109" i="2"/>
  <c r="GJ109" i="2" s="1"/>
  <c r="FP109" i="2"/>
  <c r="GI109" i="2" s="1"/>
  <c r="FO109" i="2"/>
  <c r="FN109" i="2"/>
  <c r="FM109" i="2"/>
  <c r="FL109" i="2"/>
  <c r="FK109" i="2"/>
  <c r="FJ109" i="2"/>
  <c r="FI109" i="2"/>
  <c r="FH109" i="2"/>
  <c r="FG109" i="2"/>
  <c r="FF109" i="2"/>
  <c r="FY109" i="2" s="1"/>
  <c r="FE109" i="2"/>
  <c r="FX109" i="2" s="1"/>
  <c r="FD109" i="2"/>
  <c r="FC109" i="2"/>
  <c r="FB109" i="2"/>
  <c r="EZ109" i="2"/>
  <c r="EP109" i="2"/>
  <c r="EL109" i="2"/>
  <c r="EH109" i="2"/>
  <c r="EG109" i="2"/>
  <c r="EE109" i="2"/>
  <c r="EX109" i="2" s="1"/>
  <c r="ED109" i="2"/>
  <c r="EW109" i="2" s="1"/>
  <c r="EC109" i="2"/>
  <c r="EB109" i="2"/>
  <c r="EA109" i="2"/>
  <c r="DZ109" i="2"/>
  <c r="DY109" i="2"/>
  <c r="DX109" i="2"/>
  <c r="DW109" i="2"/>
  <c r="DV109" i="2"/>
  <c r="DU109" i="2"/>
  <c r="DT109" i="2"/>
  <c r="EM109" i="2" s="1"/>
  <c r="DS109" i="2"/>
  <c r="DR109" i="2"/>
  <c r="DQ109" i="2"/>
  <c r="DP109" i="2"/>
  <c r="DM109" i="2"/>
  <c r="DL109" i="2"/>
  <c r="HB108" i="2"/>
  <c r="GT108" i="2"/>
  <c r="FJ108" i="2"/>
  <c r="FI108" i="2"/>
  <c r="GB108" i="2" s="1"/>
  <c r="ED108" i="2"/>
  <c r="EW108" i="2" s="1"/>
  <c r="EC108" i="2"/>
  <c r="DY108" i="2"/>
  <c r="DU108" i="2"/>
  <c r="DT108" i="2"/>
  <c r="EM108" i="2" s="1"/>
  <c r="DS108" i="2"/>
  <c r="EL108" i="2" s="1"/>
  <c r="DM108" i="2"/>
  <c r="DI108" i="2"/>
  <c r="CW108" i="2"/>
  <c r="HC108" i="2" s="1"/>
  <c r="CO108" i="2"/>
  <c r="FK108" i="2" s="1"/>
  <c r="BS108" i="2"/>
  <c r="AY108" i="2"/>
  <c r="BO108" i="2" s="1"/>
  <c r="EE108" i="2" s="1"/>
  <c r="EX108" i="2" s="1"/>
  <c r="AX108" i="2"/>
  <c r="AT108" i="2"/>
  <c r="AL108" i="2"/>
  <c r="GU108" i="2" s="1"/>
  <c r="AD108" i="2"/>
  <c r="GO108" i="2" s="1"/>
  <c r="HC107" i="2"/>
  <c r="HB107" i="2"/>
  <c r="GW107" i="2"/>
  <c r="GV107" i="2"/>
  <c r="GU107" i="2"/>
  <c r="GT107" i="2"/>
  <c r="GO107" i="2"/>
  <c r="GL107" i="2"/>
  <c r="GB107" i="2"/>
  <c r="FX107" i="2"/>
  <c r="FT107" i="2"/>
  <c r="FS107" i="2"/>
  <c r="FQ107" i="2"/>
  <c r="GJ107" i="2" s="1"/>
  <c r="FP107" i="2"/>
  <c r="GI107" i="2" s="1"/>
  <c r="FO107" i="2"/>
  <c r="FN107" i="2"/>
  <c r="FM107" i="2"/>
  <c r="FL107" i="2"/>
  <c r="FK107" i="2"/>
  <c r="FJ107" i="2"/>
  <c r="FI107" i="2"/>
  <c r="FH107" i="2"/>
  <c r="FG107" i="2"/>
  <c r="FF107" i="2"/>
  <c r="FY107" i="2" s="1"/>
  <c r="FE107" i="2"/>
  <c r="FD107" i="2"/>
  <c r="FC107" i="2"/>
  <c r="FB107" i="2"/>
  <c r="EW107" i="2"/>
  <c r="EM107" i="2"/>
  <c r="EL107" i="2"/>
  <c r="EH107" i="2"/>
  <c r="EG107" i="2"/>
  <c r="EZ107" i="2" s="1"/>
  <c r="EE107" i="2"/>
  <c r="EX107" i="2" s="1"/>
  <c r="ED107" i="2"/>
  <c r="EC107" i="2"/>
  <c r="EB107" i="2"/>
  <c r="EA107" i="2"/>
  <c r="DZ107" i="2"/>
  <c r="DY107" i="2"/>
  <c r="DX107" i="2"/>
  <c r="DW107" i="2"/>
  <c r="EP107" i="2" s="1"/>
  <c r="DV107" i="2"/>
  <c r="DU107" i="2"/>
  <c r="DT107" i="2"/>
  <c r="DS107" i="2"/>
  <c r="DR107" i="2"/>
  <c r="DQ107" i="2"/>
  <c r="DP107" i="2"/>
  <c r="DM107" i="2"/>
  <c r="DL107" i="2"/>
  <c r="HC106" i="2"/>
  <c r="HB106" i="2"/>
  <c r="GW106" i="2"/>
  <c r="GV106" i="2"/>
  <c r="GU106" i="2"/>
  <c r="GT106" i="2"/>
  <c r="GO106" i="2"/>
  <c r="GB106" i="2"/>
  <c r="FX106" i="2"/>
  <c r="FT106" i="2"/>
  <c r="FS106" i="2"/>
  <c r="GL106" i="2" s="1"/>
  <c r="FQ106" i="2"/>
  <c r="GJ106" i="2" s="1"/>
  <c r="FP106" i="2"/>
  <c r="GI106" i="2" s="1"/>
  <c r="FO106" i="2"/>
  <c r="FN106" i="2"/>
  <c r="FM106" i="2"/>
  <c r="FL106" i="2"/>
  <c r="FK106" i="2"/>
  <c r="FJ106" i="2"/>
  <c r="FI106" i="2"/>
  <c r="FH106" i="2"/>
  <c r="FG106" i="2"/>
  <c r="FF106" i="2"/>
  <c r="FY106" i="2" s="1"/>
  <c r="FE106" i="2"/>
  <c r="FD106" i="2"/>
  <c r="FC106" i="2"/>
  <c r="FB106" i="2"/>
  <c r="EW106" i="2"/>
  <c r="EP106" i="2"/>
  <c r="EM106" i="2"/>
  <c r="EL106" i="2"/>
  <c r="EH106" i="2"/>
  <c r="EG106" i="2"/>
  <c r="EZ106" i="2" s="1"/>
  <c r="EE106" i="2"/>
  <c r="EX106" i="2" s="1"/>
  <c r="ED106" i="2"/>
  <c r="EC106" i="2"/>
  <c r="EB106" i="2"/>
  <c r="EA106" i="2"/>
  <c r="DZ106" i="2"/>
  <c r="DY106" i="2"/>
  <c r="DX106" i="2"/>
  <c r="DW106" i="2"/>
  <c r="DV106" i="2"/>
  <c r="DU106" i="2"/>
  <c r="DT106" i="2"/>
  <c r="DS106" i="2"/>
  <c r="DR106" i="2"/>
  <c r="DQ106" i="2"/>
  <c r="DP106" i="2"/>
  <c r="DM106" i="2"/>
  <c r="DL106" i="2"/>
  <c r="HC105" i="2"/>
  <c r="HB105" i="2"/>
  <c r="GW105" i="2"/>
  <c r="GV105" i="2"/>
  <c r="GU105" i="2"/>
  <c r="GT105" i="2"/>
  <c r="GQ105" i="2"/>
  <c r="GP105" i="2"/>
  <c r="GO105" i="2"/>
  <c r="GL105" i="2"/>
  <c r="GB105" i="2"/>
  <c r="FT105" i="2"/>
  <c r="FS105" i="2"/>
  <c r="FQ105" i="2"/>
  <c r="GJ105" i="2" s="1"/>
  <c r="FP105" i="2"/>
  <c r="GI105" i="2" s="1"/>
  <c r="FO105" i="2"/>
  <c r="FN105" i="2"/>
  <c r="FM105" i="2"/>
  <c r="FL105" i="2"/>
  <c r="FK105" i="2"/>
  <c r="FJ105" i="2"/>
  <c r="FI105" i="2"/>
  <c r="FH105" i="2"/>
  <c r="FG105" i="2"/>
  <c r="FF105" i="2"/>
  <c r="FY105" i="2" s="1"/>
  <c r="FE105" i="2"/>
  <c r="FX105" i="2" s="1"/>
  <c r="FD105" i="2"/>
  <c r="FC105" i="2"/>
  <c r="FB105" i="2"/>
  <c r="EZ105" i="2"/>
  <c r="EP105" i="2"/>
  <c r="EL105" i="2"/>
  <c r="EH105" i="2"/>
  <c r="EG105" i="2"/>
  <c r="EE105" i="2"/>
  <c r="EX105" i="2" s="1"/>
  <c r="ED105" i="2"/>
  <c r="EW105" i="2" s="1"/>
  <c r="EC105" i="2"/>
  <c r="EB105" i="2"/>
  <c r="EA105" i="2"/>
  <c r="DZ105" i="2"/>
  <c r="DY105" i="2"/>
  <c r="DX105" i="2"/>
  <c r="DW105" i="2"/>
  <c r="DV105" i="2"/>
  <c r="DU105" i="2"/>
  <c r="DT105" i="2"/>
  <c r="EM105" i="2" s="1"/>
  <c r="DS105" i="2"/>
  <c r="DR105" i="2"/>
  <c r="DQ105" i="2"/>
  <c r="DP105" i="2"/>
  <c r="DM105" i="2"/>
  <c r="DL105" i="2"/>
  <c r="HC104" i="2"/>
  <c r="HB104" i="2"/>
  <c r="GW104" i="2"/>
  <c r="GV104" i="2"/>
  <c r="GU104" i="2"/>
  <c r="GT104" i="2"/>
  <c r="GQ104" i="2"/>
  <c r="GP104" i="2"/>
  <c r="GO104" i="2"/>
  <c r="GL104" i="2"/>
  <c r="GJ104" i="2"/>
  <c r="FT104" i="2"/>
  <c r="FS104" i="2"/>
  <c r="FQ104" i="2"/>
  <c r="FP104" i="2"/>
  <c r="GI104" i="2" s="1"/>
  <c r="FO104" i="2"/>
  <c r="FN104" i="2"/>
  <c r="FM104" i="2"/>
  <c r="FL104" i="2"/>
  <c r="FK104" i="2"/>
  <c r="FJ104" i="2"/>
  <c r="FI104" i="2"/>
  <c r="GB104" i="2" s="1"/>
  <c r="FH104" i="2"/>
  <c r="FG104" i="2"/>
  <c r="FF104" i="2"/>
  <c r="FY104" i="2" s="1"/>
  <c r="FE104" i="2"/>
  <c r="FX104" i="2" s="1"/>
  <c r="FD104" i="2"/>
  <c r="FC104" i="2"/>
  <c r="FB104" i="2"/>
  <c r="EZ104" i="2"/>
  <c r="EX104" i="2"/>
  <c r="EP104" i="2"/>
  <c r="EH104" i="2"/>
  <c r="EG104" i="2"/>
  <c r="EE104" i="2"/>
  <c r="ED104" i="2"/>
  <c r="EW104" i="2" s="1"/>
  <c r="EC104" i="2"/>
  <c r="EB104" i="2"/>
  <c r="EA104" i="2"/>
  <c r="DZ104" i="2"/>
  <c r="DY104" i="2"/>
  <c r="DX104" i="2"/>
  <c r="DW104" i="2"/>
  <c r="DV104" i="2"/>
  <c r="DU104" i="2"/>
  <c r="DT104" i="2"/>
  <c r="EM104" i="2" s="1"/>
  <c r="DS104" i="2"/>
  <c r="EL104" i="2" s="1"/>
  <c r="DR104" i="2"/>
  <c r="DQ104" i="2"/>
  <c r="DP104" i="2"/>
  <c r="DM104" i="2"/>
  <c r="DL104" i="2"/>
  <c r="HC103" i="2"/>
  <c r="HB103" i="2"/>
  <c r="GY103" i="2"/>
  <c r="GX103" i="2"/>
  <c r="GW103" i="2"/>
  <c r="GV103" i="2"/>
  <c r="GU103" i="2"/>
  <c r="GT103" i="2"/>
  <c r="GO103" i="2"/>
  <c r="GP103" i="2" s="1"/>
  <c r="GQ103" i="2" s="1"/>
  <c r="GJ103" i="2"/>
  <c r="GI103" i="2"/>
  <c r="FY103" i="2"/>
  <c r="FT103" i="2"/>
  <c r="FS103" i="2"/>
  <c r="GL103" i="2" s="1"/>
  <c r="FQ103" i="2"/>
  <c r="FP103" i="2"/>
  <c r="FO103" i="2"/>
  <c r="FN103" i="2"/>
  <c r="FM103" i="2"/>
  <c r="FL103" i="2"/>
  <c r="FK103" i="2"/>
  <c r="FJ103" i="2"/>
  <c r="FI103" i="2"/>
  <c r="GB103" i="2" s="1"/>
  <c r="FH103" i="2"/>
  <c r="FG103" i="2"/>
  <c r="FF103" i="2"/>
  <c r="FE103" i="2"/>
  <c r="FX103" i="2" s="1"/>
  <c r="FD103" i="2"/>
  <c r="FC103" i="2"/>
  <c r="FB103" i="2"/>
  <c r="EZ103" i="2"/>
  <c r="EX103" i="2"/>
  <c r="EW103" i="2"/>
  <c r="EM103" i="2"/>
  <c r="EH103" i="2"/>
  <c r="EG103" i="2"/>
  <c r="EE103" i="2"/>
  <c r="ED103" i="2"/>
  <c r="EC103" i="2"/>
  <c r="EB103" i="2"/>
  <c r="EA103" i="2"/>
  <c r="DZ103" i="2"/>
  <c r="DY103" i="2"/>
  <c r="DX103" i="2"/>
  <c r="DW103" i="2"/>
  <c r="EP103" i="2" s="1"/>
  <c r="DV103" i="2"/>
  <c r="DU103" i="2"/>
  <c r="DT103" i="2"/>
  <c r="DS103" i="2"/>
  <c r="EL103" i="2" s="1"/>
  <c r="DR103" i="2"/>
  <c r="DQ103" i="2"/>
  <c r="DP103" i="2"/>
  <c r="DM103" i="2"/>
  <c r="DL103" i="2"/>
  <c r="HC102" i="2"/>
  <c r="HB102" i="2"/>
  <c r="GX102" i="2"/>
  <c r="GY102" i="2" s="1"/>
  <c r="GW102" i="2"/>
  <c r="GV102" i="2"/>
  <c r="GU102" i="2"/>
  <c r="GT102" i="2"/>
  <c r="GO102" i="2"/>
  <c r="GI102" i="2"/>
  <c r="FY102" i="2"/>
  <c r="FX102" i="2"/>
  <c r="FT102" i="2"/>
  <c r="FS102" i="2"/>
  <c r="GL102" i="2" s="1"/>
  <c r="FQ102" i="2"/>
  <c r="GJ102" i="2" s="1"/>
  <c r="FP102" i="2"/>
  <c r="FO102" i="2"/>
  <c r="FN102" i="2"/>
  <c r="FM102" i="2"/>
  <c r="FL102" i="2"/>
  <c r="FK102" i="2"/>
  <c r="FJ102" i="2"/>
  <c r="FI102" i="2"/>
  <c r="GB102" i="2" s="1"/>
  <c r="FH102" i="2"/>
  <c r="FG102" i="2"/>
  <c r="FF102" i="2"/>
  <c r="FE102" i="2"/>
  <c r="FD102" i="2"/>
  <c r="FC102" i="2"/>
  <c r="FB102" i="2"/>
  <c r="EX102" i="2"/>
  <c r="EW102" i="2"/>
  <c r="EM102" i="2"/>
  <c r="EL102" i="2"/>
  <c r="EH102" i="2"/>
  <c r="EG102" i="2"/>
  <c r="EZ102" i="2" s="1"/>
  <c r="EE102" i="2"/>
  <c r="ED102" i="2"/>
  <c r="EC102" i="2"/>
  <c r="EB102" i="2"/>
  <c r="EA102" i="2"/>
  <c r="DZ102" i="2"/>
  <c r="DY102" i="2"/>
  <c r="DX102" i="2"/>
  <c r="DW102" i="2"/>
  <c r="EP102" i="2" s="1"/>
  <c r="DV102" i="2"/>
  <c r="DU102" i="2"/>
  <c r="DT102" i="2"/>
  <c r="DS102" i="2"/>
  <c r="DR102" i="2"/>
  <c r="DQ102" i="2"/>
  <c r="DP102" i="2"/>
  <c r="DM102" i="2"/>
  <c r="DL102" i="2"/>
  <c r="HC101" i="2"/>
  <c r="HB101" i="2"/>
  <c r="GW101" i="2"/>
  <c r="GV101" i="2"/>
  <c r="GU101" i="2"/>
  <c r="GT101" i="2"/>
  <c r="GO101" i="2"/>
  <c r="GI101" i="2"/>
  <c r="FY101" i="2"/>
  <c r="FX101" i="2"/>
  <c r="FT101" i="2"/>
  <c r="FS101" i="2"/>
  <c r="GL101" i="2" s="1"/>
  <c r="FQ101" i="2"/>
  <c r="GJ101" i="2" s="1"/>
  <c r="FP101" i="2"/>
  <c r="FO101" i="2"/>
  <c r="FN101" i="2"/>
  <c r="FM101" i="2"/>
  <c r="FL101" i="2"/>
  <c r="FK101" i="2"/>
  <c r="FJ101" i="2"/>
  <c r="FI101" i="2"/>
  <c r="GB101" i="2" s="1"/>
  <c r="FH101" i="2"/>
  <c r="FG101" i="2"/>
  <c r="FF101" i="2"/>
  <c r="FE101" i="2"/>
  <c r="FD101" i="2"/>
  <c r="FC101" i="2"/>
  <c r="FB101" i="2"/>
  <c r="EX101" i="2"/>
  <c r="EW101" i="2"/>
  <c r="EM101" i="2"/>
  <c r="EH101" i="2"/>
  <c r="EG101" i="2"/>
  <c r="EZ101" i="2" s="1"/>
  <c r="EE101" i="2"/>
  <c r="ED101" i="2"/>
  <c r="EC101" i="2"/>
  <c r="EB101" i="2"/>
  <c r="EA101" i="2"/>
  <c r="DZ101" i="2"/>
  <c r="DY101" i="2"/>
  <c r="DX101" i="2"/>
  <c r="DW101" i="2"/>
  <c r="EP101" i="2" s="1"/>
  <c r="DV101" i="2"/>
  <c r="DU101" i="2"/>
  <c r="DT101" i="2"/>
  <c r="DS101" i="2"/>
  <c r="EL101" i="2" s="1"/>
  <c r="DR101" i="2"/>
  <c r="DQ101" i="2"/>
  <c r="DP101" i="2"/>
  <c r="DM101" i="2"/>
  <c r="DL101" i="2"/>
  <c r="HC100" i="2"/>
  <c r="HB100" i="2"/>
  <c r="GW100" i="2"/>
  <c r="GV100" i="2"/>
  <c r="GU100" i="2"/>
  <c r="GT100" i="2"/>
  <c r="GO100" i="2"/>
  <c r="GI100" i="2"/>
  <c r="FY100" i="2"/>
  <c r="FX100" i="2"/>
  <c r="FT100" i="2"/>
  <c r="FS100" i="2"/>
  <c r="GL100" i="2" s="1"/>
  <c r="FQ100" i="2"/>
  <c r="GJ100" i="2" s="1"/>
  <c r="FP100" i="2"/>
  <c r="FO100" i="2"/>
  <c r="FN100" i="2"/>
  <c r="FM100" i="2"/>
  <c r="FL100" i="2"/>
  <c r="FK100" i="2"/>
  <c r="FJ100" i="2"/>
  <c r="FI100" i="2"/>
  <c r="GB100" i="2" s="1"/>
  <c r="FH100" i="2"/>
  <c r="FG100" i="2"/>
  <c r="FF100" i="2"/>
  <c r="FE100" i="2"/>
  <c r="FD100" i="2"/>
  <c r="FC100" i="2"/>
  <c r="FB100" i="2"/>
  <c r="EX100" i="2"/>
  <c r="EW100" i="2"/>
  <c r="EM100" i="2"/>
  <c r="EL100" i="2"/>
  <c r="EH100" i="2"/>
  <c r="EG100" i="2"/>
  <c r="EZ100" i="2" s="1"/>
  <c r="EE100" i="2"/>
  <c r="ED100" i="2"/>
  <c r="EC100" i="2"/>
  <c r="EB100" i="2"/>
  <c r="EA100" i="2"/>
  <c r="DZ100" i="2"/>
  <c r="DY100" i="2"/>
  <c r="DX100" i="2"/>
  <c r="DW100" i="2"/>
  <c r="EP100" i="2" s="1"/>
  <c r="DV100" i="2"/>
  <c r="DU100" i="2"/>
  <c r="DT100" i="2"/>
  <c r="DS100" i="2"/>
  <c r="DR100" i="2"/>
  <c r="DQ100" i="2"/>
  <c r="DP100" i="2"/>
  <c r="DM100" i="2"/>
  <c r="DL100" i="2"/>
  <c r="HC99" i="2"/>
  <c r="HB99" i="2"/>
  <c r="GY99" i="2"/>
  <c r="GX99" i="2"/>
  <c r="GW99" i="2"/>
  <c r="GV99" i="2"/>
  <c r="GU99" i="2"/>
  <c r="GT99" i="2"/>
  <c r="GO99" i="2"/>
  <c r="GL99" i="2"/>
  <c r="GB99" i="2"/>
  <c r="FX99" i="2"/>
  <c r="FT99" i="2"/>
  <c r="FS99" i="2"/>
  <c r="FQ99" i="2"/>
  <c r="GJ99" i="2" s="1"/>
  <c r="FP99" i="2"/>
  <c r="GI99" i="2" s="1"/>
  <c r="FO99" i="2"/>
  <c r="FN99" i="2"/>
  <c r="FM99" i="2"/>
  <c r="FL99" i="2"/>
  <c r="FK99" i="2"/>
  <c r="FJ99" i="2"/>
  <c r="FI99" i="2"/>
  <c r="FH99" i="2"/>
  <c r="FG99" i="2"/>
  <c r="FF99" i="2"/>
  <c r="FY99" i="2" s="1"/>
  <c r="FE99" i="2"/>
  <c r="FD99" i="2"/>
  <c r="FC99" i="2"/>
  <c r="FB99" i="2"/>
  <c r="EW99" i="2"/>
  <c r="EM99" i="2"/>
  <c r="EL99" i="2"/>
  <c r="EH99" i="2"/>
  <c r="EG99" i="2"/>
  <c r="EZ99" i="2" s="1"/>
  <c r="EE99" i="2"/>
  <c r="EX99" i="2" s="1"/>
  <c r="ED99" i="2"/>
  <c r="EC99" i="2"/>
  <c r="EB99" i="2"/>
  <c r="EA99" i="2"/>
  <c r="DZ99" i="2"/>
  <c r="DY99" i="2"/>
  <c r="DX99" i="2"/>
  <c r="DW99" i="2"/>
  <c r="EP99" i="2" s="1"/>
  <c r="DV99" i="2"/>
  <c r="DU99" i="2"/>
  <c r="DT99" i="2"/>
  <c r="DS99" i="2"/>
  <c r="DR99" i="2"/>
  <c r="DQ99" i="2"/>
  <c r="DP99" i="2"/>
  <c r="DM99" i="2"/>
  <c r="DL99" i="2"/>
  <c r="HC98" i="2"/>
  <c r="HB98" i="2"/>
  <c r="GW98" i="2"/>
  <c r="GV98" i="2"/>
  <c r="GU98" i="2"/>
  <c r="GT98" i="2"/>
  <c r="GO98" i="2"/>
  <c r="GB98" i="2"/>
  <c r="FX98" i="2"/>
  <c r="FT98" i="2"/>
  <c r="FS98" i="2"/>
  <c r="GL98" i="2" s="1"/>
  <c r="FQ98" i="2"/>
  <c r="GJ98" i="2" s="1"/>
  <c r="FP98" i="2"/>
  <c r="GI98" i="2" s="1"/>
  <c r="FO98" i="2"/>
  <c r="FN98" i="2"/>
  <c r="FM98" i="2"/>
  <c r="FL98" i="2"/>
  <c r="FK98" i="2"/>
  <c r="FJ98" i="2"/>
  <c r="FI98" i="2"/>
  <c r="FH98" i="2"/>
  <c r="FG98" i="2"/>
  <c r="FF98" i="2"/>
  <c r="FY98" i="2" s="1"/>
  <c r="FE98" i="2"/>
  <c r="FD98" i="2"/>
  <c r="FC98" i="2"/>
  <c r="FB98" i="2"/>
  <c r="EW98" i="2"/>
  <c r="EM98" i="2"/>
  <c r="EL98" i="2"/>
  <c r="EH98" i="2"/>
  <c r="EG98" i="2"/>
  <c r="EZ98" i="2" s="1"/>
  <c r="EE98" i="2"/>
  <c r="EX98" i="2" s="1"/>
  <c r="ED98" i="2"/>
  <c r="EC98" i="2"/>
  <c r="EB98" i="2"/>
  <c r="EA98" i="2"/>
  <c r="DZ98" i="2"/>
  <c r="DY98" i="2"/>
  <c r="DX98" i="2"/>
  <c r="DW98" i="2"/>
  <c r="EP98" i="2" s="1"/>
  <c r="DV98" i="2"/>
  <c r="DU98" i="2"/>
  <c r="DT98" i="2"/>
  <c r="DS98" i="2"/>
  <c r="DR98" i="2"/>
  <c r="DQ98" i="2"/>
  <c r="DP98" i="2"/>
  <c r="DM98" i="2"/>
  <c r="DL98" i="2"/>
  <c r="HC97" i="2"/>
  <c r="HB97" i="2"/>
  <c r="GW97" i="2"/>
  <c r="GV97" i="2"/>
  <c r="GU97" i="2"/>
  <c r="GT97" i="2"/>
  <c r="GO97" i="2"/>
  <c r="GL97" i="2"/>
  <c r="GB97" i="2"/>
  <c r="FX97" i="2"/>
  <c r="FT97" i="2"/>
  <c r="FS97" i="2"/>
  <c r="FQ97" i="2"/>
  <c r="GJ97" i="2" s="1"/>
  <c r="FP97" i="2"/>
  <c r="GI97" i="2" s="1"/>
  <c r="FO97" i="2"/>
  <c r="FN97" i="2"/>
  <c r="FM97" i="2"/>
  <c r="FL97" i="2"/>
  <c r="FK97" i="2"/>
  <c r="FJ97" i="2"/>
  <c r="FI97" i="2"/>
  <c r="FH97" i="2"/>
  <c r="FG97" i="2"/>
  <c r="FF97" i="2"/>
  <c r="FY97" i="2" s="1"/>
  <c r="FE97" i="2"/>
  <c r="FD97" i="2"/>
  <c r="FC97" i="2"/>
  <c r="FB97" i="2"/>
  <c r="EW97" i="2"/>
  <c r="EM97" i="2"/>
  <c r="EL97" i="2"/>
  <c r="EH97" i="2"/>
  <c r="EG97" i="2"/>
  <c r="EZ97" i="2" s="1"/>
  <c r="EE97" i="2"/>
  <c r="EX97" i="2" s="1"/>
  <c r="ED97" i="2"/>
  <c r="EC97" i="2"/>
  <c r="EB97" i="2"/>
  <c r="EA97" i="2"/>
  <c r="DZ97" i="2"/>
  <c r="DY97" i="2"/>
  <c r="DX97" i="2"/>
  <c r="DW97" i="2"/>
  <c r="EP97" i="2" s="1"/>
  <c r="DV97" i="2"/>
  <c r="DU97" i="2"/>
  <c r="DT97" i="2"/>
  <c r="DS97" i="2"/>
  <c r="DR97" i="2"/>
  <c r="DQ97" i="2"/>
  <c r="DP97" i="2"/>
  <c r="DM97" i="2"/>
  <c r="DL97" i="2"/>
  <c r="HC96" i="2"/>
  <c r="HB96" i="2"/>
  <c r="GW96" i="2"/>
  <c r="GV96" i="2"/>
  <c r="GT96" i="2"/>
  <c r="GL96" i="2"/>
  <c r="GB96" i="2"/>
  <c r="FT96" i="2"/>
  <c r="FS96" i="2"/>
  <c r="FQ96" i="2"/>
  <c r="GJ96" i="2" s="1"/>
  <c r="FP96" i="2"/>
  <c r="GI96" i="2" s="1"/>
  <c r="FO96" i="2"/>
  <c r="FN96" i="2"/>
  <c r="FM96" i="2"/>
  <c r="FL96" i="2"/>
  <c r="FK96" i="2"/>
  <c r="FJ96" i="2"/>
  <c r="FI96" i="2"/>
  <c r="FH96" i="2"/>
  <c r="FG96" i="2"/>
  <c r="FF96" i="2"/>
  <c r="FY96" i="2" s="1"/>
  <c r="FE96" i="2"/>
  <c r="FX96" i="2" s="1"/>
  <c r="FD96" i="2"/>
  <c r="FC96" i="2"/>
  <c r="FB96" i="2"/>
  <c r="EL96" i="2"/>
  <c r="EE96" i="2"/>
  <c r="EX96" i="2" s="1"/>
  <c r="EC96" i="2"/>
  <c r="EA96" i="2"/>
  <c r="DZ96" i="2"/>
  <c r="DY96" i="2"/>
  <c r="DU96" i="2"/>
  <c r="DS96" i="2"/>
  <c r="DQ96" i="2"/>
  <c r="DP96" i="2"/>
  <c r="DM96" i="2"/>
  <c r="AD96" i="2"/>
  <c r="DX96" i="2" s="1"/>
  <c r="HC95" i="2"/>
  <c r="HB95" i="2"/>
  <c r="GW95" i="2"/>
  <c r="GV95" i="2"/>
  <c r="GU95" i="2"/>
  <c r="GT95" i="2"/>
  <c r="GO95" i="2"/>
  <c r="GI95" i="2"/>
  <c r="FY95" i="2"/>
  <c r="FX95" i="2"/>
  <c r="FT95" i="2"/>
  <c r="FS95" i="2"/>
  <c r="GL95" i="2" s="1"/>
  <c r="FQ95" i="2"/>
  <c r="GJ95" i="2" s="1"/>
  <c r="FP95" i="2"/>
  <c r="FO95" i="2"/>
  <c r="FN95" i="2"/>
  <c r="FM95" i="2"/>
  <c r="FL95" i="2"/>
  <c r="FK95" i="2"/>
  <c r="FJ95" i="2"/>
  <c r="FI95" i="2"/>
  <c r="GB95" i="2" s="1"/>
  <c r="FH95" i="2"/>
  <c r="FG95" i="2"/>
  <c r="FF95" i="2"/>
  <c r="FE95" i="2"/>
  <c r="FD95" i="2"/>
  <c r="FC95" i="2"/>
  <c r="FB95" i="2"/>
  <c r="EX95" i="2"/>
  <c r="EW95" i="2"/>
  <c r="EM95" i="2"/>
  <c r="EH95" i="2"/>
  <c r="EG95" i="2"/>
  <c r="EZ95" i="2" s="1"/>
  <c r="EE95" i="2"/>
  <c r="ED95" i="2"/>
  <c r="EC95" i="2"/>
  <c r="EB95" i="2"/>
  <c r="EA95" i="2"/>
  <c r="DZ95" i="2"/>
  <c r="DY95" i="2"/>
  <c r="DX95" i="2"/>
  <c r="DW95" i="2"/>
  <c r="EP95" i="2" s="1"/>
  <c r="DV95" i="2"/>
  <c r="DU95" i="2"/>
  <c r="DT95" i="2"/>
  <c r="DS95" i="2"/>
  <c r="EL95" i="2" s="1"/>
  <c r="DR95" i="2"/>
  <c r="DQ95" i="2"/>
  <c r="DP95" i="2"/>
  <c r="DM95" i="2"/>
  <c r="DL95" i="2"/>
  <c r="HC94" i="2"/>
  <c r="HB94" i="2"/>
  <c r="GW94" i="2"/>
  <c r="GV94" i="2"/>
  <c r="GU94" i="2"/>
  <c r="GT94" i="2"/>
  <c r="GO94" i="2"/>
  <c r="GI94" i="2"/>
  <c r="FY94" i="2"/>
  <c r="FX94" i="2"/>
  <c r="FT94" i="2"/>
  <c r="FS94" i="2"/>
  <c r="GL94" i="2" s="1"/>
  <c r="FQ94" i="2"/>
  <c r="GJ94" i="2" s="1"/>
  <c r="FP94" i="2"/>
  <c r="FO94" i="2"/>
  <c r="FN94" i="2"/>
  <c r="FM94" i="2"/>
  <c r="FL94" i="2"/>
  <c r="FK94" i="2"/>
  <c r="FJ94" i="2"/>
  <c r="FI94" i="2"/>
  <c r="GB94" i="2" s="1"/>
  <c r="FH94" i="2"/>
  <c r="FG94" i="2"/>
  <c r="FF94" i="2"/>
  <c r="FE94" i="2"/>
  <c r="FD94" i="2"/>
  <c r="FC94" i="2"/>
  <c r="FB94" i="2"/>
  <c r="EX94" i="2"/>
  <c r="EW94" i="2"/>
  <c r="EM94" i="2"/>
  <c r="EL94" i="2"/>
  <c r="EH94" i="2"/>
  <c r="EG94" i="2"/>
  <c r="EZ94" i="2" s="1"/>
  <c r="EE94" i="2"/>
  <c r="ED94" i="2"/>
  <c r="EC94" i="2"/>
  <c r="EB94" i="2"/>
  <c r="EA94" i="2"/>
  <c r="DZ94" i="2"/>
  <c r="DY94" i="2"/>
  <c r="DX94" i="2"/>
  <c r="DW94" i="2"/>
  <c r="EP94" i="2" s="1"/>
  <c r="DV94" i="2"/>
  <c r="DU94" i="2"/>
  <c r="DT94" i="2"/>
  <c r="DS94" i="2"/>
  <c r="DR94" i="2"/>
  <c r="DQ94" i="2"/>
  <c r="DP94" i="2"/>
  <c r="DM94" i="2"/>
  <c r="DL94" i="2"/>
  <c r="HC93" i="2"/>
  <c r="HB93" i="2"/>
  <c r="GW93" i="2"/>
  <c r="GL93" i="2"/>
  <c r="GB93" i="2"/>
  <c r="FX93" i="2"/>
  <c r="FT93" i="2"/>
  <c r="FS93" i="2"/>
  <c r="FQ93" i="2"/>
  <c r="GJ93" i="2" s="1"/>
  <c r="FP93" i="2"/>
  <c r="GI93" i="2" s="1"/>
  <c r="FO93" i="2"/>
  <c r="FN93" i="2"/>
  <c r="FM93" i="2"/>
  <c r="FL93" i="2"/>
  <c r="FK93" i="2"/>
  <c r="FJ93" i="2"/>
  <c r="FI93" i="2"/>
  <c r="FH93" i="2"/>
  <c r="FG93" i="2"/>
  <c r="FF93" i="2"/>
  <c r="FY93" i="2" s="1"/>
  <c r="FE93" i="2"/>
  <c r="FD93" i="2"/>
  <c r="FC93" i="2"/>
  <c r="FB93" i="2"/>
  <c r="DZ93" i="2"/>
  <c r="DR93" i="2"/>
  <c r="DQ93" i="2"/>
  <c r="AY93" i="2"/>
  <c r="BG93" i="2" s="1"/>
  <c r="GV93" i="2" s="1"/>
  <c r="AD93" i="2"/>
  <c r="AL93" i="2" s="1"/>
  <c r="GU93" i="2" s="1"/>
  <c r="I93" i="2"/>
  <c r="GO93" i="2" s="1"/>
  <c r="HC92" i="2"/>
  <c r="HB92" i="2"/>
  <c r="GW92" i="2"/>
  <c r="GV92" i="2"/>
  <c r="GU92" i="2"/>
  <c r="GT92" i="2"/>
  <c r="GP92" i="2"/>
  <c r="GO92" i="2"/>
  <c r="GI92" i="2"/>
  <c r="FY92" i="2"/>
  <c r="FX92" i="2"/>
  <c r="FT92" i="2"/>
  <c r="FS92" i="2"/>
  <c r="GL92" i="2" s="1"/>
  <c r="FQ92" i="2"/>
  <c r="GJ92" i="2" s="1"/>
  <c r="FP92" i="2"/>
  <c r="FO92" i="2"/>
  <c r="FN92" i="2"/>
  <c r="FM92" i="2"/>
  <c r="FL92" i="2"/>
  <c r="FK92" i="2"/>
  <c r="FJ92" i="2"/>
  <c r="FI92" i="2"/>
  <c r="GB92" i="2" s="1"/>
  <c r="FH92" i="2"/>
  <c r="FG92" i="2"/>
  <c r="FF92" i="2"/>
  <c r="FE92" i="2"/>
  <c r="FD92" i="2"/>
  <c r="FC92" i="2"/>
  <c r="FB92" i="2"/>
  <c r="EX92" i="2"/>
  <c r="EW92" i="2"/>
  <c r="EM92" i="2"/>
  <c r="EH92" i="2"/>
  <c r="EG92" i="2"/>
  <c r="EZ92" i="2" s="1"/>
  <c r="EE92" i="2"/>
  <c r="ED92" i="2"/>
  <c r="EC92" i="2"/>
  <c r="EB92" i="2"/>
  <c r="EA92" i="2"/>
  <c r="DZ92" i="2"/>
  <c r="DY92" i="2"/>
  <c r="DX92" i="2"/>
  <c r="DW92" i="2"/>
  <c r="EP92" i="2" s="1"/>
  <c r="DV92" i="2"/>
  <c r="DU92" i="2"/>
  <c r="DT92" i="2"/>
  <c r="DS92" i="2"/>
  <c r="EL92" i="2" s="1"/>
  <c r="DR92" i="2"/>
  <c r="DQ92" i="2"/>
  <c r="DP92" i="2"/>
  <c r="DM92" i="2"/>
  <c r="DL92" i="2"/>
  <c r="HC91" i="2"/>
  <c r="HB91" i="2"/>
  <c r="GW91" i="2"/>
  <c r="GV91" i="2"/>
  <c r="GU91" i="2"/>
  <c r="GT91" i="2"/>
  <c r="GO91" i="2"/>
  <c r="GI91" i="2"/>
  <c r="FY91" i="2"/>
  <c r="FX91" i="2"/>
  <c r="FT91" i="2"/>
  <c r="FS91" i="2"/>
  <c r="GL91" i="2" s="1"/>
  <c r="FQ91" i="2"/>
  <c r="GJ91" i="2" s="1"/>
  <c r="FP91" i="2"/>
  <c r="FO91" i="2"/>
  <c r="FN91" i="2"/>
  <c r="FM91" i="2"/>
  <c r="FL91" i="2"/>
  <c r="FK91" i="2"/>
  <c r="FJ91" i="2"/>
  <c r="FI91" i="2"/>
  <c r="GB91" i="2" s="1"/>
  <c r="FH91" i="2"/>
  <c r="FG91" i="2"/>
  <c r="FF91" i="2"/>
  <c r="FE91" i="2"/>
  <c r="FD91" i="2"/>
  <c r="FC91" i="2"/>
  <c r="FB91" i="2"/>
  <c r="EX91" i="2"/>
  <c r="EW91" i="2"/>
  <c r="EM91" i="2"/>
  <c r="EH91" i="2"/>
  <c r="EG91" i="2"/>
  <c r="EZ91" i="2" s="1"/>
  <c r="EE91" i="2"/>
  <c r="ED91" i="2"/>
  <c r="EC91" i="2"/>
  <c r="EB91" i="2"/>
  <c r="EA91" i="2"/>
  <c r="DZ91" i="2"/>
  <c r="DY91" i="2"/>
  <c r="DX91" i="2"/>
  <c r="DW91" i="2"/>
  <c r="EP91" i="2" s="1"/>
  <c r="DV91" i="2"/>
  <c r="DU91" i="2"/>
  <c r="DT91" i="2"/>
  <c r="DS91" i="2"/>
  <c r="EL91" i="2" s="1"/>
  <c r="DR91" i="2"/>
  <c r="DQ91" i="2"/>
  <c r="DP91" i="2"/>
  <c r="DM91" i="2"/>
  <c r="DL91" i="2"/>
  <c r="HC90" i="2"/>
  <c r="HB90" i="2"/>
  <c r="GW90" i="2"/>
  <c r="GV90" i="2"/>
  <c r="GU90" i="2"/>
  <c r="GT90" i="2"/>
  <c r="GP90" i="2"/>
  <c r="GO90" i="2"/>
  <c r="GI90" i="2"/>
  <c r="FY90" i="2"/>
  <c r="FX90" i="2"/>
  <c r="FT90" i="2"/>
  <c r="FS90" i="2"/>
  <c r="GL90" i="2" s="1"/>
  <c r="FQ90" i="2"/>
  <c r="GJ90" i="2" s="1"/>
  <c r="FP90" i="2"/>
  <c r="FO90" i="2"/>
  <c r="FN90" i="2"/>
  <c r="FM90" i="2"/>
  <c r="FL90" i="2"/>
  <c r="FK90" i="2"/>
  <c r="FJ90" i="2"/>
  <c r="FI90" i="2"/>
  <c r="GB90" i="2" s="1"/>
  <c r="FH90" i="2"/>
  <c r="FG90" i="2"/>
  <c r="FF90" i="2"/>
  <c r="FE90" i="2"/>
  <c r="FD90" i="2"/>
  <c r="FC90" i="2"/>
  <c r="FB90" i="2"/>
  <c r="EX90" i="2"/>
  <c r="EW90" i="2"/>
  <c r="EM90" i="2"/>
  <c r="EH90" i="2"/>
  <c r="EG90" i="2"/>
  <c r="EZ90" i="2" s="1"/>
  <c r="EE90" i="2"/>
  <c r="ED90" i="2"/>
  <c r="EC90" i="2"/>
  <c r="EB90" i="2"/>
  <c r="EA90" i="2"/>
  <c r="DZ90" i="2"/>
  <c r="DY90" i="2"/>
  <c r="DX90" i="2"/>
  <c r="DW90" i="2"/>
  <c r="EP90" i="2" s="1"/>
  <c r="DV90" i="2"/>
  <c r="DU90" i="2"/>
  <c r="DT90" i="2"/>
  <c r="DS90" i="2"/>
  <c r="EL90" i="2" s="1"/>
  <c r="DR90" i="2"/>
  <c r="DQ90" i="2"/>
  <c r="DP90" i="2"/>
  <c r="DM90" i="2"/>
  <c r="DL90" i="2"/>
  <c r="HC89" i="2"/>
  <c r="HB89" i="2"/>
  <c r="GW89" i="2"/>
  <c r="GV89" i="2"/>
  <c r="GU89" i="2"/>
  <c r="GT89" i="2"/>
  <c r="GO89" i="2"/>
  <c r="GI89" i="2"/>
  <c r="FY89" i="2"/>
  <c r="FX89" i="2"/>
  <c r="FT89" i="2"/>
  <c r="FS89" i="2"/>
  <c r="GL89" i="2" s="1"/>
  <c r="FQ89" i="2"/>
  <c r="GJ89" i="2" s="1"/>
  <c r="FP89" i="2"/>
  <c r="FO89" i="2"/>
  <c r="FN89" i="2"/>
  <c r="FM89" i="2"/>
  <c r="FL89" i="2"/>
  <c r="FK89" i="2"/>
  <c r="FJ89" i="2"/>
  <c r="FI89" i="2"/>
  <c r="GB89" i="2" s="1"/>
  <c r="FH89" i="2"/>
  <c r="FG89" i="2"/>
  <c r="FF89" i="2"/>
  <c r="FE89" i="2"/>
  <c r="FD89" i="2"/>
  <c r="FC89" i="2"/>
  <c r="FB89" i="2"/>
  <c r="EX89" i="2"/>
  <c r="EW89" i="2"/>
  <c r="EM89" i="2"/>
  <c r="EH89" i="2"/>
  <c r="EG89" i="2"/>
  <c r="EZ89" i="2" s="1"/>
  <c r="EE89" i="2"/>
  <c r="ED89" i="2"/>
  <c r="EC89" i="2"/>
  <c r="EB89" i="2"/>
  <c r="EA89" i="2"/>
  <c r="DZ89" i="2"/>
  <c r="DY89" i="2"/>
  <c r="DX89" i="2"/>
  <c r="DW89" i="2"/>
  <c r="EP89" i="2" s="1"/>
  <c r="DV89" i="2"/>
  <c r="DU89" i="2"/>
  <c r="DT89" i="2"/>
  <c r="DS89" i="2"/>
  <c r="EL89" i="2" s="1"/>
  <c r="DR89" i="2"/>
  <c r="DQ89" i="2"/>
  <c r="DP89" i="2"/>
  <c r="DM89" i="2"/>
  <c r="DL89" i="2"/>
  <c r="HC88" i="2"/>
  <c r="HB88" i="2"/>
  <c r="GW88" i="2"/>
  <c r="GV88" i="2"/>
  <c r="GU88" i="2"/>
  <c r="GT88" i="2"/>
  <c r="GO88" i="2"/>
  <c r="GI88" i="2"/>
  <c r="FY88" i="2"/>
  <c r="FX88" i="2"/>
  <c r="FT88" i="2"/>
  <c r="FS88" i="2"/>
  <c r="GL88" i="2" s="1"/>
  <c r="FQ88" i="2"/>
  <c r="GJ88" i="2" s="1"/>
  <c r="FP88" i="2"/>
  <c r="FO88" i="2"/>
  <c r="FN88" i="2"/>
  <c r="FM88" i="2"/>
  <c r="FL88" i="2"/>
  <c r="FK88" i="2"/>
  <c r="FJ88" i="2"/>
  <c r="FI88" i="2"/>
  <c r="GB88" i="2" s="1"/>
  <c r="FH88" i="2"/>
  <c r="FG88" i="2"/>
  <c r="FF88" i="2"/>
  <c r="FE88" i="2"/>
  <c r="FD88" i="2"/>
  <c r="FC88" i="2"/>
  <c r="FB88" i="2"/>
  <c r="EX88" i="2"/>
  <c r="EW88" i="2"/>
  <c r="EM88" i="2"/>
  <c r="EL88" i="2"/>
  <c r="EH88" i="2"/>
  <c r="EG88" i="2"/>
  <c r="EZ88" i="2" s="1"/>
  <c r="EE88" i="2"/>
  <c r="ED88" i="2"/>
  <c r="EC88" i="2"/>
  <c r="EB88" i="2"/>
  <c r="EA88" i="2"/>
  <c r="DZ88" i="2"/>
  <c r="DY88" i="2"/>
  <c r="DX88" i="2"/>
  <c r="DW88" i="2"/>
  <c r="EP88" i="2" s="1"/>
  <c r="DV88" i="2"/>
  <c r="DU88" i="2"/>
  <c r="DT88" i="2"/>
  <c r="DS88" i="2"/>
  <c r="DR88" i="2"/>
  <c r="DQ88" i="2"/>
  <c r="DP88" i="2"/>
  <c r="DM88" i="2"/>
  <c r="DL88" i="2"/>
  <c r="HC87" i="2"/>
  <c r="HB87" i="2"/>
  <c r="GW87" i="2"/>
  <c r="GV87" i="2"/>
  <c r="GU87" i="2"/>
  <c r="GT87" i="2"/>
  <c r="GO87" i="2"/>
  <c r="GI87" i="2"/>
  <c r="FY87" i="2"/>
  <c r="FX87" i="2"/>
  <c r="FT87" i="2"/>
  <c r="FS87" i="2"/>
  <c r="GL87" i="2" s="1"/>
  <c r="FQ87" i="2"/>
  <c r="GJ87" i="2" s="1"/>
  <c r="FP87" i="2"/>
  <c r="FO87" i="2"/>
  <c r="FN87" i="2"/>
  <c r="FM87" i="2"/>
  <c r="FL87" i="2"/>
  <c r="FK87" i="2"/>
  <c r="FJ87" i="2"/>
  <c r="FI87" i="2"/>
  <c r="GB87" i="2" s="1"/>
  <c r="FH87" i="2"/>
  <c r="FG87" i="2"/>
  <c r="FF87" i="2"/>
  <c r="FE87" i="2"/>
  <c r="FD87" i="2"/>
  <c r="FC87" i="2"/>
  <c r="FB87" i="2"/>
  <c r="EX87" i="2"/>
  <c r="EW87" i="2"/>
  <c r="EM87" i="2"/>
  <c r="EH87" i="2"/>
  <c r="EG87" i="2"/>
  <c r="EZ87" i="2" s="1"/>
  <c r="EE87" i="2"/>
  <c r="ED87" i="2"/>
  <c r="EC87" i="2"/>
  <c r="EB87" i="2"/>
  <c r="EA87" i="2"/>
  <c r="DZ87" i="2"/>
  <c r="DY87" i="2"/>
  <c r="DX87" i="2"/>
  <c r="DW87" i="2"/>
  <c r="EP87" i="2" s="1"/>
  <c r="DV87" i="2"/>
  <c r="DU87" i="2"/>
  <c r="DT87" i="2"/>
  <c r="DS87" i="2"/>
  <c r="EL87" i="2" s="1"/>
  <c r="DR87" i="2"/>
  <c r="DQ87" i="2"/>
  <c r="DP87" i="2"/>
  <c r="DM87" i="2"/>
  <c r="DL87" i="2"/>
  <c r="HC86" i="2"/>
  <c r="HB86" i="2"/>
  <c r="GW86" i="2"/>
  <c r="GU86" i="2"/>
  <c r="GT86" i="2"/>
  <c r="GP86" i="2"/>
  <c r="GO86" i="2"/>
  <c r="GI86" i="2"/>
  <c r="GB86" i="2"/>
  <c r="FY86" i="2"/>
  <c r="FX86" i="2"/>
  <c r="FT86" i="2"/>
  <c r="FS86" i="2"/>
  <c r="GL86" i="2" s="1"/>
  <c r="FQ86" i="2"/>
  <c r="GJ86" i="2" s="1"/>
  <c r="FP86" i="2"/>
  <c r="FO86" i="2"/>
  <c r="FN86" i="2"/>
  <c r="FM86" i="2"/>
  <c r="FL86" i="2"/>
  <c r="FK86" i="2"/>
  <c r="FJ86" i="2"/>
  <c r="FI86" i="2"/>
  <c r="FH86" i="2"/>
  <c r="FG86" i="2"/>
  <c r="FF86" i="2"/>
  <c r="FE86" i="2"/>
  <c r="FD86" i="2"/>
  <c r="FC86" i="2"/>
  <c r="FB86" i="2"/>
  <c r="EC86" i="2"/>
  <c r="EB86" i="2"/>
  <c r="EA86" i="2"/>
  <c r="DS86" i="2"/>
  <c r="EL86" i="2" s="1"/>
  <c r="DR86" i="2"/>
  <c r="DQ86" i="2"/>
  <c r="AY86" i="2"/>
  <c r="DZ86" i="2" s="1"/>
  <c r="HC85" i="2"/>
  <c r="HB85" i="2"/>
  <c r="GW85" i="2"/>
  <c r="GV85" i="2"/>
  <c r="GU85" i="2"/>
  <c r="GT85" i="2"/>
  <c r="GP85" i="2"/>
  <c r="GQ85" i="2" s="1"/>
  <c r="GO85" i="2"/>
  <c r="GJ85" i="2"/>
  <c r="GI85" i="2"/>
  <c r="FY85" i="2"/>
  <c r="FX85" i="2"/>
  <c r="FT85" i="2"/>
  <c r="FS85" i="2"/>
  <c r="GL85" i="2" s="1"/>
  <c r="FQ85" i="2"/>
  <c r="FP85" i="2"/>
  <c r="FO85" i="2"/>
  <c r="FN85" i="2"/>
  <c r="FM85" i="2"/>
  <c r="FL85" i="2"/>
  <c r="FK85" i="2"/>
  <c r="FJ85" i="2"/>
  <c r="FI85" i="2"/>
  <c r="GB85" i="2" s="1"/>
  <c r="FH85" i="2"/>
  <c r="FG85" i="2"/>
  <c r="FF85" i="2"/>
  <c r="FE85" i="2"/>
  <c r="FD85" i="2"/>
  <c r="FC85" i="2"/>
  <c r="FB85" i="2"/>
  <c r="EZ85" i="2"/>
  <c r="EX85" i="2"/>
  <c r="EH85" i="2"/>
  <c r="EG85" i="2"/>
  <c r="EE85" i="2"/>
  <c r="ED85" i="2"/>
  <c r="EW85" i="2" s="1"/>
  <c r="EC85" i="2"/>
  <c r="EB85" i="2"/>
  <c r="EA85" i="2"/>
  <c r="DZ85" i="2"/>
  <c r="DY85" i="2"/>
  <c r="DX85" i="2"/>
  <c r="DW85" i="2"/>
  <c r="EP85" i="2" s="1"/>
  <c r="DV85" i="2"/>
  <c r="DU85" i="2"/>
  <c r="DT85" i="2"/>
  <c r="EM85" i="2" s="1"/>
  <c r="DS85" i="2"/>
  <c r="EL85" i="2" s="1"/>
  <c r="DR85" i="2"/>
  <c r="DQ85" i="2"/>
  <c r="DP85" i="2"/>
  <c r="DM85" i="2"/>
  <c r="DL85" i="2"/>
  <c r="HC84" i="2"/>
  <c r="HB84" i="2"/>
  <c r="GW84" i="2"/>
  <c r="GV84" i="2"/>
  <c r="GU84" i="2"/>
  <c r="GT84" i="2"/>
  <c r="GP84" i="2"/>
  <c r="GQ84" i="2" s="1"/>
  <c r="GO84" i="2"/>
  <c r="GJ84" i="2"/>
  <c r="GI84" i="2"/>
  <c r="FY84" i="2"/>
  <c r="FT84" i="2"/>
  <c r="FS84" i="2"/>
  <c r="GL84" i="2" s="1"/>
  <c r="FQ84" i="2"/>
  <c r="FP84" i="2"/>
  <c r="FO84" i="2"/>
  <c r="FN84" i="2"/>
  <c r="FM84" i="2"/>
  <c r="FL84" i="2"/>
  <c r="FK84" i="2"/>
  <c r="FJ84" i="2"/>
  <c r="FI84" i="2"/>
  <c r="GB84" i="2" s="1"/>
  <c r="FH84" i="2"/>
  <c r="FG84" i="2"/>
  <c r="FF84" i="2"/>
  <c r="FE84" i="2"/>
  <c r="FX84" i="2" s="1"/>
  <c r="FD84" i="2"/>
  <c r="FC84" i="2"/>
  <c r="FB84" i="2"/>
  <c r="EZ84" i="2"/>
  <c r="EX84" i="2"/>
  <c r="EW84" i="2"/>
  <c r="EH84" i="2"/>
  <c r="EG84" i="2"/>
  <c r="EE84" i="2"/>
  <c r="ED84" i="2"/>
  <c r="EC84" i="2"/>
  <c r="EB84" i="2"/>
  <c r="EA84" i="2"/>
  <c r="DZ84" i="2"/>
  <c r="DY84" i="2"/>
  <c r="DX84" i="2"/>
  <c r="DW84" i="2"/>
  <c r="EP84" i="2" s="1"/>
  <c r="DV84" i="2"/>
  <c r="DU84" i="2"/>
  <c r="DT84" i="2"/>
  <c r="EM84" i="2" s="1"/>
  <c r="DS84" i="2"/>
  <c r="EL84" i="2" s="1"/>
  <c r="DR84" i="2"/>
  <c r="DQ84" i="2"/>
  <c r="DP84" i="2"/>
  <c r="DM84" i="2"/>
  <c r="DL84" i="2"/>
  <c r="HC83" i="2"/>
  <c r="HB83" i="2"/>
  <c r="GW83" i="2"/>
  <c r="GV83" i="2"/>
  <c r="GU83" i="2"/>
  <c r="GT83" i="2"/>
  <c r="GP83" i="2"/>
  <c r="GQ83" i="2" s="1"/>
  <c r="GO83" i="2"/>
  <c r="GJ83" i="2"/>
  <c r="GI83" i="2"/>
  <c r="FY83" i="2"/>
  <c r="FX83" i="2"/>
  <c r="FT83" i="2"/>
  <c r="FS83" i="2"/>
  <c r="GL83" i="2" s="1"/>
  <c r="FQ83" i="2"/>
  <c r="FP83" i="2"/>
  <c r="FO83" i="2"/>
  <c r="FN83" i="2"/>
  <c r="FM83" i="2"/>
  <c r="FL83" i="2"/>
  <c r="FK83" i="2"/>
  <c r="FJ83" i="2"/>
  <c r="FI83" i="2"/>
  <c r="GB83" i="2" s="1"/>
  <c r="FH83" i="2"/>
  <c r="FG83" i="2"/>
  <c r="FF83" i="2"/>
  <c r="FE83" i="2"/>
  <c r="FD83" i="2"/>
  <c r="FC83" i="2"/>
  <c r="FB83" i="2"/>
  <c r="EX83" i="2"/>
  <c r="EH83" i="2"/>
  <c r="EG83" i="2"/>
  <c r="EZ83" i="2" s="1"/>
  <c r="EE83" i="2"/>
  <c r="ED83" i="2"/>
  <c r="EW83" i="2" s="1"/>
  <c r="EC83" i="2"/>
  <c r="EB83" i="2"/>
  <c r="EA83" i="2"/>
  <c r="DZ83" i="2"/>
  <c r="DY83" i="2"/>
  <c r="DX83" i="2"/>
  <c r="DW83" i="2"/>
  <c r="EP83" i="2" s="1"/>
  <c r="DV83" i="2"/>
  <c r="DU83" i="2"/>
  <c r="DT83" i="2"/>
  <c r="EM83" i="2" s="1"/>
  <c r="DS83" i="2"/>
  <c r="EL83" i="2" s="1"/>
  <c r="DR83" i="2"/>
  <c r="DQ83" i="2"/>
  <c r="DP83" i="2"/>
  <c r="DM83" i="2"/>
  <c r="DL83" i="2"/>
  <c r="HC82" i="2"/>
  <c r="HB82" i="2"/>
  <c r="GW82" i="2"/>
  <c r="GV82" i="2"/>
  <c r="GU82" i="2"/>
  <c r="GT82" i="2"/>
  <c r="GP82" i="2"/>
  <c r="GO82" i="2"/>
  <c r="GI82" i="2"/>
  <c r="FY82" i="2"/>
  <c r="FX82" i="2"/>
  <c r="FT82" i="2"/>
  <c r="FS82" i="2"/>
  <c r="GL82" i="2" s="1"/>
  <c r="FQ82" i="2"/>
  <c r="GJ82" i="2" s="1"/>
  <c r="FP82" i="2"/>
  <c r="FO82" i="2"/>
  <c r="FN82" i="2"/>
  <c r="FM82" i="2"/>
  <c r="FL82" i="2"/>
  <c r="FK82" i="2"/>
  <c r="FJ82" i="2"/>
  <c r="FI82" i="2"/>
  <c r="GB82" i="2" s="1"/>
  <c r="FH82" i="2"/>
  <c r="FG82" i="2"/>
  <c r="FF82" i="2"/>
  <c r="FE82" i="2"/>
  <c r="FD82" i="2"/>
  <c r="FC82" i="2"/>
  <c r="FB82" i="2"/>
  <c r="EZ82" i="2"/>
  <c r="EX82" i="2"/>
  <c r="EM82" i="2"/>
  <c r="EH82" i="2"/>
  <c r="EG82" i="2"/>
  <c r="EE82" i="2"/>
  <c r="ED82" i="2"/>
  <c r="EW82" i="2" s="1"/>
  <c r="EC82" i="2"/>
  <c r="EB82" i="2"/>
  <c r="EA82" i="2"/>
  <c r="DZ82" i="2"/>
  <c r="DY82" i="2"/>
  <c r="DX82" i="2"/>
  <c r="DW82" i="2"/>
  <c r="EP82" i="2" s="1"/>
  <c r="DV82" i="2"/>
  <c r="DU82" i="2"/>
  <c r="DT82" i="2"/>
  <c r="DS82" i="2"/>
  <c r="EL82" i="2" s="1"/>
  <c r="DR82" i="2"/>
  <c r="DQ82" i="2"/>
  <c r="DP82" i="2"/>
  <c r="DM82" i="2"/>
  <c r="DL82" i="2"/>
  <c r="HC81" i="2"/>
  <c r="HB81" i="2"/>
  <c r="GW81" i="2"/>
  <c r="GV81" i="2"/>
  <c r="GU81" i="2"/>
  <c r="GT81" i="2"/>
  <c r="GP81" i="2"/>
  <c r="GO81" i="2"/>
  <c r="GQ81" i="2" s="1"/>
  <c r="GJ81" i="2"/>
  <c r="GI81" i="2"/>
  <c r="FY81" i="2"/>
  <c r="FT81" i="2"/>
  <c r="FS81" i="2"/>
  <c r="GL81" i="2" s="1"/>
  <c r="FQ81" i="2"/>
  <c r="FP81" i="2"/>
  <c r="FO81" i="2"/>
  <c r="FN81" i="2"/>
  <c r="FM81" i="2"/>
  <c r="FL81" i="2"/>
  <c r="FK81" i="2"/>
  <c r="FJ81" i="2"/>
  <c r="FI81" i="2"/>
  <c r="GB81" i="2" s="1"/>
  <c r="FH81" i="2"/>
  <c r="FG81" i="2"/>
  <c r="FF81" i="2"/>
  <c r="FE81" i="2"/>
  <c r="FX81" i="2" s="1"/>
  <c r="FD81" i="2"/>
  <c r="FC81" i="2"/>
  <c r="FB81" i="2"/>
  <c r="EX81" i="2"/>
  <c r="EH81" i="2"/>
  <c r="EG81" i="2"/>
  <c r="EZ81" i="2" s="1"/>
  <c r="EE81" i="2"/>
  <c r="ED81" i="2"/>
  <c r="EW81" i="2" s="1"/>
  <c r="EC81" i="2"/>
  <c r="EB81" i="2"/>
  <c r="EA81" i="2"/>
  <c r="DZ81" i="2"/>
  <c r="DY81" i="2"/>
  <c r="DX81" i="2"/>
  <c r="DW81" i="2"/>
  <c r="EP81" i="2" s="1"/>
  <c r="DV81" i="2"/>
  <c r="DU81" i="2"/>
  <c r="DT81" i="2"/>
  <c r="EM81" i="2" s="1"/>
  <c r="DS81" i="2"/>
  <c r="EL81" i="2" s="1"/>
  <c r="DR81" i="2"/>
  <c r="DQ81" i="2"/>
  <c r="DP81" i="2"/>
  <c r="DM81" i="2"/>
  <c r="DL81" i="2"/>
  <c r="HC80" i="2"/>
  <c r="HB80" i="2"/>
  <c r="GW80" i="2"/>
  <c r="GV80" i="2"/>
  <c r="GU80" i="2"/>
  <c r="GT80" i="2"/>
  <c r="GP80" i="2"/>
  <c r="GQ80" i="2" s="1"/>
  <c r="GO80" i="2"/>
  <c r="GI80" i="2"/>
  <c r="FY80" i="2"/>
  <c r="FT80" i="2"/>
  <c r="FS80" i="2"/>
  <c r="GL80" i="2" s="1"/>
  <c r="FQ80" i="2"/>
  <c r="GJ80" i="2" s="1"/>
  <c r="FP80" i="2"/>
  <c r="FO80" i="2"/>
  <c r="FN80" i="2"/>
  <c r="FM80" i="2"/>
  <c r="FL80" i="2"/>
  <c r="FK80" i="2"/>
  <c r="FJ80" i="2"/>
  <c r="FI80" i="2"/>
  <c r="GB80" i="2" s="1"/>
  <c r="FH80" i="2"/>
  <c r="FG80" i="2"/>
  <c r="FF80" i="2"/>
  <c r="FE80" i="2"/>
  <c r="FX80" i="2" s="1"/>
  <c r="FD80" i="2"/>
  <c r="FC80" i="2"/>
  <c r="FB80" i="2"/>
  <c r="EZ80" i="2"/>
  <c r="EX80" i="2"/>
  <c r="EW80" i="2"/>
  <c r="EM80" i="2"/>
  <c r="EH80" i="2"/>
  <c r="EG80" i="2"/>
  <c r="EE80" i="2"/>
  <c r="ED80" i="2"/>
  <c r="EC80" i="2"/>
  <c r="EB80" i="2"/>
  <c r="EA80" i="2"/>
  <c r="DZ80" i="2"/>
  <c r="DY80" i="2"/>
  <c r="DX80" i="2"/>
  <c r="DW80" i="2"/>
  <c r="EP80" i="2" s="1"/>
  <c r="DV80" i="2"/>
  <c r="DU80" i="2"/>
  <c r="DT80" i="2"/>
  <c r="DS80" i="2"/>
  <c r="EL80" i="2" s="1"/>
  <c r="DR80" i="2"/>
  <c r="DQ80" i="2"/>
  <c r="DP80" i="2"/>
  <c r="DM80" i="2"/>
  <c r="DL80" i="2"/>
  <c r="HC79" i="2"/>
  <c r="HB79" i="2"/>
  <c r="GW79" i="2"/>
  <c r="GV79" i="2"/>
  <c r="GU79" i="2"/>
  <c r="GT79" i="2"/>
  <c r="GP79" i="2"/>
  <c r="GQ79" i="2" s="1"/>
  <c r="GO79" i="2"/>
  <c r="GJ79" i="2"/>
  <c r="GI79" i="2"/>
  <c r="FY79" i="2"/>
  <c r="FT79" i="2"/>
  <c r="FS79" i="2"/>
  <c r="GL79" i="2" s="1"/>
  <c r="FQ79" i="2"/>
  <c r="FP79" i="2"/>
  <c r="FO79" i="2"/>
  <c r="FN79" i="2"/>
  <c r="FM79" i="2"/>
  <c r="FL79" i="2"/>
  <c r="FK79" i="2"/>
  <c r="FJ79" i="2"/>
  <c r="FI79" i="2"/>
  <c r="GB79" i="2" s="1"/>
  <c r="FH79" i="2"/>
  <c r="FG79" i="2"/>
  <c r="FF79" i="2"/>
  <c r="FE79" i="2"/>
  <c r="FX79" i="2" s="1"/>
  <c r="FD79" i="2"/>
  <c r="FC79" i="2"/>
  <c r="FB79" i="2"/>
  <c r="EX79" i="2"/>
  <c r="EH79" i="2"/>
  <c r="EG79" i="2"/>
  <c r="EZ79" i="2" s="1"/>
  <c r="EE79" i="2"/>
  <c r="ED79" i="2"/>
  <c r="EW79" i="2" s="1"/>
  <c r="EC79" i="2"/>
  <c r="EB79" i="2"/>
  <c r="EA79" i="2"/>
  <c r="DZ79" i="2"/>
  <c r="DY79" i="2"/>
  <c r="DX79" i="2"/>
  <c r="DW79" i="2"/>
  <c r="EP79" i="2" s="1"/>
  <c r="DV79" i="2"/>
  <c r="DU79" i="2"/>
  <c r="DT79" i="2"/>
  <c r="EM79" i="2" s="1"/>
  <c r="DS79" i="2"/>
  <c r="EL79" i="2" s="1"/>
  <c r="DR79" i="2"/>
  <c r="DQ79" i="2"/>
  <c r="DP79" i="2"/>
  <c r="DM79" i="2"/>
  <c r="DL79" i="2"/>
  <c r="HC78" i="2"/>
  <c r="HB78" i="2"/>
  <c r="GW78" i="2"/>
  <c r="GV78" i="2"/>
  <c r="GU78" i="2"/>
  <c r="GT78" i="2"/>
  <c r="GO78" i="2"/>
  <c r="GI78" i="2"/>
  <c r="FY78" i="2"/>
  <c r="FT78" i="2"/>
  <c r="FS78" i="2"/>
  <c r="GL78" i="2" s="1"/>
  <c r="FQ78" i="2"/>
  <c r="GJ78" i="2" s="1"/>
  <c r="FP78" i="2"/>
  <c r="FO78" i="2"/>
  <c r="FN78" i="2"/>
  <c r="FM78" i="2"/>
  <c r="FL78" i="2"/>
  <c r="FK78" i="2"/>
  <c r="FJ78" i="2"/>
  <c r="FI78" i="2"/>
  <c r="GB78" i="2" s="1"/>
  <c r="FH78" i="2"/>
  <c r="FG78" i="2"/>
  <c r="FF78" i="2"/>
  <c r="FE78" i="2"/>
  <c r="FX78" i="2" s="1"/>
  <c r="FD78" i="2"/>
  <c r="FC78" i="2"/>
  <c r="FB78" i="2"/>
  <c r="EZ78" i="2"/>
  <c r="EX78" i="2"/>
  <c r="EH78" i="2"/>
  <c r="EG78" i="2"/>
  <c r="EE78" i="2"/>
  <c r="ED78" i="2"/>
  <c r="EW78" i="2" s="1"/>
  <c r="EC78" i="2"/>
  <c r="EB78" i="2"/>
  <c r="EA78" i="2"/>
  <c r="DZ78" i="2"/>
  <c r="DY78" i="2"/>
  <c r="DX78" i="2"/>
  <c r="DW78" i="2"/>
  <c r="EP78" i="2" s="1"/>
  <c r="DV78" i="2"/>
  <c r="DU78" i="2"/>
  <c r="DT78" i="2"/>
  <c r="EM78" i="2" s="1"/>
  <c r="DS78" i="2"/>
  <c r="EL78" i="2" s="1"/>
  <c r="DR78" i="2"/>
  <c r="DQ78" i="2"/>
  <c r="DP78" i="2"/>
  <c r="DM78" i="2"/>
  <c r="DL78" i="2"/>
  <c r="HC77" i="2"/>
  <c r="HB77" i="2"/>
  <c r="GW77" i="2"/>
  <c r="GV77" i="2"/>
  <c r="GU77" i="2"/>
  <c r="GT77" i="2"/>
  <c r="GP77" i="2"/>
  <c r="GQ77" i="2" s="1"/>
  <c r="GO77" i="2"/>
  <c r="GJ77" i="2"/>
  <c r="GI77" i="2"/>
  <c r="FY77" i="2"/>
  <c r="FX77" i="2"/>
  <c r="FT77" i="2"/>
  <c r="FS77" i="2"/>
  <c r="GL77" i="2" s="1"/>
  <c r="FQ77" i="2"/>
  <c r="FP77" i="2"/>
  <c r="FO77" i="2"/>
  <c r="FN77" i="2"/>
  <c r="FM77" i="2"/>
  <c r="FL77" i="2"/>
  <c r="FK77" i="2"/>
  <c r="FJ77" i="2"/>
  <c r="FI77" i="2"/>
  <c r="GB77" i="2" s="1"/>
  <c r="FH77" i="2"/>
  <c r="FG77" i="2"/>
  <c r="FF77" i="2"/>
  <c r="FE77" i="2"/>
  <c r="FD77" i="2"/>
  <c r="FC77" i="2"/>
  <c r="FB77" i="2"/>
  <c r="EX77" i="2"/>
  <c r="EH77" i="2"/>
  <c r="EG77" i="2"/>
  <c r="EZ77" i="2" s="1"/>
  <c r="EE77" i="2"/>
  <c r="ED77" i="2"/>
  <c r="EW77" i="2" s="1"/>
  <c r="EC77" i="2"/>
  <c r="EB77" i="2"/>
  <c r="EA77" i="2"/>
  <c r="DZ77" i="2"/>
  <c r="DY77" i="2"/>
  <c r="DX77" i="2"/>
  <c r="DW77" i="2"/>
  <c r="EP77" i="2" s="1"/>
  <c r="DV77" i="2"/>
  <c r="DU77" i="2"/>
  <c r="DT77" i="2"/>
  <c r="EM77" i="2" s="1"/>
  <c r="DS77" i="2"/>
  <c r="EL77" i="2" s="1"/>
  <c r="DR77" i="2"/>
  <c r="DQ77" i="2"/>
  <c r="DP77" i="2"/>
  <c r="DM77" i="2"/>
  <c r="DL77" i="2"/>
  <c r="HC76" i="2"/>
  <c r="HB76" i="2"/>
  <c r="GW76" i="2"/>
  <c r="GU76" i="2"/>
  <c r="GT76" i="2"/>
  <c r="GO76" i="2"/>
  <c r="GI76" i="2"/>
  <c r="FY76" i="2"/>
  <c r="FT76" i="2"/>
  <c r="FS76" i="2"/>
  <c r="GL76" i="2" s="1"/>
  <c r="FQ76" i="2"/>
  <c r="GJ76" i="2" s="1"/>
  <c r="FP76" i="2"/>
  <c r="FO76" i="2"/>
  <c r="FN76" i="2"/>
  <c r="FM76" i="2"/>
  <c r="FL76" i="2"/>
  <c r="FK76" i="2"/>
  <c r="FJ76" i="2"/>
  <c r="FI76" i="2"/>
  <c r="GB76" i="2" s="1"/>
  <c r="FH76" i="2"/>
  <c r="FG76" i="2"/>
  <c r="FF76" i="2"/>
  <c r="FE76" i="2"/>
  <c r="FX76" i="2" s="1"/>
  <c r="FD76" i="2"/>
  <c r="FC76" i="2"/>
  <c r="FB76" i="2"/>
  <c r="EM76" i="2"/>
  <c r="DT76" i="2"/>
  <c r="DS76" i="2"/>
  <c r="EL76" i="2" s="1"/>
  <c r="DR76" i="2"/>
  <c r="AY76" i="2"/>
  <c r="HC75" i="2"/>
  <c r="HB75" i="2"/>
  <c r="GW75" i="2"/>
  <c r="GV75" i="2"/>
  <c r="GU75" i="2"/>
  <c r="GT75" i="2"/>
  <c r="GP75" i="2"/>
  <c r="GO75" i="2"/>
  <c r="GB75" i="2"/>
  <c r="FT75" i="2"/>
  <c r="FS75" i="2"/>
  <c r="GL75" i="2" s="1"/>
  <c r="FQ75" i="2"/>
  <c r="GJ75" i="2" s="1"/>
  <c r="FP75" i="2"/>
  <c r="GI75" i="2" s="1"/>
  <c r="FO75" i="2"/>
  <c r="FN75" i="2"/>
  <c r="FM75" i="2"/>
  <c r="FL75" i="2"/>
  <c r="FK75" i="2"/>
  <c r="FJ75" i="2"/>
  <c r="FI75" i="2"/>
  <c r="FH75" i="2"/>
  <c r="FG75" i="2"/>
  <c r="FF75" i="2"/>
  <c r="FY75" i="2" s="1"/>
  <c r="FE75" i="2"/>
  <c r="FX75" i="2" s="1"/>
  <c r="FD75" i="2"/>
  <c r="FC75" i="2"/>
  <c r="FB75" i="2"/>
  <c r="EX75" i="2"/>
  <c r="EW75" i="2"/>
  <c r="EM75" i="2"/>
  <c r="EH75" i="2"/>
  <c r="EG75" i="2"/>
  <c r="EZ75" i="2" s="1"/>
  <c r="EE75" i="2"/>
  <c r="ED75" i="2"/>
  <c r="EC75" i="2"/>
  <c r="EB75" i="2"/>
  <c r="EA75" i="2"/>
  <c r="DZ75" i="2"/>
  <c r="DY75" i="2"/>
  <c r="DX75" i="2"/>
  <c r="DW75" i="2"/>
  <c r="EP75" i="2" s="1"/>
  <c r="DV75" i="2"/>
  <c r="DU75" i="2"/>
  <c r="DT75" i="2"/>
  <c r="DS75" i="2"/>
  <c r="EL75" i="2" s="1"/>
  <c r="DR75" i="2"/>
  <c r="DQ75" i="2"/>
  <c r="DP75" i="2"/>
  <c r="DM75" i="2"/>
  <c r="DL75" i="2"/>
  <c r="HC74" i="2"/>
  <c r="HB74" i="2"/>
  <c r="GW74" i="2"/>
  <c r="GV74" i="2"/>
  <c r="GU74" i="2"/>
  <c r="GT74" i="2"/>
  <c r="GP74" i="2"/>
  <c r="GQ74" i="2" s="1"/>
  <c r="GO74" i="2"/>
  <c r="GI74" i="2"/>
  <c r="FY74" i="2"/>
  <c r="FX74" i="2"/>
  <c r="FT74" i="2"/>
  <c r="FS74" i="2"/>
  <c r="GL74" i="2" s="1"/>
  <c r="FQ74" i="2"/>
  <c r="GJ74" i="2" s="1"/>
  <c r="FP74" i="2"/>
  <c r="FO74" i="2"/>
  <c r="FN74" i="2"/>
  <c r="FM74" i="2"/>
  <c r="FL74" i="2"/>
  <c r="FK74" i="2"/>
  <c r="FJ74" i="2"/>
  <c r="FI74" i="2"/>
  <c r="GB74" i="2" s="1"/>
  <c r="FH74" i="2"/>
  <c r="FG74" i="2"/>
  <c r="FF74" i="2"/>
  <c r="FE74" i="2"/>
  <c r="FD74" i="2"/>
  <c r="FC74" i="2"/>
  <c r="FB74" i="2"/>
  <c r="EH74" i="2"/>
  <c r="EG74" i="2"/>
  <c r="EZ74" i="2" s="1"/>
  <c r="ED74" i="2"/>
  <c r="EW74" i="2" s="1"/>
  <c r="EC74" i="2"/>
  <c r="EB74" i="2"/>
  <c r="EA74" i="2"/>
  <c r="DZ74" i="2"/>
  <c r="DY74" i="2"/>
  <c r="DX74" i="2"/>
  <c r="DW74" i="2"/>
  <c r="EP74" i="2" s="1"/>
  <c r="DV74" i="2"/>
  <c r="DU74" i="2"/>
  <c r="DT74" i="2"/>
  <c r="EM74" i="2" s="1"/>
  <c r="DS74" i="2"/>
  <c r="EL74" i="2" s="1"/>
  <c r="DR74" i="2"/>
  <c r="DQ74" i="2"/>
  <c r="DP74" i="2"/>
  <c r="DM74" i="2"/>
  <c r="DL74" i="2"/>
  <c r="BO74" i="2"/>
  <c r="AT74" i="2"/>
  <c r="EE74" i="2" s="1"/>
  <c r="EX74" i="2" s="1"/>
  <c r="HC73" i="2"/>
  <c r="HB73" i="2"/>
  <c r="GW73" i="2"/>
  <c r="GV73" i="2"/>
  <c r="GU73" i="2"/>
  <c r="GT73" i="2"/>
  <c r="GP73" i="2"/>
  <c r="GQ73" i="2" s="1"/>
  <c r="GO73" i="2"/>
  <c r="GB73" i="2"/>
  <c r="FT73" i="2"/>
  <c r="FS73" i="2"/>
  <c r="GL73" i="2" s="1"/>
  <c r="FQ73" i="2"/>
  <c r="GJ73" i="2" s="1"/>
  <c r="FP73" i="2"/>
  <c r="GI73" i="2" s="1"/>
  <c r="FO73" i="2"/>
  <c r="FN73" i="2"/>
  <c r="FM73" i="2"/>
  <c r="FL73" i="2"/>
  <c r="FK73" i="2"/>
  <c r="FJ73" i="2"/>
  <c r="FI73" i="2"/>
  <c r="FH73" i="2"/>
  <c r="FG73" i="2"/>
  <c r="FF73" i="2"/>
  <c r="FY73" i="2" s="1"/>
  <c r="FE73" i="2"/>
  <c r="FX73" i="2" s="1"/>
  <c r="FD73" i="2"/>
  <c r="FC73" i="2"/>
  <c r="FB73" i="2"/>
  <c r="EZ73" i="2"/>
  <c r="EP73" i="2"/>
  <c r="EH73" i="2"/>
  <c r="EG73" i="2"/>
  <c r="EE73" i="2"/>
  <c r="EX73" i="2" s="1"/>
  <c r="ED73" i="2"/>
  <c r="EW73" i="2" s="1"/>
  <c r="EC73" i="2"/>
  <c r="EB73" i="2"/>
  <c r="EA73" i="2"/>
  <c r="DZ73" i="2"/>
  <c r="DY73" i="2"/>
  <c r="DX73" i="2"/>
  <c r="DW73" i="2"/>
  <c r="DV73" i="2"/>
  <c r="DU73" i="2"/>
  <c r="DT73" i="2"/>
  <c r="EM73" i="2" s="1"/>
  <c r="DS73" i="2"/>
  <c r="EL73" i="2" s="1"/>
  <c r="DR73" i="2"/>
  <c r="DQ73" i="2"/>
  <c r="DP73" i="2"/>
  <c r="DM73" i="2"/>
  <c r="DL73" i="2"/>
  <c r="HC72" i="2"/>
  <c r="HB72" i="2"/>
  <c r="GW72" i="2"/>
  <c r="GV72" i="2"/>
  <c r="GU72" i="2"/>
  <c r="GT72" i="2"/>
  <c r="GP72" i="2"/>
  <c r="GQ72" i="2" s="1"/>
  <c r="GO72" i="2"/>
  <c r="GL72" i="2"/>
  <c r="GJ72" i="2"/>
  <c r="GI72" i="2"/>
  <c r="FY72" i="2"/>
  <c r="FX72" i="2"/>
  <c r="FT72" i="2"/>
  <c r="FS72" i="2"/>
  <c r="FQ72" i="2"/>
  <c r="FP72" i="2"/>
  <c r="FO72" i="2"/>
  <c r="FN72" i="2"/>
  <c r="FM72" i="2"/>
  <c r="FL72" i="2"/>
  <c r="FK72" i="2"/>
  <c r="FJ72" i="2"/>
  <c r="FI72" i="2"/>
  <c r="GB72" i="2" s="1"/>
  <c r="FH72" i="2"/>
  <c r="FG72" i="2"/>
  <c r="FF72" i="2"/>
  <c r="FE72" i="2"/>
  <c r="FD72" i="2"/>
  <c r="FC72" i="2"/>
  <c r="FB72" i="2"/>
  <c r="EW72" i="2"/>
  <c r="EM72" i="2"/>
  <c r="EH72" i="2"/>
  <c r="EG72" i="2"/>
  <c r="EZ72" i="2" s="1"/>
  <c r="EE72" i="2"/>
  <c r="EX72" i="2" s="1"/>
  <c r="ED72" i="2"/>
  <c r="EC72" i="2"/>
  <c r="EB72" i="2"/>
  <c r="EA72" i="2"/>
  <c r="DZ72" i="2"/>
  <c r="DY72" i="2"/>
  <c r="DX72" i="2"/>
  <c r="DW72" i="2"/>
  <c r="EP72" i="2" s="1"/>
  <c r="DV72" i="2"/>
  <c r="DU72" i="2"/>
  <c r="DT72" i="2"/>
  <c r="DS72" i="2"/>
  <c r="EL72" i="2" s="1"/>
  <c r="DR72" i="2"/>
  <c r="DQ72" i="2"/>
  <c r="DP72" i="2"/>
  <c r="DM72" i="2"/>
  <c r="DL72" i="2"/>
  <c r="GV71" i="2"/>
  <c r="GU71" i="2"/>
  <c r="GP71" i="2"/>
  <c r="GQ71" i="2" s="1"/>
  <c r="GO71" i="2"/>
  <c r="FS71" i="2"/>
  <c r="GL71" i="2" s="1"/>
  <c r="FQ71" i="2"/>
  <c r="GJ71" i="2" s="1"/>
  <c r="FE71" i="2"/>
  <c r="FX71" i="2" s="1"/>
  <c r="EZ71" i="2"/>
  <c r="EX71" i="2"/>
  <c r="EM71" i="2"/>
  <c r="EH71" i="2"/>
  <c r="EG71" i="2"/>
  <c r="EE71" i="2"/>
  <c r="EC71" i="2"/>
  <c r="EB71" i="2"/>
  <c r="EA71" i="2"/>
  <c r="DY71" i="2"/>
  <c r="DX71" i="2"/>
  <c r="DW71" i="2"/>
  <c r="EP71" i="2" s="1"/>
  <c r="DV71" i="2"/>
  <c r="DU71" i="2"/>
  <c r="DT71" i="2"/>
  <c r="DR71" i="2"/>
  <c r="DQ71" i="2"/>
  <c r="DM71" i="2"/>
  <c r="CO71" i="2"/>
  <c r="FH71" i="2" s="1"/>
  <c r="CB71" i="2"/>
  <c r="BT71" i="2"/>
  <c r="FN71" i="2" s="1"/>
  <c r="AL71" i="2"/>
  <c r="AD71" i="2"/>
  <c r="ED71" i="2" s="1"/>
  <c r="EW71" i="2" s="1"/>
  <c r="Q71" i="2"/>
  <c r="GT71" i="2" s="1"/>
  <c r="I71" i="2"/>
  <c r="DZ71" i="2" s="1"/>
  <c r="HC70" i="2"/>
  <c r="HB70" i="2"/>
  <c r="GW70" i="2"/>
  <c r="GV70" i="2"/>
  <c r="GU70" i="2"/>
  <c r="GT70" i="2"/>
  <c r="GQ70" i="2"/>
  <c r="GO70" i="2"/>
  <c r="GP70" i="2" s="1"/>
  <c r="GJ70" i="2"/>
  <c r="GI70" i="2"/>
  <c r="GB70" i="2"/>
  <c r="FY70" i="2"/>
  <c r="FX70" i="2"/>
  <c r="FT70" i="2"/>
  <c r="FS70" i="2"/>
  <c r="GL70" i="2" s="1"/>
  <c r="FQ70" i="2"/>
  <c r="FP70" i="2"/>
  <c r="FO70" i="2"/>
  <c r="FN70" i="2"/>
  <c r="FM70" i="2"/>
  <c r="FL70" i="2"/>
  <c r="FK70" i="2"/>
  <c r="FJ70" i="2"/>
  <c r="FI70" i="2"/>
  <c r="FH70" i="2"/>
  <c r="FG70" i="2"/>
  <c r="FF70" i="2"/>
  <c r="FE70" i="2"/>
  <c r="FD70" i="2"/>
  <c r="FC70" i="2"/>
  <c r="FB70" i="2"/>
  <c r="EP70" i="2"/>
  <c r="EL70" i="2"/>
  <c r="EH70" i="2"/>
  <c r="EG70" i="2"/>
  <c r="EZ70" i="2" s="1"/>
  <c r="EE70" i="2"/>
  <c r="EX70" i="2" s="1"/>
  <c r="ED70" i="2"/>
  <c r="EW70" i="2" s="1"/>
  <c r="EC70" i="2"/>
  <c r="EB70" i="2"/>
  <c r="EA70" i="2"/>
  <c r="DZ70" i="2"/>
  <c r="DY70" i="2"/>
  <c r="DX70" i="2"/>
  <c r="DW70" i="2"/>
  <c r="DV70" i="2"/>
  <c r="DU70" i="2"/>
  <c r="DT70" i="2"/>
  <c r="EM70" i="2" s="1"/>
  <c r="DS70" i="2"/>
  <c r="DR70" i="2"/>
  <c r="DQ70" i="2"/>
  <c r="DP70" i="2"/>
  <c r="DM70" i="2"/>
  <c r="DL70" i="2"/>
  <c r="HC69" i="2"/>
  <c r="HB69" i="2"/>
  <c r="GW69" i="2"/>
  <c r="GV69" i="2"/>
  <c r="GU69" i="2"/>
  <c r="GT69" i="2"/>
  <c r="GP69" i="2"/>
  <c r="GQ69" i="2" s="1"/>
  <c r="GO69" i="2"/>
  <c r="GL69" i="2"/>
  <c r="GJ69" i="2"/>
  <c r="FX69" i="2"/>
  <c r="FT69" i="2"/>
  <c r="FS69" i="2"/>
  <c r="FQ69" i="2"/>
  <c r="FP69" i="2"/>
  <c r="GI69" i="2" s="1"/>
  <c r="FO69" i="2"/>
  <c r="FN69" i="2"/>
  <c r="FM69" i="2"/>
  <c r="FL69" i="2"/>
  <c r="FK69" i="2"/>
  <c r="FJ69" i="2"/>
  <c r="FI69" i="2"/>
  <c r="GB69" i="2" s="1"/>
  <c r="FH69" i="2"/>
  <c r="FG69" i="2"/>
  <c r="FF69" i="2"/>
  <c r="FY69" i="2" s="1"/>
  <c r="FE69" i="2"/>
  <c r="FD69" i="2"/>
  <c r="FC69" i="2"/>
  <c r="FB69" i="2"/>
  <c r="EW69" i="2"/>
  <c r="EM69" i="2"/>
  <c r="EL69" i="2"/>
  <c r="EH69" i="2"/>
  <c r="EG69" i="2"/>
  <c r="EZ69" i="2" s="1"/>
  <c r="ED69" i="2"/>
  <c r="EC69" i="2"/>
  <c r="EB69" i="2"/>
  <c r="EA69" i="2"/>
  <c r="DZ69" i="2"/>
  <c r="DY69" i="2"/>
  <c r="DX69" i="2"/>
  <c r="DW69" i="2"/>
  <c r="EP69" i="2" s="1"/>
  <c r="DV69" i="2"/>
  <c r="DU69" i="2"/>
  <c r="DT69" i="2"/>
  <c r="DS69" i="2"/>
  <c r="DR69" i="2"/>
  <c r="DQ69" i="2"/>
  <c r="DP69" i="2"/>
  <c r="DM69" i="2"/>
  <c r="DL69" i="2"/>
  <c r="AT69" i="2"/>
  <c r="Y69" i="2"/>
  <c r="EE69" i="2" s="1"/>
  <c r="EX69" i="2" s="1"/>
  <c r="HC68" i="2"/>
  <c r="HB68" i="2"/>
  <c r="GW68" i="2"/>
  <c r="GV68" i="2"/>
  <c r="GU68" i="2"/>
  <c r="GT68" i="2"/>
  <c r="GO68" i="2"/>
  <c r="GB68" i="2"/>
  <c r="FT68" i="2"/>
  <c r="FS68" i="2"/>
  <c r="GL68" i="2" s="1"/>
  <c r="FQ68" i="2"/>
  <c r="GJ68" i="2" s="1"/>
  <c r="FP68" i="2"/>
  <c r="GI68" i="2" s="1"/>
  <c r="FO68" i="2"/>
  <c r="FN68" i="2"/>
  <c r="FM68" i="2"/>
  <c r="FL68" i="2"/>
  <c r="FK68" i="2"/>
  <c r="FJ68" i="2"/>
  <c r="FI68" i="2"/>
  <c r="FH68" i="2"/>
  <c r="FG68" i="2"/>
  <c r="FF68" i="2"/>
  <c r="FY68" i="2" s="1"/>
  <c r="FE68" i="2"/>
  <c r="FX68" i="2" s="1"/>
  <c r="FD68" i="2"/>
  <c r="FC68" i="2"/>
  <c r="FB68" i="2"/>
  <c r="EZ68" i="2"/>
  <c r="EX68" i="2"/>
  <c r="EW68" i="2"/>
  <c r="EM68" i="2"/>
  <c r="EH68" i="2"/>
  <c r="EG68" i="2"/>
  <c r="EE68" i="2"/>
  <c r="ED68" i="2"/>
  <c r="EC68" i="2"/>
  <c r="EB68" i="2"/>
  <c r="EA68" i="2"/>
  <c r="DZ68" i="2"/>
  <c r="DY68" i="2"/>
  <c r="DX68" i="2"/>
  <c r="DW68" i="2"/>
  <c r="EP68" i="2" s="1"/>
  <c r="DV68" i="2"/>
  <c r="DU68" i="2"/>
  <c r="DT68" i="2"/>
  <c r="DS68" i="2"/>
  <c r="EL68" i="2" s="1"/>
  <c r="DR68" i="2"/>
  <c r="DQ68" i="2"/>
  <c r="DP68" i="2"/>
  <c r="DM68" i="2"/>
  <c r="DL68" i="2"/>
  <c r="HC67" i="2"/>
  <c r="HB67" i="2"/>
  <c r="GW67" i="2"/>
  <c r="GV67" i="2"/>
  <c r="GU67" i="2"/>
  <c r="GT67" i="2"/>
  <c r="GO67" i="2"/>
  <c r="GI67" i="2"/>
  <c r="GB67" i="2"/>
  <c r="FY67" i="2"/>
  <c r="FT67" i="2"/>
  <c r="FS67" i="2"/>
  <c r="GL67" i="2" s="1"/>
  <c r="FQ67" i="2"/>
  <c r="GJ67" i="2" s="1"/>
  <c r="FP67" i="2"/>
  <c r="FO67" i="2"/>
  <c r="FN67" i="2"/>
  <c r="FM67" i="2"/>
  <c r="FL67" i="2"/>
  <c r="FK67" i="2"/>
  <c r="FJ67" i="2"/>
  <c r="FI67" i="2"/>
  <c r="FH67" i="2"/>
  <c r="FG67" i="2"/>
  <c r="FF67" i="2"/>
  <c r="FE67" i="2"/>
  <c r="FX67" i="2" s="1"/>
  <c r="FD67" i="2"/>
  <c r="FC67" i="2"/>
  <c r="FB67" i="2"/>
  <c r="EZ67" i="2"/>
  <c r="EX67" i="2"/>
  <c r="EW67" i="2"/>
  <c r="EP67" i="2"/>
  <c r="EL67" i="2"/>
  <c r="EH67" i="2"/>
  <c r="EG67" i="2"/>
  <c r="EE67" i="2"/>
  <c r="ED67" i="2"/>
  <c r="EC67" i="2"/>
  <c r="EB67" i="2"/>
  <c r="EA67" i="2"/>
  <c r="DZ67" i="2"/>
  <c r="DY67" i="2"/>
  <c r="DX67" i="2"/>
  <c r="DW67" i="2"/>
  <c r="DV67" i="2"/>
  <c r="DU67" i="2"/>
  <c r="DT67" i="2"/>
  <c r="EM67" i="2" s="1"/>
  <c r="DS67" i="2"/>
  <c r="DR67" i="2"/>
  <c r="DQ67" i="2"/>
  <c r="DP67" i="2"/>
  <c r="DM67" i="2"/>
  <c r="DL67" i="2"/>
  <c r="HC66" i="2"/>
  <c r="HB66" i="2"/>
  <c r="GW66" i="2"/>
  <c r="GV66" i="2"/>
  <c r="GU66" i="2"/>
  <c r="GT66" i="2"/>
  <c r="GP66" i="2"/>
  <c r="GO66" i="2"/>
  <c r="GQ66" i="2" s="1"/>
  <c r="GB66" i="2"/>
  <c r="FX66" i="2"/>
  <c r="FT66" i="2"/>
  <c r="FS66" i="2"/>
  <c r="GL66" i="2" s="1"/>
  <c r="FQ66" i="2"/>
  <c r="GJ66" i="2" s="1"/>
  <c r="FP66" i="2"/>
  <c r="GI66" i="2" s="1"/>
  <c r="FO66" i="2"/>
  <c r="FN66" i="2"/>
  <c r="FM66" i="2"/>
  <c r="FL66" i="2"/>
  <c r="FK66" i="2"/>
  <c r="FJ66" i="2"/>
  <c r="FI66" i="2"/>
  <c r="FH66" i="2"/>
  <c r="FG66" i="2"/>
  <c r="FF66" i="2"/>
  <c r="FY66" i="2" s="1"/>
  <c r="FE66" i="2"/>
  <c r="FD66" i="2"/>
  <c r="FC66" i="2"/>
  <c r="FB66" i="2"/>
  <c r="EZ66" i="2"/>
  <c r="EX66" i="2"/>
  <c r="EH66" i="2"/>
  <c r="EG66" i="2"/>
  <c r="EE66" i="2"/>
  <c r="ED66" i="2"/>
  <c r="EW66" i="2" s="1"/>
  <c r="EC66" i="2"/>
  <c r="EB66" i="2"/>
  <c r="EA66" i="2"/>
  <c r="DZ66" i="2"/>
  <c r="DY66" i="2"/>
  <c r="DX66" i="2"/>
  <c r="DW66" i="2"/>
  <c r="EP66" i="2" s="1"/>
  <c r="DV66" i="2"/>
  <c r="DU66" i="2"/>
  <c r="DT66" i="2"/>
  <c r="EM66" i="2" s="1"/>
  <c r="DS66" i="2"/>
  <c r="EL66" i="2" s="1"/>
  <c r="DR66" i="2"/>
  <c r="DQ66" i="2"/>
  <c r="DP66" i="2"/>
  <c r="DM66" i="2"/>
  <c r="DL66" i="2"/>
  <c r="HC65" i="2"/>
  <c r="HB65" i="2"/>
  <c r="GW65" i="2"/>
  <c r="GV65" i="2"/>
  <c r="GU65" i="2"/>
  <c r="GT65" i="2"/>
  <c r="GP65" i="2"/>
  <c r="GQ65" i="2" s="1"/>
  <c r="GO65" i="2"/>
  <c r="GI65" i="2"/>
  <c r="GD65" i="2"/>
  <c r="FY65" i="2"/>
  <c r="FX65" i="2"/>
  <c r="FT65" i="2"/>
  <c r="FS65" i="2"/>
  <c r="GL65" i="2" s="1"/>
  <c r="FQ65" i="2"/>
  <c r="GJ65" i="2" s="1"/>
  <c r="FP65" i="2"/>
  <c r="FO65" i="2"/>
  <c r="FN65" i="2"/>
  <c r="FM65" i="2"/>
  <c r="FL65" i="2"/>
  <c r="FK65" i="2"/>
  <c r="FJ65" i="2"/>
  <c r="FI65" i="2"/>
  <c r="GB65" i="2" s="1"/>
  <c r="FH65" i="2"/>
  <c r="FG65" i="2"/>
  <c r="FF65" i="2"/>
  <c r="FE65" i="2"/>
  <c r="FD65" i="2"/>
  <c r="FC65" i="2"/>
  <c r="FB65" i="2"/>
  <c r="EZ65" i="2"/>
  <c r="EX65" i="2"/>
  <c r="EW65" i="2"/>
  <c r="EP65" i="2"/>
  <c r="EM65" i="2"/>
  <c r="EL65" i="2"/>
  <c r="EH65" i="2"/>
  <c r="EG65" i="2"/>
  <c r="EE65" i="2"/>
  <c r="ED65" i="2"/>
  <c r="EC65" i="2"/>
  <c r="EB65" i="2"/>
  <c r="EA65" i="2"/>
  <c r="DZ65" i="2"/>
  <c r="DY65" i="2"/>
  <c r="DX65" i="2"/>
  <c r="DW65" i="2"/>
  <c r="DV65" i="2"/>
  <c r="DU65" i="2"/>
  <c r="DT65" i="2"/>
  <c r="DS65" i="2"/>
  <c r="DR65" i="2"/>
  <c r="DQ65" i="2"/>
  <c r="DP65" i="2"/>
  <c r="DM65" i="2"/>
  <c r="DL65" i="2"/>
  <c r="HC64" i="2"/>
  <c r="HB64" i="2"/>
  <c r="GW64" i="2"/>
  <c r="GV64" i="2"/>
  <c r="GU64" i="2"/>
  <c r="GT64" i="2"/>
  <c r="GQ64" i="2"/>
  <c r="GP64" i="2"/>
  <c r="GO64" i="2"/>
  <c r="GI64" i="2"/>
  <c r="FY64" i="2"/>
  <c r="FX64" i="2"/>
  <c r="FT64" i="2"/>
  <c r="FS64" i="2"/>
  <c r="GL64" i="2" s="1"/>
  <c r="FQ64" i="2"/>
  <c r="GJ64" i="2" s="1"/>
  <c r="FP64" i="2"/>
  <c r="FO64" i="2"/>
  <c r="FN64" i="2"/>
  <c r="FM64" i="2"/>
  <c r="FL64" i="2"/>
  <c r="FK64" i="2"/>
  <c r="FJ64" i="2"/>
  <c r="FI64" i="2"/>
  <c r="GB64" i="2" s="1"/>
  <c r="FH64" i="2"/>
  <c r="FG64" i="2"/>
  <c r="FF64" i="2"/>
  <c r="FE64" i="2"/>
  <c r="FD64" i="2"/>
  <c r="FC64" i="2"/>
  <c r="FB64" i="2"/>
  <c r="EZ64" i="2"/>
  <c r="EX64" i="2"/>
  <c r="EW64" i="2"/>
  <c r="EL64" i="2"/>
  <c r="EH64" i="2"/>
  <c r="EG64" i="2"/>
  <c r="EE64" i="2"/>
  <c r="ED64" i="2"/>
  <c r="EC64" i="2"/>
  <c r="EB64" i="2"/>
  <c r="EA64" i="2"/>
  <c r="DZ64" i="2"/>
  <c r="DY64" i="2"/>
  <c r="DX64" i="2"/>
  <c r="DW64" i="2"/>
  <c r="EP64" i="2" s="1"/>
  <c r="DV64" i="2"/>
  <c r="DU64" i="2"/>
  <c r="DT64" i="2"/>
  <c r="EM64" i="2" s="1"/>
  <c r="DS64" i="2"/>
  <c r="DR64" i="2"/>
  <c r="DQ64" i="2"/>
  <c r="DP64" i="2"/>
  <c r="DM64" i="2"/>
  <c r="DL64" i="2"/>
  <c r="HC63" i="2"/>
  <c r="HB63" i="2"/>
  <c r="GW63" i="2"/>
  <c r="GV63" i="2"/>
  <c r="GU63" i="2"/>
  <c r="GT63" i="2"/>
  <c r="GQ63" i="2"/>
  <c r="GP63" i="2"/>
  <c r="GO63" i="2"/>
  <c r="GJ63" i="2"/>
  <c r="GI63" i="2"/>
  <c r="FY63" i="2"/>
  <c r="FX63" i="2"/>
  <c r="FT63" i="2"/>
  <c r="FS63" i="2"/>
  <c r="GL63" i="2" s="1"/>
  <c r="FQ63" i="2"/>
  <c r="FP63" i="2"/>
  <c r="FO63" i="2"/>
  <c r="FN63" i="2"/>
  <c r="FM63" i="2"/>
  <c r="FL63" i="2"/>
  <c r="FK63" i="2"/>
  <c r="FJ63" i="2"/>
  <c r="FI63" i="2"/>
  <c r="GB63" i="2" s="1"/>
  <c r="FH63" i="2"/>
  <c r="FG63" i="2"/>
  <c r="FF63" i="2"/>
  <c r="FE63" i="2"/>
  <c r="FD63" i="2"/>
  <c r="FC63" i="2"/>
  <c r="FB63" i="2"/>
  <c r="EZ63" i="2"/>
  <c r="EX63" i="2"/>
  <c r="EW63" i="2"/>
  <c r="EP63" i="2"/>
  <c r="EM63" i="2"/>
  <c r="EL63" i="2"/>
  <c r="EH63" i="2"/>
  <c r="EG63" i="2"/>
  <c r="EE63" i="2"/>
  <c r="ED63" i="2"/>
  <c r="EC63" i="2"/>
  <c r="EB63" i="2"/>
  <c r="EA63" i="2"/>
  <c r="DZ63" i="2"/>
  <c r="DY63" i="2"/>
  <c r="DX63" i="2"/>
  <c r="DW63" i="2"/>
  <c r="DV63" i="2"/>
  <c r="DU63" i="2"/>
  <c r="DT63" i="2"/>
  <c r="DS63" i="2"/>
  <c r="DR63" i="2"/>
  <c r="DQ63" i="2"/>
  <c r="DP63" i="2"/>
  <c r="DM63" i="2"/>
  <c r="DL63" i="2"/>
  <c r="HC62" i="2"/>
  <c r="HB62" i="2"/>
  <c r="GW62" i="2"/>
  <c r="GV62" i="2"/>
  <c r="GU62" i="2"/>
  <c r="GT62" i="2"/>
  <c r="HN18" i="2" s="1"/>
  <c r="GQ62" i="2"/>
  <c r="GP62" i="2"/>
  <c r="GO62" i="2"/>
  <c r="GJ62" i="2"/>
  <c r="GI62" i="2"/>
  <c r="GD62" i="2"/>
  <c r="FY62" i="2"/>
  <c r="FX62" i="2"/>
  <c r="FT62" i="2"/>
  <c r="FS62" i="2"/>
  <c r="GL62" i="2" s="1"/>
  <c r="FQ62" i="2"/>
  <c r="FP62" i="2"/>
  <c r="FO62" i="2"/>
  <c r="FN62" i="2"/>
  <c r="FM62" i="2"/>
  <c r="FL62" i="2"/>
  <c r="FK62" i="2"/>
  <c r="FJ62" i="2"/>
  <c r="FI62" i="2"/>
  <c r="GB62" i="2" s="1"/>
  <c r="FH62" i="2"/>
  <c r="FG62" i="2"/>
  <c r="FF62" i="2"/>
  <c r="FE62" i="2"/>
  <c r="FD62" i="2"/>
  <c r="FC62" i="2"/>
  <c r="FB62" i="2"/>
  <c r="EX62" i="2"/>
  <c r="EW62" i="2"/>
  <c r="EM62" i="2"/>
  <c r="EL62" i="2"/>
  <c r="EH62" i="2"/>
  <c r="EG62" i="2"/>
  <c r="EZ62" i="2" s="1"/>
  <c r="EE62" i="2"/>
  <c r="ED62" i="2"/>
  <c r="EC62" i="2"/>
  <c r="EB62" i="2"/>
  <c r="EA62" i="2"/>
  <c r="DZ62" i="2"/>
  <c r="DY62" i="2"/>
  <c r="DX62" i="2"/>
  <c r="DW62" i="2"/>
  <c r="EP62" i="2" s="1"/>
  <c r="DV62" i="2"/>
  <c r="DU62" i="2"/>
  <c r="DT62" i="2"/>
  <c r="DS62" i="2"/>
  <c r="DR62" i="2"/>
  <c r="DQ62" i="2"/>
  <c r="DP62" i="2"/>
  <c r="DM62" i="2"/>
  <c r="DL62" i="2"/>
  <c r="HC61" i="2"/>
  <c r="HB61" i="2"/>
  <c r="GW61" i="2"/>
  <c r="GV61" i="2"/>
  <c r="GU61" i="2"/>
  <c r="GT61" i="2"/>
  <c r="GQ61" i="2"/>
  <c r="GP61" i="2"/>
  <c r="GO61" i="2"/>
  <c r="GJ61" i="2"/>
  <c r="GI61" i="2"/>
  <c r="FY61" i="2"/>
  <c r="FT61" i="2"/>
  <c r="FS61" i="2"/>
  <c r="GL61" i="2" s="1"/>
  <c r="FQ61" i="2"/>
  <c r="FP61" i="2"/>
  <c r="FO61" i="2"/>
  <c r="FN61" i="2"/>
  <c r="FM61" i="2"/>
  <c r="FL61" i="2"/>
  <c r="FK61" i="2"/>
  <c r="FJ61" i="2"/>
  <c r="FI61" i="2"/>
  <c r="GB61" i="2" s="1"/>
  <c r="FH61" i="2"/>
  <c r="FG61" i="2"/>
  <c r="FF61" i="2"/>
  <c r="FE61" i="2"/>
  <c r="FX61" i="2" s="1"/>
  <c r="FD61" i="2"/>
  <c r="FC61" i="2"/>
  <c r="FB61" i="2"/>
  <c r="EZ61" i="2"/>
  <c r="EX61" i="2"/>
  <c r="EM61" i="2"/>
  <c r="EH61" i="2"/>
  <c r="EG61" i="2"/>
  <c r="EE61" i="2"/>
  <c r="ED61" i="2"/>
  <c r="EW61" i="2" s="1"/>
  <c r="EC61" i="2"/>
  <c r="EB61" i="2"/>
  <c r="EA61" i="2"/>
  <c r="DZ61" i="2"/>
  <c r="DY61" i="2"/>
  <c r="DX61" i="2"/>
  <c r="DW61" i="2"/>
  <c r="EP61" i="2" s="1"/>
  <c r="DV61" i="2"/>
  <c r="DU61" i="2"/>
  <c r="DT61" i="2"/>
  <c r="DS61" i="2"/>
  <c r="EL61" i="2" s="1"/>
  <c r="DR61" i="2"/>
  <c r="DQ61" i="2"/>
  <c r="DP61" i="2"/>
  <c r="DM61" i="2"/>
  <c r="DL61" i="2"/>
  <c r="HC60" i="2"/>
  <c r="HB60" i="2"/>
  <c r="GW60" i="2"/>
  <c r="GV60" i="2"/>
  <c r="GU60" i="2"/>
  <c r="GT60" i="2"/>
  <c r="GQ60" i="2"/>
  <c r="GP60" i="2"/>
  <c r="GO60" i="2"/>
  <c r="GL60" i="2"/>
  <c r="GJ60" i="2"/>
  <c r="GI60" i="2"/>
  <c r="FY60" i="2"/>
  <c r="FT60" i="2"/>
  <c r="FS60" i="2"/>
  <c r="FQ60" i="2"/>
  <c r="FP60" i="2"/>
  <c r="FO60" i="2"/>
  <c r="FN60" i="2"/>
  <c r="FM60" i="2"/>
  <c r="FL60" i="2"/>
  <c r="FK60" i="2"/>
  <c r="FJ60" i="2"/>
  <c r="FI60" i="2"/>
  <c r="GB60" i="2" s="1"/>
  <c r="FH60" i="2"/>
  <c r="FG60" i="2"/>
  <c r="FF60" i="2"/>
  <c r="FE60" i="2"/>
  <c r="FX60" i="2" s="1"/>
  <c r="FD60" i="2"/>
  <c r="FC60" i="2"/>
  <c r="FB60" i="2"/>
  <c r="EZ60" i="2"/>
  <c r="EX60" i="2"/>
  <c r="EW60" i="2"/>
  <c r="EM60" i="2"/>
  <c r="EH60" i="2"/>
  <c r="EG60" i="2"/>
  <c r="EE60" i="2"/>
  <c r="ED60" i="2"/>
  <c r="EC60" i="2"/>
  <c r="EB60" i="2"/>
  <c r="EA60" i="2"/>
  <c r="DZ60" i="2"/>
  <c r="DY60" i="2"/>
  <c r="DX60" i="2"/>
  <c r="DW60" i="2"/>
  <c r="EP60" i="2" s="1"/>
  <c r="DV60" i="2"/>
  <c r="DU60" i="2"/>
  <c r="DT60" i="2"/>
  <c r="DS60" i="2"/>
  <c r="EL60" i="2" s="1"/>
  <c r="DR60" i="2"/>
  <c r="DQ60" i="2"/>
  <c r="DP60" i="2"/>
  <c r="DM60" i="2"/>
  <c r="DL60" i="2"/>
  <c r="HC59" i="2"/>
  <c r="HB59" i="2"/>
  <c r="GW59" i="2"/>
  <c r="GV59" i="2"/>
  <c r="GU59" i="2"/>
  <c r="GT59" i="2"/>
  <c r="GO59" i="2"/>
  <c r="GJ59" i="2"/>
  <c r="GI59" i="2"/>
  <c r="GB59" i="2"/>
  <c r="FY59" i="2"/>
  <c r="FT59" i="2"/>
  <c r="FS59" i="2"/>
  <c r="GL59" i="2" s="1"/>
  <c r="FQ59" i="2"/>
  <c r="FP59" i="2"/>
  <c r="FO59" i="2"/>
  <c r="FN59" i="2"/>
  <c r="FM59" i="2"/>
  <c r="FL59" i="2"/>
  <c r="FK59" i="2"/>
  <c r="FJ59" i="2"/>
  <c r="FI59" i="2"/>
  <c r="FH59" i="2"/>
  <c r="FG59" i="2"/>
  <c r="FF59" i="2"/>
  <c r="FE59" i="2"/>
  <c r="FX59" i="2" s="1"/>
  <c r="FD59" i="2"/>
  <c r="FC59" i="2"/>
  <c r="FB59" i="2"/>
  <c r="EZ59" i="2"/>
  <c r="EP59" i="2"/>
  <c r="EH59" i="2"/>
  <c r="EG59" i="2"/>
  <c r="EE59" i="2"/>
  <c r="EX59" i="2" s="1"/>
  <c r="ED59" i="2"/>
  <c r="EW59" i="2" s="1"/>
  <c r="EC59" i="2"/>
  <c r="EB59" i="2"/>
  <c r="EA59" i="2"/>
  <c r="DZ59" i="2"/>
  <c r="DY59" i="2"/>
  <c r="DX59" i="2"/>
  <c r="DW59" i="2"/>
  <c r="DV59" i="2"/>
  <c r="DU59" i="2"/>
  <c r="DT59" i="2"/>
  <c r="EM59" i="2" s="1"/>
  <c r="DS59" i="2"/>
  <c r="EL59" i="2" s="1"/>
  <c r="DR59" i="2"/>
  <c r="DQ59" i="2"/>
  <c r="DP59" i="2"/>
  <c r="DM59" i="2"/>
  <c r="DL59" i="2"/>
  <c r="HC58" i="2"/>
  <c r="HB58" i="2"/>
  <c r="GY58" i="2"/>
  <c r="GX58" i="2"/>
  <c r="GW58" i="2"/>
  <c r="GV58" i="2"/>
  <c r="GU58" i="2"/>
  <c r="GT58" i="2"/>
  <c r="GO58" i="2"/>
  <c r="GB58" i="2"/>
  <c r="FX58" i="2"/>
  <c r="FT58" i="2"/>
  <c r="FS58" i="2"/>
  <c r="GL58" i="2" s="1"/>
  <c r="FQ58" i="2"/>
  <c r="GJ58" i="2" s="1"/>
  <c r="FP58" i="2"/>
  <c r="GI58" i="2" s="1"/>
  <c r="FO58" i="2"/>
  <c r="FN58" i="2"/>
  <c r="FM58" i="2"/>
  <c r="FL58" i="2"/>
  <c r="FK58" i="2"/>
  <c r="FJ58" i="2"/>
  <c r="FI58" i="2"/>
  <c r="FH58" i="2"/>
  <c r="FG58" i="2"/>
  <c r="FF58" i="2"/>
  <c r="FY58" i="2" s="1"/>
  <c r="FE58" i="2"/>
  <c r="FD58" i="2"/>
  <c r="FC58" i="2"/>
  <c r="FB58" i="2"/>
  <c r="EZ58" i="2"/>
  <c r="EX58" i="2"/>
  <c r="EW58" i="2"/>
  <c r="EM58" i="2"/>
  <c r="EH58" i="2"/>
  <c r="EG58" i="2"/>
  <c r="EE58" i="2"/>
  <c r="ED58" i="2"/>
  <c r="EC58" i="2"/>
  <c r="EB58" i="2"/>
  <c r="EA58" i="2"/>
  <c r="DZ58" i="2"/>
  <c r="DY58" i="2"/>
  <c r="DX58" i="2"/>
  <c r="DW58" i="2"/>
  <c r="EP58" i="2" s="1"/>
  <c r="DV58" i="2"/>
  <c r="DU58" i="2"/>
  <c r="DT58" i="2"/>
  <c r="DS58" i="2"/>
  <c r="EL58" i="2" s="1"/>
  <c r="DR58" i="2"/>
  <c r="DQ58" i="2"/>
  <c r="DP58" i="2"/>
  <c r="DM58" i="2"/>
  <c r="DL58" i="2"/>
  <c r="HC57" i="2"/>
  <c r="HB57" i="2"/>
  <c r="GW57" i="2"/>
  <c r="GX57" i="2" s="1"/>
  <c r="GY57" i="2" s="1"/>
  <c r="GV57" i="2"/>
  <c r="GU57" i="2"/>
  <c r="GT57" i="2"/>
  <c r="GO57" i="2"/>
  <c r="GL57" i="2"/>
  <c r="GJ57" i="2"/>
  <c r="GB57" i="2"/>
  <c r="FT57" i="2"/>
  <c r="FS57" i="2"/>
  <c r="FQ57" i="2"/>
  <c r="FP57" i="2"/>
  <c r="GI57" i="2" s="1"/>
  <c r="FO57" i="2"/>
  <c r="FN57" i="2"/>
  <c r="FM57" i="2"/>
  <c r="FL57" i="2"/>
  <c r="FK57" i="2"/>
  <c r="FJ57" i="2"/>
  <c r="FI57" i="2"/>
  <c r="FH57" i="2"/>
  <c r="FG57" i="2"/>
  <c r="FF57" i="2"/>
  <c r="FY57" i="2" s="1"/>
  <c r="FE57" i="2"/>
  <c r="FX57" i="2" s="1"/>
  <c r="FD57" i="2"/>
  <c r="FC57" i="2"/>
  <c r="FB57" i="2"/>
  <c r="EZ57" i="2"/>
  <c r="EP57" i="2"/>
  <c r="EH57" i="2"/>
  <c r="EG57" i="2"/>
  <c r="EE57" i="2"/>
  <c r="EX57" i="2" s="1"/>
  <c r="ED57" i="2"/>
  <c r="EW57" i="2" s="1"/>
  <c r="EC57" i="2"/>
  <c r="EB57" i="2"/>
  <c r="EA57" i="2"/>
  <c r="DZ57" i="2"/>
  <c r="DY57" i="2"/>
  <c r="DX57" i="2"/>
  <c r="DW57" i="2"/>
  <c r="DV57" i="2"/>
  <c r="DU57" i="2"/>
  <c r="DT57" i="2"/>
  <c r="EM57" i="2" s="1"/>
  <c r="DS57" i="2"/>
  <c r="EL57" i="2" s="1"/>
  <c r="DR57" i="2"/>
  <c r="DQ57" i="2"/>
  <c r="DP57" i="2"/>
  <c r="DM57" i="2"/>
  <c r="DL57" i="2"/>
  <c r="HC56" i="2"/>
  <c r="HB56" i="2"/>
  <c r="GY56" i="2"/>
  <c r="GX56" i="2"/>
  <c r="GW56" i="2"/>
  <c r="GV56" i="2"/>
  <c r="GU56" i="2"/>
  <c r="GT56" i="2"/>
  <c r="GP56" i="2"/>
  <c r="GO56" i="2"/>
  <c r="GC56" i="2"/>
  <c r="GB56" i="2"/>
  <c r="FT56" i="2"/>
  <c r="FS56" i="2"/>
  <c r="GL56" i="2" s="1"/>
  <c r="FQ56" i="2"/>
  <c r="GJ56" i="2" s="1"/>
  <c r="FP56" i="2"/>
  <c r="GI56" i="2" s="1"/>
  <c r="FO56" i="2"/>
  <c r="FN56" i="2"/>
  <c r="FM56" i="2"/>
  <c r="FL56" i="2"/>
  <c r="FK56" i="2"/>
  <c r="FJ56" i="2"/>
  <c r="FI56" i="2"/>
  <c r="FH56" i="2"/>
  <c r="FG56" i="2"/>
  <c r="FF56" i="2"/>
  <c r="FY56" i="2" s="1"/>
  <c r="FE56" i="2"/>
  <c r="FX56" i="2" s="1"/>
  <c r="FD56" i="2"/>
  <c r="FC56" i="2"/>
  <c r="FB56" i="2"/>
  <c r="EZ56" i="2"/>
  <c r="EX56" i="2"/>
  <c r="EH56" i="2"/>
  <c r="EG56" i="2"/>
  <c r="EE56" i="2"/>
  <c r="ED56" i="2"/>
  <c r="EW56" i="2" s="1"/>
  <c r="EC56" i="2"/>
  <c r="EB56" i="2"/>
  <c r="EA56" i="2"/>
  <c r="DZ56" i="2"/>
  <c r="DY56" i="2"/>
  <c r="DX56" i="2"/>
  <c r="DW56" i="2"/>
  <c r="EP56" i="2" s="1"/>
  <c r="DV56" i="2"/>
  <c r="DU56" i="2"/>
  <c r="DT56" i="2"/>
  <c r="EM56" i="2" s="1"/>
  <c r="DS56" i="2"/>
  <c r="EL56" i="2" s="1"/>
  <c r="DR56" i="2"/>
  <c r="DQ56" i="2"/>
  <c r="DP56" i="2"/>
  <c r="DM56" i="2"/>
  <c r="DL56" i="2"/>
  <c r="HC55" i="2"/>
  <c r="HB55" i="2"/>
  <c r="GW55" i="2"/>
  <c r="GV55" i="2"/>
  <c r="GU55" i="2"/>
  <c r="GT55" i="2"/>
  <c r="GQ55" i="2"/>
  <c r="GP55" i="2"/>
  <c r="GO55" i="2"/>
  <c r="GL55" i="2"/>
  <c r="GB55" i="2"/>
  <c r="FX55" i="2"/>
  <c r="FT55" i="2"/>
  <c r="FS55" i="2"/>
  <c r="FQ55" i="2"/>
  <c r="GJ55" i="2" s="1"/>
  <c r="FP55" i="2"/>
  <c r="GI55" i="2" s="1"/>
  <c r="FO55" i="2"/>
  <c r="FN55" i="2"/>
  <c r="FM55" i="2"/>
  <c r="FL55" i="2"/>
  <c r="FK55" i="2"/>
  <c r="FJ55" i="2"/>
  <c r="FI55" i="2"/>
  <c r="FH55" i="2"/>
  <c r="FG55" i="2"/>
  <c r="FF55" i="2"/>
  <c r="FY55" i="2" s="1"/>
  <c r="FE55" i="2"/>
  <c r="FD55" i="2"/>
  <c r="FC55" i="2"/>
  <c r="FB55" i="2"/>
  <c r="EL55" i="2"/>
  <c r="EH55" i="2"/>
  <c r="EG55" i="2"/>
  <c r="EZ55" i="2" s="1"/>
  <c r="EE55" i="2"/>
  <c r="EX55" i="2" s="1"/>
  <c r="ED55" i="2"/>
  <c r="EW55" i="2" s="1"/>
  <c r="EC55" i="2"/>
  <c r="EB55" i="2"/>
  <c r="EA55" i="2"/>
  <c r="DZ55" i="2"/>
  <c r="DY55" i="2"/>
  <c r="DX55" i="2"/>
  <c r="DW55" i="2"/>
  <c r="EP55" i="2" s="1"/>
  <c r="DV55" i="2"/>
  <c r="DU55" i="2"/>
  <c r="DT55" i="2"/>
  <c r="EM55" i="2" s="1"/>
  <c r="DS55" i="2"/>
  <c r="DR55" i="2"/>
  <c r="DQ55" i="2"/>
  <c r="DP55" i="2"/>
  <c r="DM55" i="2"/>
  <c r="DL55" i="2"/>
  <c r="HC54" i="2"/>
  <c r="HB54" i="2"/>
  <c r="GW54" i="2"/>
  <c r="GV54" i="2"/>
  <c r="GU54" i="2"/>
  <c r="GT54" i="2"/>
  <c r="GP54" i="2"/>
  <c r="GO54" i="2"/>
  <c r="HQ18" i="2" s="1"/>
  <c r="GI54" i="2"/>
  <c r="FY54" i="2"/>
  <c r="FX54" i="2"/>
  <c r="FT54" i="2"/>
  <c r="FS54" i="2"/>
  <c r="GL54" i="2" s="1"/>
  <c r="FQ54" i="2"/>
  <c r="GJ54" i="2" s="1"/>
  <c r="FP54" i="2"/>
  <c r="FO54" i="2"/>
  <c r="FN54" i="2"/>
  <c r="FM54" i="2"/>
  <c r="FL54" i="2"/>
  <c r="FK54" i="2"/>
  <c r="FJ54" i="2"/>
  <c r="FI54" i="2"/>
  <c r="GB54" i="2" s="1"/>
  <c r="FH54" i="2"/>
  <c r="FG54" i="2"/>
  <c r="FF54" i="2"/>
  <c r="FE54" i="2"/>
  <c r="FD54" i="2"/>
  <c r="FC54" i="2"/>
  <c r="FB54" i="2"/>
  <c r="EZ54" i="2"/>
  <c r="EX54" i="2"/>
  <c r="EH54" i="2"/>
  <c r="EG54" i="2"/>
  <c r="EE54" i="2"/>
  <c r="ED54" i="2"/>
  <c r="EW54" i="2" s="1"/>
  <c r="EC54" i="2"/>
  <c r="EB54" i="2"/>
  <c r="EA54" i="2"/>
  <c r="DZ54" i="2"/>
  <c r="DY54" i="2"/>
  <c r="DX54" i="2"/>
  <c r="DW54" i="2"/>
  <c r="EP54" i="2" s="1"/>
  <c r="DV54" i="2"/>
  <c r="DU54" i="2"/>
  <c r="DT54" i="2"/>
  <c r="EM54" i="2" s="1"/>
  <c r="DS54" i="2"/>
  <c r="EL54" i="2" s="1"/>
  <c r="DR54" i="2"/>
  <c r="DQ54" i="2"/>
  <c r="DP54" i="2"/>
  <c r="DM54" i="2"/>
  <c r="DL54" i="2"/>
  <c r="HC53" i="2"/>
  <c r="HB53" i="2"/>
  <c r="GY53" i="2"/>
  <c r="GX53" i="2"/>
  <c r="GW53" i="2"/>
  <c r="GV53" i="2"/>
  <c r="GU53" i="2"/>
  <c r="GT53" i="2"/>
  <c r="GP53" i="2"/>
  <c r="GQ53" i="2" s="1"/>
  <c r="GO53" i="2"/>
  <c r="GJ53" i="2"/>
  <c r="GI53" i="2"/>
  <c r="GD53" i="2"/>
  <c r="FY53" i="2"/>
  <c r="FT53" i="2"/>
  <c r="FS53" i="2"/>
  <c r="GL53" i="2" s="1"/>
  <c r="FQ53" i="2"/>
  <c r="FP53" i="2"/>
  <c r="FO53" i="2"/>
  <c r="FN53" i="2"/>
  <c r="FM53" i="2"/>
  <c r="FL53" i="2"/>
  <c r="FK53" i="2"/>
  <c r="FJ53" i="2"/>
  <c r="FI53" i="2"/>
  <c r="GB53" i="2" s="1"/>
  <c r="FH53" i="2"/>
  <c r="FG53" i="2"/>
  <c r="FF53" i="2"/>
  <c r="FE53" i="2"/>
  <c r="FX53" i="2" s="1"/>
  <c r="FD53" i="2"/>
  <c r="FC53" i="2"/>
  <c r="FB53" i="2"/>
  <c r="EZ53" i="2"/>
  <c r="EP53" i="2"/>
  <c r="EH53" i="2"/>
  <c r="EG53" i="2"/>
  <c r="EE53" i="2"/>
  <c r="EX53" i="2" s="1"/>
  <c r="ED53" i="2"/>
  <c r="EW53" i="2" s="1"/>
  <c r="EC53" i="2"/>
  <c r="EB53" i="2"/>
  <c r="EA53" i="2"/>
  <c r="DZ53" i="2"/>
  <c r="DY53" i="2"/>
  <c r="DX53" i="2"/>
  <c r="DW53" i="2"/>
  <c r="DV53" i="2"/>
  <c r="DU53" i="2"/>
  <c r="DT53" i="2"/>
  <c r="EM53" i="2" s="1"/>
  <c r="DS53" i="2"/>
  <c r="EL53" i="2" s="1"/>
  <c r="DR53" i="2"/>
  <c r="DQ53" i="2"/>
  <c r="DP53" i="2"/>
  <c r="DM53" i="2"/>
  <c r="DL53" i="2"/>
  <c r="HC52" i="2"/>
  <c r="HB52" i="2"/>
  <c r="GW52" i="2"/>
  <c r="GV52" i="2"/>
  <c r="GU52" i="2"/>
  <c r="GT52" i="2"/>
  <c r="GO52" i="2"/>
  <c r="GB52" i="2"/>
  <c r="FT52" i="2"/>
  <c r="FS52" i="2"/>
  <c r="GL52" i="2" s="1"/>
  <c r="FQ52" i="2"/>
  <c r="GJ52" i="2" s="1"/>
  <c r="FP52" i="2"/>
  <c r="GI52" i="2" s="1"/>
  <c r="FO52" i="2"/>
  <c r="FN52" i="2"/>
  <c r="FM52" i="2"/>
  <c r="FL52" i="2"/>
  <c r="FK52" i="2"/>
  <c r="FJ52" i="2"/>
  <c r="FI52" i="2"/>
  <c r="FH52" i="2"/>
  <c r="FG52" i="2"/>
  <c r="FF52" i="2"/>
  <c r="FY52" i="2" s="1"/>
  <c r="FE52" i="2"/>
  <c r="FX52" i="2" s="1"/>
  <c r="FD52" i="2"/>
  <c r="FC52" i="2"/>
  <c r="FB52" i="2"/>
  <c r="EW52" i="2"/>
  <c r="EP52" i="2"/>
  <c r="EM52" i="2"/>
  <c r="EL52" i="2"/>
  <c r="EH52" i="2"/>
  <c r="EG52" i="2"/>
  <c r="EZ52" i="2" s="1"/>
  <c r="EE52" i="2"/>
  <c r="EX52" i="2" s="1"/>
  <c r="ED52" i="2"/>
  <c r="EC52" i="2"/>
  <c r="EB52" i="2"/>
  <c r="EA52" i="2"/>
  <c r="DZ52" i="2"/>
  <c r="DY52" i="2"/>
  <c r="DX52" i="2"/>
  <c r="DW52" i="2"/>
  <c r="DV52" i="2"/>
  <c r="DU52" i="2"/>
  <c r="DT52" i="2"/>
  <c r="DS52" i="2"/>
  <c r="DR52" i="2"/>
  <c r="DQ52" i="2"/>
  <c r="DP52" i="2"/>
  <c r="DM52" i="2"/>
  <c r="DL52" i="2"/>
  <c r="HC51" i="2"/>
  <c r="HB51" i="2"/>
  <c r="GW51" i="2"/>
  <c r="GV51" i="2"/>
  <c r="GU51" i="2"/>
  <c r="HO16" i="2" s="1"/>
  <c r="GT51" i="2"/>
  <c r="HN16" i="2" s="1"/>
  <c r="GP51" i="2"/>
  <c r="GO51" i="2"/>
  <c r="GQ51" i="2" s="1"/>
  <c r="GJ51" i="2"/>
  <c r="GI51" i="2"/>
  <c r="FY51" i="2"/>
  <c r="FX51" i="2"/>
  <c r="FT51" i="2"/>
  <c r="FS51" i="2"/>
  <c r="GL51" i="2" s="1"/>
  <c r="FQ51" i="2"/>
  <c r="FP51" i="2"/>
  <c r="FO51" i="2"/>
  <c r="FN51" i="2"/>
  <c r="FM51" i="2"/>
  <c r="FL51" i="2"/>
  <c r="FK51" i="2"/>
  <c r="FJ51" i="2"/>
  <c r="FI51" i="2"/>
  <c r="GB51" i="2" s="1"/>
  <c r="FH51" i="2"/>
  <c r="FG51" i="2"/>
  <c r="FF51" i="2"/>
  <c r="FE51" i="2"/>
  <c r="FD51" i="2"/>
  <c r="FC51" i="2"/>
  <c r="FB51" i="2"/>
  <c r="EX51" i="2"/>
  <c r="EW51" i="2"/>
  <c r="ET51" i="2"/>
  <c r="ES51" i="2"/>
  <c r="EM51" i="2"/>
  <c r="EH51" i="2"/>
  <c r="EG51" i="2"/>
  <c r="EZ51" i="2" s="1"/>
  <c r="EE51" i="2"/>
  <c r="ED51" i="2"/>
  <c r="EC51" i="2"/>
  <c r="EB51" i="2"/>
  <c r="EA51" i="2"/>
  <c r="DZ51" i="2"/>
  <c r="DY51" i="2"/>
  <c r="DX51" i="2"/>
  <c r="DW51" i="2"/>
  <c r="EP51" i="2" s="1"/>
  <c r="DV51" i="2"/>
  <c r="DU51" i="2"/>
  <c r="DT51" i="2"/>
  <c r="DS51" i="2"/>
  <c r="EL51" i="2" s="1"/>
  <c r="DR51" i="2"/>
  <c r="DQ51" i="2"/>
  <c r="DP51" i="2"/>
  <c r="DM51" i="2"/>
  <c r="DL51" i="2"/>
  <c r="HC50" i="2"/>
  <c r="HB50" i="2"/>
  <c r="GW50" i="2"/>
  <c r="GV50" i="2"/>
  <c r="GU50" i="2"/>
  <c r="GT50" i="2"/>
  <c r="GO50" i="2"/>
  <c r="GI50" i="2"/>
  <c r="GB50" i="2"/>
  <c r="FY50" i="2"/>
  <c r="FX50" i="2"/>
  <c r="FT50" i="2"/>
  <c r="FS50" i="2"/>
  <c r="GL50" i="2" s="1"/>
  <c r="FQ50" i="2"/>
  <c r="GJ50" i="2" s="1"/>
  <c r="FP50" i="2"/>
  <c r="FO50" i="2"/>
  <c r="FN50" i="2"/>
  <c r="FM50" i="2"/>
  <c r="FL50" i="2"/>
  <c r="FK50" i="2"/>
  <c r="FJ50" i="2"/>
  <c r="FI50" i="2"/>
  <c r="FH50" i="2"/>
  <c r="FG50" i="2"/>
  <c r="FF50" i="2"/>
  <c r="FE50" i="2"/>
  <c r="FD50" i="2"/>
  <c r="FC50" i="2"/>
  <c r="FB50" i="2"/>
  <c r="EW50" i="2"/>
  <c r="EM50" i="2"/>
  <c r="EL50" i="2"/>
  <c r="EH50" i="2"/>
  <c r="EG50" i="2"/>
  <c r="EZ50" i="2" s="1"/>
  <c r="EE50" i="2"/>
  <c r="EX50" i="2" s="1"/>
  <c r="ED50" i="2"/>
  <c r="EC50" i="2"/>
  <c r="EB50" i="2"/>
  <c r="EA50" i="2"/>
  <c r="DZ50" i="2"/>
  <c r="DY50" i="2"/>
  <c r="DX50" i="2"/>
  <c r="DW50" i="2"/>
  <c r="EP50" i="2" s="1"/>
  <c r="DV50" i="2"/>
  <c r="DU50" i="2"/>
  <c r="DT50" i="2"/>
  <c r="DS50" i="2"/>
  <c r="DR50" i="2"/>
  <c r="DQ50" i="2"/>
  <c r="DP50" i="2"/>
  <c r="DM50" i="2"/>
  <c r="DL50" i="2"/>
  <c r="HC49" i="2"/>
  <c r="HB49" i="2"/>
  <c r="GW49" i="2"/>
  <c r="GV49" i="2"/>
  <c r="GU49" i="2"/>
  <c r="GT49" i="2"/>
  <c r="GP49" i="2"/>
  <c r="GQ49" i="2" s="1"/>
  <c r="GO49" i="2"/>
  <c r="GM49" i="2"/>
  <c r="GL49" i="2"/>
  <c r="GJ49" i="2"/>
  <c r="GB49" i="2"/>
  <c r="FT49" i="2"/>
  <c r="FS49" i="2"/>
  <c r="FQ49" i="2"/>
  <c r="FP49" i="2"/>
  <c r="GI49" i="2" s="1"/>
  <c r="FO49" i="2"/>
  <c r="FN49" i="2"/>
  <c r="FM49" i="2"/>
  <c r="FL49" i="2"/>
  <c r="FK49" i="2"/>
  <c r="FJ49" i="2"/>
  <c r="FI49" i="2"/>
  <c r="FH49" i="2"/>
  <c r="FG49" i="2"/>
  <c r="FF49" i="2"/>
  <c r="FY49" i="2" s="1"/>
  <c r="FE49" i="2"/>
  <c r="FX49" i="2" s="1"/>
  <c r="FD49" i="2"/>
  <c r="FC49" i="2"/>
  <c r="FB49" i="2"/>
  <c r="EZ49" i="2"/>
  <c r="EP49" i="2"/>
  <c r="EL49" i="2"/>
  <c r="EH49" i="2"/>
  <c r="EG49" i="2"/>
  <c r="EE49" i="2"/>
  <c r="EX49" i="2" s="1"/>
  <c r="ED49" i="2"/>
  <c r="EW49" i="2" s="1"/>
  <c r="EC49" i="2"/>
  <c r="EB49" i="2"/>
  <c r="EA49" i="2"/>
  <c r="DZ49" i="2"/>
  <c r="DY49" i="2"/>
  <c r="DX49" i="2"/>
  <c r="DW49" i="2"/>
  <c r="DV49" i="2"/>
  <c r="DU49" i="2"/>
  <c r="DT49" i="2"/>
  <c r="EM49" i="2" s="1"/>
  <c r="DS49" i="2"/>
  <c r="DR49" i="2"/>
  <c r="DQ49" i="2"/>
  <c r="DP49" i="2"/>
  <c r="DM49" i="2"/>
  <c r="DL49" i="2"/>
  <c r="HB48" i="2"/>
  <c r="GW48" i="2"/>
  <c r="GV48" i="2"/>
  <c r="GU48" i="2"/>
  <c r="GT48" i="2"/>
  <c r="GO48" i="2"/>
  <c r="GI48" i="2"/>
  <c r="FY48" i="2"/>
  <c r="FX48" i="2"/>
  <c r="FS48" i="2"/>
  <c r="GL48" i="2" s="1"/>
  <c r="FQ48" i="2"/>
  <c r="GJ48" i="2" s="1"/>
  <c r="FP48" i="2"/>
  <c r="FO48" i="2"/>
  <c r="FN48" i="2"/>
  <c r="FM48" i="2"/>
  <c r="FL48" i="2"/>
  <c r="FH48" i="2"/>
  <c r="FG48" i="2"/>
  <c r="FF48" i="2"/>
  <c r="FE48" i="2"/>
  <c r="FD48" i="2"/>
  <c r="FC48" i="2"/>
  <c r="EW48" i="2"/>
  <c r="EM48" i="2"/>
  <c r="EL48" i="2"/>
  <c r="EH48" i="2"/>
  <c r="EG48" i="2"/>
  <c r="EZ48" i="2" s="1"/>
  <c r="EE48" i="2"/>
  <c r="EX48" i="2" s="1"/>
  <c r="ED48" i="2"/>
  <c r="EC48" i="2"/>
  <c r="EB48" i="2"/>
  <c r="EA48" i="2"/>
  <c r="DZ48" i="2"/>
  <c r="DY48" i="2"/>
  <c r="DX48" i="2"/>
  <c r="DW48" i="2"/>
  <c r="EP48" i="2" s="1"/>
  <c r="DV48" i="2"/>
  <c r="DU48" i="2"/>
  <c r="DT48" i="2"/>
  <c r="DS48" i="2"/>
  <c r="DR48" i="2"/>
  <c r="DQ48" i="2"/>
  <c r="DP48" i="2"/>
  <c r="DM48" i="2"/>
  <c r="DL48" i="2"/>
  <c r="CW48" i="2"/>
  <c r="CP48" i="2"/>
  <c r="FB48" i="2" s="1"/>
  <c r="CO48" i="2"/>
  <c r="FK48" i="2" s="1"/>
  <c r="HC47" i="2"/>
  <c r="HB47" i="2"/>
  <c r="GW47" i="2"/>
  <c r="GV47" i="2"/>
  <c r="GU47" i="2"/>
  <c r="GT47" i="2"/>
  <c r="GQ47" i="2"/>
  <c r="HW17" i="2" s="1"/>
  <c r="GP47" i="2"/>
  <c r="GO47" i="2"/>
  <c r="GL47" i="2"/>
  <c r="GJ47" i="2"/>
  <c r="FT47" i="2"/>
  <c r="FS47" i="2"/>
  <c r="FQ47" i="2"/>
  <c r="FP47" i="2"/>
  <c r="GI47" i="2" s="1"/>
  <c r="FO47" i="2"/>
  <c r="FN47" i="2"/>
  <c r="FM47" i="2"/>
  <c r="FL47" i="2"/>
  <c r="FK47" i="2"/>
  <c r="FJ47" i="2"/>
  <c r="FI47" i="2"/>
  <c r="GB47" i="2" s="1"/>
  <c r="FH47" i="2"/>
  <c r="FG47" i="2"/>
  <c r="FF47" i="2"/>
  <c r="FY47" i="2" s="1"/>
  <c r="FE47" i="2"/>
  <c r="FX47" i="2" s="1"/>
  <c r="FD47" i="2"/>
  <c r="FC47" i="2"/>
  <c r="FB47" i="2"/>
  <c r="EZ47" i="2"/>
  <c r="EP47" i="2"/>
  <c r="EH47" i="2"/>
  <c r="EG47" i="2"/>
  <c r="EE47" i="2"/>
  <c r="EX47" i="2" s="1"/>
  <c r="ED47" i="2"/>
  <c r="EW47" i="2" s="1"/>
  <c r="EC47" i="2"/>
  <c r="EB47" i="2"/>
  <c r="EA47" i="2"/>
  <c r="DZ47" i="2"/>
  <c r="DY47" i="2"/>
  <c r="DX47" i="2"/>
  <c r="DW47" i="2"/>
  <c r="DV47" i="2"/>
  <c r="DU47" i="2"/>
  <c r="DT47" i="2"/>
  <c r="EM47" i="2" s="1"/>
  <c r="DS47" i="2"/>
  <c r="EL47" i="2" s="1"/>
  <c r="DR47" i="2"/>
  <c r="DQ47" i="2"/>
  <c r="DP47" i="2"/>
  <c r="DM47" i="2"/>
  <c r="DL47" i="2"/>
  <c r="HO46" i="2"/>
  <c r="HC46" i="2"/>
  <c r="HB46" i="2"/>
  <c r="GW46" i="2"/>
  <c r="GV46" i="2"/>
  <c r="GU46" i="2"/>
  <c r="GT46" i="2"/>
  <c r="GQ46" i="2"/>
  <c r="GP46" i="2"/>
  <c r="GO46" i="2"/>
  <c r="GL46" i="2"/>
  <c r="GJ46" i="2"/>
  <c r="FT46" i="2"/>
  <c r="FS46" i="2"/>
  <c r="FQ46" i="2"/>
  <c r="FP46" i="2"/>
  <c r="GI46" i="2" s="1"/>
  <c r="FO46" i="2"/>
  <c r="FN46" i="2"/>
  <c r="FM46" i="2"/>
  <c r="FL46" i="2"/>
  <c r="FK46" i="2"/>
  <c r="FJ46" i="2"/>
  <c r="FI46" i="2"/>
  <c r="GB46" i="2" s="1"/>
  <c r="FH46" i="2"/>
  <c r="FG46" i="2"/>
  <c r="FF46" i="2"/>
  <c r="FY46" i="2" s="1"/>
  <c r="FE46" i="2"/>
  <c r="FX46" i="2" s="1"/>
  <c r="FD46" i="2"/>
  <c r="FC46" i="2"/>
  <c r="FB46" i="2"/>
  <c r="EP46" i="2"/>
  <c r="EH46" i="2"/>
  <c r="EG46" i="2"/>
  <c r="EZ46" i="2" s="1"/>
  <c r="EE46" i="2"/>
  <c r="EX46" i="2" s="1"/>
  <c r="ED46" i="2"/>
  <c r="EW46" i="2" s="1"/>
  <c r="EC46" i="2"/>
  <c r="EB46" i="2"/>
  <c r="EA46" i="2"/>
  <c r="DZ46" i="2"/>
  <c r="DY46" i="2"/>
  <c r="DX46" i="2"/>
  <c r="DW46" i="2"/>
  <c r="DV46" i="2"/>
  <c r="DU46" i="2"/>
  <c r="DT46" i="2"/>
  <c r="EM46" i="2" s="1"/>
  <c r="DS46" i="2"/>
  <c r="EL46" i="2" s="1"/>
  <c r="DR46" i="2"/>
  <c r="DQ46" i="2"/>
  <c r="DP46" i="2"/>
  <c r="DM46" i="2"/>
  <c r="DL46" i="2"/>
  <c r="HQ45" i="2"/>
  <c r="HC45" i="2"/>
  <c r="HB45" i="2"/>
  <c r="GW45" i="2"/>
  <c r="GV45" i="2"/>
  <c r="GU45" i="2"/>
  <c r="GT45" i="2"/>
  <c r="GO45" i="2"/>
  <c r="GI45" i="2"/>
  <c r="GB45" i="2"/>
  <c r="FY45" i="2"/>
  <c r="FX45" i="2"/>
  <c r="FT45" i="2"/>
  <c r="FS45" i="2"/>
  <c r="GL45" i="2" s="1"/>
  <c r="FQ45" i="2"/>
  <c r="GJ45" i="2" s="1"/>
  <c r="FP45" i="2"/>
  <c r="FO45" i="2"/>
  <c r="FN45" i="2"/>
  <c r="FM45" i="2"/>
  <c r="FL45" i="2"/>
  <c r="FK45" i="2"/>
  <c r="FJ45" i="2"/>
  <c r="FI45" i="2"/>
  <c r="FH45" i="2"/>
  <c r="FG45" i="2"/>
  <c r="FF45" i="2"/>
  <c r="FE45" i="2"/>
  <c r="FD45" i="2"/>
  <c r="FC45" i="2"/>
  <c r="FB45" i="2"/>
  <c r="EW45" i="2"/>
  <c r="EM45" i="2"/>
  <c r="EL45" i="2"/>
  <c r="EH45" i="2"/>
  <c r="EG45" i="2"/>
  <c r="EZ45" i="2" s="1"/>
  <c r="EE45" i="2"/>
  <c r="EX45" i="2" s="1"/>
  <c r="ED45" i="2"/>
  <c r="EC45" i="2"/>
  <c r="EB45" i="2"/>
  <c r="EA45" i="2"/>
  <c r="DZ45" i="2"/>
  <c r="DY45" i="2"/>
  <c r="DX45" i="2"/>
  <c r="DW45" i="2"/>
  <c r="EP45" i="2" s="1"/>
  <c r="DV45" i="2"/>
  <c r="DU45" i="2"/>
  <c r="DT45" i="2"/>
  <c r="DS45" i="2"/>
  <c r="DR45" i="2"/>
  <c r="DQ45" i="2"/>
  <c r="DP45" i="2"/>
  <c r="DM45" i="2"/>
  <c r="DL45" i="2"/>
  <c r="HC44" i="2"/>
  <c r="HB44" i="2"/>
  <c r="GW44" i="2"/>
  <c r="GV44" i="2"/>
  <c r="GU44" i="2"/>
  <c r="GT44" i="2"/>
  <c r="GP44" i="2"/>
  <c r="GQ44" i="2" s="1"/>
  <c r="GO44" i="2"/>
  <c r="GL44" i="2"/>
  <c r="GB44" i="2"/>
  <c r="FT44" i="2"/>
  <c r="FS44" i="2"/>
  <c r="FQ44" i="2"/>
  <c r="GJ44" i="2" s="1"/>
  <c r="FP44" i="2"/>
  <c r="GI44" i="2" s="1"/>
  <c r="FO44" i="2"/>
  <c r="FN44" i="2"/>
  <c r="FM44" i="2"/>
  <c r="FL44" i="2"/>
  <c r="FK44" i="2"/>
  <c r="FJ44" i="2"/>
  <c r="FI44" i="2"/>
  <c r="FH44" i="2"/>
  <c r="FG44" i="2"/>
  <c r="FF44" i="2"/>
  <c r="FY44" i="2" s="1"/>
  <c r="FE44" i="2"/>
  <c r="FX44" i="2" s="1"/>
  <c r="FD44" i="2"/>
  <c r="FC44" i="2"/>
  <c r="FB44" i="2"/>
  <c r="EZ44" i="2"/>
  <c r="EP44" i="2"/>
  <c r="EL44" i="2"/>
  <c r="EH44" i="2"/>
  <c r="EG44" i="2"/>
  <c r="EE44" i="2"/>
  <c r="EX44" i="2" s="1"/>
  <c r="ED44" i="2"/>
  <c r="EW44" i="2" s="1"/>
  <c r="EC44" i="2"/>
  <c r="EB44" i="2"/>
  <c r="EA44" i="2"/>
  <c r="DZ44" i="2"/>
  <c r="DY44" i="2"/>
  <c r="DX44" i="2"/>
  <c r="DW44" i="2"/>
  <c r="DV44" i="2"/>
  <c r="DU44" i="2"/>
  <c r="DT44" i="2"/>
  <c r="EM44" i="2" s="1"/>
  <c r="DS44" i="2"/>
  <c r="DR44" i="2"/>
  <c r="DQ44" i="2"/>
  <c r="DP44" i="2"/>
  <c r="DM44" i="2"/>
  <c r="DL44" i="2"/>
  <c r="HC43" i="2"/>
  <c r="HB43" i="2"/>
  <c r="GW43" i="2"/>
  <c r="GV43" i="2"/>
  <c r="HP15" i="2" s="1"/>
  <c r="GU43" i="2"/>
  <c r="GT43" i="2"/>
  <c r="GP43" i="2"/>
  <c r="GQ43" i="2" s="1"/>
  <c r="GO43" i="2"/>
  <c r="GL43" i="2"/>
  <c r="GJ43" i="2"/>
  <c r="GB43" i="2"/>
  <c r="FT43" i="2"/>
  <c r="FS43" i="2"/>
  <c r="FQ43" i="2"/>
  <c r="FP43" i="2"/>
  <c r="GI43" i="2" s="1"/>
  <c r="FO43" i="2"/>
  <c r="FN43" i="2"/>
  <c r="FM43" i="2"/>
  <c r="FL43" i="2"/>
  <c r="FK43" i="2"/>
  <c r="FJ43" i="2"/>
  <c r="FI43" i="2"/>
  <c r="FH43" i="2"/>
  <c r="FG43" i="2"/>
  <c r="FF43" i="2"/>
  <c r="FY43" i="2" s="1"/>
  <c r="FE43" i="2"/>
  <c r="FX43" i="2" s="1"/>
  <c r="FD43" i="2"/>
  <c r="FC43" i="2"/>
  <c r="FB43" i="2"/>
  <c r="EZ43" i="2"/>
  <c r="EP43" i="2"/>
  <c r="EL43" i="2"/>
  <c r="EH43" i="2"/>
  <c r="EG43" i="2"/>
  <c r="EE43" i="2"/>
  <c r="EX43" i="2" s="1"/>
  <c r="ED43" i="2"/>
  <c r="EW43" i="2" s="1"/>
  <c r="EC43" i="2"/>
  <c r="EB43" i="2"/>
  <c r="EA43" i="2"/>
  <c r="DZ43" i="2"/>
  <c r="DY43" i="2"/>
  <c r="DX43" i="2"/>
  <c r="DW43" i="2"/>
  <c r="DV43" i="2"/>
  <c r="DU43" i="2"/>
  <c r="DT43" i="2"/>
  <c r="EM43" i="2" s="1"/>
  <c r="DS43" i="2"/>
  <c r="DR43" i="2"/>
  <c r="DQ43" i="2"/>
  <c r="DP43" i="2"/>
  <c r="DM43" i="2"/>
  <c r="DL43" i="2"/>
  <c r="HC42" i="2"/>
  <c r="HB42" i="2"/>
  <c r="HX15" i="2" s="1"/>
  <c r="GW42" i="2"/>
  <c r="GV42" i="2"/>
  <c r="GU42" i="2"/>
  <c r="GT42" i="2"/>
  <c r="GP42" i="2"/>
  <c r="GQ42" i="2" s="1"/>
  <c r="GO42" i="2"/>
  <c r="GL42" i="2"/>
  <c r="GJ42" i="2"/>
  <c r="GB42" i="2"/>
  <c r="FT42" i="2"/>
  <c r="FS42" i="2"/>
  <c r="FQ42" i="2"/>
  <c r="FP42" i="2"/>
  <c r="GI42" i="2" s="1"/>
  <c r="FO42" i="2"/>
  <c r="FN42" i="2"/>
  <c r="FM42" i="2"/>
  <c r="FL42" i="2"/>
  <c r="FK42" i="2"/>
  <c r="FJ42" i="2"/>
  <c r="FI42" i="2"/>
  <c r="FH42" i="2"/>
  <c r="FG42" i="2"/>
  <c r="FF42" i="2"/>
  <c r="FY42" i="2" s="1"/>
  <c r="FE42" i="2"/>
  <c r="FX42" i="2" s="1"/>
  <c r="FD42" i="2"/>
  <c r="FC42" i="2"/>
  <c r="FB42" i="2"/>
  <c r="EZ42" i="2"/>
  <c r="EP42" i="2"/>
  <c r="EL42" i="2"/>
  <c r="EH42" i="2"/>
  <c r="EG42" i="2"/>
  <c r="EE42" i="2"/>
  <c r="EX42" i="2" s="1"/>
  <c r="ED42" i="2"/>
  <c r="EW42" i="2" s="1"/>
  <c r="EC42" i="2"/>
  <c r="EB42" i="2"/>
  <c r="EA42" i="2"/>
  <c r="DZ42" i="2"/>
  <c r="DY42" i="2"/>
  <c r="DX42" i="2"/>
  <c r="DW42" i="2"/>
  <c r="DV42" i="2"/>
  <c r="DU42" i="2"/>
  <c r="DT42" i="2"/>
  <c r="EM42" i="2" s="1"/>
  <c r="DS42" i="2"/>
  <c r="DR42" i="2"/>
  <c r="DQ42" i="2"/>
  <c r="DP42" i="2"/>
  <c r="DM42" i="2"/>
  <c r="DL42" i="2"/>
  <c r="HC41" i="2"/>
  <c r="HB41" i="2"/>
  <c r="GW41" i="2"/>
  <c r="GV41" i="2"/>
  <c r="GU41" i="2"/>
  <c r="GT41" i="2"/>
  <c r="GP41" i="2"/>
  <c r="GQ41" i="2" s="1"/>
  <c r="GO41" i="2"/>
  <c r="GM41" i="2"/>
  <c r="GL41" i="2"/>
  <c r="GB41" i="2"/>
  <c r="FT41" i="2"/>
  <c r="FS41" i="2"/>
  <c r="FQ41" i="2"/>
  <c r="GJ41" i="2" s="1"/>
  <c r="FP41" i="2"/>
  <c r="GI41" i="2" s="1"/>
  <c r="FO41" i="2"/>
  <c r="FN41" i="2"/>
  <c r="FM41" i="2"/>
  <c r="FL41" i="2"/>
  <c r="FK41" i="2"/>
  <c r="FJ41" i="2"/>
  <c r="FI41" i="2"/>
  <c r="FH41" i="2"/>
  <c r="FG41" i="2"/>
  <c r="FF41" i="2"/>
  <c r="FY41" i="2" s="1"/>
  <c r="FE41" i="2"/>
  <c r="FX41" i="2" s="1"/>
  <c r="FD41" i="2"/>
  <c r="FC41" i="2"/>
  <c r="FB41" i="2"/>
  <c r="EZ41" i="2"/>
  <c r="EP41" i="2"/>
  <c r="EL41" i="2"/>
  <c r="EH41" i="2"/>
  <c r="EG41" i="2"/>
  <c r="EE41" i="2"/>
  <c r="EX41" i="2" s="1"/>
  <c r="ED41" i="2"/>
  <c r="EW41" i="2" s="1"/>
  <c r="EC41" i="2"/>
  <c r="EB41" i="2"/>
  <c r="EA41" i="2"/>
  <c r="DZ41" i="2"/>
  <c r="DY41" i="2"/>
  <c r="DX41" i="2"/>
  <c r="DW41" i="2"/>
  <c r="DV41" i="2"/>
  <c r="DU41" i="2"/>
  <c r="DT41" i="2"/>
  <c r="EM41" i="2" s="1"/>
  <c r="DS41" i="2"/>
  <c r="DR41" i="2"/>
  <c r="DQ41" i="2"/>
  <c r="DP41" i="2"/>
  <c r="DM41" i="2"/>
  <c r="DL41" i="2"/>
  <c r="HC40" i="2"/>
  <c r="HB40" i="2"/>
  <c r="GW40" i="2"/>
  <c r="GV40" i="2"/>
  <c r="GU40" i="2"/>
  <c r="GT40" i="2"/>
  <c r="GQ40" i="2"/>
  <c r="GP40" i="2"/>
  <c r="GO40" i="2"/>
  <c r="GI40" i="2"/>
  <c r="FY40" i="2"/>
  <c r="FX40" i="2"/>
  <c r="FT40" i="2"/>
  <c r="FS40" i="2"/>
  <c r="GL40" i="2" s="1"/>
  <c r="FQ40" i="2"/>
  <c r="GJ40" i="2" s="1"/>
  <c r="FP40" i="2"/>
  <c r="FO40" i="2"/>
  <c r="FN40" i="2"/>
  <c r="FM40" i="2"/>
  <c r="FL40" i="2"/>
  <c r="FK40" i="2"/>
  <c r="FJ40" i="2"/>
  <c r="FI40" i="2"/>
  <c r="GB40" i="2" s="1"/>
  <c r="FH40" i="2"/>
  <c r="FG40" i="2"/>
  <c r="FF40" i="2"/>
  <c r="FE40" i="2"/>
  <c r="FD40" i="2"/>
  <c r="FC40" i="2"/>
  <c r="FB40" i="2"/>
  <c r="EZ40" i="2"/>
  <c r="EX40" i="2"/>
  <c r="EW40" i="2"/>
  <c r="EH40" i="2"/>
  <c r="EG40" i="2"/>
  <c r="EE40" i="2"/>
  <c r="ED40" i="2"/>
  <c r="EC40" i="2"/>
  <c r="EB40" i="2"/>
  <c r="EA40" i="2"/>
  <c r="DZ40" i="2"/>
  <c r="DY40" i="2"/>
  <c r="DX40" i="2"/>
  <c r="DW40" i="2"/>
  <c r="EP40" i="2" s="1"/>
  <c r="DV40" i="2"/>
  <c r="DU40" i="2"/>
  <c r="DT40" i="2"/>
  <c r="EM40" i="2" s="1"/>
  <c r="DS40" i="2"/>
  <c r="EL40" i="2" s="1"/>
  <c r="DR40" i="2"/>
  <c r="DQ40" i="2"/>
  <c r="DP40" i="2"/>
  <c r="DM40" i="2"/>
  <c r="DL40" i="2"/>
  <c r="HC39" i="2"/>
  <c r="HY14" i="2" s="1"/>
  <c r="HB39" i="2"/>
  <c r="GW39" i="2"/>
  <c r="GV39" i="2"/>
  <c r="GU39" i="2"/>
  <c r="GT39" i="2"/>
  <c r="GO39" i="2"/>
  <c r="GP39" i="2" s="1"/>
  <c r="GQ39" i="2" s="1"/>
  <c r="GI39" i="2"/>
  <c r="GE39" i="2"/>
  <c r="GD39" i="2"/>
  <c r="FY39" i="2"/>
  <c r="FX39" i="2"/>
  <c r="FT39" i="2"/>
  <c r="FS39" i="2"/>
  <c r="GL39" i="2" s="1"/>
  <c r="FQ39" i="2"/>
  <c r="GJ39" i="2" s="1"/>
  <c r="FP39" i="2"/>
  <c r="FO39" i="2"/>
  <c r="FN39" i="2"/>
  <c r="FM39" i="2"/>
  <c r="FL39" i="2"/>
  <c r="FK39" i="2"/>
  <c r="FJ39" i="2"/>
  <c r="FI39" i="2"/>
  <c r="GB39" i="2" s="1"/>
  <c r="FH39" i="2"/>
  <c r="FG39" i="2"/>
  <c r="FF39" i="2"/>
  <c r="FE39" i="2"/>
  <c r="FD39" i="2"/>
  <c r="FC39" i="2"/>
  <c r="FB39" i="2"/>
  <c r="EZ39" i="2"/>
  <c r="EX39" i="2"/>
  <c r="EW39" i="2"/>
  <c r="EM39" i="2"/>
  <c r="EH39" i="2"/>
  <c r="EG39" i="2"/>
  <c r="EE39" i="2"/>
  <c r="ED39" i="2"/>
  <c r="EC39" i="2"/>
  <c r="EB39" i="2"/>
  <c r="EA39" i="2"/>
  <c r="DZ39" i="2"/>
  <c r="DY39" i="2"/>
  <c r="DX39" i="2"/>
  <c r="DW39" i="2"/>
  <c r="EP39" i="2" s="1"/>
  <c r="DV39" i="2"/>
  <c r="DU39" i="2"/>
  <c r="DT39" i="2"/>
  <c r="DS39" i="2"/>
  <c r="EL39" i="2" s="1"/>
  <c r="DR39" i="2"/>
  <c r="DQ39" i="2"/>
  <c r="DP39" i="2"/>
  <c r="DM39" i="2"/>
  <c r="DL39" i="2"/>
  <c r="HC38" i="2"/>
  <c r="HB38" i="2"/>
  <c r="GW38" i="2"/>
  <c r="GV38" i="2"/>
  <c r="GU38" i="2"/>
  <c r="GT38" i="2"/>
  <c r="GP38" i="2"/>
  <c r="GO38" i="2"/>
  <c r="GQ38" i="2" s="1"/>
  <c r="GJ38" i="2"/>
  <c r="GI38" i="2"/>
  <c r="FZ38" i="2"/>
  <c r="FY38" i="2"/>
  <c r="FT38" i="2"/>
  <c r="FS38" i="2"/>
  <c r="GL38" i="2" s="1"/>
  <c r="FQ38" i="2"/>
  <c r="FP38" i="2"/>
  <c r="FO38" i="2"/>
  <c r="FN38" i="2"/>
  <c r="FM38" i="2"/>
  <c r="FL38" i="2"/>
  <c r="FK38" i="2"/>
  <c r="FJ38" i="2"/>
  <c r="FI38" i="2"/>
  <c r="GB38" i="2" s="1"/>
  <c r="FH38" i="2"/>
  <c r="FG38" i="2"/>
  <c r="FF38" i="2"/>
  <c r="FE38" i="2"/>
  <c r="FX38" i="2" s="1"/>
  <c r="FD38" i="2"/>
  <c r="FC38" i="2"/>
  <c r="FB38" i="2"/>
  <c r="EX38" i="2"/>
  <c r="EW38" i="2"/>
  <c r="EM38" i="2"/>
  <c r="EH38" i="2"/>
  <c r="EG38" i="2"/>
  <c r="EZ38" i="2" s="1"/>
  <c r="EE38" i="2"/>
  <c r="ED38" i="2"/>
  <c r="EC38" i="2"/>
  <c r="EB38" i="2"/>
  <c r="EA38" i="2"/>
  <c r="DZ38" i="2"/>
  <c r="DY38" i="2"/>
  <c r="DX38" i="2"/>
  <c r="DW38" i="2"/>
  <c r="EP38" i="2" s="1"/>
  <c r="DV38" i="2"/>
  <c r="DU38" i="2"/>
  <c r="DT38" i="2"/>
  <c r="DS38" i="2"/>
  <c r="EL38" i="2" s="1"/>
  <c r="DR38" i="2"/>
  <c r="DQ38" i="2"/>
  <c r="DP38" i="2"/>
  <c r="DM38" i="2"/>
  <c r="DL38" i="2"/>
  <c r="ID37" i="2"/>
  <c r="HY37" i="2"/>
  <c r="HX37" i="2"/>
  <c r="HQ37" i="2"/>
  <c r="HQ46" i="2" s="1"/>
  <c r="HO37" i="2"/>
  <c r="HN37" i="2"/>
  <c r="HN46" i="2" s="1"/>
  <c r="HC37" i="2"/>
  <c r="HB37" i="2"/>
  <c r="GW37" i="2"/>
  <c r="GV37" i="2"/>
  <c r="GU37" i="2"/>
  <c r="GT37" i="2"/>
  <c r="GQ37" i="2"/>
  <c r="GP37" i="2"/>
  <c r="GO37" i="2"/>
  <c r="GL37" i="2"/>
  <c r="GB37" i="2"/>
  <c r="FX37" i="2"/>
  <c r="FT37" i="2"/>
  <c r="FS37" i="2"/>
  <c r="FQ37" i="2"/>
  <c r="GJ37" i="2" s="1"/>
  <c r="FP37" i="2"/>
  <c r="GI37" i="2" s="1"/>
  <c r="FO37" i="2"/>
  <c r="FN37" i="2"/>
  <c r="FM37" i="2"/>
  <c r="FL37" i="2"/>
  <c r="FK37" i="2"/>
  <c r="FJ37" i="2"/>
  <c r="FI37" i="2"/>
  <c r="FH37" i="2"/>
  <c r="FG37" i="2"/>
  <c r="FF37" i="2"/>
  <c r="FY37" i="2" s="1"/>
  <c r="FE37" i="2"/>
  <c r="FD37" i="2"/>
  <c r="FC37" i="2"/>
  <c r="FB37" i="2"/>
  <c r="EL37" i="2"/>
  <c r="EH37" i="2"/>
  <c r="EG37" i="2"/>
  <c r="EZ37" i="2" s="1"/>
  <c r="EE37" i="2"/>
  <c r="EX37" i="2" s="1"/>
  <c r="ED37" i="2"/>
  <c r="EW37" i="2" s="1"/>
  <c r="EC37" i="2"/>
  <c r="EB37" i="2"/>
  <c r="EA37" i="2"/>
  <c r="DZ37" i="2"/>
  <c r="DY37" i="2"/>
  <c r="DX37" i="2"/>
  <c r="DW37" i="2"/>
  <c r="EP37" i="2" s="1"/>
  <c r="DV37" i="2"/>
  <c r="DU37" i="2"/>
  <c r="DT37" i="2"/>
  <c r="EM37" i="2" s="1"/>
  <c r="DS37" i="2"/>
  <c r="DR37" i="2"/>
  <c r="DQ37" i="2"/>
  <c r="DP37" i="2"/>
  <c r="DM37" i="2"/>
  <c r="DL37" i="2"/>
  <c r="ID36" i="2"/>
  <c r="HY36" i="2"/>
  <c r="HX36" i="2"/>
  <c r="HQ36" i="2"/>
  <c r="HP36" i="2"/>
  <c r="HP45" i="2" s="1"/>
  <c r="HO36" i="2"/>
  <c r="HO45" i="2" s="1"/>
  <c r="HN36" i="2"/>
  <c r="HN45" i="2" s="1"/>
  <c r="HC36" i="2"/>
  <c r="HB36" i="2"/>
  <c r="GW36" i="2"/>
  <c r="GV36" i="2"/>
  <c r="GU36" i="2"/>
  <c r="GT36" i="2"/>
  <c r="GP36" i="2"/>
  <c r="GO36" i="2"/>
  <c r="GQ36" i="2" s="1"/>
  <c r="GJ36" i="2"/>
  <c r="GI36" i="2"/>
  <c r="FY36" i="2"/>
  <c r="FX36" i="2"/>
  <c r="FT36" i="2"/>
  <c r="FS36" i="2"/>
  <c r="GL36" i="2" s="1"/>
  <c r="FQ36" i="2"/>
  <c r="FP36" i="2"/>
  <c r="FO36" i="2"/>
  <c r="FN36" i="2"/>
  <c r="FM36" i="2"/>
  <c r="FL36" i="2"/>
  <c r="FK36" i="2"/>
  <c r="FJ36" i="2"/>
  <c r="FI36" i="2"/>
  <c r="GB36" i="2" s="1"/>
  <c r="FH36" i="2"/>
  <c r="FG36" i="2"/>
  <c r="FF36" i="2"/>
  <c r="FE36" i="2"/>
  <c r="FD36" i="2"/>
  <c r="FC36" i="2"/>
  <c r="FB36" i="2"/>
  <c r="EX36" i="2"/>
  <c r="EW36" i="2"/>
  <c r="ET36" i="2"/>
  <c r="ES36" i="2"/>
  <c r="EM36" i="2"/>
  <c r="EH36" i="2"/>
  <c r="EG36" i="2"/>
  <c r="EZ36" i="2" s="1"/>
  <c r="EE36" i="2"/>
  <c r="ED36" i="2"/>
  <c r="EC36" i="2"/>
  <c r="EB36" i="2"/>
  <c r="EA36" i="2"/>
  <c r="DZ36" i="2"/>
  <c r="DY36" i="2"/>
  <c r="DX36" i="2"/>
  <c r="DW36" i="2"/>
  <c r="EP36" i="2" s="1"/>
  <c r="DV36" i="2"/>
  <c r="DU36" i="2"/>
  <c r="DT36" i="2"/>
  <c r="DS36" i="2"/>
  <c r="EL36" i="2" s="1"/>
  <c r="DR36" i="2"/>
  <c r="DQ36" i="2"/>
  <c r="DP36" i="2"/>
  <c r="DM36" i="2"/>
  <c r="DL36" i="2"/>
  <c r="ID35" i="2"/>
  <c r="HY35" i="2"/>
  <c r="HX35" i="2"/>
  <c r="HO35" i="2"/>
  <c r="HN35" i="2"/>
  <c r="HC35" i="2"/>
  <c r="HB35" i="2"/>
  <c r="GW35" i="2"/>
  <c r="GV35" i="2"/>
  <c r="GU35" i="2"/>
  <c r="GT35" i="2"/>
  <c r="HN14" i="2" s="1"/>
  <c r="GQ35" i="2"/>
  <c r="GP35" i="2"/>
  <c r="GO35" i="2"/>
  <c r="GL35" i="2"/>
  <c r="GF35" i="2"/>
  <c r="GB35" i="2"/>
  <c r="FX35" i="2"/>
  <c r="FT35" i="2"/>
  <c r="FS35" i="2"/>
  <c r="FQ35" i="2"/>
  <c r="GJ35" i="2" s="1"/>
  <c r="FP35" i="2"/>
  <c r="GI35" i="2" s="1"/>
  <c r="FO35" i="2"/>
  <c r="FN35" i="2"/>
  <c r="FM35" i="2"/>
  <c r="FL35" i="2"/>
  <c r="FK35" i="2"/>
  <c r="FJ35" i="2"/>
  <c r="FI35" i="2"/>
  <c r="FH35" i="2"/>
  <c r="FG35" i="2"/>
  <c r="FF35" i="2"/>
  <c r="FY35" i="2" s="1"/>
  <c r="FE35" i="2"/>
  <c r="FD35" i="2"/>
  <c r="FC35" i="2"/>
  <c r="FB35" i="2"/>
  <c r="EL35" i="2"/>
  <c r="EH35" i="2"/>
  <c r="EG35" i="2"/>
  <c r="EZ35" i="2" s="1"/>
  <c r="EE35" i="2"/>
  <c r="EX35" i="2" s="1"/>
  <c r="ED35" i="2"/>
  <c r="EW35" i="2" s="1"/>
  <c r="EC35" i="2"/>
  <c r="EB35" i="2"/>
  <c r="EA35" i="2"/>
  <c r="DZ35" i="2"/>
  <c r="DY35" i="2"/>
  <c r="DX35" i="2"/>
  <c r="DW35" i="2"/>
  <c r="EP35" i="2" s="1"/>
  <c r="DV35" i="2"/>
  <c r="DU35" i="2"/>
  <c r="DT35" i="2"/>
  <c r="EM35" i="2" s="1"/>
  <c r="DS35" i="2"/>
  <c r="DR35" i="2"/>
  <c r="DQ35" i="2"/>
  <c r="DP35" i="2"/>
  <c r="DM35" i="2"/>
  <c r="DL35" i="2"/>
  <c r="ID34" i="2"/>
  <c r="HY34" i="2"/>
  <c r="HX34" i="2"/>
  <c r="HQ34" i="2"/>
  <c r="HP34" i="2"/>
  <c r="HO34" i="2"/>
  <c r="HN34" i="2"/>
  <c r="HC34" i="2"/>
  <c r="HB34" i="2"/>
  <c r="GY34" i="2"/>
  <c r="IB14" i="2" s="1"/>
  <c r="IA14" i="2" s="1"/>
  <c r="GX34" i="2"/>
  <c r="GW34" i="2"/>
  <c r="GV34" i="2"/>
  <c r="GT34" i="2"/>
  <c r="GO34" i="2"/>
  <c r="GC34" i="2"/>
  <c r="GB34" i="2"/>
  <c r="FX34" i="2"/>
  <c r="FT34" i="2"/>
  <c r="FS34" i="2"/>
  <c r="GL34" i="2" s="1"/>
  <c r="FQ34" i="2"/>
  <c r="GJ34" i="2" s="1"/>
  <c r="FP34" i="2"/>
  <c r="GI34" i="2" s="1"/>
  <c r="FO34" i="2"/>
  <c r="FN34" i="2"/>
  <c r="FM34" i="2"/>
  <c r="FL34" i="2"/>
  <c r="FK34" i="2"/>
  <c r="FJ34" i="2"/>
  <c r="FI34" i="2"/>
  <c r="FH34" i="2"/>
  <c r="FG34" i="2"/>
  <c r="FF34" i="2"/>
  <c r="FY34" i="2" s="1"/>
  <c r="FE34" i="2"/>
  <c r="FD34" i="2"/>
  <c r="FC34" i="2"/>
  <c r="FB34" i="2"/>
  <c r="EB34" i="2"/>
  <c r="EA34" i="2"/>
  <c r="AM34" i="2"/>
  <c r="AE34" i="2"/>
  <c r="AD34" i="2"/>
  <c r="EC34" i="2" s="1"/>
  <c r="R34" i="2"/>
  <c r="Q34" i="2"/>
  <c r="J34" i="2"/>
  <c r="DP34" i="2" s="1"/>
  <c r="I34" i="2"/>
  <c r="DY34" i="2" s="1"/>
  <c r="HY33" i="2"/>
  <c r="HX33" i="2"/>
  <c r="HO33" i="2"/>
  <c r="HN33" i="2"/>
  <c r="HC33" i="2"/>
  <c r="HB33" i="2"/>
  <c r="GW33" i="2"/>
  <c r="GV33" i="2"/>
  <c r="GU33" i="2"/>
  <c r="GT33" i="2"/>
  <c r="GQ33" i="2"/>
  <c r="GP33" i="2"/>
  <c r="GO33" i="2"/>
  <c r="GJ33" i="2"/>
  <c r="GI33" i="2"/>
  <c r="GC33" i="2"/>
  <c r="FZ33" i="2"/>
  <c r="FY33" i="2"/>
  <c r="FT33" i="2"/>
  <c r="FS33" i="2"/>
  <c r="GL33" i="2" s="1"/>
  <c r="FQ33" i="2"/>
  <c r="FP33" i="2"/>
  <c r="FO33" i="2"/>
  <c r="FN33" i="2"/>
  <c r="FM33" i="2"/>
  <c r="FL33" i="2"/>
  <c r="FK33" i="2"/>
  <c r="FJ33" i="2"/>
  <c r="FI33" i="2"/>
  <c r="GB33" i="2" s="1"/>
  <c r="FH33" i="2"/>
  <c r="FG33" i="2"/>
  <c r="FF33" i="2"/>
  <c r="FE33" i="2"/>
  <c r="FX33" i="2" s="1"/>
  <c r="FD33" i="2"/>
  <c r="FC33" i="2"/>
  <c r="FB33" i="2"/>
  <c r="EZ33" i="2"/>
  <c r="EX33" i="2"/>
  <c r="ER33" i="2"/>
  <c r="EP33" i="2"/>
  <c r="EH33" i="2"/>
  <c r="EG33" i="2"/>
  <c r="EE33" i="2"/>
  <c r="ED33" i="2"/>
  <c r="EW33" i="2" s="1"/>
  <c r="EC33" i="2"/>
  <c r="EB33" i="2"/>
  <c r="EA33" i="2"/>
  <c r="DZ33" i="2"/>
  <c r="DY33" i="2"/>
  <c r="DX33" i="2"/>
  <c r="DW33" i="2"/>
  <c r="DV33" i="2"/>
  <c r="DU33" i="2"/>
  <c r="DT33" i="2"/>
  <c r="EM33" i="2" s="1"/>
  <c r="DS33" i="2"/>
  <c r="EL33" i="2" s="1"/>
  <c r="DR33" i="2"/>
  <c r="DQ33" i="2"/>
  <c r="DP33" i="2"/>
  <c r="DM33" i="2"/>
  <c r="DL33" i="2"/>
  <c r="BC33" i="2"/>
  <c r="AH33" i="2"/>
  <c r="HC32" i="2"/>
  <c r="HB32" i="2"/>
  <c r="GW32" i="2"/>
  <c r="GT32" i="2"/>
  <c r="GL32" i="2"/>
  <c r="GJ32" i="2"/>
  <c r="GB32" i="2"/>
  <c r="FW32" i="2"/>
  <c r="FV32" i="2"/>
  <c r="FT32" i="2"/>
  <c r="FS32" i="2"/>
  <c r="FQ32" i="2"/>
  <c r="FP32" i="2"/>
  <c r="GI32" i="2" s="1"/>
  <c r="FO32" i="2"/>
  <c r="FN32" i="2"/>
  <c r="FM32" i="2"/>
  <c r="FL32" i="2"/>
  <c r="FK32" i="2"/>
  <c r="FJ32" i="2"/>
  <c r="FI32" i="2"/>
  <c r="FH32" i="2"/>
  <c r="FG32" i="2"/>
  <c r="FF32" i="2"/>
  <c r="FY32" i="2" s="1"/>
  <c r="FE32" i="2"/>
  <c r="FX32" i="2" s="1"/>
  <c r="FD32" i="2"/>
  <c r="FC32" i="2"/>
  <c r="FB32" i="2"/>
  <c r="BQ32" i="2"/>
  <c r="AY32" i="2"/>
  <c r="DU32" i="2" s="1"/>
  <c r="AV32" i="2"/>
  <c r="EG32" i="2" s="1"/>
  <c r="EZ32" i="2" s="1"/>
  <c r="AE32" i="2"/>
  <c r="AD32" i="2"/>
  <c r="DZ32" i="2" s="1"/>
  <c r="ID31" i="2"/>
  <c r="HY31" i="2"/>
  <c r="HX31" i="2"/>
  <c r="HQ31" i="2"/>
  <c r="HP31" i="2"/>
  <c r="HO31" i="2"/>
  <c r="HN31" i="2"/>
  <c r="HC31" i="2"/>
  <c r="HB31" i="2"/>
  <c r="GW31" i="2"/>
  <c r="GT31" i="2"/>
  <c r="GO31" i="2"/>
  <c r="GF31" i="2"/>
  <c r="FX31" i="2"/>
  <c r="FT31" i="2"/>
  <c r="FS31" i="2"/>
  <c r="GL31" i="2" s="1"/>
  <c r="FQ31" i="2"/>
  <c r="GJ31" i="2" s="1"/>
  <c r="FP31" i="2"/>
  <c r="GI31" i="2" s="1"/>
  <c r="FO31" i="2"/>
  <c r="FN31" i="2"/>
  <c r="FM31" i="2"/>
  <c r="FL31" i="2"/>
  <c r="FK31" i="2"/>
  <c r="FJ31" i="2"/>
  <c r="FI31" i="2"/>
  <c r="GB31" i="2" s="1"/>
  <c r="FH31" i="2"/>
  <c r="FG31" i="2"/>
  <c r="FF31" i="2"/>
  <c r="FY31" i="2" s="1"/>
  <c r="FE31" i="2"/>
  <c r="FD31" i="2"/>
  <c r="FC31" i="2"/>
  <c r="FB31" i="2"/>
  <c r="EW31" i="2"/>
  <c r="ED31" i="2"/>
  <c r="EC31" i="2"/>
  <c r="DZ31" i="2"/>
  <c r="DV31" i="2"/>
  <c r="DR31" i="2"/>
  <c r="DQ31" i="2"/>
  <c r="BH31" i="2"/>
  <c r="BG31" i="2"/>
  <c r="GV31" i="2" s="1"/>
  <c r="BD31" i="2"/>
  <c r="BC31" i="2"/>
  <c r="AZ31" i="2"/>
  <c r="AY31" i="2"/>
  <c r="AL31" i="2"/>
  <c r="AE31" i="2"/>
  <c r="DP31" i="2" s="1"/>
  <c r="AD31" i="2"/>
  <c r="EA31" i="2" s="1"/>
  <c r="HZ30" i="2"/>
  <c r="HY30" i="2"/>
  <c r="HP30" i="2"/>
  <c r="HC30" i="2"/>
  <c r="HB30" i="2"/>
  <c r="GW30" i="2"/>
  <c r="GV30" i="2"/>
  <c r="GU30" i="2"/>
  <c r="GT30" i="2"/>
  <c r="HN13" i="2" s="1"/>
  <c r="GO30" i="2"/>
  <c r="GJ30" i="2"/>
  <c r="GI30" i="2"/>
  <c r="GF30" i="2"/>
  <c r="FY30" i="2"/>
  <c r="FX30" i="2"/>
  <c r="FT30" i="2"/>
  <c r="FS30" i="2"/>
  <c r="GL30" i="2" s="1"/>
  <c r="FQ30" i="2"/>
  <c r="FP30" i="2"/>
  <c r="FO30" i="2"/>
  <c r="FN30" i="2"/>
  <c r="FM30" i="2"/>
  <c r="FL30" i="2"/>
  <c r="FK30" i="2"/>
  <c r="FJ30" i="2"/>
  <c r="FI30" i="2"/>
  <c r="GB30" i="2" s="1"/>
  <c r="FH30" i="2"/>
  <c r="FG30" i="2"/>
  <c r="FF30" i="2"/>
  <c r="FE30" i="2"/>
  <c r="FD30" i="2"/>
  <c r="FC30" i="2"/>
  <c r="FB30" i="2"/>
  <c r="EZ30" i="2"/>
  <c r="EX30" i="2"/>
  <c r="EW30" i="2"/>
  <c r="EP30" i="2"/>
  <c r="EM30" i="2"/>
  <c r="EH30" i="2"/>
  <c r="EG30" i="2"/>
  <c r="EE30" i="2"/>
  <c r="ED30" i="2"/>
  <c r="EC30" i="2"/>
  <c r="EB30" i="2"/>
  <c r="EA30" i="2"/>
  <c r="DZ30" i="2"/>
  <c r="DY30" i="2"/>
  <c r="DX30" i="2"/>
  <c r="DW30" i="2"/>
  <c r="DV30" i="2"/>
  <c r="DU30" i="2"/>
  <c r="DT30" i="2"/>
  <c r="DS30" i="2"/>
  <c r="EL30" i="2" s="1"/>
  <c r="DR30" i="2"/>
  <c r="DQ30" i="2"/>
  <c r="DP30" i="2"/>
  <c r="DM30" i="2"/>
  <c r="DL30" i="2"/>
  <c r="ID29" i="2"/>
  <c r="HY29" i="2"/>
  <c r="HX29" i="2"/>
  <c r="HQ29" i="2"/>
  <c r="HO29" i="2"/>
  <c r="HN29" i="2"/>
  <c r="HC29" i="2"/>
  <c r="HB29" i="2"/>
  <c r="GW29" i="2"/>
  <c r="GV29" i="2"/>
  <c r="GU29" i="2"/>
  <c r="GT29" i="2"/>
  <c r="GQ29" i="2"/>
  <c r="GP29" i="2"/>
  <c r="GO29" i="2"/>
  <c r="GL29" i="2"/>
  <c r="GJ29" i="2"/>
  <c r="GI29" i="2"/>
  <c r="GB29" i="2"/>
  <c r="FX29" i="2"/>
  <c r="FW29" i="2"/>
  <c r="FT29" i="2"/>
  <c r="FS29" i="2"/>
  <c r="FQ29" i="2"/>
  <c r="FP29" i="2"/>
  <c r="FO29" i="2"/>
  <c r="FN29" i="2"/>
  <c r="FM29" i="2"/>
  <c r="FL29" i="2"/>
  <c r="FK29" i="2"/>
  <c r="FJ29" i="2"/>
  <c r="FI29" i="2"/>
  <c r="FH29" i="2"/>
  <c r="FG29" i="2"/>
  <c r="FF29" i="2"/>
  <c r="FY29" i="2" s="1"/>
  <c r="FE29" i="2"/>
  <c r="FD29" i="2"/>
  <c r="FC29" i="2"/>
  <c r="FB29" i="2"/>
  <c r="EP29" i="2"/>
  <c r="EO29" i="2"/>
  <c r="EL29" i="2"/>
  <c r="EH29" i="2"/>
  <c r="EG29" i="2"/>
  <c r="EZ29" i="2" s="1"/>
  <c r="EE29" i="2"/>
  <c r="EX29" i="2" s="1"/>
  <c r="ED29" i="2"/>
  <c r="EW29" i="2" s="1"/>
  <c r="EC29" i="2"/>
  <c r="EB29" i="2"/>
  <c r="EA29" i="2"/>
  <c r="DZ29" i="2"/>
  <c r="DY29" i="2"/>
  <c r="DX29" i="2"/>
  <c r="DW29" i="2"/>
  <c r="DV29" i="2"/>
  <c r="DU29" i="2"/>
  <c r="DT29" i="2"/>
  <c r="EM29" i="2" s="1"/>
  <c r="DR29" i="2"/>
  <c r="DQ29" i="2"/>
  <c r="DP29" i="2"/>
  <c r="DM29" i="2"/>
  <c r="DL29" i="2"/>
  <c r="BC29" i="2"/>
  <c r="AH29" i="2"/>
  <c r="DS29" i="2" s="1"/>
  <c r="HC28" i="2"/>
  <c r="HB28" i="2"/>
  <c r="GW28" i="2"/>
  <c r="GV28" i="2"/>
  <c r="GU28" i="2"/>
  <c r="GT28" i="2"/>
  <c r="GO28" i="2"/>
  <c r="GM28" i="2"/>
  <c r="GL28" i="2"/>
  <c r="GA28" i="2"/>
  <c r="FZ28" i="2"/>
  <c r="FY28" i="2"/>
  <c r="FT28" i="2"/>
  <c r="FS28" i="2"/>
  <c r="FQ28" i="2"/>
  <c r="GJ28" i="2" s="1"/>
  <c r="FP28" i="2"/>
  <c r="GI28" i="2" s="1"/>
  <c r="FO28" i="2"/>
  <c r="FN28" i="2"/>
  <c r="FM28" i="2"/>
  <c r="FL28" i="2"/>
  <c r="FK28" i="2"/>
  <c r="FJ28" i="2"/>
  <c r="FI28" i="2"/>
  <c r="GB28" i="2" s="1"/>
  <c r="FH28" i="2"/>
  <c r="FG28" i="2"/>
  <c r="FF28" i="2"/>
  <c r="FE28" i="2"/>
  <c r="FX28" i="2" s="1"/>
  <c r="FD28" i="2"/>
  <c r="FC28" i="2"/>
  <c r="FB28" i="2"/>
  <c r="EW28" i="2"/>
  <c r="EQ28" i="2"/>
  <c r="EN28" i="2"/>
  <c r="EM28" i="2"/>
  <c r="EH28" i="2"/>
  <c r="EG28" i="2"/>
  <c r="EZ28" i="2" s="1"/>
  <c r="EE28" i="2"/>
  <c r="EX28" i="2" s="1"/>
  <c r="ED28" i="2"/>
  <c r="EC28" i="2"/>
  <c r="EB28" i="2"/>
  <c r="EA28" i="2"/>
  <c r="DZ28" i="2"/>
  <c r="DY28" i="2"/>
  <c r="DX28" i="2"/>
  <c r="DW28" i="2"/>
  <c r="EP28" i="2" s="1"/>
  <c r="DV28" i="2"/>
  <c r="DU28" i="2"/>
  <c r="DT28" i="2"/>
  <c r="DS28" i="2"/>
  <c r="EL28" i="2" s="1"/>
  <c r="DR28" i="2"/>
  <c r="DQ28" i="2"/>
  <c r="DP28" i="2"/>
  <c r="DM28" i="2"/>
  <c r="DL28" i="2"/>
  <c r="BC28" i="2"/>
  <c r="ID27" i="2"/>
  <c r="HY27" i="2"/>
  <c r="HX27" i="2"/>
  <c r="HX42" i="2" s="1"/>
  <c r="HP27" i="2"/>
  <c r="HO27" i="2"/>
  <c r="HN27" i="2"/>
  <c r="HC27" i="2"/>
  <c r="HB27" i="2"/>
  <c r="GW27" i="2"/>
  <c r="GT27" i="2"/>
  <c r="GD27" i="2"/>
  <c r="GC27" i="2"/>
  <c r="GB27" i="2"/>
  <c r="FT27" i="2"/>
  <c r="FS27" i="2"/>
  <c r="GL27" i="2" s="1"/>
  <c r="FQ27" i="2"/>
  <c r="GJ27" i="2" s="1"/>
  <c r="FP27" i="2"/>
  <c r="GI27" i="2" s="1"/>
  <c r="FO27" i="2"/>
  <c r="FN27" i="2"/>
  <c r="FM27" i="2"/>
  <c r="FL27" i="2"/>
  <c r="FK27" i="2"/>
  <c r="FJ27" i="2"/>
  <c r="FI27" i="2"/>
  <c r="FH27" i="2"/>
  <c r="FG27" i="2"/>
  <c r="FF27" i="2"/>
  <c r="FY27" i="2" s="1"/>
  <c r="FE27" i="2"/>
  <c r="FX27" i="2" s="1"/>
  <c r="FD27" i="2"/>
  <c r="FC27" i="2"/>
  <c r="FB27" i="2"/>
  <c r="DY27" i="2"/>
  <c r="DL27" i="2"/>
  <c r="BG27" i="2"/>
  <c r="GV27" i="2" s="1"/>
  <c r="HP12" i="2" s="1"/>
  <c r="AZ27" i="2"/>
  <c r="AY27" i="2"/>
  <c r="BH27" i="2" s="1"/>
  <c r="AI27" i="2"/>
  <c r="AH27" i="2"/>
  <c r="AD27" i="2"/>
  <c r="HY26" i="2"/>
  <c r="HP26" i="2"/>
  <c r="HN26" i="2"/>
  <c r="HC26" i="2"/>
  <c r="HB26" i="2"/>
  <c r="GW26" i="2"/>
  <c r="GV26" i="2"/>
  <c r="GT26" i="2"/>
  <c r="GO26" i="2"/>
  <c r="GC26" i="2"/>
  <c r="GB26" i="2"/>
  <c r="FT26" i="2"/>
  <c r="FS26" i="2"/>
  <c r="GL26" i="2" s="1"/>
  <c r="FQ26" i="2"/>
  <c r="GJ26" i="2" s="1"/>
  <c r="FP26" i="2"/>
  <c r="GI26" i="2" s="1"/>
  <c r="FO26" i="2"/>
  <c r="FN26" i="2"/>
  <c r="FM26" i="2"/>
  <c r="FL26" i="2"/>
  <c r="FK26" i="2"/>
  <c r="FJ26" i="2"/>
  <c r="FI26" i="2"/>
  <c r="FH26" i="2"/>
  <c r="FG26" i="2"/>
  <c r="FF26" i="2"/>
  <c r="FY26" i="2" s="1"/>
  <c r="FE26" i="2"/>
  <c r="FX26" i="2" s="1"/>
  <c r="FD26" i="2"/>
  <c r="FC26" i="2"/>
  <c r="FB26" i="2"/>
  <c r="EV26" i="2"/>
  <c r="EU26" i="2"/>
  <c r="ED26" i="2"/>
  <c r="EW26" i="2" s="1"/>
  <c r="EC26" i="2"/>
  <c r="EB26" i="2"/>
  <c r="EA26" i="2"/>
  <c r="DZ26" i="2"/>
  <c r="DY26" i="2"/>
  <c r="DV26" i="2"/>
  <c r="DS26" i="2"/>
  <c r="EL26" i="2" s="1"/>
  <c r="DR26" i="2"/>
  <c r="DQ26" i="2"/>
  <c r="AL26" i="2"/>
  <c r="DW26" i="2" s="1"/>
  <c r="EP26" i="2" s="1"/>
  <c r="AE26" i="2"/>
  <c r="DP26" i="2" s="1"/>
  <c r="AD26" i="2"/>
  <c r="EE26" i="2" s="1"/>
  <c r="EX26" i="2" s="1"/>
  <c r="ID25" i="2"/>
  <c r="HY25" i="2"/>
  <c r="HX25" i="2"/>
  <c r="HQ25" i="2"/>
  <c r="HP25" i="2"/>
  <c r="HO25" i="2"/>
  <c r="HN25" i="2"/>
  <c r="HC25" i="2"/>
  <c r="HY10" i="2" s="1"/>
  <c r="HB25" i="2"/>
  <c r="HX10" i="2" s="1"/>
  <c r="GW25" i="2"/>
  <c r="GV25" i="2"/>
  <c r="GT25" i="2"/>
  <c r="GJ25" i="2"/>
  <c r="GI25" i="2"/>
  <c r="GF25" i="2"/>
  <c r="GE25" i="2"/>
  <c r="FY25" i="2"/>
  <c r="FT25" i="2"/>
  <c r="FS25" i="2"/>
  <c r="GL25" i="2" s="1"/>
  <c r="FQ25" i="2"/>
  <c r="FP25" i="2"/>
  <c r="FO25" i="2"/>
  <c r="FN25" i="2"/>
  <c r="FM25" i="2"/>
  <c r="FL25" i="2"/>
  <c r="FK25" i="2"/>
  <c r="FJ25" i="2"/>
  <c r="FI25" i="2"/>
  <c r="GB25" i="2" s="1"/>
  <c r="FH25" i="2"/>
  <c r="FG25" i="2"/>
  <c r="FF25" i="2"/>
  <c r="FE25" i="2"/>
  <c r="FX25" i="2" s="1"/>
  <c r="FD25" i="2"/>
  <c r="FC25" i="2"/>
  <c r="FB25" i="2"/>
  <c r="EZ25" i="2"/>
  <c r="EX25" i="2"/>
  <c r="EW25" i="2"/>
  <c r="EN25" i="2"/>
  <c r="EM25" i="2"/>
  <c r="EL25" i="2"/>
  <c r="EG25" i="2"/>
  <c r="EE25" i="2"/>
  <c r="ED25" i="2"/>
  <c r="EC25" i="2"/>
  <c r="EB25" i="2"/>
  <c r="EA25" i="2"/>
  <c r="DZ25" i="2"/>
  <c r="DY25" i="2"/>
  <c r="DV25" i="2"/>
  <c r="DU25" i="2"/>
  <c r="DT25" i="2"/>
  <c r="DS25" i="2"/>
  <c r="DR25" i="2"/>
  <c r="DQ25" i="2"/>
  <c r="DP25" i="2"/>
  <c r="DM25" i="2"/>
  <c r="AD25" i="2"/>
  <c r="HC24" i="2"/>
  <c r="HB24" i="2"/>
  <c r="GW24" i="2"/>
  <c r="GV24" i="2"/>
  <c r="GU24" i="2"/>
  <c r="GT24" i="2"/>
  <c r="HN10" i="2" s="1"/>
  <c r="GO24" i="2"/>
  <c r="GI24" i="2"/>
  <c r="GB24" i="2"/>
  <c r="FY24" i="2"/>
  <c r="FX24" i="2"/>
  <c r="FT24" i="2"/>
  <c r="FS24" i="2"/>
  <c r="GL24" i="2" s="1"/>
  <c r="FQ24" i="2"/>
  <c r="GJ24" i="2" s="1"/>
  <c r="FP24" i="2"/>
  <c r="FO24" i="2"/>
  <c r="FN24" i="2"/>
  <c r="FM24" i="2"/>
  <c r="FL24" i="2"/>
  <c r="FK24" i="2"/>
  <c r="FJ24" i="2"/>
  <c r="FI24" i="2"/>
  <c r="FH24" i="2"/>
  <c r="FG24" i="2"/>
  <c r="FF24" i="2"/>
  <c r="FE24" i="2"/>
  <c r="FD24" i="2"/>
  <c r="FC24" i="2"/>
  <c r="FB24" i="2"/>
  <c r="EX24" i="2"/>
  <c r="EW24" i="2"/>
  <c r="ES24" i="2"/>
  <c r="ER24" i="2"/>
  <c r="EM24" i="2"/>
  <c r="EL24" i="2"/>
  <c r="EI24" i="2"/>
  <c r="EH24" i="2"/>
  <c r="EG24" i="2"/>
  <c r="EZ24" i="2" s="1"/>
  <c r="EE24" i="2"/>
  <c r="ED24" i="2"/>
  <c r="EC24" i="2"/>
  <c r="EB24" i="2"/>
  <c r="EA24" i="2"/>
  <c r="DZ24" i="2"/>
  <c r="DY24" i="2"/>
  <c r="DX24" i="2"/>
  <c r="DW24" i="2"/>
  <c r="EP24" i="2" s="1"/>
  <c r="DV24" i="2"/>
  <c r="DU24" i="2"/>
  <c r="DT24" i="2"/>
  <c r="DS24" i="2"/>
  <c r="DR24" i="2"/>
  <c r="DQ24" i="2"/>
  <c r="DP24" i="2"/>
  <c r="DM24" i="2"/>
  <c r="DL24" i="2"/>
  <c r="ID23" i="2"/>
  <c r="HY23" i="2"/>
  <c r="HX23" i="2"/>
  <c r="HO23" i="2"/>
  <c r="HN23" i="2"/>
  <c r="HC23" i="2"/>
  <c r="HB23" i="2"/>
  <c r="GW23" i="2"/>
  <c r="GV23" i="2"/>
  <c r="GU23" i="2"/>
  <c r="GT23" i="2"/>
  <c r="GQ23" i="2"/>
  <c r="GP23" i="2"/>
  <c r="GO23" i="2"/>
  <c r="GL23" i="2"/>
  <c r="GJ23" i="2"/>
  <c r="GA23" i="2"/>
  <c r="FZ23" i="2"/>
  <c r="FT23" i="2"/>
  <c r="FS23" i="2"/>
  <c r="FQ23" i="2"/>
  <c r="FP23" i="2"/>
  <c r="GI23" i="2" s="1"/>
  <c r="FO23" i="2"/>
  <c r="FN23" i="2"/>
  <c r="FM23" i="2"/>
  <c r="FL23" i="2"/>
  <c r="FK23" i="2"/>
  <c r="FJ23" i="2"/>
  <c r="FI23" i="2"/>
  <c r="GB23" i="2" s="1"/>
  <c r="FH23" i="2"/>
  <c r="FG23" i="2"/>
  <c r="FF23" i="2"/>
  <c r="FY23" i="2" s="1"/>
  <c r="FE23" i="2"/>
  <c r="FX23" i="2" s="1"/>
  <c r="FD23" i="2"/>
  <c r="FC23" i="2"/>
  <c r="FB23" i="2"/>
  <c r="EZ23" i="2"/>
  <c r="EX23" i="2"/>
  <c r="EU23" i="2"/>
  <c r="ET23" i="2"/>
  <c r="EP23" i="2"/>
  <c r="EH23" i="2"/>
  <c r="EG23" i="2"/>
  <c r="EE23" i="2"/>
  <c r="ED23" i="2"/>
  <c r="EW23" i="2" s="1"/>
  <c r="EC23" i="2"/>
  <c r="EB23" i="2"/>
  <c r="EA23" i="2"/>
  <c r="DZ23" i="2"/>
  <c r="DY23" i="2"/>
  <c r="DX23" i="2"/>
  <c r="DW23" i="2"/>
  <c r="DV23" i="2"/>
  <c r="DU23" i="2"/>
  <c r="DT23" i="2"/>
  <c r="EM23" i="2" s="1"/>
  <c r="DS23" i="2"/>
  <c r="EL23" i="2" s="1"/>
  <c r="DR23" i="2"/>
  <c r="DQ23" i="2"/>
  <c r="DP23" i="2"/>
  <c r="DM23" i="2"/>
  <c r="DL23" i="2"/>
  <c r="HC22" i="2"/>
  <c r="HB22" i="2"/>
  <c r="GW22" i="2"/>
  <c r="GT22" i="2"/>
  <c r="GL22" i="2"/>
  <c r="GJ22" i="2"/>
  <c r="GA22" i="2"/>
  <c r="FZ22" i="2"/>
  <c r="FT22" i="2"/>
  <c r="FS22" i="2"/>
  <c r="FQ22" i="2"/>
  <c r="FP22" i="2"/>
  <c r="GI22" i="2" s="1"/>
  <c r="FO22" i="2"/>
  <c r="FN22" i="2"/>
  <c r="FM22" i="2"/>
  <c r="FL22" i="2"/>
  <c r="FK22" i="2"/>
  <c r="FJ22" i="2"/>
  <c r="FI22" i="2"/>
  <c r="GB22" i="2" s="1"/>
  <c r="FH22" i="2"/>
  <c r="FG22" i="2"/>
  <c r="FF22" i="2"/>
  <c r="FY22" i="2" s="1"/>
  <c r="FE22" i="2"/>
  <c r="FX22" i="2" s="1"/>
  <c r="FD22" i="2"/>
  <c r="FC22" i="2"/>
  <c r="FB22" i="2"/>
  <c r="AY22" i="2"/>
  <c r="BH22" i="2" s="1"/>
  <c r="AD22" i="2"/>
  <c r="ID21" i="2"/>
  <c r="HY21" i="2"/>
  <c r="HX21" i="2"/>
  <c r="HO21" i="2"/>
  <c r="HN21" i="2"/>
  <c r="HC21" i="2"/>
  <c r="HB21" i="2"/>
  <c r="GW21" i="2"/>
  <c r="GV21" i="2"/>
  <c r="GU21" i="2"/>
  <c r="GT21" i="2"/>
  <c r="GQ21" i="2"/>
  <c r="GP21" i="2"/>
  <c r="GO21" i="2"/>
  <c r="GL21" i="2"/>
  <c r="GJ21" i="2"/>
  <c r="GA21" i="2"/>
  <c r="FZ21" i="2"/>
  <c r="FT21" i="2"/>
  <c r="FS21" i="2"/>
  <c r="FQ21" i="2"/>
  <c r="FP21" i="2"/>
  <c r="GI21" i="2" s="1"/>
  <c r="FO21" i="2"/>
  <c r="FN21" i="2"/>
  <c r="FM21" i="2"/>
  <c r="FL21" i="2"/>
  <c r="FK21" i="2"/>
  <c r="FJ21" i="2"/>
  <c r="FI21" i="2"/>
  <c r="GB21" i="2" s="1"/>
  <c r="FH21" i="2"/>
  <c r="FG21" i="2"/>
  <c r="FF21" i="2"/>
  <c r="FY21" i="2" s="1"/>
  <c r="FE21" i="2"/>
  <c r="FX21" i="2" s="1"/>
  <c r="FD21" i="2"/>
  <c r="FC21" i="2"/>
  <c r="FB21" i="2"/>
  <c r="EZ21" i="2"/>
  <c r="EX21" i="2"/>
  <c r="EU21" i="2"/>
  <c r="ET21" i="2"/>
  <c r="EH21" i="2"/>
  <c r="EG21" i="2"/>
  <c r="EE21" i="2"/>
  <c r="ED21" i="2"/>
  <c r="EW21" i="2" s="1"/>
  <c r="EC21" i="2"/>
  <c r="EB21" i="2"/>
  <c r="EA21" i="2"/>
  <c r="DZ21" i="2"/>
  <c r="DY21" i="2"/>
  <c r="DX21" i="2"/>
  <c r="DV21" i="2"/>
  <c r="DU21" i="2"/>
  <c r="DT21" i="2"/>
  <c r="EM21" i="2" s="1"/>
  <c r="DS21" i="2"/>
  <c r="EL21" i="2" s="1"/>
  <c r="DR21" i="2"/>
  <c r="DQ21" i="2"/>
  <c r="DP21" i="2"/>
  <c r="DM21" i="2"/>
  <c r="DL21" i="2"/>
  <c r="BG21" i="2"/>
  <c r="DW21" i="2" s="1"/>
  <c r="EP21" i="2" s="1"/>
  <c r="HC20" i="2"/>
  <c r="HB20" i="2"/>
  <c r="HX11" i="2" s="1"/>
  <c r="GW20" i="2"/>
  <c r="GV20" i="2"/>
  <c r="GU20" i="2"/>
  <c r="GT20" i="2"/>
  <c r="GQ20" i="2"/>
  <c r="GP20" i="2"/>
  <c r="GO20" i="2"/>
  <c r="GM20" i="2"/>
  <c r="GL20" i="2"/>
  <c r="GB20" i="2"/>
  <c r="GA20" i="2"/>
  <c r="FT20" i="2"/>
  <c r="FS20" i="2"/>
  <c r="FQ20" i="2"/>
  <c r="GJ20" i="2" s="1"/>
  <c r="FP20" i="2"/>
  <c r="GI20" i="2" s="1"/>
  <c r="FO20" i="2"/>
  <c r="FN20" i="2"/>
  <c r="FM20" i="2"/>
  <c r="FL20" i="2"/>
  <c r="FK20" i="2"/>
  <c r="FJ20" i="2"/>
  <c r="FI20" i="2"/>
  <c r="FH20" i="2"/>
  <c r="FG20" i="2"/>
  <c r="FF20" i="2"/>
  <c r="FY20" i="2" s="1"/>
  <c r="FE20" i="2"/>
  <c r="FX20" i="2" s="1"/>
  <c r="FD20" i="2"/>
  <c r="FC20" i="2"/>
  <c r="FB20" i="2"/>
  <c r="EZ20" i="2"/>
  <c r="EV20" i="2"/>
  <c r="EU20" i="2"/>
  <c r="EL20" i="2"/>
  <c r="EG20" i="2"/>
  <c r="EE20" i="2"/>
  <c r="EX20" i="2" s="1"/>
  <c r="ED20" i="2"/>
  <c r="EW20" i="2" s="1"/>
  <c r="EC20" i="2"/>
  <c r="EB20" i="2"/>
  <c r="EA20" i="2"/>
  <c r="ET20" i="2" s="1"/>
  <c r="DZ20" i="2"/>
  <c r="DY20" i="2"/>
  <c r="DX20" i="2"/>
  <c r="DV20" i="2"/>
  <c r="DU20" i="2"/>
  <c r="DT20" i="2"/>
  <c r="EM20" i="2" s="1"/>
  <c r="DS20" i="2"/>
  <c r="DR20" i="2"/>
  <c r="DQ20" i="2"/>
  <c r="DP20" i="2"/>
  <c r="DM20" i="2"/>
  <c r="DL20" i="2"/>
  <c r="AY20" i="2"/>
  <c r="EH20" i="2" s="1"/>
  <c r="ID19" i="2"/>
  <c r="HY19" i="2"/>
  <c r="HX19" i="2"/>
  <c r="HQ19" i="2"/>
  <c r="HO19" i="2"/>
  <c r="HO40" i="2" s="1"/>
  <c r="HN19" i="2"/>
  <c r="HN40" i="2" s="1"/>
  <c r="HC19" i="2"/>
  <c r="HB19" i="2"/>
  <c r="GW19" i="2"/>
  <c r="GV19" i="2"/>
  <c r="GU19" i="2"/>
  <c r="GT19" i="2"/>
  <c r="GQ19" i="2"/>
  <c r="GP19" i="2"/>
  <c r="GO19" i="2"/>
  <c r="GL19" i="2"/>
  <c r="GJ19" i="2"/>
  <c r="GA19" i="2"/>
  <c r="FZ19" i="2"/>
  <c r="FT19" i="2"/>
  <c r="FS19" i="2"/>
  <c r="FQ19" i="2"/>
  <c r="FP19" i="2"/>
  <c r="GI19" i="2" s="1"/>
  <c r="FO19" i="2"/>
  <c r="FN19" i="2"/>
  <c r="FM19" i="2"/>
  <c r="FL19" i="2"/>
  <c r="FK19" i="2"/>
  <c r="FJ19" i="2"/>
  <c r="FI19" i="2"/>
  <c r="GB19" i="2" s="1"/>
  <c r="FH19" i="2"/>
  <c r="FG19" i="2"/>
  <c r="FF19" i="2"/>
  <c r="FY19" i="2" s="1"/>
  <c r="FE19" i="2"/>
  <c r="FX19" i="2" s="1"/>
  <c r="FD19" i="2"/>
  <c r="FC19" i="2"/>
  <c r="FB19" i="2"/>
  <c r="EZ19" i="2"/>
  <c r="EX19" i="2"/>
  <c r="EU19" i="2"/>
  <c r="ET19" i="2"/>
  <c r="EH19" i="2"/>
  <c r="EG19" i="2"/>
  <c r="EE19" i="2"/>
  <c r="ED19" i="2"/>
  <c r="EW19" i="2" s="1"/>
  <c r="EC19" i="2"/>
  <c r="EB19" i="2"/>
  <c r="EA19" i="2"/>
  <c r="DZ19" i="2"/>
  <c r="DY19" i="2"/>
  <c r="DX19" i="2"/>
  <c r="DW19" i="2"/>
  <c r="EP19" i="2" s="1"/>
  <c r="DV19" i="2"/>
  <c r="DU19" i="2"/>
  <c r="DT19" i="2"/>
  <c r="EM19" i="2" s="1"/>
  <c r="DS19" i="2"/>
  <c r="EL19" i="2" s="1"/>
  <c r="DR19" i="2"/>
  <c r="DQ19" i="2"/>
  <c r="DP19" i="2"/>
  <c r="DM19" i="2"/>
  <c r="DL19" i="2"/>
  <c r="HO18" i="2"/>
  <c r="HC18" i="2"/>
  <c r="HY9" i="2" s="1"/>
  <c r="HB18" i="2"/>
  <c r="GW18" i="2"/>
  <c r="GV18" i="2"/>
  <c r="GU18" i="2"/>
  <c r="GT18" i="2"/>
  <c r="GQ18" i="2"/>
  <c r="GP18" i="2"/>
  <c r="GO18" i="2"/>
  <c r="GL18" i="2"/>
  <c r="GJ18" i="2"/>
  <c r="GA18" i="2"/>
  <c r="FZ18" i="2"/>
  <c r="FT18" i="2"/>
  <c r="FS18" i="2"/>
  <c r="FQ18" i="2"/>
  <c r="FP18" i="2"/>
  <c r="GI18" i="2" s="1"/>
  <c r="FO18" i="2"/>
  <c r="FN18" i="2"/>
  <c r="FM18" i="2"/>
  <c r="FL18" i="2"/>
  <c r="FK18" i="2"/>
  <c r="FJ18" i="2"/>
  <c r="FI18" i="2"/>
  <c r="GB18" i="2" s="1"/>
  <c r="FH18" i="2"/>
  <c r="FG18" i="2"/>
  <c r="FF18" i="2"/>
  <c r="FY18" i="2" s="1"/>
  <c r="FE18" i="2"/>
  <c r="FX18" i="2" s="1"/>
  <c r="FD18" i="2"/>
  <c r="FC18" i="2"/>
  <c r="FB18" i="2"/>
  <c r="EZ18" i="2"/>
  <c r="EX18" i="2"/>
  <c r="EU18" i="2"/>
  <c r="ET18" i="2"/>
  <c r="EG18" i="2"/>
  <c r="EE18" i="2"/>
  <c r="ED18" i="2"/>
  <c r="EW18" i="2" s="1"/>
  <c r="EC18" i="2"/>
  <c r="EB18" i="2"/>
  <c r="EA18" i="2"/>
  <c r="DZ18" i="2"/>
  <c r="DY18" i="2"/>
  <c r="DX18" i="2"/>
  <c r="DW18" i="2"/>
  <c r="EP18" i="2" s="1"/>
  <c r="DV18" i="2"/>
  <c r="DU18" i="2"/>
  <c r="DT18" i="2"/>
  <c r="EM18" i="2" s="1"/>
  <c r="DS18" i="2"/>
  <c r="EL18" i="2" s="1"/>
  <c r="DR18" i="2"/>
  <c r="DQ18" i="2"/>
  <c r="DP18" i="2"/>
  <c r="DM18" i="2"/>
  <c r="DL18" i="2"/>
  <c r="BR18" i="2"/>
  <c r="EH18" i="2" s="1"/>
  <c r="BH18" i="2"/>
  <c r="BG18" i="2"/>
  <c r="AZ18" i="2"/>
  <c r="ID17" i="2"/>
  <c r="HY17" i="2"/>
  <c r="HX17" i="2"/>
  <c r="HT17" i="2"/>
  <c r="HS17" i="2"/>
  <c r="HQ17" i="2"/>
  <c r="HP17" i="2"/>
  <c r="HO17" i="2"/>
  <c r="HN17" i="2"/>
  <c r="HC17" i="2"/>
  <c r="HB17" i="2"/>
  <c r="GW17" i="2"/>
  <c r="GV17" i="2"/>
  <c r="GU17" i="2"/>
  <c r="HO9" i="2" s="1"/>
  <c r="GT17" i="2"/>
  <c r="GQ17" i="2"/>
  <c r="GP17" i="2"/>
  <c r="GO17" i="2"/>
  <c r="GL17" i="2"/>
  <c r="GJ17" i="2"/>
  <c r="GF17" i="2"/>
  <c r="FW17" i="2"/>
  <c r="FV17" i="2"/>
  <c r="FT17" i="2"/>
  <c r="FS17" i="2"/>
  <c r="FQ17" i="2"/>
  <c r="FP17" i="2"/>
  <c r="GI17" i="2" s="1"/>
  <c r="FO17" i="2"/>
  <c r="FN17" i="2"/>
  <c r="FM17" i="2"/>
  <c r="FL17" i="2"/>
  <c r="FK17" i="2"/>
  <c r="FJ17" i="2"/>
  <c r="FI17" i="2"/>
  <c r="GB17" i="2" s="1"/>
  <c r="FH17" i="2"/>
  <c r="FG17" i="2"/>
  <c r="FF17" i="2"/>
  <c r="FY17" i="2" s="1"/>
  <c r="FE17" i="2"/>
  <c r="FX17" i="2" s="1"/>
  <c r="FD17" i="2"/>
  <c r="FC17" i="2"/>
  <c r="FB17" i="2"/>
  <c r="FA17" i="2"/>
  <c r="ET17" i="2"/>
  <c r="EQ17" i="2"/>
  <c r="EP17" i="2"/>
  <c r="EH17" i="2"/>
  <c r="EG17" i="2"/>
  <c r="EZ17" i="2" s="1"/>
  <c r="EE17" i="2"/>
  <c r="EX17" i="2" s="1"/>
  <c r="ED17" i="2"/>
  <c r="EW17" i="2" s="1"/>
  <c r="EC17" i="2"/>
  <c r="EB17" i="2"/>
  <c r="EA17" i="2"/>
  <c r="DZ17" i="2"/>
  <c r="DY17" i="2"/>
  <c r="DX17" i="2"/>
  <c r="DW17" i="2"/>
  <c r="DV17" i="2"/>
  <c r="DU17" i="2"/>
  <c r="DT17" i="2"/>
  <c r="EM17" i="2" s="1"/>
  <c r="DS17" i="2"/>
  <c r="EL17" i="2" s="1"/>
  <c r="DR17" i="2"/>
  <c r="DQ17" i="2"/>
  <c r="DP17" i="2"/>
  <c r="DM17" i="2"/>
  <c r="DL17" i="2"/>
  <c r="HZ16" i="2"/>
  <c r="HX16" i="2"/>
  <c r="HQ16" i="2"/>
  <c r="HP16" i="2"/>
  <c r="HC16" i="2"/>
  <c r="HB16" i="2"/>
  <c r="GW16" i="2"/>
  <c r="GL16" i="2"/>
  <c r="GJ16" i="2"/>
  <c r="GF16" i="2"/>
  <c r="FW16" i="2"/>
  <c r="FV16" i="2"/>
  <c r="FT16" i="2"/>
  <c r="FS16" i="2"/>
  <c r="FQ16" i="2"/>
  <c r="FP16" i="2"/>
  <c r="GI16" i="2" s="1"/>
  <c r="FO16" i="2"/>
  <c r="FN16" i="2"/>
  <c r="FM16" i="2"/>
  <c r="FL16" i="2"/>
  <c r="FK16" i="2"/>
  <c r="GD16" i="2" s="1"/>
  <c r="FJ16" i="2"/>
  <c r="FI16" i="2"/>
  <c r="GB16" i="2" s="1"/>
  <c r="FH16" i="2"/>
  <c r="FG16" i="2"/>
  <c r="FF16" i="2"/>
  <c r="FY16" i="2" s="1"/>
  <c r="FE16" i="2"/>
  <c r="FX16" i="2" s="1"/>
  <c r="FD16" i="2"/>
  <c r="FC16" i="2"/>
  <c r="FB16" i="2"/>
  <c r="EG16" i="2"/>
  <c r="EZ16" i="2" s="1"/>
  <c r="EE16" i="2"/>
  <c r="EX16" i="2" s="1"/>
  <c r="DV16" i="2"/>
  <c r="DU16" i="2"/>
  <c r="AY16" i="2"/>
  <c r="GV16" i="2" s="1"/>
  <c r="AD16" i="2"/>
  <c r="GU16" i="2" s="1"/>
  <c r="I16" i="2"/>
  <c r="ID15" i="2"/>
  <c r="HY15" i="2"/>
  <c r="HQ15" i="2"/>
  <c r="HO15" i="2"/>
  <c r="HN15" i="2"/>
  <c r="HC15" i="2"/>
  <c r="HB15" i="2"/>
  <c r="GW15" i="2"/>
  <c r="GT15" i="2"/>
  <c r="GL15" i="2"/>
  <c r="GB15" i="2"/>
  <c r="FX15" i="2"/>
  <c r="FW15" i="2"/>
  <c r="FT15" i="2"/>
  <c r="FS15" i="2"/>
  <c r="FQ15" i="2"/>
  <c r="GJ15" i="2" s="1"/>
  <c r="FP15" i="2"/>
  <c r="GI15" i="2" s="1"/>
  <c r="FO15" i="2"/>
  <c r="FN15" i="2"/>
  <c r="FM15" i="2"/>
  <c r="FL15" i="2"/>
  <c r="FK15" i="2"/>
  <c r="FJ15" i="2"/>
  <c r="FI15" i="2"/>
  <c r="FH15" i="2"/>
  <c r="FG15" i="2"/>
  <c r="FF15" i="2"/>
  <c r="FY15" i="2" s="1"/>
  <c r="FE15" i="2"/>
  <c r="FD15" i="2"/>
  <c r="FC15" i="2"/>
  <c r="FB15" i="2"/>
  <c r="EH15" i="2"/>
  <c r="AY15" i="2"/>
  <c r="AD15" i="2"/>
  <c r="EG15" i="2" s="1"/>
  <c r="EZ15" i="2" s="1"/>
  <c r="I15" i="2"/>
  <c r="ID14" i="2"/>
  <c r="HZ14" i="2"/>
  <c r="HX14" i="2"/>
  <c r="HQ14" i="2"/>
  <c r="HP14" i="2"/>
  <c r="HC14" i="2"/>
  <c r="HB14" i="2"/>
  <c r="GW14" i="2"/>
  <c r="GV14" i="2"/>
  <c r="GU14" i="2"/>
  <c r="GT14" i="2"/>
  <c r="GO14" i="2"/>
  <c r="GP14" i="2" s="1"/>
  <c r="GQ14" i="2" s="1"/>
  <c r="GL14" i="2"/>
  <c r="GJ14" i="2"/>
  <c r="GD14" i="2"/>
  <c r="GA14" i="2"/>
  <c r="FZ14" i="2"/>
  <c r="FT14" i="2"/>
  <c r="FS14" i="2"/>
  <c r="FQ14" i="2"/>
  <c r="FP14" i="2"/>
  <c r="GI14" i="2" s="1"/>
  <c r="FO14" i="2"/>
  <c r="FN14" i="2"/>
  <c r="FM14" i="2"/>
  <c r="FL14" i="2"/>
  <c r="FK14" i="2"/>
  <c r="FJ14" i="2"/>
  <c r="FI14" i="2"/>
  <c r="GB14" i="2" s="1"/>
  <c r="FH14" i="2"/>
  <c r="FG14" i="2"/>
  <c r="FF14" i="2"/>
  <c r="FY14" i="2" s="1"/>
  <c r="FE14" i="2"/>
  <c r="FX14" i="2" s="1"/>
  <c r="FD14" i="2"/>
  <c r="FC14" i="2"/>
  <c r="FB14" i="2"/>
  <c r="EZ14" i="2"/>
  <c r="EX14" i="2"/>
  <c r="EU14" i="2"/>
  <c r="ET14" i="2"/>
  <c r="EH14" i="2"/>
  <c r="EG14" i="2"/>
  <c r="EE14" i="2"/>
  <c r="ED14" i="2"/>
  <c r="EW14" i="2" s="1"/>
  <c r="EC14" i="2"/>
  <c r="EB14" i="2"/>
  <c r="EA14" i="2"/>
  <c r="DZ14" i="2"/>
  <c r="ES14" i="2" s="1"/>
  <c r="DY14" i="2"/>
  <c r="DX14" i="2"/>
  <c r="DW14" i="2"/>
  <c r="EP14" i="2" s="1"/>
  <c r="DV14" i="2"/>
  <c r="DU14" i="2"/>
  <c r="DT14" i="2"/>
  <c r="EM14" i="2" s="1"/>
  <c r="DS14" i="2"/>
  <c r="EL14" i="2" s="1"/>
  <c r="DR14" i="2"/>
  <c r="DQ14" i="2"/>
  <c r="DP14" i="2"/>
  <c r="DM14" i="2"/>
  <c r="DL14" i="2"/>
  <c r="ID13" i="2"/>
  <c r="HY13" i="2"/>
  <c r="HX13" i="2"/>
  <c r="HC13" i="2"/>
  <c r="HB13" i="2"/>
  <c r="GW13" i="2"/>
  <c r="GV13" i="2"/>
  <c r="GU13" i="2"/>
  <c r="GT13" i="2"/>
  <c r="GO13" i="2"/>
  <c r="GM13" i="2"/>
  <c r="GC13" i="2"/>
  <c r="GB13" i="2"/>
  <c r="FT13" i="2"/>
  <c r="FS13" i="2"/>
  <c r="GL13" i="2" s="1"/>
  <c r="FQ13" i="2"/>
  <c r="GJ13" i="2" s="1"/>
  <c r="FP13" i="2"/>
  <c r="GI13" i="2" s="1"/>
  <c r="FO13" i="2"/>
  <c r="FN13" i="2"/>
  <c r="FM13" i="2"/>
  <c r="FL13" i="2"/>
  <c r="FK13" i="2"/>
  <c r="GD13" i="2" s="1"/>
  <c r="FJ13" i="2"/>
  <c r="FI13" i="2"/>
  <c r="FH13" i="2"/>
  <c r="FG13" i="2"/>
  <c r="FF13" i="2"/>
  <c r="FY13" i="2" s="1"/>
  <c r="FE13" i="2"/>
  <c r="FX13" i="2" s="1"/>
  <c r="FD13" i="2"/>
  <c r="FC13" i="2"/>
  <c r="FB13" i="2"/>
  <c r="EW13" i="2"/>
  <c r="EV13" i="2"/>
  <c r="EP13" i="2"/>
  <c r="EM13" i="2"/>
  <c r="EL13" i="2"/>
  <c r="EH13" i="2"/>
  <c r="EG13" i="2"/>
  <c r="EZ13" i="2" s="1"/>
  <c r="EE13" i="2"/>
  <c r="EX13" i="2" s="1"/>
  <c r="ED13" i="2"/>
  <c r="EC13" i="2"/>
  <c r="EB13" i="2"/>
  <c r="EA13" i="2"/>
  <c r="ET13" i="2" s="1"/>
  <c r="DZ13" i="2"/>
  <c r="DY13" i="2"/>
  <c r="DX13" i="2"/>
  <c r="DW13" i="2"/>
  <c r="DV13" i="2"/>
  <c r="DU13" i="2"/>
  <c r="DT13" i="2"/>
  <c r="DS13" i="2"/>
  <c r="DR13" i="2"/>
  <c r="DQ13" i="2"/>
  <c r="DP13" i="2"/>
  <c r="DM13" i="2"/>
  <c r="DL13" i="2"/>
  <c r="ID12" i="2"/>
  <c r="HY12" i="2"/>
  <c r="HX12" i="2"/>
  <c r="HN12" i="2"/>
  <c r="HC12" i="2"/>
  <c r="HB12" i="2"/>
  <c r="GW12" i="2"/>
  <c r="GV12" i="2"/>
  <c r="GU12" i="2"/>
  <c r="GT12" i="2"/>
  <c r="GP12" i="2"/>
  <c r="GQ12" i="2" s="1"/>
  <c r="GO12" i="2"/>
  <c r="GI12" i="2"/>
  <c r="GE12" i="2"/>
  <c r="GD12" i="2"/>
  <c r="FY12" i="2"/>
  <c r="FX12" i="2"/>
  <c r="FT12" i="2"/>
  <c r="FS12" i="2"/>
  <c r="GL12" i="2" s="1"/>
  <c r="FQ12" i="2"/>
  <c r="GJ12" i="2" s="1"/>
  <c r="FP12" i="2"/>
  <c r="FO12" i="2"/>
  <c r="FN12" i="2"/>
  <c r="FM12" i="2"/>
  <c r="FL12" i="2"/>
  <c r="FK12" i="2"/>
  <c r="FJ12" i="2"/>
  <c r="GC12" i="2" s="1"/>
  <c r="FI12" i="2"/>
  <c r="GB12" i="2" s="1"/>
  <c r="FH12" i="2"/>
  <c r="FG12" i="2"/>
  <c r="FF12" i="2"/>
  <c r="FE12" i="2"/>
  <c r="FD12" i="2"/>
  <c r="FC12" i="2"/>
  <c r="FB12" i="2"/>
  <c r="EZ12" i="2"/>
  <c r="EX12" i="2"/>
  <c r="ES12" i="2"/>
  <c r="EO12" i="2"/>
  <c r="EN12" i="2"/>
  <c r="EH12" i="2"/>
  <c r="EG12" i="2"/>
  <c r="EE12" i="2"/>
  <c r="ED12" i="2"/>
  <c r="EW12" i="2" s="1"/>
  <c r="EC12" i="2"/>
  <c r="EB12" i="2"/>
  <c r="EA12" i="2"/>
  <c r="DZ12" i="2"/>
  <c r="DY12" i="2"/>
  <c r="DX12" i="2"/>
  <c r="DW12" i="2"/>
  <c r="EP12" i="2" s="1"/>
  <c r="DV12" i="2"/>
  <c r="DU12" i="2"/>
  <c r="DT12" i="2"/>
  <c r="EM12" i="2" s="1"/>
  <c r="DS12" i="2"/>
  <c r="EL12" i="2" s="1"/>
  <c r="DR12" i="2"/>
  <c r="DQ12" i="2"/>
  <c r="DP12" i="2"/>
  <c r="DM12" i="2"/>
  <c r="DL12" i="2"/>
  <c r="ID11" i="2"/>
  <c r="HY11" i="2"/>
  <c r="HN11" i="2"/>
  <c r="HC11" i="2"/>
  <c r="HB11" i="2"/>
  <c r="GW11" i="2"/>
  <c r="GV11" i="2"/>
  <c r="GU11" i="2"/>
  <c r="GT11" i="2"/>
  <c r="GQ11" i="2"/>
  <c r="GP11" i="2"/>
  <c r="GO11" i="2"/>
  <c r="GL11" i="2"/>
  <c r="GJ11" i="2"/>
  <c r="GF11" i="2"/>
  <c r="FW11" i="2"/>
  <c r="FV11" i="2"/>
  <c r="FT11" i="2"/>
  <c r="FS11" i="2"/>
  <c r="FQ11" i="2"/>
  <c r="FP11" i="2"/>
  <c r="GI11" i="2" s="1"/>
  <c r="FO11" i="2"/>
  <c r="FN11" i="2"/>
  <c r="FM11" i="2"/>
  <c r="FL11" i="2"/>
  <c r="FK11" i="2"/>
  <c r="GD11" i="2" s="1"/>
  <c r="FJ11" i="2"/>
  <c r="FI11" i="2"/>
  <c r="GB11" i="2" s="1"/>
  <c r="FH11" i="2"/>
  <c r="FG11" i="2"/>
  <c r="FF11" i="2"/>
  <c r="FY11" i="2" s="1"/>
  <c r="FE11" i="2"/>
  <c r="FX11" i="2" s="1"/>
  <c r="FD11" i="2"/>
  <c r="FC11" i="2"/>
  <c r="FB11" i="2"/>
  <c r="ET11" i="2"/>
  <c r="EQ11" i="2"/>
  <c r="EP11" i="2"/>
  <c r="EH11" i="2"/>
  <c r="EG11" i="2"/>
  <c r="EZ11" i="2" s="1"/>
  <c r="EE11" i="2"/>
  <c r="EX11" i="2" s="1"/>
  <c r="ED11" i="2"/>
  <c r="EW11" i="2" s="1"/>
  <c r="EC11" i="2"/>
  <c r="EB11" i="2"/>
  <c r="EA11" i="2"/>
  <c r="DZ11" i="2"/>
  <c r="ES11" i="2" s="1"/>
  <c r="DY11" i="2"/>
  <c r="DX11" i="2"/>
  <c r="DW11" i="2"/>
  <c r="DV11" i="2"/>
  <c r="DU11" i="2"/>
  <c r="DT11" i="2"/>
  <c r="EM11" i="2" s="1"/>
  <c r="DS11" i="2"/>
  <c r="EL11" i="2" s="1"/>
  <c r="DR11" i="2"/>
  <c r="DQ11" i="2"/>
  <c r="DP11" i="2"/>
  <c r="DM11" i="2"/>
  <c r="DL11" i="2"/>
  <c r="HZ10" i="2"/>
  <c r="HP10" i="2"/>
  <c r="HC10" i="2"/>
  <c r="HB10" i="2"/>
  <c r="GW10" i="2"/>
  <c r="GV10" i="2"/>
  <c r="GU10" i="2"/>
  <c r="GT10" i="2"/>
  <c r="GP10" i="2"/>
  <c r="GQ10" i="2" s="1"/>
  <c r="GO10" i="2"/>
  <c r="GL10" i="2"/>
  <c r="GJ10" i="2"/>
  <c r="GG10" i="2"/>
  <c r="GF10" i="2"/>
  <c r="FW10" i="2"/>
  <c r="FV10" i="2"/>
  <c r="FT10" i="2"/>
  <c r="FS10" i="2"/>
  <c r="FQ10" i="2"/>
  <c r="FP10" i="2"/>
  <c r="GI10" i="2" s="1"/>
  <c r="FO10" i="2"/>
  <c r="FN10" i="2"/>
  <c r="FM10" i="2"/>
  <c r="FL10" i="2"/>
  <c r="FK10" i="2"/>
  <c r="GD10" i="2" s="1"/>
  <c r="FJ10" i="2"/>
  <c r="FI10" i="2"/>
  <c r="GB10" i="2" s="1"/>
  <c r="FH10" i="2"/>
  <c r="FG10" i="2"/>
  <c r="FF10" i="2"/>
  <c r="FY10" i="2" s="1"/>
  <c r="FE10" i="2"/>
  <c r="FX10" i="2" s="1"/>
  <c r="FD10" i="2"/>
  <c r="FC10" i="2"/>
  <c r="FB10" i="2"/>
  <c r="ET10" i="2"/>
  <c r="EQ10" i="2"/>
  <c r="EP10" i="2"/>
  <c r="EH10" i="2"/>
  <c r="EG10" i="2"/>
  <c r="EZ10" i="2" s="1"/>
  <c r="EE10" i="2"/>
  <c r="EX10" i="2" s="1"/>
  <c r="ED10" i="2"/>
  <c r="EW10" i="2" s="1"/>
  <c r="EC10" i="2"/>
  <c r="EB10" i="2"/>
  <c r="EA10" i="2"/>
  <c r="DZ10" i="2"/>
  <c r="ES10" i="2" s="1"/>
  <c r="DY10" i="2"/>
  <c r="DX10" i="2"/>
  <c r="DW10" i="2"/>
  <c r="DV10" i="2"/>
  <c r="DU10" i="2"/>
  <c r="EN10" i="2" s="1"/>
  <c r="DT10" i="2"/>
  <c r="EM10" i="2" s="1"/>
  <c r="DS10" i="2"/>
  <c r="EL10" i="2" s="1"/>
  <c r="DR10" i="2"/>
  <c r="DQ10" i="2"/>
  <c r="DP10" i="2"/>
  <c r="DM10" i="2"/>
  <c r="DL10" i="2"/>
  <c r="ID9" i="2"/>
  <c r="HX9" i="2"/>
  <c r="HW9" i="2"/>
  <c r="HU9" i="2"/>
  <c r="HT9" i="2"/>
  <c r="HS9" i="2"/>
  <c r="HR9" i="2"/>
  <c r="HQ9" i="2"/>
  <c r="HN9" i="2"/>
  <c r="HC9" i="2"/>
  <c r="HB9" i="2"/>
  <c r="GW9" i="2"/>
  <c r="GV9" i="2"/>
  <c r="GU9" i="2"/>
  <c r="GT9" i="2"/>
  <c r="GO9" i="2"/>
  <c r="GM9" i="2"/>
  <c r="GI9" i="2"/>
  <c r="GC9" i="2"/>
  <c r="GB9" i="2"/>
  <c r="FY9" i="2"/>
  <c r="FX9" i="2"/>
  <c r="FT9" i="2"/>
  <c r="FS9" i="2"/>
  <c r="GL9" i="2" s="1"/>
  <c r="FQ9" i="2"/>
  <c r="GJ9" i="2" s="1"/>
  <c r="FP9" i="2"/>
  <c r="FO9" i="2"/>
  <c r="FN9" i="2"/>
  <c r="FM9" i="2"/>
  <c r="FL9" i="2"/>
  <c r="FK9" i="2"/>
  <c r="GD9" i="2" s="1"/>
  <c r="FJ9" i="2"/>
  <c r="FI9" i="2"/>
  <c r="FH9" i="2"/>
  <c r="FG9" i="2"/>
  <c r="FF9" i="2"/>
  <c r="FE9" i="2"/>
  <c r="FD9" i="2"/>
  <c r="FC9" i="2"/>
  <c r="FV9" i="2" s="1"/>
  <c r="FB9" i="2"/>
  <c r="EW9" i="2"/>
  <c r="ES9" i="2"/>
  <c r="ER9" i="2"/>
  <c r="EM9" i="2"/>
  <c r="EL9" i="2"/>
  <c r="EI9" i="2"/>
  <c r="EH9" i="2"/>
  <c r="EG9" i="2"/>
  <c r="EZ9" i="2" s="1"/>
  <c r="EE9" i="2"/>
  <c r="EX9" i="2" s="1"/>
  <c r="ED9" i="2"/>
  <c r="EC9" i="2"/>
  <c r="EB9" i="2"/>
  <c r="EA9" i="2"/>
  <c r="ET9" i="2" s="1"/>
  <c r="DZ9" i="2"/>
  <c r="DY9" i="2"/>
  <c r="DX9" i="2"/>
  <c r="DW9" i="2"/>
  <c r="EP9" i="2" s="1"/>
  <c r="DV9" i="2"/>
  <c r="DU9" i="2"/>
  <c r="DT9" i="2"/>
  <c r="DS9" i="2"/>
  <c r="DR9" i="2"/>
  <c r="DQ9" i="2"/>
  <c r="DP9" i="2"/>
  <c r="DM9" i="2"/>
  <c r="DL9" i="2"/>
  <c r="ID8" i="2"/>
  <c r="HY8" i="2"/>
  <c r="HX8" i="2"/>
  <c r="HC8" i="2"/>
  <c r="HB8" i="2"/>
  <c r="GW8" i="2"/>
  <c r="GV8" i="2"/>
  <c r="GU8" i="2"/>
  <c r="GT8" i="2"/>
  <c r="GP8" i="2"/>
  <c r="GQ8" i="2" s="1"/>
  <c r="GO8" i="2"/>
  <c r="GL8" i="2"/>
  <c r="GJ8" i="2"/>
  <c r="GD8" i="2"/>
  <c r="GA8" i="2"/>
  <c r="FZ8" i="2"/>
  <c r="FT8" i="2"/>
  <c r="FS8" i="2"/>
  <c r="FQ8" i="2"/>
  <c r="FP8" i="2"/>
  <c r="GI8" i="2" s="1"/>
  <c r="FO8" i="2"/>
  <c r="FN8" i="2"/>
  <c r="FM8" i="2"/>
  <c r="FL8" i="2"/>
  <c r="FK8" i="2"/>
  <c r="FJ8" i="2"/>
  <c r="GC8" i="2" s="1"/>
  <c r="FI8" i="2"/>
  <c r="GB8" i="2" s="1"/>
  <c r="FH8" i="2"/>
  <c r="FG8" i="2"/>
  <c r="FF8" i="2"/>
  <c r="FY8" i="2" s="1"/>
  <c r="FE8" i="2"/>
  <c r="FX8" i="2" s="1"/>
  <c r="FD8" i="2"/>
  <c r="FC8" i="2"/>
  <c r="FB8" i="2"/>
  <c r="EZ8" i="2"/>
  <c r="EX8" i="2"/>
  <c r="EU8" i="2"/>
  <c r="ET8" i="2"/>
  <c r="EN8" i="2"/>
  <c r="EK8" i="2"/>
  <c r="EH8" i="2"/>
  <c r="EG8" i="2"/>
  <c r="EE8" i="2"/>
  <c r="ED8" i="2"/>
  <c r="EW8" i="2" s="1"/>
  <c r="EC8" i="2"/>
  <c r="EB8" i="2"/>
  <c r="EA8" i="2"/>
  <c r="DZ8" i="2"/>
  <c r="ES8" i="2" s="1"/>
  <c r="DY8" i="2"/>
  <c r="DX8" i="2"/>
  <c r="DW8" i="2"/>
  <c r="EP8" i="2" s="1"/>
  <c r="DV8" i="2"/>
  <c r="DU8" i="2"/>
  <c r="DT8" i="2"/>
  <c r="EM8" i="2" s="1"/>
  <c r="DS8" i="2"/>
  <c r="EL8" i="2" s="1"/>
  <c r="DR8" i="2"/>
  <c r="DQ8" i="2"/>
  <c r="DP8" i="2"/>
  <c r="DM8" i="2"/>
  <c r="DL8" i="2"/>
  <c r="ID7" i="2"/>
  <c r="HW7" i="2"/>
  <c r="HP7" i="2"/>
  <c r="HC7" i="2"/>
  <c r="HY6" i="2" s="1"/>
  <c r="HB7" i="2"/>
  <c r="GW7" i="2"/>
  <c r="GV7" i="2"/>
  <c r="GU7" i="2"/>
  <c r="GT7" i="2"/>
  <c r="GO7" i="2"/>
  <c r="GM7" i="2"/>
  <c r="GC7" i="2"/>
  <c r="GB7" i="2"/>
  <c r="FW7" i="2"/>
  <c r="FV7" i="2"/>
  <c r="FT7" i="2"/>
  <c r="FS7" i="2"/>
  <c r="GL7" i="2" s="1"/>
  <c r="FQ7" i="2"/>
  <c r="GJ7" i="2" s="1"/>
  <c r="FP7" i="2"/>
  <c r="GI7" i="2" s="1"/>
  <c r="FO7" i="2"/>
  <c r="FN7" i="2"/>
  <c r="FM7" i="2"/>
  <c r="FL7" i="2"/>
  <c r="FK7" i="2"/>
  <c r="GD7" i="2" s="1"/>
  <c r="FJ7" i="2"/>
  <c r="FI7" i="2"/>
  <c r="FH7" i="2"/>
  <c r="FG7" i="2"/>
  <c r="FF7" i="2"/>
  <c r="FY7" i="2" s="1"/>
  <c r="FE7" i="2"/>
  <c r="FX7" i="2" s="1"/>
  <c r="FD7" i="2"/>
  <c r="FC7" i="2"/>
  <c r="FB7" i="2"/>
  <c r="EW7" i="2"/>
  <c r="EV7" i="2"/>
  <c r="EP7" i="2"/>
  <c r="EM7" i="2"/>
  <c r="EL7" i="2"/>
  <c r="EH7" i="2"/>
  <c r="EG7" i="2"/>
  <c r="EZ7" i="2" s="1"/>
  <c r="EE7" i="2"/>
  <c r="EX7" i="2" s="1"/>
  <c r="ED7" i="2"/>
  <c r="EC7" i="2"/>
  <c r="EB7" i="2"/>
  <c r="EA7" i="2"/>
  <c r="ET7" i="2" s="1"/>
  <c r="DZ7" i="2"/>
  <c r="DY7" i="2"/>
  <c r="DX7" i="2"/>
  <c r="DW7" i="2"/>
  <c r="DV7" i="2"/>
  <c r="DU7" i="2"/>
  <c r="DT7" i="2"/>
  <c r="DS7" i="2"/>
  <c r="DR7" i="2"/>
  <c r="DQ7" i="2"/>
  <c r="DP7" i="2"/>
  <c r="DM7" i="2"/>
  <c r="DL7" i="2"/>
  <c r="ID6" i="2"/>
  <c r="HO6" i="2"/>
  <c r="HN6" i="2"/>
  <c r="HC6" i="2"/>
  <c r="HY7" i="2" s="1"/>
  <c r="HB6" i="2"/>
  <c r="HX7" i="2" s="1"/>
  <c r="GW6" i="2"/>
  <c r="GV6" i="2"/>
  <c r="GU6" i="2"/>
  <c r="HO7" i="2" s="1"/>
  <c r="GT6" i="2"/>
  <c r="HN7" i="2" s="1"/>
  <c r="HN44" i="2" s="1"/>
  <c r="GQ6" i="2"/>
  <c r="HU7" i="2" s="1"/>
  <c r="GP6" i="2"/>
  <c r="GO6" i="2"/>
  <c r="HQ7" i="2" s="1"/>
  <c r="GI6" i="2"/>
  <c r="GE6" i="2"/>
  <c r="GD6" i="2"/>
  <c r="FY6" i="2"/>
  <c r="FX6" i="2"/>
  <c r="FT6" i="2"/>
  <c r="GM6" i="2" s="1"/>
  <c r="FS6" i="2"/>
  <c r="GL6" i="2" s="1"/>
  <c r="FQ6" i="2"/>
  <c r="GJ6" i="2" s="1"/>
  <c r="FP6" i="2"/>
  <c r="FO6" i="2"/>
  <c r="FN6" i="2"/>
  <c r="FM6" i="2"/>
  <c r="FL6" i="2"/>
  <c r="FK6" i="2"/>
  <c r="FJ6" i="2"/>
  <c r="GC6" i="2" s="1"/>
  <c r="FI6" i="2"/>
  <c r="GB6" i="2" s="1"/>
  <c r="FH6" i="2"/>
  <c r="FG6" i="2"/>
  <c r="FF6" i="2"/>
  <c r="FE6" i="2"/>
  <c r="FD6" i="2"/>
  <c r="FC6" i="2"/>
  <c r="FB6" i="2"/>
  <c r="EZ6" i="2"/>
  <c r="EX6" i="2"/>
  <c r="ES6" i="2"/>
  <c r="EO6" i="2"/>
  <c r="EN6" i="2"/>
  <c r="EH6" i="2"/>
  <c r="EG6" i="2"/>
  <c r="EE6" i="2"/>
  <c r="ED6" i="2"/>
  <c r="EW6" i="2" s="1"/>
  <c r="EC6" i="2"/>
  <c r="EB6" i="2"/>
  <c r="EA6" i="2"/>
  <c r="ET6" i="2" s="1"/>
  <c r="DZ6" i="2"/>
  <c r="DY6" i="2"/>
  <c r="DX6" i="2"/>
  <c r="DW6" i="2"/>
  <c r="EP6" i="2" s="1"/>
  <c r="DV6" i="2"/>
  <c r="DU6" i="2"/>
  <c r="DT6" i="2"/>
  <c r="EM6" i="2" s="1"/>
  <c r="DS6" i="2"/>
  <c r="EL6" i="2" s="1"/>
  <c r="DR6" i="2"/>
  <c r="DQ6" i="2"/>
  <c r="DP6" i="2"/>
  <c r="DM6" i="2"/>
  <c r="DL6" i="2"/>
  <c r="ID5" i="2"/>
  <c r="HY5" i="2"/>
  <c r="HX5" i="2"/>
  <c r="HQ5" i="2"/>
  <c r="HP5" i="2"/>
  <c r="HO5" i="2"/>
  <c r="HN5" i="2"/>
  <c r="HC5" i="2"/>
  <c r="HB5" i="2"/>
  <c r="GW5" i="2"/>
  <c r="GV5" i="2"/>
  <c r="GU5" i="2"/>
  <c r="GT5" i="2"/>
  <c r="GP5" i="2"/>
  <c r="HT5" i="2" s="1"/>
  <c r="GO5" i="2"/>
  <c r="GL5" i="2"/>
  <c r="GJ5" i="2"/>
  <c r="GG5" i="2"/>
  <c r="GF5" i="2"/>
  <c r="FW5" i="2"/>
  <c r="FV5" i="2"/>
  <c r="FT5" i="2"/>
  <c r="FS5" i="2"/>
  <c r="FQ5" i="2"/>
  <c r="FP5" i="2"/>
  <c r="GI5" i="2" s="1"/>
  <c r="FO5" i="2"/>
  <c r="FN5" i="2"/>
  <c r="FM5" i="2"/>
  <c r="FL5" i="2"/>
  <c r="FK5" i="2"/>
  <c r="GD5" i="2" s="1"/>
  <c r="FJ5" i="2"/>
  <c r="FI5" i="2"/>
  <c r="GB5" i="2" s="1"/>
  <c r="FH5" i="2"/>
  <c r="FG5" i="2"/>
  <c r="FF5" i="2"/>
  <c r="FY5" i="2" s="1"/>
  <c r="FE5" i="2"/>
  <c r="FX5" i="2" s="1"/>
  <c r="FD5" i="2"/>
  <c r="FC5" i="2"/>
  <c r="FB5" i="2"/>
  <c r="ET5" i="2"/>
  <c r="EQ5" i="2"/>
  <c r="EP5" i="2"/>
  <c r="EH5" i="2"/>
  <c r="EG5" i="2"/>
  <c r="EZ5" i="2" s="1"/>
  <c r="EE5" i="2"/>
  <c r="EX5" i="2" s="1"/>
  <c r="ED5" i="2"/>
  <c r="EW5" i="2" s="1"/>
  <c r="EC5" i="2"/>
  <c r="EB5" i="2"/>
  <c r="EA5" i="2"/>
  <c r="DZ5" i="2"/>
  <c r="ES5" i="2" s="1"/>
  <c r="DY5" i="2"/>
  <c r="DX5" i="2"/>
  <c r="DW5" i="2"/>
  <c r="DV5" i="2"/>
  <c r="EO5" i="2" s="1"/>
  <c r="DU5" i="2"/>
  <c r="EN5" i="2" s="1"/>
  <c r="DT5" i="2"/>
  <c r="EM5" i="2" s="1"/>
  <c r="DS5" i="2"/>
  <c r="EL5" i="2" s="1"/>
  <c r="DR5" i="2"/>
  <c r="DQ5" i="2"/>
  <c r="DP5" i="2"/>
  <c r="DM5" i="2"/>
  <c r="DL5" i="2"/>
  <c r="GM1" i="2"/>
  <c r="GM88" i="2" s="1"/>
  <c r="GH1" i="2"/>
  <c r="GG1" i="2"/>
  <c r="GG15" i="2" s="1"/>
  <c r="GF1" i="2"/>
  <c r="GE1" i="2"/>
  <c r="GE114" i="2" s="1"/>
  <c r="GD1" i="2"/>
  <c r="GD24" i="2" s="1"/>
  <c r="GC1" i="2"/>
  <c r="GC24" i="2" s="1"/>
  <c r="GA1" i="2"/>
  <c r="GA32" i="2" s="1"/>
  <c r="FZ1" i="2"/>
  <c r="FZ32" i="2" s="1"/>
  <c r="FW1" i="2"/>
  <c r="FW59" i="2" s="1"/>
  <c r="FV1" i="2"/>
  <c r="FV59" i="2" s="1"/>
  <c r="FU1" i="2"/>
  <c r="FA1" i="2"/>
  <c r="EV1" i="2"/>
  <c r="EU1" i="2"/>
  <c r="EU56" i="2" s="1"/>
  <c r="ET1" i="2"/>
  <c r="ET77" i="2" s="1"/>
  <c r="ES1" i="2"/>
  <c r="ES77" i="2" s="1"/>
  <c r="ER1" i="2"/>
  <c r="ER77" i="2" s="1"/>
  <c r="EQ1" i="2"/>
  <c r="EQ95" i="2" s="1"/>
  <c r="EO1" i="2"/>
  <c r="EO130" i="2" s="1"/>
  <c r="EN1" i="2"/>
  <c r="EN152" i="2" s="1"/>
  <c r="EK1" i="2"/>
  <c r="EJ1" i="2"/>
  <c r="EJ21" i="2" s="1"/>
  <c r="EI1" i="2"/>
  <c r="DI1" i="2"/>
  <c r="DH1" i="2"/>
  <c r="DG1" i="2"/>
  <c r="DC1" i="2"/>
  <c r="DB1" i="2"/>
  <c r="CV1" i="2"/>
  <c r="CU1" i="2"/>
  <c r="CT1" i="2"/>
  <c r="CS1" i="2"/>
  <c r="CR1" i="2"/>
  <c r="CO1" i="2"/>
  <c r="CN1" i="2"/>
  <c r="CM1" i="2"/>
  <c r="CL1" i="2"/>
  <c r="CI1" i="2"/>
  <c r="CH1" i="2"/>
  <c r="CG1" i="2"/>
  <c r="CF1" i="2"/>
  <c r="CE1" i="2"/>
  <c r="CD1" i="2"/>
  <c r="CA1" i="2"/>
  <c r="BZ1" i="2"/>
  <c r="BY1" i="2"/>
  <c r="BX1" i="2"/>
  <c r="BW1" i="2"/>
  <c r="BV1" i="2"/>
  <c r="BT1" i="2"/>
  <c r="BS1" i="2"/>
  <c r="BR1" i="2"/>
  <c r="BQ1" i="2"/>
  <c r="BN1" i="2"/>
  <c r="BM1" i="2"/>
  <c r="BL1" i="2"/>
  <c r="BK1" i="2"/>
  <c r="BE1" i="2"/>
  <c r="AX1" i="2"/>
  <c r="AW1" i="2"/>
  <c r="AS1" i="2"/>
  <c r="AR1" i="2"/>
  <c r="AQ1" i="2"/>
  <c r="AJ1" i="2"/>
  <c r="AC1" i="2"/>
  <c r="AB1" i="2"/>
  <c r="AA1" i="2"/>
  <c r="X1" i="2"/>
  <c r="W1" i="2"/>
  <c r="V1" i="2"/>
  <c r="U1" i="2"/>
  <c r="O1" i="2"/>
  <c r="N1" i="2"/>
  <c r="M1" i="2"/>
  <c r="L1" i="2"/>
  <c r="DV631" i="1"/>
  <c r="DR631" i="1"/>
  <c r="DS631" i="1" s="1"/>
  <c r="DO631" i="1"/>
  <c r="DN631" i="1"/>
  <c r="DV630" i="1"/>
  <c r="DR630" i="1"/>
  <c r="DO630" i="1"/>
  <c r="DN630" i="1"/>
  <c r="DV629" i="1"/>
  <c r="DW629" i="1" s="1"/>
  <c r="DR629" i="1"/>
  <c r="DS629" i="1" s="1"/>
  <c r="DT629" i="1" s="1"/>
  <c r="DO629" i="1"/>
  <c r="DN629" i="1"/>
  <c r="DV628" i="1"/>
  <c r="DR628" i="1"/>
  <c r="DS628" i="1" s="1"/>
  <c r="DO628" i="1"/>
  <c r="DN628" i="1"/>
  <c r="DV627" i="1"/>
  <c r="DR627" i="1"/>
  <c r="DS627" i="1" s="1"/>
  <c r="DT627" i="1" s="1"/>
  <c r="DO627" i="1"/>
  <c r="DN627" i="1"/>
  <c r="DV626" i="1"/>
  <c r="DR626" i="1"/>
  <c r="DS626" i="1" s="1"/>
  <c r="DT626" i="1" s="1"/>
  <c r="DO626" i="1"/>
  <c r="DN626" i="1"/>
  <c r="DV625" i="1"/>
  <c r="DR625" i="1"/>
  <c r="DO625" i="1"/>
  <c r="DN625" i="1"/>
  <c r="DV624" i="1"/>
  <c r="DR624" i="1"/>
  <c r="DO624" i="1"/>
  <c r="DN624" i="1"/>
  <c r="DV623" i="1"/>
  <c r="DR623" i="1"/>
  <c r="DS623" i="1" s="1"/>
  <c r="DT623" i="1" s="1"/>
  <c r="DO623" i="1"/>
  <c r="DN623" i="1"/>
  <c r="DV622" i="1"/>
  <c r="DR622" i="1"/>
  <c r="DO622" i="1"/>
  <c r="DN622" i="1"/>
  <c r="DV621" i="1"/>
  <c r="DR621" i="1"/>
  <c r="DS621" i="1" s="1"/>
  <c r="DT621" i="1" s="1"/>
  <c r="DO621" i="1"/>
  <c r="DN621" i="1"/>
  <c r="EU620" i="1"/>
  <c r="ET620" i="1"/>
  <c r="ES620" i="1" s="1"/>
  <c r="ER620" i="1"/>
  <c r="DV620" i="1"/>
  <c r="DR620" i="1"/>
  <c r="BQ620" i="1"/>
  <c r="BJ620" i="1"/>
  <c r="DO620" i="1" s="1"/>
  <c r="BI620" i="1"/>
  <c r="BA620" i="1"/>
  <c r="DV619" i="1"/>
  <c r="DR619" i="1"/>
  <c r="DS619" i="1" s="1"/>
  <c r="DT619" i="1" s="1"/>
  <c r="DO619" i="1"/>
  <c r="DN619" i="1"/>
  <c r="DV618" i="1"/>
  <c r="DW618" i="1" s="1"/>
  <c r="DX618" i="1" s="1"/>
  <c r="DR618" i="1"/>
  <c r="DO618" i="1"/>
  <c r="DN618" i="1"/>
  <c r="DV617" i="1"/>
  <c r="DR617" i="1"/>
  <c r="DS617" i="1" s="1"/>
  <c r="DT617" i="1" s="1"/>
  <c r="DO617" i="1"/>
  <c r="DN617" i="1"/>
  <c r="FH616" i="1"/>
  <c r="FG616" i="1"/>
  <c r="FO616" i="1" s="1"/>
  <c r="FE616" i="1"/>
  <c r="FD616" i="1"/>
  <c r="EL616" i="1" s="1"/>
  <c r="EQ616" i="1"/>
  <c r="EP616" i="1"/>
  <c r="EO616" i="1"/>
  <c r="EN616" i="1"/>
  <c r="EJ616" i="1"/>
  <c r="EH616" i="1"/>
  <c r="DV616" i="1"/>
  <c r="DR616" i="1"/>
  <c r="DS616" i="1" s="1"/>
  <c r="DO616" i="1"/>
  <c r="DN616" i="1"/>
  <c r="DV615" i="1"/>
  <c r="DR615" i="1"/>
  <c r="DS615" i="1" s="1"/>
  <c r="DO615" i="1"/>
  <c r="DN615" i="1"/>
  <c r="F615" i="1"/>
  <c r="E615" i="1"/>
  <c r="DV614" i="1"/>
  <c r="DR614" i="1"/>
  <c r="DS614" i="1" s="1"/>
  <c r="DT614" i="1" s="1"/>
  <c r="DO614" i="1"/>
  <c r="DN614" i="1"/>
  <c r="FO613" i="1"/>
  <c r="FM613" i="1"/>
  <c r="FD613" i="1"/>
  <c r="EL613" i="1" s="1"/>
  <c r="EY613" i="1"/>
  <c r="EX613" i="1"/>
  <c r="EW613" i="1"/>
  <c r="EV613" i="1"/>
  <c r="EQ613" i="1"/>
  <c r="EP613" i="1"/>
  <c r="EO613" i="1" s="1"/>
  <c r="EN613" i="1"/>
  <c r="EJ613" i="1"/>
  <c r="EH613" i="1"/>
  <c r="DV613" i="1"/>
  <c r="DW613" i="1" s="1"/>
  <c r="DX613" i="1" s="1"/>
  <c r="DR613" i="1"/>
  <c r="DO613" i="1"/>
  <c r="DN613" i="1"/>
  <c r="DV612" i="1"/>
  <c r="BJ612" i="1"/>
  <c r="BI612" i="1"/>
  <c r="BB612" i="1"/>
  <c r="BA612" i="1"/>
  <c r="AO612" i="1"/>
  <c r="DO612" i="1" s="1"/>
  <c r="AN612" i="1"/>
  <c r="DN612" i="1" s="1"/>
  <c r="AG612" i="1"/>
  <c r="AF612" i="1"/>
  <c r="DR612" i="1" s="1"/>
  <c r="DV611" i="1"/>
  <c r="DR611" i="1"/>
  <c r="DO611" i="1"/>
  <c r="DN611" i="1"/>
  <c r="DV610" i="1"/>
  <c r="DR610" i="1"/>
  <c r="DS610" i="1" s="1"/>
  <c r="DT610" i="1" s="1"/>
  <c r="DO610" i="1"/>
  <c r="DN610" i="1"/>
  <c r="DV609" i="1"/>
  <c r="DR609" i="1"/>
  <c r="DS609" i="1" s="1"/>
  <c r="DT609" i="1" s="1"/>
  <c r="DO609" i="1"/>
  <c r="DN609" i="1"/>
  <c r="DV608" i="1"/>
  <c r="DO608" i="1"/>
  <c r="DN608" i="1"/>
  <c r="BA608" i="1"/>
  <c r="DV607" i="1"/>
  <c r="DR607" i="1"/>
  <c r="DS607" i="1" s="1"/>
  <c r="DT607" i="1" s="1"/>
  <c r="DO607" i="1"/>
  <c r="DN607" i="1"/>
  <c r="DV606" i="1"/>
  <c r="DR606" i="1"/>
  <c r="DO606" i="1"/>
  <c r="DN606" i="1"/>
  <c r="DV605" i="1"/>
  <c r="DR605" i="1"/>
  <c r="DS605" i="1" s="1"/>
  <c r="DT605" i="1" s="1"/>
  <c r="DO605" i="1"/>
  <c r="DN605" i="1"/>
  <c r="DV604" i="1"/>
  <c r="DR604" i="1"/>
  <c r="DO604" i="1"/>
  <c r="DN604" i="1"/>
  <c r="BL604" i="1"/>
  <c r="BK604" i="1"/>
  <c r="DV603" i="1"/>
  <c r="DR603" i="1"/>
  <c r="DO603" i="1"/>
  <c r="DN603" i="1"/>
  <c r="DV602" i="1"/>
  <c r="BC602" i="1"/>
  <c r="BB602" i="1"/>
  <c r="BA602" i="1"/>
  <c r="DR602" i="1" s="1"/>
  <c r="DV601" i="1"/>
  <c r="DR601" i="1"/>
  <c r="DO601" i="1"/>
  <c r="DN601" i="1"/>
  <c r="DV600" i="1"/>
  <c r="DR600" i="1"/>
  <c r="DS600" i="1" s="1"/>
  <c r="DT600" i="1" s="1"/>
  <c r="DO600" i="1"/>
  <c r="DN600" i="1"/>
  <c r="DV599" i="1"/>
  <c r="BI599" i="1"/>
  <c r="BA599" i="1"/>
  <c r="AN599" i="1"/>
  <c r="AF599" i="1"/>
  <c r="K599" i="1"/>
  <c r="S599" i="1" s="1"/>
  <c r="DV598" i="1"/>
  <c r="DR598" i="1"/>
  <c r="DO598" i="1"/>
  <c r="DN598" i="1"/>
  <c r="BE598" i="1"/>
  <c r="AJ598" i="1"/>
  <c r="DV597" i="1"/>
  <c r="DR597" i="1"/>
  <c r="DO597" i="1"/>
  <c r="DN597" i="1"/>
  <c r="DV596" i="1"/>
  <c r="DR596" i="1"/>
  <c r="DO596" i="1"/>
  <c r="DN596" i="1"/>
  <c r="DV595" i="1"/>
  <c r="DR595" i="1"/>
  <c r="DO595" i="1"/>
  <c r="DN595" i="1"/>
  <c r="DV594" i="1"/>
  <c r="DR594" i="1"/>
  <c r="DO594" i="1"/>
  <c r="DN594" i="1"/>
  <c r="DV593" i="1"/>
  <c r="DR593" i="1"/>
  <c r="DS593" i="1" s="1"/>
  <c r="DT593" i="1" s="1"/>
  <c r="DO593" i="1"/>
  <c r="DN593" i="1"/>
  <c r="DV592" i="1"/>
  <c r="DR592" i="1"/>
  <c r="DO592" i="1"/>
  <c r="DN592" i="1"/>
  <c r="DV591" i="1"/>
  <c r="DR591" i="1"/>
  <c r="DS591" i="1" s="1"/>
  <c r="DT591" i="1" s="1"/>
  <c r="DO591" i="1"/>
  <c r="DN591" i="1"/>
  <c r="DV590" i="1"/>
  <c r="DR590" i="1"/>
  <c r="DS590" i="1" s="1"/>
  <c r="DT590" i="1" s="1"/>
  <c r="DO590" i="1"/>
  <c r="DN590" i="1"/>
  <c r="DV589" i="1"/>
  <c r="DR589" i="1"/>
  <c r="DS589" i="1" s="1"/>
  <c r="DO589" i="1"/>
  <c r="DN589" i="1"/>
  <c r="DV588" i="1"/>
  <c r="DR588" i="1"/>
  <c r="DS588" i="1" s="1"/>
  <c r="DT588" i="1" s="1"/>
  <c r="DO588" i="1"/>
  <c r="DN588" i="1"/>
  <c r="BE588" i="1"/>
  <c r="AJ588" i="1"/>
  <c r="DV587" i="1"/>
  <c r="DR587" i="1"/>
  <c r="DS587" i="1" s="1"/>
  <c r="DT587" i="1" s="1"/>
  <c r="DO587" i="1"/>
  <c r="DN587" i="1"/>
  <c r="DV586" i="1"/>
  <c r="DR586" i="1"/>
  <c r="DO586" i="1"/>
  <c r="DN586" i="1"/>
  <c r="BQ586" i="1"/>
  <c r="AV586" i="1"/>
  <c r="AA586" i="1"/>
  <c r="DV585" i="1"/>
  <c r="BI585" i="1"/>
  <c r="DN585" i="1" s="1"/>
  <c r="BA585" i="1"/>
  <c r="DV584" i="1"/>
  <c r="DR584" i="1"/>
  <c r="DS584" i="1" s="1"/>
  <c r="DT584" i="1" s="1"/>
  <c r="DO584" i="1"/>
  <c r="DN584" i="1"/>
  <c r="DV583" i="1"/>
  <c r="DR583" i="1"/>
  <c r="DS583" i="1" s="1"/>
  <c r="DO583" i="1"/>
  <c r="DN583" i="1"/>
  <c r="DV582" i="1"/>
  <c r="DR582" i="1"/>
  <c r="DS582" i="1" s="1"/>
  <c r="DO582" i="1"/>
  <c r="DN582" i="1"/>
  <c r="DV581" i="1"/>
  <c r="DR581" i="1"/>
  <c r="DS581" i="1" s="1"/>
  <c r="DT581" i="1" s="1"/>
  <c r="DO581" i="1"/>
  <c r="DN581" i="1"/>
  <c r="DV580" i="1"/>
  <c r="DR580" i="1"/>
  <c r="DO580" i="1"/>
  <c r="DN580" i="1"/>
  <c r="DV579" i="1"/>
  <c r="DR579" i="1"/>
  <c r="DS579" i="1" s="1"/>
  <c r="DT579" i="1" s="1"/>
  <c r="DO579" i="1"/>
  <c r="DN579" i="1"/>
  <c r="DV578" i="1"/>
  <c r="DR578" i="1"/>
  <c r="DO578" i="1"/>
  <c r="DN578" i="1"/>
  <c r="DV577" i="1"/>
  <c r="DR577" i="1"/>
  <c r="DS577" i="1" s="1"/>
  <c r="DO577" i="1"/>
  <c r="DN577" i="1"/>
  <c r="DV576" i="1"/>
  <c r="DW576" i="1" s="1"/>
  <c r="DX576" i="1" s="1"/>
  <c r="DR576" i="1"/>
  <c r="DS576" i="1" s="1"/>
  <c r="DT576" i="1" s="1"/>
  <c r="DO576" i="1"/>
  <c r="DN576" i="1"/>
  <c r="DV575" i="1"/>
  <c r="DR575" i="1"/>
  <c r="DS575" i="1" s="1"/>
  <c r="DO575" i="1"/>
  <c r="DN575" i="1"/>
  <c r="DV574" i="1"/>
  <c r="DW574" i="1" s="1"/>
  <c r="DX574" i="1" s="1"/>
  <c r="DR574" i="1"/>
  <c r="DO574" i="1"/>
  <c r="DN574" i="1"/>
  <c r="DV573" i="1"/>
  <c r="DR573" i="1"/>
  <c r="DO573" i="1"/>
  <c r="DN573" i="1"/>
  <c r="DV572" i="1"/>
  <c r="DR572" i="1"/>
  <c r="DS572" i="1" s="1"/>
  <c r="DT572" i="1" s="1"/>
  <c r="DO572" i="1"/>
  <c r="DN572" i="1"/>
  <c r="DV571" i="1"/>
  <c r="DR571" i="1"/>
  <c r="DO571" i="1"/>
  <c r="DN571" i="1"/>
  <c r="DV570" i="1"/>
  <c r="DO570" i="1"/>
  <c r="DN570" i="1"/>
  <c r="BA570" i="1"/>
  <c r="DV569" i="1"/>
  <c r="DR569" i="1"/>
  <c r="DO569" i="1"/>
  <c r="DN569" i="1"/>
  <c r="DV568" i="1"/>
  <c r="DR568" i="1"/>
  <c r="DS568" i="1" s="1"/>
  <c r="DT568" i="1" s="1"/>
  <c r="DO568" i="1"/>
  <c r="DN568" i="1"/>
  <c r="DV567" i="1"/>
  <c r="DR567" i="1"/>
  <c r="DS567" i="1" s="1"/>
  <c r="DT567" i="1" s="1"/>
  <c r="DO567" i="1"/>
  <c r="DN567" i="1"/>
  <c r="DV566" i="1"/>
  <c r="DR566" i="1"/>
  <c r="DO566" i="1"/>
  <c r="DN566" i="1"/>
  <c r="DV565" i="1"/>
  <c r="DR565" i="1"/>
  <c r="DO565" i="1"/>
  <c r="DN565" i="1"/>
  <c r="DV564" i="1"/>
  <c r="DR564" i="1"/>
  <c r="DS564" i="1" s="1"/>
  <c r="DT564" i="1" s="1"/>
  <c r="DO564" i="1"/>
  <c r="DN564" i="1"/>
  <c r="DV563" i="1"/>
  <c r="DR563" i="1"/>
  <c r="DO563" i="1"/>
  <c r="DN563" i="1"/>
  <c r="DV562" i="1"/>
  <c r="BL562" i="1"/>
  <c r="BK562" i="1"/>
  <c r="BJ562" i="1"/>
  <c r="BI562" i="1"/>
  <c r="BD562" i="1"/>
  <c r="BC562" i="1"/>
  <c r="BB562" i="1"/>
  <c r="BA562" i="1"/>
  <c r="AP562" i="1"/>
  <c r="AH562" i="1"/>
  <c r="AG562" i="1"/>
  <c r="AF562" i="1"/>
  <c r="DR562" i="1" s="1"/>
  <c r="DR561" i="1"/>
  <c r="DO561" i="1"/>
  <c r="CD561" i="1"/>
  <c r="BV561" i="1"/>
  <c r="S561" i="1"/>
  <c r="K561" i="1"/>
  <c r="DV560" i="1"/>
  <c r="DR560" i="1"/>
  <c r="DO560" i="1"/>
  <c r="DN560" i="1"/>
  <c r="DV559" i="1"/>
  <c r="DR559" i="1"/>
  <c r="DS559" i="1" s="1"/>
  <c r="DT559" i="1" s="1"/>
  <c r="DO559" i="1"/>
  <c r="DN559" i="1"/>
  <c r="DV558" i="1"/>
  <c r="DR558" i="1"/>
  <c r="DO558" i="1"/>
  <c r="DN558" i="1"/>
  <c r="DV557" i="1"/>
  <c r="FE26" i="1" s="1"/>
  <c r="DR557" i="1"/>
  <c r="EN26" i="1" s="1"/>
  <c r="DO557" i="1"/>
  <c r="DN557" i="1"/>
  <c r="DV556" i="1"/>
  <c r="DR556" i="1"/>
  <c r="DS556" i="1" s="1"/>
  <c r="DT556" i="1" s="1"/>
  <c r="DO556" i="1"/>
  <c r="DN556" i="1"/>
  <c r="DV555" i="1"/>
  <c r="DR555" i="1"/>
  <c r="DO555" i="1"/>
  <c r="DN555" i="1"/>
  <c r="DV554" i="1"/>
  <c r="DS554" i="1"/>
  <c r="DT554" i="1" s="1"/>
  <c r="DR554" i="1"/>
  <c r="DO554" i="1"/>
  <c r="DN554" i="1"/>
  <c r="DV553" i="1"/>
  <c r="DR553" i="1"/>
  <c r="DS553" i="1" s="1"/>
  <c r="DT553" i="1" s="1"/>
  <c r="DO553" i="1"/>
  <c r="DN553" i="1"/>
  <c r="CZ553" i="1"/>
  <c r="CE553" i="1"/>
  <c r="BJ553" i="1"/>
  <c r="AO553" i="1"/>
  <c r="DV552" i="1"/>
  <c r="DR552" i="1"/>
  <c r="DS552" i="1" s="1"/>
  <c r="DT552" i="1" s="1"/>
  <c r="DO552" i="1"/>
  <c r="DN552" i="1"/>
  <c r="F552" i="1"/>
  <c r="E552" i="1"/>
  <c r="DK551" i="1"/>
  <c r="DG551" i="1"/>
  <c r="CY551" i="1"/>
  <c r="CQ551" i="1"/>
  <c r="BU551" i="1"/>
  <c r="AZ551" i="1"/>
  <c r="AV551" i="1"/>
  <c r="AF551" i="1"/>
  <c r="DO551" i="1" s="1"/>
  <c r="DV550" i="1"/>
  <c r="DR550" i="1"/>
  <c r="DS550" i="1" s="1"/>
  <c r="DO550" i="1"/>
  <c r="DN550" i="1"/>
  <c r="DV549" i="1"/>
  <c r="DR549" i="1"/>
  <c r="DS549" i="1" s="1"/>
  <c r="DO549" i="1"/>
  <c r="DN549" i="1"/>
  <c r="DV548" i="1"/>
  <c r="DR548" i="1"/>
  <c r="DO548" i="1"/>
  <c r="DN548" i="1"/>
  <c r="DV547" i="1"/>
  <c r="DW547" i="1" s="1"/>
  <c r="DX547" i="1" s="1"/>
  <c r="FL266" i="1" s="1"/>
  <c r="DR547" i="1"/>
  <c r="DS547" i="1" s="1"/>
  <c r="DO547" i="1"/>
  <c r="DN547" i="1"/>
  <c r="DV546" i="1"/>
  <c r="DR546" i="1"/>
  <c r="DS546" i="1" s="1"/>
  <c r="DT546" i="1" s="1"/>
  <c r="DO546" i="1"/>
  <c r="DN546" i="1"/>
  <c r="DV545" i="1"/>
  <c r="DR545" i="1"/>
  <c r="DS545" i="1" s="1"/>
  <c r="DT545" i="1" s="1"/>
  <c r="DO545" i="1"/>
  <c r="DN545" i="1"/>
  <c r="DV544" i="1"/>
  <c r="DR544" i="1"/>
  <c r="DS544" i="1" s="1"/>
  <c r="DT544" i="1" s="1"/>
  <c r="EU352" i="1" s="1"/>
  <c r="DO544" i="1"/>
  <c r="DN544" i="1"/>
  <c r="DV543" i="1"/>
  <c r="DR543" i="1"/>
  <c r="DS543" i="1" s="1"/>
  <c r="DO543" i="1"/>
  <c r="DN543" i="1"/>
  <c r="F543" i="1"/>
  <c r="E543" i="1"/>
  <c r="DV542" i="1"/>
  <c r="DR542" i="1"/>
  <c r="DO542" i="1"/>
  <c r="DN542" i="1"/>
  <c r="BL542" i="1"/>
  <c r="BK542" i="1"/>
  <c r="BD542" i="1"/>
  <c r="BC542" i="1"/>
  <c r="F542" i="1"/>
  <c r="E542" i="1"/>
  <c r="DV541" i="1"/>
  <c r="BL541" i="1"/>
  <c r="BK541" i="1"/>
  <c r="AQ541" i="1"/>
  <c r="AP541" i="1"/>
  <c r="AF541" i="1"/>
  <c r="V541" i="1"/>
  <c r="U541" i="1"/>
  <c r="F541" i="1"/>
  <c r="E541" i="1"/>
  <c r="DV540" i="1"/>
  <c r="DR540" i="1"/>
  <c r="DO540" i="1"/>
  <c r="DN540" i="1"/>
  <c r="F540" i="1"/>
  <c r="E540" i="1"/>
  <c r="DV539" i="1"/>
  <c r="DR539" i="1"/>
  <c r="DO539" i="1"/>
  <c r="DN539" i="1"/>
  <c r="F539" i="1"/>
  <c r="E539" i="1"/>
  <c r="DV538" i="1"/>
  <c r="DR538" i="1"/>
  <c r="DS538" i="1" s="1"/>
  <c r="DT538" i="1" s="1"/>
  <c r="DO538" i="1"/>
  <c r="DN538" i="1"/>
  <c r="F538" i="1"/>
  <c r="E538" i="1"/>
  <c r="DR537" i="1"/>
  <c r="BV537" i="1"/>
  <c r="AO537" i="1"/>
  <c r="DO537" i="1" s="1"/>
  <c r="AN537" i="1"/>
  <c r="DN537" i="1" s="1"/>
  <c r="AG537" i="1"/>
  <c r="AF537" i="1"/>
  <c r="F537" i="1"/>
  <c r="E537" i="1"/>
  <c r="DV536" i="1"/>
  <c r="DR536" i="1"/>
  <c r="DO536" i="1"/>
  <c r="DN536" i="1"/>
  <c r="F536" i="1"/>
  <c r="E536" i="1"/>
  <c r="DV535" i="1"/>
  <c r="BA535" i="1"/>
  <c r="DN535" i="1" s="1"/>
  <c r="F535" i="1"/>
  <c r="E535" i="1"/>
  <c r="DV534" i="1"/>
  <c r="DR534" i="1"/>
  <c r="DO534" i="1"/>
  <c r="DN534" i="1"/>
  <c r="F534" i="1"/>
  <c r="E534" i="1"/>
  <c r="DV533" i="1"/>
  <c r="DR533" i="1"/>
  <c r="DS533" i="1" s="1"/>
  <c r="DT533" i="1" s="1"/>
  <c r="DO533" i="1"/>
  <c r="DN533" i="1"/>
  <c r="F533" i="1"/>
  <c r="E533" i="1"/>
  <c r="DV532" i="1"/>
  <c r="DR532" i="1"/>
  <c r="DS532" i="1" s="1"/>
  <c r="DO532" i="1"/>
  <c r="DN532" i="1"/>
  <c r="DB531" i="1"/>
  <c r="DA531" i="1"/>
  <c r="CQ531" i="1"/>
  <c r="CG531" i="1"/>
  <c r="CF531" i="1"/>
  <c r="BV531" i="1"/>
  <c r="BL531" i="1"/>
  <c r="BK531" i="1"/>
  <c r="BA531" i="1"/>
  <c r="DO531" i="1" s="1"/>
  <c r="AQ531" i="1"/>
  <c r="AP531" i="1"/>
  <c r="AF531" i="1"/>
  <c r="V531" i="1"/>
  <c r="U531" i="1"/>
  <c r="K531" i="1"/>
  <c r="DV530" i="1"/>
  <c r="DR530" i="1"/>
  <c r="DO530" i="1"/>
  <c r="DN530" i="1"/>
  <c r="FL529" i="1"/>
  <c r="FK529" i="1"/>
  <c r="FI529" i="1"/>
  <c r="EY529" i="1"/>
  <c r="EX529" i="1"/>
  <c r="EW529" i="1" s="1"/>
  <c r="EV529" i="1"/>
  <c r="EU529" i="1"/>
  <c r="ET529" i="1"/>
  <c r="EK529" i="1" s="1"/>
  <c r="ES529" i="1"/>
  <c r="ER529" i="1"/>
  <c r="EQ529" i="1"/>
  <c r="EP529" i="1"/>
  <c r="FD529" i="1" s="1"/>
  <c r="EL529" i="1" s="1"/>
  <c r="EN529" i="1"/>
  <c r="EO529" i="1" s="1"/>
  <c r="EI529" i="1"/>
  <c r="EH529" i="1"/>
  <c r="DV529" i="1"/>
  <c r="BA529" i="1"/>
  <c r="AO529" i="1"/>
  <c r="AN529" i="1"/>
  <c r="AF529" i="1"/>
  <c r="DV528" i="1"/>
  <c r="DR528" i="1"/>
  <c r="DO528" i="1"/>
  <c r="DN528" i="1"/>
  <c r="DV527" i="1"/>
  <c r="DW527" i="1" s="1"/>
  <c r="DX527" i="1" s="1"/>
  <c r="AN527" i="1"/>
  <c r="DN527" i="1" s="1"/>
  <c r="AF527" i="1"/>
  <c r="DV526" i="1"/>
  <c r="DR526" i="1"/>
  <c r="DS526" i="1" s="1"/>
  <c r="DT526" i="1" s="1"/>
  <c r="DO526" i="1"/>
  <c r="DN526" i="1"/>
  <c r="DV525" i="1"/>
  <c r="DR525" i="1"/>
  <c r="DO525" i="1"/>
  <c r="DN525" i="1"/>
  <c r="DV524" i="1"/>
  <c r="DR524" i="1"/>
  <c r="DS524" i="1" s="1"/>
  <c r="DO524" i="1"/>
  <c r="DN524" i="1"/>
  <c r="DV523" i="1"/>
  <c r="DR523" i="1"/>
  <c r="DS523" i="1" s="1"/>
  <c r="DT523" i="1" s="1"/>
  <c r="DO523" i="1"/>
  <c r="DN523" i="1"/>
  <c r="BL523" i="1"/>
  <c r="BK523" i="1"/>
  <c r="DV522" i="1"/>
  <c r="DR522" i="1"/>
  <c r="DS522" i="1" s="1"/>
  <c r="DO522" i="1"/>
  <c r="DN522" i="1"/>
  <c r="DV521" i="1"/>
  <c r="DO521" i="1"/>
  <c r="DN521" i="1"/>
  <c r="BD521" i="1"/>
  <c r="BA521" i="1"/>
  <c r="DV520" i="1"/>
  <c r="DR520" i="1"/>
  <c r="DO520" i="1"/>
  <c r="DN520" i="1"/>
  <c r="DV519" i="1"/>
  <c r="DW519" i="1" s="1"/>
  <c r="DX519" i="1" s="1"/>
  <c r="DR519" i="1"/>
  <c r="DS519" i="1" s="1"/>
  <c r="DT519" i="1" s="1"/>
  <c r="DO519" i="1"/>
  <c r="DN519" i="1"/>
  <c r="DV518" i="1"/>
  <c r="DR518" i="1"/>
  <c r="DS518" i="1" s="1"/>
  <c r="DT518" i="1" s="1"/>
  <c r="DO518" i="1"/>
  <c r="DN518" i="1"/>
  <c r="DV517" i="1"/>
  <c r="DR517" i="1"/>
  <c r="DS517" i="1" s="1"/>
  <c r="DT517" i="1" s="1"/>
  <c r="DO517" i="1"/>
  <c r="DN517" i="1"/>
  <c r="DV516" i="1"/>
  <c r="DR516" i="1"/>
  <c r="DS516" i="1" s="1"/>
  <c r="DT516" i="1" s="1"/>
  <c r="DO516" i="1"/>
  <c r="DN516" i="1"/>
  <c r="DV515" i="1"/>
  <c r="DR515" i="1"/>
  <c r="DS515" i="1" s="1"/>
  <c r="DO515" i="1"/>
  <c r="DN515" i="1"/>
  <c r="DV514" i="1"/>
  <c r="DR514" i="1"/>
  <c r="DO514" i="1"/>
  <c r="DN514" i="1"/>
  <c r="DV513" i="1"/>
  <c r="DR513" i="1"/>
  <c r="DS513" i="1" s="1"/>
  <c r="DO513" i="1"/>
  <c r="DN513" i="1"/>
  <c r="DV512" i="1"/>
  <c r="DR512" i="1"/>
  <c r="DO512" i="1"/>
  <c r="DN512" i="1"/>
  <c r="DV511" i="1"/>
  <c r="DR511" i="1"/>
  <c r="DS511" i="1" s="1"/>
  <c r="DT511" i="1" s="1"/>
  <c r="DO511" i="1"/>
  <c r="DN511" i="1"/>
  <c r="FH510" i="1"/>
  <c r="FG510" i="1"/>
  <c r="FO510" i="1" s="1"/>
  <c r="FF510" i="1"/>
  <c r="FE510" i="1"/>
  <c r="FC510" i="1"/>
  <c r="FB510" i="1"/>
  <c r="FA510" i="1"/>
  <c r="EZ510" i="1"/>
  <c r="EY510" i="1"/>
  <c r="EX510" i="1"/>
  <c r="EW510" i="1"/>
  <c r="EV510" i="1"/>
  <c r="EQ510" i="1"/>
  <c r="EP510" i="1"/>
  <c r="FD510" i="1" s="1"/>
  <c r="EL510" i="1" s="1"/>
  <c r="EN510" i="1"/>
  <c r="EH510" i="1"/>
  <c r="EB510" i="1"/>
  <c r="DV510" i="1"/>
  <c r="DR510" i="1"/>
  <c r="DS510" i="1" s="1"/>
  <c r="DT510" i="1" s="1"/>
  <c r="DO510" i="1"/>
  <c r="DN510" i="1"/>
  <c r="DV509" i="1"/>
  <c r="DR509" i="1"/>
  <c r="DS509" i="1" s="1"/>
  <c r="DT509" i="1" s="1"/>
  <c r="DO509" i="1"/>
  <c r="DN509" i="1"/>
  <c r="DV508" i="1"/>
  <c r="BA508" i="1"/>
  <c r="AF508" i="1"/>
  <c r="K508" i="1"/>
  <c r="DV507" i="1"/>
  <c r="DW507" i="1" s="1"/>
  <c r="DR507" i="1"/>
  <c r="DO507" i="1"/>
  <c r="DN507" i="1"/>
  <c r="DV506" i="1"/>
  <c r="DR506" i="1"/>
  <c r="DS506" i="1" s="1"/>
  <c r="DT506" i="1" s="1"/>
  <c r="DO506" i="1"/>
  <c r="DN506" i="1"/>
  <c r="DV505" i="1"/>
  <c r="DR505" i="1"/>
  <c r="DO505" i="1"/>
  <c r="BI505" i="1"/>
  <c r="DV504" i="1"/>
  <c r="BL504" i="1"/>
  <c r="BK504" i="1"/>
  <c r="BC504" i="1"/>
  <c r="BB504" i="1"/>
  <c r="BA504" i="1"/>
  <c r="BJ504" i="1" s="1"/>
  <c r="AQ504" i="1"/>
  <c r="AP504" i="1"/>
  <c r="AO504" i="1"/>
  <c r="AN504" i="1"/>
  <c r="AH504" i="1"/>
  <c r="AF504" i="1"/>
  <c r="AG504" i="1" s="1"/>
  <c r="DV503" i="1"/>
  <c r="DR503" i="1"/>
  <c r="DO503" i="1"/>
  <c r="DN503" i="1"/>
  <c r="DV502" i="1"/>
  <c r="DR502" i="1"/>
  <c r="DS502" i="1" s="1"/>
  <c r="DT502" i="1" s="1"/>
  <c r="DO502" i="1"/>
  <c r="DN502" i="1"/>
  <c r="DV501" i="1"/>
  <c r="DR501" i="1"/>
  <c r="DS501" i="1" s="1"/>
  <c r="DO501" i="1"/>
  <c r="DN501" i="1"/>
  <c r="DV500" i="1"/>
  <c r="BI500" i="1"/>
  <c r="DN500" i="1" s="1"/>
  <c r="BB500" i="1"/>
  <c r="BA500" i="1"/>
  <c r="DV499" i="1"/>
  <c r="DR499" i="1"/>
  <c r="DO499" i="1"/>
  <c r="DN499" i="1"/>
  <c r="DV498" i="1"/>
  <c r="DR498" i="1"/>
  <c r="DO498" i="1"/>
  <c r="DN498" i="1"/>
  <c r="DV497" i="1"/>
  <c r="DR497" i="1"/>
  <c r="DO497" i="1"/>
  <c r="DN497" i="1"/>
  <c r="DV496" i="1"/>
  <c r="DR496" i="1"/>
  <c r="DS496" i="1" s="1"/>
  <c r="DO496" i="1"/>
  <c r="DN496" i="1"/>
  <c r="DV495" i="1"/>
  <c r="DR495" i="1"/>
  <c r="DO495" i="1"/>
  <c r="DN495" i="1"/>
  <c r="DV494" i="1"/>
  <c r="DR494" i="1"/>
  <c r="DS494" i="1" s="1"/>
  <c r="DO494" i="1"/>
  <c r="DN494" i="1"/>
  <c r="DV493" i="1"/>
  <c r="BI493" i="1"/>
  <c r="DN493" i="1" s="1"/>
  <c r="BA493" i="1"/>
  <c r="DR493" i="1" s="1"/>
  <c r="DV492" i="1"/>
  <c r="DR492" i="1"/>
  <c r="DS492" i="1" s="1"/>
  <c r="DT492" i="1" s="1"/>
  <c r="DO492" i="1"/>
  <c r="DN492" i="1"/>
  <c r="DV491" i="1"/>
  <c r="DR491" i="1"/>
  <c r="DO491" i="1"/>
  <c r="DN491" i="1"/>
  <c r="DV490" i="1"/>
  <c r="BA490" i="1"/>
  <c r="AX490" i="1"/>
  <c r="AV490" i="1"/>
  <c r="AF490" i="1"/>
  <c r="DR490" i="1" s="1"/>
  <c r="EI489" i="1"/>
  <c r="DV489" i="1"/>
  <c r="DR489" i="1"/>
  <c r="DS489" i="1" s="1"/>
  <c r="DO489" i="1"/>
  <c r="DN489" i="1"/>
  <c r="DV488" i="1"/>
  <c r="AO488" i="1"/>
  <c r="DO488" i="1" s="1"/>
  <c r="AN488" i="1"/>
  <c r="DN488" i="1" s="1"/>
  <c r="AF488" i="1"/>
  <c r="DV487" i="1"/>
  <c r="CZ487" i="1"/>
  <c r="CY487" i="1"/>
  <c r="CR487" i="1"/>
  <c r="CQ487" i="1"/>
  <c r="BI487" i="1"/>
  <c r="BB487" i="1"/>
  <c r="BA487" i="1"/>
  <c r="BJ487" i="1" s="1"/>
  <c r="AN487" i="1"/>
  <c r="AG487" i="1"/>
  <c r="AF487" i="1"/>
  <c r="AO487" i="1" s="1"/>
  <c r="T487" i="1"/>
  <c r="K487" i="1"/>
  <c r="S487" i="1" s="1"/>
  <c r="DV486" i="1"/>
  <c r="DR486" i="1"/>
  <c r="DO486" i="1"/>
  <c r="DN486" i="1"/>
  <c r="DV485" i="1"/>
  <c r="DR485" i="1"/>
  <c r="DO485" i="1"/>
  <c r="BI485" i="1"/>
  <c r="AN485" i="1"/>
  <c r="S485" i="1"/>
  <c r="DV484" i="1"/>
  <c r="DR484" i="1"/>
  <c r="DS484" i="1" s="1"/>
  <c r="DT484" i="1" s="1"/>
  <c r="DO484" i="1"/>
  <c r="DN484" i="1"/>
  <c r="DV483" i="1"/>
  <c r="DR483" i="1"/>
  <c r="DO483" i="1"/>
  <c r="DN483" i="1"/>
  <c r="DV482" i="1"/>
  <c r="DR482" i="1"/>
  <c r="DS482" i="1" s="1"/>
  <c r="DO482" i="1"/>
  <c r="DN482" i="1"/>
  <c r="DV481" i="1"/>
  <c r="DR481" i="1"/>
  <c r="DO481" i="1"/>
  <c r="DN481" i="1"/>
  <c r="DV480" i="1"/>
  <c r="DR480" i="1"/>
  <c r="DS480" i="1" s="1"/>
  <c r="DT480" i="1" s="1"/>
  <c r="DO480" i="1"/>
  <c r="DN480" i="1"/>
  <c r="DV479" i="1"/>
  <c r="DR479" i="1"/>
  <c r="DS479" i="1" s="1"/>
  <c r="DT479" i="1" s="1"/>
  <c r="DO479" i="1"/>
  <c r="DN479" i="1"/>
  <c r="DV478" i="1"/>
  <c r="DR478" i="1"/>
  <c r="DO478" i="1"/>
  <c r="DN478" i="1"/>
  <c r="DV477" i="1"/>
  <c r="DR477" i="1"/>
  <c r="DS477" i="1" s="1"/>
  <c r="DO477" i="1"/>
  <c r="DN477" i="1"/>
  <c r="DV476" i="1"/>
  <c r="DW476" i="1" s="1"/>
  <c r="DX476" i="1" s="1"/>
  <c r="DR476" i="1"/>
  <c r="DS476" i="1" s="1"/>
  <c r="DT476" i="1" s="1"/>
  <c r="DO476" i="1"/>
  <c r="DN476" i="1"/>
  <c r="DV475" i="1"/>
  <c r="DR475" i="1"/>
  <c r="DS475" i="1" s="1"/>
  <c r="DO475" i="1"/>
  <c r="DN475" i="1"/>
  <c r="DV474" i="1"/>
  <c r="DR474" i="1"/>
  <c r="DS474" i="1" s="1"/>
  <c r="DO474" i="1"/>
  <c r="DN474" i="1"/>
  <c r="DV473" i="1"/>
  <c r="DW473" i="1" s="1"/>
  <c r="DX473" i="1" s="1"/>
  <c r="DR473" i="1"/>
  <c r="DS473" i="1" s="1"/>
  <c r="DT473" i="1" s="1"/>
  <c r="DO473" i="1"/>
  <c r="DN473" i="1"/>
  <c r="DV472" i="1"/>
  <c r="DR472" i="1"/>
  <c r="DS472" i="1" s="1"/>
  <c r="DO472" i="1"/>
  <c r="DN472" i="1"/>
  <c r="DV471" i="1"/>
  <c r="BJ471" i="1"/>
  <c r="BI471" i="1"/>
  <c r="BF471" i="1"/>
  <c r="BE471" i="1"/>
  <c r="BA471" i="1"/>
  <c r="BB471" i="1" s="1"/>
  <c r="AG471" i="1"/>
  <c r="AF471" i="1"/>
  <c r="DV470" i="1"/>
  <c r="BQ470" i="1"/>
  <c r="BP470" i="1"/>
  <c r="BJ470" i="1"/>
  <c r="DO470" i="1" s="1"/>
  <c r="BI470" i="1"/>
  <c r="DN470" i="1" s="1"/>
  <c r="BA470" i="1"/>
  <c r="DV469" i="1"/>
  <c r="DR469" i="1"/>
  <c r="DO469" i="1"/>
  <c r="DN469" i="1"/>
  <c r="DV468" i="1"/>
  <c r="DR468" i="1"/>
  <c r="DS468" i="1" s="1"/>
  <c r="DT468" i="1" s="1"/>
  <c r="DO468" i="1"/>
  <c r="DN468" i="1"/>
  <c r="DV467" i="1"/>
  <c r="DR467" i="1"/>
  <c r="DS467" i="1" s="1"/>
  <c r="DO467" i="1"/>
  <c r="DN467" i="1"/>
  <c r="DV466" i="1"/>
  <c r="DR466" i="1"/>
  <c r="DO466" i="1"/>
  <c r="DN466" i="1"/>
  <c r="DV465" i="1"/>
  <c r="DR465" i="1"/>
  <c r="DO465" i="1"/>
  <c r="DN465" i="1"/>
  <c r="DV464" i="1"/>
  <c r="DR464" i="1"/>
  <c r="DO464" i="1"/>
  <c r="DN464" i="1"/>
  <c r="DV463" i="1"/>
  <c r="DR463" i="1"/>
  <c r="DS463" i="1" s="1"/>
  <c r="DT463" i="1" s="1"/>
  <c r="DO463" i="1"/>
  <c r="DN463" i="1"/>
  <c r="DV462" i="1"/>
  <c r="DR462" i="1"/>
  <c r="DO462" i="1"/>
  <c r="DN462" i="1"/>
  <c r="DV461" i="1"/>
  <c r="DR461" i="1"/>
  <c r="DS461" i="1" s="1"/>
  <c r="DT461" i="1" s="1"/>
  <c r="DO461" i="1"/>
  <c r="DN461" i="1"/>
  <c r="DV460" i="1"/>
  <c r="DR460" i="1"/>
  <c r="DO460" i="1"/>
  <c r="DN460" i="1"/>
  <c r="DV459" i="1"/>
  <c r="DK459" i="1"/>
  <c r="DG459" i="1"/>
  <c r="CY459" i="1"/>
  <c r="CQ459" i="1"/>
  <c r="BU459" i="1"/>
  <c r="BQ459" i="1"/>
  <c r="BI459" i="1"/>
  <c r="BA459" i="1"/>
  <c r="AZ459" i="1"/>
  <c r="AV459" i="1"/>
  <c r="AN459" i="1"/>
  <c r="AF459" i="1"/>
  <c r="DV458" i="1"/>
  <c r="DR458" i="1"/>
  <c r="DO458" i="1"/>
  <c r="DN458" i="1"/>
  <c r="DV457" i="1"/>
  <c r="DR457" i="1"/>
  <c r="DS457" i="1" s="1"/>
  <c r="DT457" i="1" s="1"/>
  <c r="DO457" i="1"/>
  <c r="DN457" i="1"/>
  <c r="DV456" i="1"/>
  <c r="DN456" i="1"/>
  <c r="BA456" i="1"/>
  <c r="FD455" i="1"/>
  <c r="EL455" i="1" s="1"/>
  <c r="EU455" i="1"/>
  <c r="ET455" i="1"/>
  <c r="ER455" i="1"/>
  <c r="ES455" i="1" s="1"/>
  <c r="EK455" i="1"/>
  <c r="EI455" i="1"/>
  <c r="DV455" i="1"/>
  <c r="DW455" i="1" s="1"/>
  <c r="DX455" i="1" s="1"/>
  <c r="K455" i="1"/>
  <c r="DV454" i="1"/>
  <c r="BA454" i="1"/>
  <c r="DV453" i="1"/>
  <c r="DR453" i="1"/>
  <c r="DS453" i="1" s="1"/>
  <c r="DO453" i="1"/>
  <c r="DN453" i="1"/>
  <c r="DV452" i="1"/>
  <c r="DR452" i="1"/>
  <c r="DO452" i="1"/>
  <c r="DN452" i="1"/>
  <c r="AV452" i="1"/>
  <c r="DV451" i="1"/>
  <c r="DR451" i="1"/>
  <c r="DS451" i="1" s="1"/>
  <c r="DT451" i="1" s="1"/>
  <c r="DO451" i="1"/>
  <c r="DN451" i="1"/>
  <c r="F451" i="1"/>
  <c r="E451" i="1"/>
  <c r="DV450" i="1"/>
  <c r="DR450" i="1"/>
  <c r="DO450" i="1"/>
  <c r="DN450" i="1"/>
  <c r="DV449" i="1"/>
  <c r="BC449" i="1"/>
  <c r="BB449" i="1"/>
  <c r="BA449" i="1"/>
  <c r="DR449" i="1" s="1"/>
  <c r="AQ449" i="1"/>
  <c r="AN449" i="1"/>
  <c r="AH449" i="1"/>
  <c r="AG449" i="1"/>
  <c r="AF449" i="1"/>
  <c r="AP449" i="1" s="1"/>
  <c r="DV448" i="1"/>
  <c r="DW448" i="1" s="1"/>
  <c r="DX448" i="1" s="1"/>
  <c r="DR448" i="1"/>
  <c r="DS448" i="1" s="1"/>
  <c r="DT448" i="1" s="1"/>
  <c r="DO448" i="1"/>
  <c r="DN448" i="1"/>
  <c r="DV447" i="1"/>
  <c r="DR447" i="1"/>
  <c r="ER37" i="1" s="1"/>
  <c r="DO447" i="1"/>
  <c r="DN447" i="1"/>
  <c r="FC446" i="1"/>
  <c r="FB446" i="1"/>
  <c r="EZ446" i="1"/>
  <c r="EY446" i="1"/>
  <c r="EX446" i="1"/>
  <c r="EV446" i="1"/>
  <c r="EU446" i="1"/>
  <c r="EQ446" i="1"/>
  <c r="EP446" i="1"/>
  <c r="EN446" i="1"/>
  <c r="EC446" i="1"/>
  <c r="EB446" i="1"/>
  <c r="DV446" i="1"/>
  <c r="DR446" i="1"/>
  <c r="DS446" i="1" s="1"/>
  <c r="DO446" i="1"/>
  <c r="DN446" i="1"/>
  <c r="FO445" i="1"/>
  <c r="FL445" i="1"/>
  <c r="FK445" i="1"/>
  <c r="FJ445" i="1"/>
  <c r="FI445" i="1"/>
  <c r="EU445" i="1"/>
  <c r="ET445" i="1"/>
  <c r="FD445" i="1" s="1"/>
  <c r="EL445" i="1" s="1"/>
  <c r="ER445" i="1"/>
  <c r="EK445" i="1"/>
  <c r="EI445" i="1"/>
  <c r="DV445" i="1"/>
  <c r="DR445" i="1"/>
  <c r="DO445" i="1"/>
  <c r="DN445" i="1"/>
  <c r="DV444" i="1"/>
  <c r="DR444" i="1"/>
  <c r="DO444" i="1"/>
  <c r="DN444" i="1"/>
  <c r="DV443" i="1"/>
  <c r="DR443" i="1"/>
  <c r="DS443" i="1" s="1"/>
  <c r="DT443" i="1" s="1"/>
  <c r="DO443" i="1"/>
  <c r="DN443" i="1"/>
  <c r="DV442" i="1"/>
  <c r="DR442" i="1"/>
  <c r="DS442" i="1" s="1"/>
  <c r="DT442" i="1" s="1"/>
  <c r="DO442" i="1"/>
  <c r="DN442" i="1"/>
  <c r="DV441" i="1"/>
  <c r="DW441" i="1" s="1"/>
  <c r="DX441" i="1" s="1"/>
  <c r="DR441" i="1"/>
  <c r="DS441" i="1" s="1"/>
  <c r="DO441" i="1"/>
  <c r="DN441" i="1"/>
  <c r="DV440" i="1"/>
  <c r="DW440" i="1" s="1"/>
  <c r="DR440" i="1"/>
  <c r="DO440" i="1"/>
  <c r="DN440" i="1"/>
  <c r="DV439" i="1"/>
  <c r="DR439" i="1"/>
  <c r="DO439" i="1"/>
  <c r="DN439" i="1"/>
  <c r="DV438" i="1"/>
  <c r="DR438" i="1"/>
  <c r="DO438" i="1"/>
  <c r="BB438" i="1"/>
  <c r="BA438" i="1"/>
  <c r="BI438" i="1" s="1"/>
  <c r="DN438" i="1" s="1"/>
  <c r="DV437" i="1"/>
  <c r="DR437" i="1"/>
  <c r="DO437" i="1"/>
  <c r="DN437" i="1"/>
  <c r="DV436" i="1"/>
  <c r="DR436" i="1"/>
  <c r="DO436" i="1"/>
  <c r="DN436" i="1"/>
  <c r="DV435" i="1"/>
  <c r="DW435" i="1" s="1"/>
  <c r="DX435" i="1" s="1"/>
  <c r="DR435" i="1"/>
  <c r="DS435" i="1" s="1"/>
  <c r="DO435" i="1"/>
  <c r="DN435" i="1"/>
  <c r="DV434" i="1"/>
  <c r="DW434" i="1" s="1"/>
  <c r="DX434" i="1" s="1"/>
  <c r="DR434" i="1"/>
  <c r="DS434" i="1" s="1"/>
  <c r="DT434" i="1" s="1"/>
  <c r="DO434" i="1"/>
  <c r="DN434" i="1"/>
  <c r="DV433" i="1"/>
  <c r="DR433" i="1"/>
  <c r="DS433" i="1" s="1"/>
  <c r="DO433" i="1"/>
  <c r="DN433" i="1"/>
  <c r="DV432" i="1"/>
  <c r="DR432" i="1"/>
  <c r="DS432" i="1" s="1"/>
  <c r="DO432" i="1"/>
  <c r="DN432" i="1"/>
  <c r="DV431" i="1"/>
  <c r="DW431" i="1" s="1"/>
  <c r="DX431" i="1" s="1"/>
  <c r="DR431" i="1"/>
  <c r="DS431" i="1" s="1"/>
  <c r="DT431" i="1" s="1"/>
  <c r="DO431" i="1"/>
  <c r="DN431" i="1"/>
  <c r="DV430" i="1"/>
  <c r="DR430" i="1"/>
  <c r="DS430" i="1" s="1"/>
  <c r="DO430" i="1"/>
  <c r="DN430" i="1"/>
  <c r="AV430" i="1"/>
  <c r="AA430" i="1"/>
  <c r="DV429" i="1"/>
  <c r="DR429" i="1"/>
  <c r="DS429" i="1" s="1"/>
  <c r="DT429" i="1" s="1"/>
  <c r="DO429" i="1"/>
  <c r="DN429" i="1"/>
  <c r="DV428" i="1"/>
  <c r="DR428" i="1"/>
  <c r="DS428" i="1" s="1"/>
  <c r="DT428" i="1" s="1"/>
  <c r="DO428" i="1"/>
  <c r="DN428" i="1"/>
  <c r="DV427" i="1"/>
  <c r="DR427" i="1"/>
  <c r="DO427" i="1"/>
  <c r="DN427" i="1"/>
  <c r="EU426" i="1"/>
  <c r="ET426" i="1"/>
  <c r="FD426" i="1" s="1"/>
  <c r="EL426" i="1" s="1"/>
  <c r="ER426" i="1"/>
  <c r="EK426" i="1"/>
  <c r="DV426" i="1"/>
  <c r="DR426" i="1"/>
  <c r="DS426" i="1" s="1"/>
  <c r="DT426" i="1" s="1"/>
  <c r="DO426" i="1"/>
  <c r="DN426" i="1"/>
  <c r="DV425" i="1"/>
  <c r="DR425" i="1"/>
  <c r="DO425" i="1"/>
  <c r="DN425" i="1"/>
  <c r="BP425" i="1"/>
  <c r="FL424" i="1"/>
  <c r="FK424" i="1"/>
  <c r="FO424" i="1" s="1"/>
  <c r="FI424" i="1"/>
  <c r="EU424" i="1"/>
  <c r="ET424" i="1"/>
  <c r="ES424" i="1" s="1"/>
  <c r="ER424" i="1"/>
  <c r="EI424" i="1"/>
  <c r="DV424" i="1"/>
  <c r="DR424" i="1"/>
  <c r="DO424" i="1"/>
  <c r="DN424" i="1"/>
  <c r="DV423" i="1"/>
  <c r="BI423" i="1"/>
  <c r="DN423" i="1" s="1"/>
  <c r="BB423" i="1"/>
  <c r="BA423" i="1"/>
  <c r="DV422" i="1"/>
  <c r="BL422" i="1"/>
  <c r="BK422" i="1"/>
  <c r="BI422" i="1"/>
  <c r="BC422" i="1"/>
  <c r="BB422" i="1"/>
  <c r="BA422" i="1"/>
  <c r="AF422" i="1"/>
  <c r="V422" i="1"/>
  <c r="U422" i="1"/>
  <c r="S422" i="1"/>
  <c r="K422" i="1"/>
  <c r="M422" i="1" s="1"/>
  <c r="DV421" i="1"/>
  <c r="DR421" i="1"/>
  <c r="DO421" i="1"/>
  <c r="DN421" i="1"/>
  <c r="DV420" i="1"/>
  <c r="DW420" i="1" s="1"/>
  <c r="DX420" i="1" s="1"/>
  <c r="DR420" i="1"/>
  <c r="DO420" i="1"/>
  <c r="DN420" i="1"/>
  <c r="CG420" i="1"/>
  <c r="CF420" i="1"/>
  <c r="V420" i="1"/>
  <c r="U420" i="1"/>
  <c r="DV419" i="1"/>
  <c r="DW419" i="1" s="1"/>
  <c r="DR419" i="1"/>
  <c r="DO419" i="1"/>
  <c r="DN419" i="1"/>
  <c r="CG419" i="1"/>
  <c r="CG1" i="1" s="1"/>
  <c r="CF419" i="1"/>
  <c r="V419" i="1"/>
  <c r="U419" i="1"/>
  <c r="FO418" i="1"/>
  <c r="FH418" i="1"/>
  <c r="FG418" i="1"/>
  <c r="FE418" i="1"/>
  <c r="FF418" i="1" s="1"/>
  <c r="FD418" i="1"/>
  <c r="EL418" i="1" s="1"/>
  <c r="EQ418" i="1"/>
  <c r="EP418" i="1"/>
  <c r="EN418" i="1"/>
  <c r="EO418" i="1" s="1"/>
  <c r="EJ418" i="1"/>
  <c r="EH418" i="1"/>
  <c r="DV418" i="1"/>
  <c r="DR418" i="1"/>
  <c r="DO418" i="1"/>
  <c r="DN418" i="1"/>
  <c r="DV417" i="1"/>
  <c r="DR417" i="1"/>
  <c r="DO417" i="1"/>
  <c r="DN417" i="1"/>
  <c r="DV416" i="1"/>
  <c r="DR416" i="1"/>
  <c r="DS416" i="1" s="1"/>
  <c r="DO416" i="1"/>
  <c r="DN416" i="1"/>
  <c r="DV415" i="1"/>
  <c r="DR415" i="1"/>
  <c r="DS415" i="1" s="1"/>
  <c r="DO415" i="1"/>
  <c r="DN415" i="1"/>
  <c r="DV414" i="1"/>
  <c r="DR414" i="1"/>
  <c r="DO414" i="1"/>
  <c r="DN414" i="1"/>
  <c r="DV413" i="1"/>
  <c r="DR413" i="1"/>
  <c r="DS413" i="1" s="1"/>
  <c r="DO413" i="1"/>
  <c r="DN413" i="1"/>
  <c r="DV412" i="1"/>
  <c r="DR412" i="1"/>
  <c r="DS412" i="1" s="1"/>
  <c r="DO412" i="1"/>
  <c r="DN412" i="1"/>
  <c r="DV411" i="1"/>
  <c r="DR411" i="1"/>
  <c r="DO411" i="1"/>
  <c r="DN411" i="1"/>
  <c r="DV410" i="1"/>
  <c r="DR410" i="1"/>
  <c r="DS410" i="1" s="1"/>
  <c r="DT410" i="1" s="1"/>
  <c r="DO410" i="1"/>
  <c r="DN410" i="1"/>
  <c r="DV409" i="1"/>
  <c r="DR409" i="1"/>
  <c r="DS409" i="1" s="1"/>
  <c r="DO409" i="1"/>
  <c r="DN409" i="1"/>
  <c r="DV408" i="1"/>
  <c r="DR408" i="1"/>
  <c r="DS408" i="1" s="1"/>
  <c r="DT408" i="1" s="1"/>
  <c r="DO408" i="1"/>
  <c r="DN408" i="1"/>
  <c r="DV407" i="1"/>
  <c r="DR407" i="1"/>
  <c r="DS407" i="1" s="1"/>
  <c r="DO407" i="1"/>
  <c r="DN407" i="1"/>
  <c r="DV406" i="1"/>
  <c r="DR406" i="1"/>
  <c r="DO406" i="1"/>
  <c r="DN406" i="1"/>
  <c r="DV405" i="1"/>
  <c r="DR405" i="1"/>
  <c r="DS405" i="1" s="1"/>
  <c r="DO405" i="1"/>
  <c r="DN405" i="1"/>
  <c r="DV404" i="1"/>
  <c r="DR404" i="1"/>
  <c r="DS404" i="1" s="1"/>
  <c r="DO404" i="1"/>
  <c r="DN404" i="1"/>
  <c r="DV403" i="1"/>
  <c r="DR403" i="1"/>
  <c r="DS403" i="1" s="1"/>
  <c r="DO403" i="1"/>
  <c r="DN403" i="1"/>
  <c r="DV402" i="1"/>
  <c r="DR402" i="1"/>
  <c r="BA402" i="1"/>
  <c r="DO402" i="1" s="1"/>
  <c r="DV401" i="1"/>
  <c r="DR401" i="1"/>
  <c r="DO401" i="1"/>
  <c r="DN401" i="1"/>
  <c r="DV400" i="1"/>
  <c r="DW400" i="1" s="1"/>
  <c r="DX400" i="1" s="1"/>
  <c r="DR400" i="1"/>
  <c r="T400" i="1"/>
  <c r="DO400" i="1" s="1"/>
  <c r="S400" i="1"/>
  <c r="L400" i="1"/>
  <c r="K400" i="1"/>
  <c r="DV399" i="1"/>
  <c r="DR399" i="1"/>
  <c r="DS399" i="1" s="1"/>
  <c r="DO399" i="1"/>
  <c r="DN399" i="1"/>
  <c r="DV398" i="1"/>
  <c r="DR398" i="1"/>
  <c r="DO398" i="1"/>
  <c r="DN398" i="1"/>
  <c r="CQ397" i="1"/>
  <c r="CM397" i="1"/>
  <c r="CL397" i="1"/>
  <c r="BV397" i="1"/>
  <c r="CE397" i="1" s="1"/>
  <c r="BI397" i="1"/>
  <c r="BA397" i="1"/>
  <c r="AW397" i="1"/>
  <c r="AV397" i="1"/>
  <c r="AF397" i="1"/>
  <c r="AO397" i="1" s="1"/>
  <c r="K397" i="1"/>
  <c r="DR396" i="1"/>
  <c r="DH396" i="1"/>
  <c r="DG396" i="1"/>
  <c r="CZ396" i="1"/>
  <c r="CY396" i="1"/>
  <c r="CQ396" i="1"/>
  <c r="CL396" i="1"/>
  <c r="CE396" i="1"/>
  <c r="CD396" i="1"/>
  <c r="BV396" i="1"/>
  <c r="DV396" i="1" s="1"/>
  <c r="BR396" i="1"/>
  <c r="BQ396" i="1"/>
  <c r="BJ396" i="1"/>
  <c r="BI396" i="1"/>
  <c r="BA396" i="1"/>
  <c r="AV396" i="1"/>
  <c r="AO396" i="1"/>
  <c r="AN396" i="1"/>
  <c r="AF396" i="1"/>
  <c r="AW396" i="1" s="1"/>
  <c r="AB396" i="1"/>
  <c r="AA396" i="1"/>
  <c r="T396" i="1"/>
  <c r="S396" i="1"/>
  <c r="K396" i="1"/>
  <c r="DV395" i="1"/>
  <c r="BA395" i="1"/>
  <c r="DV394" i="1"/>
  <c r="DR394" i="1"/>
  <c r="DO394" i="1"/>
  <c r="DN394" i="1"/>
  <c r="AQ394" i="1"/>
  <c r="AP394" i="1"/>
  <c r="DV393" i="1"/>
  <c r="DR393" i="1"/>
  <c r="DO393" i="1"/>
  <c r="DN393" i="1"/>
  <c r="DV392" i="1"/>
  <c r="DR392" i="1"/>
  <c r="DC392" i="1"/>
  <c r="CS392" i="1"/>
  <c r="CK392" i="1"/>
  <c r="CH392" i="1"/>
  <c r="CH1" i="1" s="1"/>
  <c r="BX392" i="1"/>
  <c r="BX1" i="1" s="1"/>
  <c r="BP392" i="1"/>
  <c r="BM392" i="1"/>
  <c r="BM1" i="1" s="1"/>
  <c r="BJ392" i="1"/>
  <c r="DO392" i="1" s="1"/>
  <c r="BI392" i="1"/>
  <c r="DN392" i="1" s="1"/>
  <c r="BC392" i="1"/>
  <c r="BB392" i="1"/>
  <c r="BA392" i="1"/>
  <c r="AU392" i="1"/>
  <c r="AR392" i="1"/>
  <c r="AH392" i="1"/>
  <c r="Z392" i="1"/>
  <c r="W392" i="1"/>
  <c r="M392" i="1"/>
  <c r="DV391" i="1"/>
  <c r="DW391" i="1" s="1"/>
  <c r="BJ391" i="1"/>
  <c r="BI391" i="1"/>
  <c r="BA391" i="1"/>
  <c r="AF391" i="1"/>
  <c r="AO391" i="1" s="1"/>
  <c r="FD390" i="1"/>
  <c r="EL390" i="1" s="1"/>
  <c r="EU390" i="1"/>
  <c r="ET390" i="1"/>
  <c r="ES390" i="1"/>
  <c r="ER390" i="1"/>
  <c r="EK390" i="1"/>
  <c r="EI390" i="1"/>
  <c r="DV390" i="1"/>
  <c r="DR390" i="1"/>
  <c r="DS390" i="1" s="1"/>
  <c r="DT390" i="1" s="1"/>
  <c r="DO390" i="1"/>
  <c r="DN390" i="1"/>
  <c r="FD389" i="1"/>
  <c r="EL389" i="1" s="1"/>
  <c r="EU389" i="1"/>
  <c r="ET389" i="1"/>
  <c r="ER389" i="1"/>
  <c r="DV389" i="1"/>
  <c r="DR389" i="1"/>
  <c r="DS389" i="1" s="1"/>
  <c r="DO389" i="1"/>
  <c r="DN389" i="1"/>
  <c r="EU388" i="1"/>
  <c r="ET388" i="1"/>
  <c r="FD388" i="1" s="1"/>
  <c r="EL388" i="1" s="1"/>
  <c r="ES388" i="1"/>
  <c r="ER388" i="1"/>
  <c r="EK388" i="1"/>
  <c r="DV388" i="1"/>
  <c r="DR388" i="1"/>
  <c r="DS388" i="1" s="1"/>
  <c r="DT388" i="1" s="1"/>
  <c r="DO388" i="1"/>
  <c r="DN388" i="1"/>
  <c r="FM387" i="1"/>
  <c r="FH387" i="1"/>
  <c r="FG387" i="1"/>
  <c r="FO387" i="1" s="1"/>
  <c r="FE387" i="1"/>
  <c r="FF387" i="1" s="1"/>
  <c r="FD387" i="1"/>
  <c r="EL387" i="1" s="1"/>
  <c r="EY387" i="1"/>
  <c r="EX387" i="1"/>
  <c r="EV387" i="1"/>
  <c r="EW387" i="1" s="1"/>
  <c r="EQ387" i="1"/>
  <c r="EP387" i="1"/>
  <c r="EN387" i="1"/>
  <c r="EO387" i="1" s="1"/>
  <c r="EJ387" i="1"/>
  <c r="EH387" i="1"/>
  <c r="EB387" i="1"/>
  <c r="DV387" i="1"/>
  <c r="DW387" i="1" s="1"/>
  <c r="DX387" i="1" s="1"/>
  <c r="DR387" i="1"/>
  <c r="DS387" i="1" s="1"/>
  <c r="DO387" i="1"/>
  <c r="DN387" i="1"/>
  <c r="FL386" i="1"/>
  <c r="FK386" i="1"/>
  <c r="FO386" i="1" s="1"/>
  <c r="FJ386" i="1"/>
  <c r="FI386" i="1"/>
  <c r="EU386" i="1"/>
  <c r="ET386" i="1"/>
  <c r="ES386" i="1"/>
  <c r="ER386" i="1"/>
  <c r="EI386" i="1"/>
  <c r="DV386" i="1"/>
  <c r="DR386" i="1"/>
  <c r="DO386" i="1"/>
  <c r="DN386" i="1"/>
  <c r="FD385" i="1"/>
  <c r="EU385" i="1"/>
  <c r="ET385" i="1"/>
  <c r="ET446" i="1" s="1"/>
  <c r="ER385" i="1"/>
  <c r="ER446" i="1" s="1"/>
  <c r="EK385" i="1"/>
  <c r="EI385" i="1"/>
  <c r="DV385" i="1"/>
  <c r="DR385" i="1"/>
  <c r="DS385" i="1" s="1"/>
  <c r="DT385" i="1" s="1"/>
  <c r="DO385" i="1"/>
  <c r="DN385" i="1"/>
  <c r="FD384" i="1"/>
  <c r="EL384" i="1" s="1"/>
  <c r="EU384" i="1"/>
  <c r="ET384" i="1"/>
  <c r="ER384" i="1"/>
  <c r="ES384" i="1" s="1"/>
  <c r="EK384" i="1"/>
  <c r="DV384" i="1"/>
  <c r="DR384" i="1"/>
  <c r="DS384" i="1" s="1"/>
  <c r="DO384" i="1"/>
  <c r="DN384" i="1"/>
  <c r="FD383" i="1"/>
  <c r="EL383" i="1" s="1"/>
  <c r="EU383" i="1"/>
  <c r="ET383" i="1"/>
  <c r="ER383" i="1"/>
  <c r="ES383" i="1" s="1"/>
  <c r="EK383" i="1"/>
  <c r="EI383" i="1"/>
  <c r="DV383" i="1"/>
  <c r="DR383" i="1"/>
  <c r="DS383" i="1" s="1"/>
  <c r="DT383" i="1" s="1"/>
  <c r="DO383" i="1"/>
  <c r="DN383" i="1"/>
  <c r="DV382" i="1"/>
  <c r="AF382" i="1"/>
  <c r="DV381" i="1"/>
  <c r="DR381" i="1"/>
  <c r="BA381" i="1"/>
  <c r="BI381" i="1" s="1"/>
  <c r="DV380" i="1"/>
  <c r="DR380" i="1"/>
  <c r="DO380" i="1"/>
  <c r="DN380" i="1"/>
  <c r="DV379" i="1"/>
  <c r="DR379" i="1"/>
  <c r="DS379" i="1" s="1"/>
  <c r="DO379" i="1"/>
  <c r="DN379" i="1"/>
  <c r="DV378" i="1"/>
  <c r="DR378" i="1"/>
  <c r="DO378" i="1"/>
  <c r="DN378" i="1"/>
  <c r="DV377" i="1"/>
  <c r="DR377" i="1"/>
  <c r="DO377" i="1"/>
  <c r="DN377" i="1"/>
  <c r="DV376" i="1"/>
  <c r="DR376" i="1"/>
  <c r="DS376" i="1" s="1"/>
  <c r="DO376" i="1"/>
  <c r="DN376" i="1"/>
  <c r="DV375" i="1"/>
  <c r="DR375" i="1"/>
  <c r="DS375" i="1" s="1"/>
  <c r="DO375" i="1"/>
  <c r="DN375" i="1"/>
  <c r="DV374" i="1"/>
  <c r="BA374" i="1"/>
  <c r="DR374" i="1" s="1"/>
  <c r="AN374" i="1"/>
  <c r="AF374" i="1"/>
  <c r="DV373" i="1"/>
  <c r="DR373" i="1"/>
  <c r="DO373" i="1"/>
  <c r="DN373" i="1"/>
  <c r="DV372" i="1"/>
  <c r="DR372" i="1"/>
  <c r="AO372" i="1"/>
  <c r="DO372" i="1" s="1"/>
  <c r="AN372" i="1"/>
  <c r="DN372" i="1" s="1"/>
  <c r="AG372" i="1"/>
  <c r="AF372" i="1"/>
  <c r="DV371" i="1"/>
  <c r="DR371" i="1"/>
  <c r="DO371" i="1"/>
  <c r="DN371" i="1"/>
  <c r="DV370" i="1"/>
  <c r="DR370" i="1"/>
  <c r="DO370" i="1"/>
  <c r="DN370" i="1"/>
  <c r="DV369" i="1"/>
  <c r="BL369" i="1"/>
  <c r="BK369" i="1"/>
  <c r="BJ369" i="1"/>
  <c r="BI369" i="1"/>
  <c r="BC369" i="1"/>
  <c r="BB369" i="1"/>
  <c r="BA369" i="1"/>
  <c r="AP369" i="1"/>
  <c r="AO369" i="1"/>
  <c r="AG369" i="1"/>
  <c r="AF369" i="1"/>
  <c r="FO368" i="1"/>
  <c r="FL368" i="1"/>
  <c r="FK368" i="1"/>
  <c r="FI368" i="1"/>
  <c r="FJ368" i="1" s="1"/>
  <c r="FD368" i="1"/>
  <c r="EL368" i="1" s="1"/>
  <c r="EU368" i="1"/>
  <c r="ET368" i="1"/>
  <c r="ER368" i="1"/>
  <c r="ES368" i="1" s="1"/>
  <c r="EK368" i="1"/>
  <c r="EI368" i="1"/>
  <c r="DV368" i="1"/>
  <c r="DR368" i="1"/>
  <c r="DO368" i="1"/>
  <c r="DN368" i="1"/>
  <c r="DV367" i="1"/>
  <c r="DR367" i="1"/>
  <c r="DO367" i="1"/>
  <c r="DN367" i="1"/>
  <c r="DV366" i="1"/>
  <c r="DR366" i="1"/>
  <c r="DS366" i="1" s="1"/>
  <c r="DO366" i="1"/>
  <c r="DN366" i="1"/>
  <c r="DV365" i="1"/>
  <c r="DR365" i="1"/>
  <c r="DO365" i="1"/>
  <c r="DN365" i="1"/>
  <c r="DV364" i="1"/>
  <c r="DR364" i="1"/>
  <c r="DO364" i="1"/>
  <c r="DN364" i="1"/>
  <c r="DV363" i="1"/>
  <c r="DR363" i="1"/>
  <c r="BS363" i="1"/>
  <c r="BH363" i="1"/>
  <c r="BE363" i="1"/>
  <c r="BB363" i="1"/>
  <c r="BA363" i="1"/>
  <c r="BJ363" i="1" s="1"/>
  <c r="AX363" i="1"/>
  <c r="AO363" i="1"/>
  <c r="AN363" i="1"/>
  <c r="AF363" i="1"/>
  <c r="DV362" i="1"/>
  <c r="DR362" i="1"/>
  <c r="DO362" i="1"/>
  <c r="DN362" i="1"/>
  <c r="DV361" i="1"/>
  <c r="DW361" i="1" s="1"/>
  <c r="DX361" i="1" s="1"/>
  <c r="DR361" i="1"/>
  <c r="DS361" i="1" s="1"/>
  <c r="DT361" i="1" s="1"/>
  <c r="DO361" i="1"/>
  <c r="DN361" i="1"/>
  <c r="DV360" i="1"/>
  <c r="DR360" i="1"/>
  <c r="DS360" i="1" s="1"/>
  <c r="DT360" i="1" s="1"/>
  <c r="DO360" i="1"/>
  <c r="DN360" i="1"/>
  <c r="DV359" i="1"/>
  <c r="DR359" i="1"/>
  <c r="BJ359" i="1"/>
  <c r="BA359" i="1"/>
  <c r="BI359" i="1" s="1"/>
  <c r="AO359" i="1"/>
  <c r="AN359" i="1"/>
  <c r="AF359" i="1"/>
  <c r="DV358" i="1"/>
  <c r="DR358" i="1"/>
  <c r="DS358" i="1" s="1"/>
  <c r="DT358" i="1" s="1"/>
  <c r="DO358" i="1"/>
  <c r="DN358" i="1"/>
  <c r="DV357" i="1"/>
  <c r="BL357" i="1"/>
  <c r="BI357" i="1"/>
  <c r="BB357" i="1"/>
  <c r="BA357" i="1"/>
  <c r="AG357" i="1"/>
  <c r="AF357" i="1"/>
  <c r="DV356" i="1"/>
  <c r="DR356" i="1"/>
  <c r="DS356" i="1" s="1"/>
  <c r="DO356" i="1"/>
  <c r="DN356" i="1"/>
  <c r="CY355" i="1"/>
  <c r="CQ355" i="1"/>
  <c r="DV355" i="1" s="1"/>
  <c r="BV355" i="1"/>
  <c r="CD355" i="1" s="1"/>
  <c r="K355" i="1"/>
  <c r="DV354" i="1"/>
  <c r="DR354" i="1"/>
  <c r="DS354" i="1" s="1"/>
  <c r="DO354" i="1"/>
  <c r="DN354" i="1"/>
  <c r="DV353" i="1"/>
  <c r="DR353" i="1"/>
  <c r="DO353" i="1"/>
  <c r="DN353" i="1"/>
  <c r="FO352" i="1"/>
  <c r="ER352" i="1"/>
  <c r="DV352" i="1"/>
  <c r="DR352" i="1"/>
  <c r="DO352" i="1"/>
  <c r="DN352" i="1"/>
  <c r="DV351" i="1"/>
  <c r="DR351" i="1"/>
  <c r="DO351" i="1"/>
  <c r="DN351" i="1"/>
  <c r="EU350" i="1"/>
  <c r="ET350" i="1"/>
  <c r="EK350" i="1" s="1"/>
  <c r="ER350" i="1"/>
  <c r="EI350" i="1"/>
  <c r="DV350" i="1"/>
  <c r="DR350" i="1"/>
  <c r="DS350" i="1" s="1"/>
  <c r="DO350" i="1"/>
  <c r="DN350" i="1"/>
  <c r="DV349" i="1"/>
  <c r="DR349" i="1"/>
  <c r="DS349" i="1" s="1"/>
  <c r="BA349" i="1"/>
  <c r="DV348" i="1"/>
  <c r="DR348" i="1"/>
  <c r="DO348" i="1"/>
  <c r="DN348" i="1"/>
  <c r="DV347" i="1"/>
  <c r="BA347" i="1"/>
  <c r="BI347" i="1" s="1"/>
  <c r="DN347" i="1" s="1"/>
  <c r="DV346" i="1"/>
  <c r="BA346" i="1"/>
  <c r="DV345" i="1"/>
  <c r="DR345" i="1"/>
  <c r="DS345" i="1" s="1"/>
  <c r="DO345" i="1"/>
  <c r="DN345" i="1"/>
  <c r="DV344" i="1"/>
  <c r="DR344" i="1"/>
  <c r="DO344" i="1"/>
  <c r="DN344" i="1"/>
  <c r="DV343" i="1"/>
  <c r="DR343" i="1"/>
  <c r="DO343" i="1"/>
  <c r="DN343" i="1"/>
  <c r="DV342" i="1"/>
  <c r="DR342" i="1"/>
  <c r="DS342" i="1" s="1"/>
  <c r="DT342" i="1" s="1"/>
  <c r="DO342" i="1"/>
  <c r="DN342" i="1"/>
  <c r="DV341" i="1"/>
  <c r="DR341" i="1"/>
  <c r="DS341" i="1" s="1"/>
  <c r="DO341" i="1"/>
  <c r="DN341" i="1"/>
  <c r="DV340" i="1"/>
  <c r="DR340" i="1"/>
  <c r="DS340" i="1" s="1"/>
  <c r="DO340" i="1"/>
  <c r="DN340" i="1"/>
  <c r="DV339" i="1"/>
  <c r="DR339" i="1"/>
  <c r="DO339" i="1"/>
  <c r="DN339" i="1"/>
  <c r="DV338" i="1"/>
  <c r="DR338" i="1"/>
  <c r="DS338" i="1" s="1"/>
  <c r="DO338" i="1"/>
  <c r="DN338" i="1"/>
  <c r="DV337" i="1"/>
  <c r="DR337" i="1"/>
  <c r="DO337" i="1"/>
  <c r="DN337" i="1"/>
  <c r="DV336" i="1"/>
  <c r="DR336" i="1"/>
  <c r="DO336" i="1"/>
  <c r="DN336" i="1"/>
  <c r="DV335" i="1"/>
  <c r="DR335" i="1"/>
  <c r="DO335" i="1"/>
  <c r="DN335" i="1"/>
  <c r="DV334" i="1"/>
  <c r="DW334" i="1" s="1"/>
  <c r="DX334" i="1" s="1"/>
  <c r="DR334" i="1"/>
  <c r="DS334" i="1" s="1"/>
  <c r="DO334" i="1"/>
  <c r="DN334" i="1"/>
  <c r="CY333" i="1"/>
  <c r="CQ333" i="1"/>
  <c r="CL333" i="1"/>
  <c r="CE333" i="1"/>
  <c r="BV333" i="1"/>
  <c r="CD333" i="1" s="1"/>
  <c r="BQ333" i="1"/>
  <c r="BJ333" i="1"/>
  <c r="BI333" i="1"/>
  <c r="BA333" i="1"/>
  <c r="AV333" i="1"/>
  <c r="AO333" i="1"/>
  <c r="AF333" i="1"/>
  <c r="AN333" i="1" s="1"/>
  <c r="K333" i="1"/>
  <c r="S333" i="1" s="1"/>
  <c r="DG332" i="1"/>
  <c r="CZ332" i="1"/>
  <c r="CY332" i="1"/>
  <c r="CQ332" i="1"/>
  <c r="CL332" i="1"/>
  <c r="CE332" i="1"/>
  <c r="BV332" i="1"/>
  <c r="DV332" i="1" s="1"/>
  <c r="BA332" i="1"/>
  <c r="AN332" i="1"/>
  <c r="AF332" i="1"/>
  <c r="AA332" i="1"/>
  <c r="T332" i="1"/>
  <c r="K332" i="1"/>
  <c r="S332" i="1" s="1"/>
  <c r="CY331" i="1"/>
  <c r="CQ331" i="1"/>
  <c r="BV331" i="1"/>
  <c r="CD331" i="1" s="1"/>
  <c r="BQ331" i="1"/>
  <c r="BJ331" i="1"/>
  <c r="BI331" i="1"/>
  <c r="BA331" i="1"/>
  <c r="AV331" i="1"/>
  <c r="AO331" i="1"/>
  <c r="AN331" i="1"/>
  <c r="AF331" i="1"/>
  <c r="AA331" i="1"/>
  <c r="T331" i="1"/>
  <c r="S331" i="1"/>
  <c r="K331" i="1"/>
  <c r="DR331" i="1" s="1"/>
  <c r="DV330" i="1"/>
  <c r="DR330" i="1"/>
  <c r="DO330" i="1"/>
  <c r="DN330" i="1"/>
  <c r="AZ330" i="1"/>
  <c r="AE330" i="1"/>
  <c r="DV329" i="1"/>
  <c r="DR329" i="1"/>
  <c r="DS329" i="1" s="1"/>
  <c r="DO329" i="1"/>
  <c r="DN329" i="1"/>
  <c r="DV328" i="1"/>
  <c r="DR328" i="1"/>
  <c r="DS328" i="1" s="1"/>
  <c r="DO328" i="1"/>
  <c r="DN328" i="1"/>
  <c r="DV327" i="1"/>
  <c r="DR327" i="1"/>
  <c r="DS327" i="1" s="1"/>
  <c r="DO327" i="1"/>
  <c r="DN327" i="1"/>
  <c r="DV326" i="1"/>
  <c r="BA326" i="1"/>
  <c r="DV325" i="1"/>
  <c r="DW325" i="1" s="1"/>
  <c r="DX325" i="1" s="1"/>
  <c r="DR325" i="1"/>
  <c r="DS325" i="1" s="1"/>
  <c r="DT325" i="1" s="1"/>
  <c r="DO325" i="1"/>
  <c r="DN325" i="1"/>
  <c r="AU325" i="1"/>
  <c r="DV324" i="1"/>
  <c r="DR324" i="1"/>
  <c r="DS324" i="1" s="1"/>
  <c r="DT324" i="1" s="1"/>
  <c r="DO324" i="1"/>
  <c r="BI324" i="1"/>
  <c r="AN324" i="1"/>
  <c r="DN324" i="1" s="1"/>
  <c r="S324" i="1"/>
  <c r="DV323" i="1"/>
  <c r="DR323" i="1"/>
  <c r="DS323" i="1" s="1"/>
  <c r="DO323" i="1"/>
  <c r="DN323" i="1"/>
  <c r="DV322" i="1"/>
  <c r="DR322" i="1"/>
  <c r="DO322" i="1"/>
  <c r="DN322" i="1"/>
  <c r="DV321" i="1"/>
  <c r="DR321" i="1"/>
  <c r="DO321" i="1"/>
  <c r="BB321" i="1"/>
  <c r="BA321" i="1"/>
  <c r="BI321" i="1" s="1"/>
  <c r="DN321" i="1" s="1"/>
  <c r="DV320" i="1"/>
  <c r="DR320" i="1"/>
  <c r="DS320" i="1" s="1"/>
  <c r="DO320" i="1"/>
  <c r="DN320" i="1"/>
  <c r="DV319" i="1"/>
  <c r="DR319" i="1"/>
  <c r="DS319" i="1" s="1"/>
  <c r="DO319" i="1"/>
  <c r="DN319" i="1"/>
  <c r="DV318" i="1"/>
  <c r="DR318" i="1"/>
  <c r="DS318" i="1" s="1"/>
  <c r="DT318" i="1" s="1"/>
  <c r="DO318" i="1"/>
  <c r="DN318" i="1"/>
  <c r="DV317" i="1"/>
  <c r="DR317" i="1"/>
  <c r="DS317" i="1" s="1"/>
  <c r="DT317" i="1" s="1"/>
  <c r="DN317" i="1"/>
  <c r="BJ317" i="1"/>
  <c r="AO317" i="1"/>
  <c r="DO317" i="1" s="1"/>
  <c r="DV316" i="1"/>
  <c r="DR316" i="1"/>
  <c r="DN316" i="1"/>
  <c r="BL316" i="1"/>
  <c r="BK316" i="1"/>
  <c r="BJ316" i="1"/>
  <c r="BD316" i="1"/>
  <c r="BC316" i="1"/>
  <c r="AQ316" i="1"/>
  <c r="AP316" i="1"/>
  <c r="AO316" i="1"/>
  <c r="DO316" i="1" s="1"/>
  <c r="AI316" i="1"/>
  <c r="AH316" i="1"/>
  <c r="DV315" i="1"/>
  <c r="DR315" i="1"/>
  <c r="DN315" i="1"/>
  <c r="BL315" i="1"/>
  <c r="BK315" i="1"/>
  <c r="BJ315" i="1"/>
  <c r="BD315" i="1"/>
  <c r="BC315" i="1"/>
  <c r="AQ315" i="1"/>
  <c r="AP315" i="1"/>
  <c r="AO315" i="1"/>
  <c r="AI315" i="1"/>
  <c r="AH315" i="1"/>
  <c r="V315" i="1"/>
  <c r="U315" i="1"/>
  <c r="T315" i="1"/>
  <c r="DO315" i="1" s="1"/>
  <c r="N315" i="1"/>
  <c r="M315" i="1"/>
  <c r="DV314" i="1"/>
  <c r="DR314" i="1"/>
  <c r="DS314" i="1" s="1"/>
  <c r="DT314" i="1" s="1"/>
  <c r="DO314" i="1"/>
  <c r="DN314" i="1"/>
  <c r="DV313" i="1"/>
  <c r="DR313" i="1"/>
  <c r="DS313" i="1" s="1"/>
  <c r="DT313" i="1" s="1"/>
  <c r="DO313" i="1"/>
  <c r="DN313" i="1"/>
  <c r="DV312" i="1"/>
  <c r="DR312" i="1"/>
  <c r="DO312" i="1"/>
  <c r="DN312" i="1"/>
  <c r="DV311" i="1"/>
  <c r="DW311" i="1" s="1"/>
  <c r="DX311" i="1" s="1"/>
  <c r="DR311" i="1"/>
  <c r="DO311" i="1"/>
  <c r="DN311" i="1"/>
  <c r="DV310" i="1"/>
  <c r="DR310" i="1"/>
  <c r="DS310" i="1" s="1"/>
  <c r="DO310" i="1"/>
  <c r="DN310" i="1"/>
  <c r="FO309" i="1"/>
  <c r="FL309" i="1"/>
  <c r="FK309" i="1"/>
  <c r="FJ309" i="1"/>
  <c r="FI309" i="1"/>
  <c r="EU309" i="1"/>
  <c r="ET309" i="1"/>
  <c r="EK309" i="1" s="1"/>
  <c r="ER309" i="1"/>
  <c r="EI309" i="1"/>
  <c r="DV309" i="1"/>
  <c r="DR309" i="1"/>
  <c r="DS309" i="1" s="1"/>
  <c r="DT309" i="1" s="1"/>
  <c r="DO309" i="1"/>
  <c r="DN309" i="1"/>
  <c r="DV308" i="1"/>
  <c r="DR308" i="1"/>
  <c r="DS308" i="1" s="1"/>
  <c r="DO308" i="1"/>
  <c r="DN308" i="1"/>
  <c r="DV307" i="1"/>
  <c r="DW307" i="1" s="1"/>
  <c r="DX307" i="1" s="1"/>
  <c r="DR307" i="1"/>
  <c r="DS307" i="1" s="1"/>
  <c r="DT307" i="1" s="1"/>
  <c r="DO307" i="1"/>
  <c r="DN307" i="1"/>
  <c r="DV306" i="1"/>
  <c r="DR306" i="1"/>
  <c r="DO306" i="1"/>
  <c r="DN306" i="1"/>
  <c r="BQ306" i="1"/>
  <c r="BP306" i="1"/>
  <c r="BJ306" i="1"/>
  <c r="BI306" i="1"/>
  <c r="BA306" i="1"/>
  <c r="DV305" i="1"/>
  <c r="DR305" i="1"/>
  <c r="DS305" i="1" s="1"/>
  <c r="DO305" i="1"/>
  <c r="DN305" i="1"/>
  <c r="DV304" i="1"/>
  <c r="DR304" i="1"/>
  <c r="DO304" i="1"/>
  <c r="DN304" i="1"/>
  <c r="AZ304" i="1"/>
  <c r="AZ1" i="1" s="1"/>
  <c r="AE304" i="1"/>
  <c r="AE1" i="1" s="1"/>
  <c r="DV303" i="1"/>
  <c r="DR303" i="1"/>
  <c r="DO303" i="1"/>
  <c r="DN303" i="1"/>
  <c r="DV302" i="1"/>
  <c r="DR302" i="1"/>
  <c r="DS302" i="1" s="1"/>
  <c r="DT302" i="1" s="1"/>
  <c r="DO302" i="1"/>
  <c r="DN302" i="1"/>
  <c r="DV301" i="1"/>
  <c r="DR301" i="1"/>
  <c r="DS301" i="1" s="1"/>
  <c r="DT301" i="1" s="1"/>
  <c r="DO301" i="1"/>
  <c r="DN301" i="1"/>
  <c r="DV300" i="1"/>
  <c r="DR300" i="1"/>
  <c r="DS300" i="1" s="1"/>
  <c r="DT300" i="1" s="1"/>
  <c r="DO300" i="1"/>
  <c r="DN300" i="1"/>
  <c r="DV299" i="1"/>
  <c r="DR299" i="1"/>
  <c r="DO299" i="1"/>
  <c r="DN299" i="1"/>
  <c r="DV298" i="1"/>
  <c r="DR298" i="1"/>
  <c r="DO298" i="1"/>
  <c r="DN298" i="1"/>
  <c r="F298" i="1"/>
  <c r="E298" i="1"/>
  <c r="DV297" i="1"/>
  <c r="DR297" i="1"/>
  <c r="DO297" i="1"/>
  <c r="DN297" i="1"/>
  <c r="DV296" i="1"/>
  <c r="DR296" i="1"/>
  <c r="DS296" i="1" s="1"/>
  <c r="DT296" i="1" s="1"/>
  <c r="DO296" i="1"/>
  <c r="DN296" i="1"/>
  <c r="DV295" i="1"/>
  <c r="DW295" i="1" s="1"/>
  <c r="DX295" i="1" s="1"/>
  <c r="DR295" i="1"/>
  <c r="DS295" i="1" s="1"/>
  <c r="DT295" i="1" s="1"/>
  <c r="DO295" i="1"/>
  <c r="DN295" i="1"/>
  <c r="DV294" i="1"/>
  <c r="DR294" i="1"/>
  <c r="DO294" i="1"/>
  <c r="DN294" i="1"/>
  <c r="DV293" i="1"/>
  <c r="DR293" i="1"/>
  <c r="DS293" i="1" s="1"/>
  <c r="DT293" i="1" s="1"/>
  <c r="DO293" i="1"/>
  <c r="DN293" i="1"/>
  <c r="DV292" i="1"/>
  <c r="DR292" i="1"/>
  <c r="DO292" i="1"/>
  <c r="DN292" i="1"/>
  <c r="DV291" i="1"/>
  <c r="DR291" i="1"/>
  <c r="DS291" i="1" s="1"/>
  <c r="DT291" i="1" s="1"/>
  <c r="DO291" i="1"/>
  <c r="DN291" i="1"/>
  <c r="DV290" i="1"/>
  <c r="DR290" i="1"/>
  <c r="DO290" i="1"/>
  <c r="DN290" i="1"/>
  <c r="DV289" i="1"/>
  <c r="DR289" i="1"/>
  <c r="DO289" i="1"/>
  <c r="BL289" i="1"/>
  <c r="BK289" i="1"/>
  <c r="BI289" i="1"/>
  <c r="BC289" i="1"/>
  <c r="BB289" i="1"/>
  <c r="DV288" i="1"/>
  <c r="DR288" i="1"/>
  <c r="DS288" i="1" s="1"/>
  <c r="DT288" i="1" s="1"/>
  <c r="DO288" i="1"/>
  <c r="DN288" i="1"/>
  <c r="DV287" i="1"/>
  <c r="DR287" i="1"/>
  <c r="DS287" i="1" s="1"/>
  <c r="DT287" i="1" s="1"/>
  <c r="DO287" i="1"/>
  <c r="DN287" i="1"/>
  <c r="DV286" i="1"/>
  <c r="DR286" i="1"/>
  <c r="DS286" i="1" s="1"/>
  <c r="DO286" i="1"/>
  <c r="DN286" i="1"/>
  <c r="DV285" i="1"/>
  <c r="DR285" i="1"/>
  <c r="DS285" i="1" s="1"/>
  <c r="DT285" i="1" s="1"/>
  <c r="DO285" i="1"/>
  <c r="DN285" i="1"/>
  <c r="DV284" i="1"/>
  <c r="DR284" i="1"/>
  <c r="DS284" i="1" s="1"/>
  <c r="DT284" i="1" s="1"/>
  <c r="DO284" i="1"/>
  <c r="DN284" i="1"/>
  <c r="DV283" i="1"/>
  <c r="DR283" i="1"/>
  <c r="DS283" i="1" s="1"/>
  <c r="DT283" i="1" s="1"/>
  <c r="DO283" i="1"/>
  <c r="DN283" i="1"/>
  <c r="DV282" i="1"/>
  <c r="DR282" i="1"/>
  <c r="DO282" i="1"/>
  <c r="DN282" i="1"/>
  <c r="DV281" i="1"/>
  <c r="DR281" i="1"/>
  <c r="EN279" i="1" s="1"/>
  <c r="DO281" i="1"/>
  <c r="DN281" i="1"/>
  <c r="DV280" i="1"/>
  <c r="DR280" i="1"/>
  <c r="DS280" i="1" s="1"/>
  <c r="DT280" i="1" s="1"/>
  <c r="DO280" i="1"/>
  <c r="DN280" i="1"/>
  <c r="DV279" i="1"/>
  <c r="DR279" i="1"/>
  <c r="DO279" i="1"/>
  <c r="DN279" i="1"/>
  <c r="DV278" i="1"/>
  <c r="DR278" i="1"/>
  <c r="DS278" i="1" s="1"/>
  <c r="DT278" i="1" s="1"/>
  <c r="DO278" i="1"/>
  <c r="DN278" i="1"/>
  <c r="DV277" i="1"/>
  <c r="DR277" i="1"/>
  <c r="DS277" i="1" s="1"/>
  <c r="DT277" i="1" s="1"/>
  <c r="DO277" i="1"/>
  <c r="DN277" i="1"/>
  <c r="DV276" i="1"/>
  <c r="DR276" i="1"/>
  <c r="DS276" i="1" s="1"/>
  <c r="DT276" i="1" s="1"/>
  <c r="DO276" i="1"/>
  <c r="DN276" i="1"/>
  <c r="DO275" i="1"/>
  <c r="CQ275" i="1"/>
  <c r="CY275" i="1" s="1"/>
  <c r="BV275" i="1"/>
  <c r="BA275" i="1"/>
  <c r="BI275" i="1" s="1"/>
  <c r="AN275" i="1"/>
  <c r="AF275" i="1"/>
  <c r="DR275" i="1" s="1"/>
  <c r="S275" i="1"/>
  <c r="K275" i="1"/>
  <c r="DV274" i="1"/>
  <c r="DR274" i="1"/>
  <c r="DS274" i="1" s="1"/>
  <c r="DT274" i="1" s="1"/>
  <c r="DO274" i="1"/>
  <c r="DN274" i="1"/>
  <c r="DV273" i="1"/>
  <c r="DR273" i="1"/>
  <c r="DS273" i="1" s="1"/>
  <c r="DT273" i="1" s="1"/>
  <c r="DO273" i="1"/>
  <c r="DN273" i="1"/>
  <c r="DV272" i="1"/>
  <c r="DR272" i="1"/>
  <c r="DS272" i="1" s="1"/>
  <c r="DT272" i="1" s="1"/>
  <c r="DO272" i="1"/>
  <c r="DN272" i="1"/>
  <c r="DV271" i="1"/>
  <c r="DR271" i="1"/>
  <c r="DO271" i="1"/>
  <c r="DN271" i="1"/>
  <c r="EH270" i="1"/>
  <c r="DV270" i="1"/>
  <c r="DR270" i="1"/>
  <c r="DS270" i="1" s="1"/>
  <c r="DO270" i="1"/>
  <c r="DN270" i="1"/>
  <c r="FH269" i="1"/>
  <c r="FG269" i="1"/>
  <c r="FO269" i="1" s="1"/>
  <c r="FE269" i="1"/>
  <c r="EQ269" i="1"/>
  <c r="EP269" i="1"/>
  <c r="EJ269" i="1" s="1"/>
  <c r="EN269" i="1"/>
  <c r="EH269" i="1"/>
  <c r="DV269" i="1"/>
  <c r="DR269" i="1"/>
  <c r="DS269" i="1" s="1"/>
  <c r="DT269" i="1" s="1"/>
  <c r="DO269" i="1"/>
  <c r="DN269" i="1"/>
  <c r="DV268" i="1"/>
  <c r="DR268" i="1"/>
  <c r="DO268" i="1"/>
  <c r="DN268" i="1"/>
  <c r="DV267" i="1"/>
  <c r="DR267" i="1"/>
  <c r="DO267" i="1"/>
  <c r="DN267" i="1"/>
  <c r="EI266" i="1"/>
  <c r="DV266" i="1"/>
  <c r="DR266" i="1"/>
  <c r="DO266" i="1"/>
  <c r="DN266" i="1"/>
  <c r="DV265" i="1"/>
  <c r="DR265" i="1"/>
  <c r="DO265" i="1"/>
  <c r="DN265" i="1"/>
  <c r="F265" i="1"/>
  <c r="E265" i="1"/>
  <c r="DV264" i="1"/>
  <c r="DR264" i="1"/>
  <c r="DO264" i="1"/>
  <c r="DN264" i="1"/>
  <c r="FO263" i="1"/>
  <c r="FM263" i="1"/>
  <c r="FH263" i="1"/>
  <c r="FG263" i="1"/>
  <c r="FE263" i="1"/>
  <c r="FF263" i="1" s="1"/>
  <c r="EY263" i="1"/>
  <c r="EX263" i="1"/>
  <c r="EV263" i="1"/>
  <c r="EW263" i="1" s="1"/>
  <c r="EU263" i="1"/>
  <c r="ET263" i="1"/>
  <c r="ES263" i="1" s="1"/>
  <c r="ER263" i="1"/>
  <c r="EQ263" i="1"/>
  <c r="EP263" i="1"/>
  <c r="EO263" i="1" s="1"/>
  <c r="EN263" i="1"/>
  <c r="EK263" i="1"/>
  <c r="EJ263" i="1"/>
  <c r="EI263" i="1"/>
  <c r="EH263" i="1"/>
  <c r="DV263" i="1"/>
  <c r="DR263" i="1"/>
  <c r="DS263" i="1" s="1"/>
  <c r="DT263" i="1" s="1"/>
  <c r="DO263" i="1"/>
  <c r="DN263" i="1"/>
  <c r="DV262" i="1"/>
  <c r="DR262" i="1"/>
  <c r="DS262" i="1" s="1"/>
  <c r="DT262" i="1" s="1"/>
  <c r="DO262" i="1"/>
  <c r="DN262" i="1"/>
  <c r="DV261" i="1"/>
  <c r="DR261" i="1"/>
  <c r="DO261" i="1"/>
  <c r="DN261" i="1"/>
  <c r="DV260" i="1"/>
  <c r="DR260" i="1"/>
  <c r="DS260" i="1" s="1"/>
  <c r="DT260" i="1" s="1"/>
  <c r="DO260" i="1"/>
  <c r="DN260" i="1"/>
  <c r="DV259" i="1"/>
  <c r="DR259" i="1"/>
  <c r="DS259" i="1" s="1"/>
  <c r="DT259" i="1" s="1"/>
  <c r="DO259" i="1"/>
  <c r="DN259" i="1"/>
  <c r="DV258" i="1"/>
  <c r="DR258" i="1"/>
  <c r="DO258" i="1"/>
  <c r="DN258" i="1"/>
  <c r="DV257" i="1"/>
  <c r="DR257" i="1"/>
  <c r="DO257" i="1"/>
  <c r="DN257" i="1"/>
  <c r="DV256" i="1"/>
  <c r="DW256" i="1" s="1"/>
  <c r="DX256" i="1" s="1"/>
  <c r="AQ256" i="1"/>
  <c r="AP256" i="1"/>
  <c r="AN256" i="1"/>
  <c r="AF256" i="1"/>
  <c r="K256" i="1"/>
  <c r="V256" i="1" s="1"/>
  <c r="DV255" i="1"/>
  <c r="DR255" i="1"/>
  <c r="AO255" i="1"/>
  <c r="AN255" i="1"/>
  <c r="AM255" i="1"/>
  <c r="AF255" i="1"/>
  <c r="M255" i="1"/>
  <c r="L255" i="1"/>
  <c r="K255" i="1"/>
  <c r="T255" i="1" s="1"/>
  <c r="DV254" i="1"/>
  <c r="DR254" i="1"/>
  <c r="DO254" i="1"/>
  <c r="BL254" i="1"/>
  <c r="BK254" i="1"/>
  <c r="BI254" i="1"/>
  <c r="DN254" i="1" s="1"/>
  <c r="BC254" i="1"/>
  <c r="BB254" i="1"/>
  <c r="BA254" i="1"/>
  <c r="FL253" i="1"/>
  <c r="FK253" i="1"/>
  <c r="FO253" i="1" s="1"/>
  <c r="FJ253" i="1"/>
  <c r="FI253" i="1"/>
  <c r="FD253" i="1"/>
  <c r="EL253" i="1" s="1"/>
  <c r="EU253" i="1"/>
  <c r="ET253" i="1"/>
  <c r="ES253" i="1"/>
  <c r="ER253" i="1"/>
  <c r="EK253" i="1"/>
  <c r="EI253" i="1"/>
  <c r="DV253" i="1"/>
  <c r="DR253" i="1"/>
  <c r="DS253" i="1" s="1"/>
  <c r="DT253" i="1" s="1"/>
  <c r="DO253" i="1"/>
  <c r="DN253" i="1"/>
  <c r="EU252" i="1"/>
  <c r="ET252" i="1"/>
  <c r="FD252" i="1" s="1"/>
  <c r="EL252" i="1" s="1"/>
  <c r="ER252" i="1"/>
  <c r="EK252" i="1"/>
  <c r="DV252" i="1"/>
  <c r="DR252" i="1"/>
  <c r="DS252" i="1" s="1"/>
  <c r="DT252" i="1" s="1"/>
  <c r="DO252" i="1"/>
  <c r="DN252" i="1"/>
  <c r="DV251" i="1"/>
  <c r="DR251" i="1"/>
  <c r="DS251" i="1" s="1"/>
  <c r="DT251" i="1" s="1"/>
  <c r="DO251" i="1"/>
  <c r="DN251" i="1"/>
  <c r="CR251" i="1"/>
  <c r="CQ251" i="1"/>
  <c r="CY251" i="1" s="1"/>
  <c r="DV250" i="1"/>
  <c r="DR250" i="1"/>
  <c r="DS250" i="1" s="1"/>
  <c r="DO250" i="1"/>
  <c r="DN250" i="1"/>
  <c r="EI249" i="1"/>
  <c r="DV249" i="1"/>
  <c r="DR249" i="1"/>
  <c r="DS249" i="1" s="1"/>
  <c r="DO249" i="1"/>
  <c r="DN249" i="1"/>
  <c r="DV248" i="1"/>
  <c r="DR248" i="1"/>
  <c r="DS248" i="1" s="1"/>
  <c r="DT248" i="1" s="1"/>
  <c r="DO248" i="1"/>
  <c r="DN248" i="1"/>
  <c r="DV247" i="1"/>
  <c r="DR247" i="1"/>
  <c r="DS247" i="1" s="1"/>
  <c r="DO247" i="1"/>
  <c r="DN247" i="1"/>
  <c r="DV246" i="1"/>
  <c r="DR246" i="1"/>
  <c r="DS246" i="1" s="1"/>
  <c r="DT246" i="1" s="1"/>
  <c r="DO246" i="1"/>
  <c r="DN246" i="1"/>
  <c r="DV245" i="1"/>
  <c r="DR245" i="1"/>
  <c r="DS245" i="1" s="1"/>
  <c r="DT245" i="1" s="1"/>
  <c r="DO245" i="1"/>
  <c r="DN245" i="1"/>
  <c r="DV244" i="1"/>
  <c r="DR244" i="1"/>
  <c r="DS244" i="1" s="1"/>
  <c r="DT244" i="1" s="1"/>
  <c r="DO244" i="1"/>
  <c r="DN244" i="1"/>
  <c r="DV243" i="1"/>
  <c r="DR243" i="1"/>
  <c r="DS243" i="1" s="1"/>
  <c r="DO243" i="1"/>
  <c r="DN243" i="1"/>
  <c r="DV242" i="1"/>
  <c r="DR242" i="1"/>
  <c r="DS242" i="1" s="1"/>
  <c r="DO242" i="1"/>
  <c r="DN242" i="1"/>
  <c r="DV241" i="1"/>
  <c r="DW241" i="1" s="1"/>
  <c r="DR241" i="1"/>
  <c r="DS241" i="1" s="1"/>
  <c r="DT241" i="1" s="1"/>
  <c r="DO241" i="1"/>
  <c r="DN241" i="1"/>
  <c r="DV240" i="1"/>
  <c r="DR240" i="1"/>
  <c r="DO240" i="1"/>
  <c r="DN240" i="1"/>
  <c r="BI240" i="1"/>
  <c r="BA240" i="1"/>
  <c r="F240" i="1"/>
  <c r="E240" i="1"/>
  <c r="DV239" i="1"/>
  <c r="DW239" i="1" s="1"/>
  <c r="DX239" i="1" s="1"/>
  <c r="DR239" i="1"/>
  <c r="DO239" i="1"/>
  <c r="DN239" i="1"/>
  <c r="DV238" i="1"/>
  <c r="DW238" i="1" s="1"/>
  <c r="DX238" i="1" s="1"/>
  <c r="DR238" i="1"/>
  <c r="DN238" i="1"/>
  <c r="CZ238" i="1"/>
  <c r="CE238" i="1"/>
  <c r="BJ238" i="1"/>
  <c r="DO238" i="1" s="1"/>
  <c r="AO238" i="1"/>
  <c r="DV237" i="1"/>
  <c r="DR237" i="1"/>
  <c r="DO237" i="1"/>
  <c r="DN237" i="1"/>
  <c r="DV236" i="1"/>
  <c r="DR236" i="1"/>
  <c r="DS236" i="1" s="1"/>
  <c r="DO236" i="1"/>
  <c r="DN236" i="1"/>
  <c r="DV235" i="1"/>
  <c r="DR235" i="1"/>
  <c r="DO235" i="1"/>
  <c r="DN235" i="1"/>
  <c r="DV234" i="1"/>
  <c r="DR234" i="1"/>
  <c r="DS234" i="1" s="1"/>
  <c r="DT234" i="1" s="1"/>
  <c r="DO234" i="1"/>
  <c r="DN234" i="1"/>
  <c r="DV233" i="1"/>
  <c r="DR233" i="1"/>
  <c r="DO233" i="1"/>
  <c r="DN233" i="1"/>
  <c r="DV232" i="1"/>
  <c r="DR232" i="1"/>
  <c r="DS232" i="1" s="1"/>
  <c r="DT232" i="1" s="1"/>
  <c r="DO232" i="1"/>
  <c r="DN232" i="1"/>
  <c r="DV231" i="1"/>
  <c r="DR231" i="1"/>
  <c r="DS231" i="1" s="1"/>
  <c r="DO231" i="1"/>
  <c r="DN231" i="1"/>
  <c r="FH230" i="1"/>
  <c r="FG230" i="1"/>
  <c r="FO230" i="1" s="1"/>
  <c r="FE230" i="1"/>
  <c r="EY230" i="1"/>
  <c r="EX230" i="1"/>
  <c r="EW230" i="1" s="1"/>
  <c r="EV230" i="1"/>
  <c r="EU230" i="1"/>
  <c r="ET230" i="1"/>
  <c r="ES230" i="1"/>
  <c r="ER230" i="1"/>
  <c r="EQ230" i="1"/>
  <c r="EP230" i="1"/>
  <c r="EJ230" i="1" s="1"/>
  <c r="EN230" i="1"/>
  <c r="EO230" i="1" s="1"/>
  <c r="EK230" i="1"/>
  <c r="EH230" i="1"/>
  <c r="EB230" i="1"/>
  <c r="DV230" i="1"/>
  <c r="DR230" i="1"/>
  <c r="DO230" i="1"/>
  <c r="DN230" i="1"/>
  <c r="FD229" i="1"/>
  <c r="EL229" i="1" s="1"/>
  <c r="EU229" i="1"/>
  <c r="ET229" i="1"/>
  <c r="ES229" i="1"/>
  <c r="ER229" i="1"/>
  <c r="EK229" i="1"/>
  <c r="EI229" i="1"/>
  <c r="DV229" i="1"/>
  <c r="DR229" i="1"/>
  <c r="DS229" i="1" s="1"/>
  <c r="DT229" i="1" s="1"/>
  <c r="DO229" i="1"/>
  <c r="DN229" i="1"/>
  <c r="FD228" i="1"/>
  <c r="EL228" i="1" s="1"/>
  <c r="EU228" i="1"/>
  <c r="ET228" i="1"/>
  <c r="EK228" i="1" s="1"/>
  <c r="ER228" i="1"/>
  <c r="ES228" i="1" s="1"/>
  <c r="DV228" i="1"/>
  <c r="DR228" i="1"/>
  <c r="DO228" i="1"/>
  <c r="DN228" i="1"/>
  <c r="DV227" i="1"/>
  <c r="DR227" i="1"/>
  <c r="DS227" i="1" s="1"/>
  <c r="DT227" i="1" s="1"/>
  <c r="DO227" i="1"/>
  <c r="DN227" i="1"/>
  <c r="DV226" i="1"/>
  <c r="DR226" i="1"/>
  <c r="DS226" i="1" s="1"/>
  <c r="DT226" i="1" s="1"/>
  <c r="DO226" i="1"/>
  <c r="DN226" i="1"/>
  <c r="EU225" i="1"/>
  <c r="ET225" i="1"/>
  <c r="ER225" i="1"/>
  <c r="ES225" i="1" s="1"/>
  <c r="EQ225" i="1"/>
  <c r="EP225" i="1"/>
  <c r="EJ225" i="1" s="1"/>
  <c r="EN225" i="1"/>
  <c r="EK225" i="1"/>
  <c r="DV225" i="1"/>
  <c r="DR225" i="1"/>
  <c r="DS225" i="1" s="1"/>
  <c r="DO225" i="1"/>
  <c r="DN225" i="1"/>
  <c r="EH224" i="1"/>
  <c r="DV224" i="1"/>
  <c r="DR224" i="1"/>
  <c r="DO224" i="1"/>
  <c r="DN224" i="1"/>
  <c r="ER223" i="1"/>
  <c r="EI223" i="1"/>
  <c r="DV223" i="1"/>
  <c r="DR223" i="1"/>
  <c r="DO223" i="1"/>
  <c r="DN223" i="1"/>
  <c r="EI222" i="1"/>
  <c r="DV222" i="1"/>
  <c r="DR222" i="1"/>
  <c r="DS222" i="1" s="1"/>
  <c r="DT222" i="1" s="1"/>
  <c r="DO222" i="1"/>
  <c r="DN222" i="1"/>
  <c r="DV221" i="1"/>
  <c r="DR221" i="1"/>
  <c r="DS221" i="1" s="1"/>
  <c r="DT221" i="1" s="1"/>
  <c r="DO221" i="1"/>
  <c r="DN221" i="1"/>
  <c r="DV220" i="1"/>
  <c r="DR220" i="1"/>
  <c r="DS220" i="1" s="1"/>
  <c r="DO220" i="1"/>
  <c r="DN220" i="1"/>
  <c r="DV219" i="1"/>
  <c r="DR219" i="1"/>
  <c r="DS219" i="1" s="1"/>
  <c r="DO219" i="1"/>
  <c r="DN219" i="1"/>
  <c r="DV218" i="1"/>
  <c r="DR218" i="1"/>
  <c r="DS218" i="1" s="1"/>
  <c r="DT218" i="1" s="1"/>
  <c r="DO218" i="1"/>
  <c r="DN218" i="1"/>
  <c r="DV217" i="1"/>
  <c r="DR217" i="1"/>
  <c r="DS217" i="1" s="1"/>
  <c r="DT217" i="1" s="1"/>
  <c r="DO217" i="1"/>
  <c r="DN217" i="1"/>
  <c r="DV216" i="1"/>
  <c r="CZ216" i="1"/>
  <c r="CY216" i="1"/>
  <c r="CE216" i="1"/>
  <c r="BJ216" i="1"/>
  <c r="BI216" i="1"/>
  <c r="AO216" i="1"/>
  <c r="AN216" i="1"/>
  <c r="AF216" i="1"/>
  <c r="AQ216" i="1" s="1"/>
  <c r="T216" i="1"/>
  <c r="S216" i="1"/>
  <c r="M216" i="1"/>
  <c r="K216" i="1"/>
  <c r="U216" i="1" s="1"/>
  <c r="DV215" i="1"/>
  <c r="DR215" i="1"/>
  <c r="DS215" i="1" s="1"/>
  <c r="DT215" i="1" s="1"/>
  <c r="DO215" i="1"/>
  <c r="DN215" i="1"/>
  <c r="DV214" i="1"/>
  <c r="DR214" i="1"/>
  <c r="DS214" i="1" s="1"/>
  <c r="DT214" i="1" s="1"/>
  <c r="DO214" i="1"/>
  <c r="DN214" i="1"/>
  <c r="DV213" i="1"/>
  <c r="DR213" i="1"/>
  <c r="DS213" i="1" s="1"/>
  <c r="DT213" i="1" s="1"/>
  <c r="DO213" i="1"/>
  <c r="DN213" i="1"/>
  <c r="DV212" i="1"/>
  <c r="DR212" i="1"/>
  <c r="DO212" i="1"/>
  <c r="DN212" i="1"/>
  <c r="DV211" i="1"/>
  <c r="DR211" i="1"/>
  <c r="DO211" i="1"/>
  <c r="DN211" i="1"/>
  <c r="BA211" i="1"/>
  <c r="DV210" i="1"/>
  <c r="DR210" i="1"/>
  <c r="DS210" i="1" s="1"/>
  <c r="DT210" i="1" s="1"/>
  <c r="DO210" i="1"/>
  <c r="DN210" i="1"/>
  <c r="DV209" i="1"/>
  <c r="DR209" i="1"/>
  <c r="DS209" i="1" s="1"/>
  <c r="DT209" i="1" s="1"/>
  <c r="DO209" i="1"/>
  <c r="DN209" i="1"/>
  <c r="DV208" i="1"/>
  <c r="BI208" i="1"/>
  <c r="BA208" i="1"/>
  <c r="AF208" i="1"/>
  <c r="DV207" i="1"/>
  <c r="DR207" i="1"/>
  <c r="DS207" i="1" s="1"/>
  <c r="DT207" i="1" s="1"/>
  <c r="DO207" i="1"/>
  <c r="DN207" i="1"/>
  <c r="DV206" i="1"/>
  <c r="BI206" i="1"/>
  <c r="BA206" i="1"/>
  <c r="AN206" i="1"/>
  <c r="AF206" i="1"/>
  <c r="K206" i="1"/>
  <c r="DR206" i="1" s="1"/>
  <c r="DO205" i="1"/>
  <c r="CQ205" i="1"/>
  <c r="BA205" i="1"/>
  <c r="BI205" i="1" s="1"/>
  <c r="AF205" i="1"/>
  <c r="AN205" i="1" s="1"/>
  <c r="S205" i="1"/>
  <c r="K205" i="1"/>
  <c r="DR205" i="1" s="1"/>
  <c r="DV204" i="1"/>
  <c r="DR204" i="1"/>
  <c r="DS204" i="1" s="1"/>
  <c r="DO204" i="1"/>
  <c r="DN204" i="1"/>
  <c r="DV203" i="1"/>
  <c r="BA203" i="1"/>
  <c r="DV202" i="1"/>
  <c r="DR202" i="1"/>
  <c r="DS202" i="1" s="1"/>
  <c r="DT202" i="1" s="1"/>
  <c r="DO202" i="1"/>
  <c r="DN202" i="1"/>
  <c r="DV201" i="1"/>
  <c r="DR201" i="1"/>
  <c r="DS201" i="1" s="1"/>
  <c r="DO201" i="1"/>
  <c r="DN201" i="1"/>
  <c r="DV200" i="1"/>
  <c r="DR200" i="1"/>
  <c r="DS200" i="1" s="1"/>
  <c r="DO200" i="1"/>
  <c r="DN200" i="1"/>
  <c r="DV199" i="1"/>
  <c r="DW199" i="1" s="1"/>
  <c r="DX199" i="1" s="1"/>
  <c r="DO199" i="1"/>
  <c r="AN199" i="1"/>
  <c r="DN199" i="1" s="1"/>
  <c r="AF199" i="1"/>
  <c r="DV198" i="1"/>
  <c r="DR198" i="1"/>
  <c r="DS198" i="1" s="1"/>
  <c r="DT198" i="1" s="1"/>
  <c r="DO198" i="1"/>
  <c r="DN198" i="1"/>
  <c r="DV197" i="1"/>
  <c r="DW197" i="1" s="1"/>
  <c r="DX197" i="1" s="1"/>
  <c r="DR197" i="1"/>
  <c r="DO197" i="1"/>
  <c r="DN197" i="1"/>
  <c r="DV196" i="1"/>
  <c r="DR196" i="1"/>
  <c r="DS196" i="1" s="1"/>
  <c r="DO196" i="1"/>
  <c r="DN196" i="1"/>
  <c r="DV195" i="1"/>
  <c r="DR195" i="1"/>
  <c r="DS195" i="1" s="1"/>
  <c r="DT195" i="1" s="1"/>
  <c r="DO195" i="1"/>
  <c r="DN195" i="1"/>
  <c r="DV194" i="1"/>
  <c r="DR194" i="1"/>
  <c r="DS194" i="1" s="1"/>
  <c r="DT194" i="1" s="1"/>
  <c r="DO194" i="1"/>
  <c r="DN194" i="1"/>
  <c r="DV193" i="1"/>
  <c r="DR193" i="1"/>
  <c r="DS193" i="1" s="1"/>
  <c r="DT193" i="1" s="1"/>
  <c r="DO193" i="1"/>
  <c r="DN193" i="1"/>
  <c r="DV192" i="1"/>
  <c r="DR192" i="1"/>
  <c r="BA192" i="1"/>
  <c r="BI192" i="1" s="1"/>
  <c r="AN192" i="1"/>
  <c r="AF192" i="1"/>
  <c r="DO192" i="1" s="1"/>
  <c r="DV191" i="1"/>
  <c r="DR191" i="1"/>
  <c r="DS191" i="1" s="1"/>
  <c r="DO191" i="1"/>
  <c r="DN191" i="1"/>
  <c r="DV190" i="1"/>
  <c r="DR190" i="1"/>
  <c r="DO190" i="1"/>
  <c r="DN190" i="1"/>
  <c r="DV189" i="1"/>
  <c r="DR189" i="1"/>
  <c r="DS189" i="1" s="1"/>
  <c r="DT189" i="1" s="1"/>
  <c r="DO189" i="1"/>
  <c r="DN189" i="1"/>
  <c r="DV188" i="1"/>
  <c r="DR188" i="1"/>
  <c r="DS188" i="1" s="1"/>
  <c r="DT188" i="1" s="1"/>
  <c r="DO188" i="1"/>
  <c r="DN188" i="1"/>
  <c r="DV187" i="1"/>
  <c r="DR187" i="1"/>
  <c r="DS187" i="1" s="1"/>
  <c r="DT187" i="1" s="1"/>
  <c r="DO187" i="1"/>
  <c r="DN187" i="1"/>
  <c r="DV186" i="1"/>
  <c r="DR186" i="1"/>
  <c r="DS186" i="1" s="1"/>
  <c r="DO186" i="1"/>
  <c r="DN186" i="1"/>
  <c r="DV185" i="1"/>
  <c r="DR185" i="1"/>
  <c r="DS185" i="1" s="1"/>
  <c r="DO185" i="1"/>
  <c r="DN185" i="1"/>
  <c r="DV184" i="1"/>
  <c r="BI184" i="1"/>
  <c r="DN184" i="1" s="1"/>
  <c r="BA184" i="1"/>
  <c r="DR184" i="1" s="1"/>
  <c r="DV183" i="1"/>
  <c r="BA183" i="1"/>
  <c r="BI183" i="1" s="1"/>
  <c r="AF183" i="1"/>
  <c r="DO183" i="1" s="1"/>
  <c r="DV182" i="1"/>
  <c r="DR182" i="1"/>
  <c r="DS182" i="1" s="1"/>
  <c r="DT182" i="1" s="1"/>
  <c r="DO182" i="1"/>
  <c r="DN182" i="1"/>
  <c r="DV181" i="1"/>
  <c r="DR181" i="1"/>
  <c r="DS181" i="1" s="1"/>
  <c r="DT181" i="1" s="1"/>
  <c r="DO181" i="1"/>
  <c r="DN181" i="1"/>
  <c r="DV180" i="1"/>
  <c r="DR180" i="1"/>
  <c r="DS180" i="1" s="1"/>
  <c r="DT180" i="1" s="1"/>
  <c r="DO180" i="1"/>
  <c r="DN180" i="1"/>
  <c r="DV179" i="1"/>
  <c r="DR179" i="1"/>
  <c r="DO179" i="1"/>
  <c r="DN179" i="1"/>
  <c r="DV178" i="1"/>
  <c r="DR178" i="1"/>
  <c r="DO178" i="1"/>
  <c r="DN178" i="1"/>
  <c r="DV177" i="1"/>
  <c r="DR177" i="1"/>
  <c r="DS177" i="1" s="1"/>
  <c r="DT177" i="1" s="1"/>
  <c r="DO177" i="1"/>
  <c r="DN177" i="1"/>
  <c r="DV176" i="1"/>
  <c r="DR176" i="1"/>
  <c r="DS176" i="1" s="1"/>
  <c r="DT176" i="1" s="1"/>
  <c r="DO176" i="1"/>
  <c r="DN176" i="1"/>
  <c r="DV175" i="1"/>
  <c r="DR175" i="1"/>
  <c r="DS175" i="1" s="1"/>
  <c r="DT175" i="1" s="1"/>
  <c r="DO175" i="1"/>
  <c r="DN175" i="1"/>
  <c r="DV174" i="1"/>
  <c r="DW174" i="1" s="1"/>
  <c r="DX174" i="1" s="1"/>
  <c r="DR174" i="1"/>
  <c r="DS174" i="1" s="1"/>
  <c r="DT174" i="1" s="1"/>
  <c r="DO174" i="1"/>
  <c r="DN174" i="1"/>
  <c r="DV173" i="1"/>
  <c r="DR173" i="1"/>
  <c r="DS173" i="1" s="1"/>
  <c r="DT173" i="1" s="1"/>
  <c r="DO173" i="1"/>
  <c r="DN173" i="1"/>
  <c r="DV172" i="1"/>
  <c r="DR172" i="1"/>
  <c r="DS172" i="1" s="1"/>
  <c r="DT172" i="1" s="1"/>
  <c r="DO172" i="1"/>
  <c r="DN172" i="1"/>
  <c r="DV171" i="1"/>
  <c r="DR171" i="1"/>
  <c r="DO171" i="1"/>
  <c r="DN171" i="1"/>
  <c r="DV170" i="1"/>
  <c r="DR170" i="1"/>
  <c r="DO170" i="1"/>
  <c r="DN170" i="1"/>
  <c r="DV169" i="1"/>
  <c r="DR169" i="1"/>
  <c r="DS169" i="1" s="1"/>
  <c r="DT169" i="1" s="1"/>
  <c r="DO169" i="1"/>
  <c r="DN169" i="1"/>
  <c r="DV168" i="1"/>
  <c r="DR168" i="1"/>
  <c r="DS168" i="1" s="1"/>
  <c r="DT168" i="1" s="1"/>
  <c r="DO168" i="1"/>
  <c r="DN168" i="1"/>
  <c r="DV167" i="1"/>
  <c r="DR167" i="1"/>
  <c r="DS167" i="1" s="1"/>
  <c r="DT167" i="1" s="1"/>
  <c r="DO167" i="1"/>
  <c r="DN167" i="1"/>
  <c r="DV166" i="1"/>
  <c r="DW166" i="1" s="1"/>
  <c r="DX166" i="1" s="1"/>
  <c r="DR166" i="1"/>
  <c r="DS166" i="1" s="1"/>
  <c r="DT166" i="1" s="1"/>
  <c r="DO166" i="1"/>
  <c r="DN166" i="1"/>
  <c r="DV165" i="1"/>
  <c r="DR165" i="1"/>
  <c r="DS165" i="1" s="1"/>
  <c r="DT165" i="1" s="1"/>
  <c r="DO165" i="1"/>
  <c r="DN165" i="1"/>
  <c r="DV164" i="1"/>
  <c r="DR164" i="1"/>
  <c r="DS164" i="1" s="1"/>
  <c r="DT164" i="1" s="1"/>
  <c r="DO164" i="1"/>
  <c r="DN164" i="1"/>
  <c r="DV163" i="1"/>
  <c r="DR163" i="1"/>
  <c r="DO163" i="1"/>
  <c r="DN163" i="1"/>
  <c r="DV162" i="1"/>
  <c r="DR162" i="1"/>
  <c r="DO162" i="1"/>
  <c r="DN162" i="1"/>
  <c r="DV161" i="1"/>
  <c r="DR161" i="1"/>
  <c r="DS161" i="1" s="1"/>
  <c r="DT161" i="1" s="1"/>
  <c r="DO161" i="1"/>
  <c r="DN161" i="1"/>
  <c r="DV160" i="1"/>
  <c r="DO160" i="1"/>
  <c r="CY160" i="1"/>
  <c r="CQ160" i="1"/>
  <c r="CR160" i="1" s="1"/>
  <c r="AN160" i="1"/>
  <c r="AF160" i="1"/>
  <c r="AG160" i="1" s="1"/>
  <c r="K160" i="1"/>
  <c r="DR160" i="1" s="1"/>
  <c r="DK159" i="1"/>
  <c r="DG159" i="1"/>
  <c r="CQ159" i="1"/>
  <c r="BU159" i="1"/>
  <c r="BI159" i="1"/>
  <c r="BA159" i="1"/>
  <c r="BQ159" i="1" s="1"/>
  <c r="AZ159" i="1"/>
  <c r="AF159" i="1"/>
  <c r="AN159" i="1" s="1"/>
  <c r="DV158" i="1"/>
  <c r="DR158" i="1"/>
  <c r="DO158" i="1"/>
  <c r="BI158" i="1"/>
  <c r="DV157" i="1"/>
  <c r="BJ157" i="1"/>
  <c r="BA157" i="1"/>
  <c r="BQ157" i="1" s="1"/>
  <c r="AV157" i="1"/>
  <c r="AO157" i="1"/>
  <c r="AN157" i="1"/>
  <c r="AF157" i="1"/>
  <c r="K157" i="1"/>
  <c r="AA157" i="1" s="1"/>
  <c r="DV156" i="1"/>
  <c r="DR156" i="1"/>
  <c r="DO156" i="1"/>
  <c r="DN156" i="1"/>
  <c r="DV155" i="1"/>
  <c r="DR155" i="1"/>
  <c r="DO155" i="1"/>
  <c r="DN155" i="1"/>
  <c r="DV154" i="1"/>
  <c r="DR154" i="1"/>
  <c r="DS154" i="1" s="1"/>
  <c r="DT154" i="1" s="1"/>
  <c r="DO154" i="1"/>
  <c r="DN154" i="1"/>
  <c r="DV153" i="1"/>
  <c r="DR153" i="1"/>
  <c r="DS153" i="1" s="1"/>
  <c r="DT153" i="1" s="1"/>
  <c r="DO153" i="1"/>
  <c r="DN153" i="1"/>
  <c r="BE153" i="1"/>
  <c r="DV152" i="1"/>
  <c r="DR152" i="1"/>
  <c r="DS152" i="1" s="1"/>
  <c r="DT152" i="1" s="1"/>
  <c r="DO152" i="1"/>
  <c r="DN152" i="1"/>
  <c r="DV151" i="1"/>
  <c r="DR151" i="1"/>
  <c r="DS151" i="1" s="1"/>
  <c r="DO151" i="1"/>
  <c r="DN151" i="1"/>
  <c r="DV150" i="1"/>
  <c r="DR150" i="1"/>
  <c r="DS150" i="1" s="1"/>
  <c r="DO150" i="1"/>
  <c r="DN150" i="1"/>
  <c r="DV149" i="1"/>
  <c r="BI149" i="1"/>
  <c r="DN149" i="1" s="1"/>
  <c r="BA149" i="1"/>
  <c r="DR149" i="1" s="1"/>
  <c r="DV148" i="1"/>
  <c r="DR148" i="1"/>
  <c r="DS148" i="1" s="1"/>
  <c r="DO148" i="1"/>
  <c r="DN148" i="1"/>
  <c r="EY147" i="1"/>
  <c r="EX147" i="1"/>
  <c r="EW147" i="1" s="1"/>
  <c r="EV147" i="1"/>
  <c r="EQ147" i="1"/>
  <c r="EP147" i="1"/>
  <c r="FD147" i="1" s="1"/>
  <c r="EL147" i="1" s="1"/>
  <c r="EO147" i="1"/>
  <c r="EN147" i="1"/>
  <c r="DV147" i="1"/>
  <c r="DR147" i="1"/>
  <c r="DS147" i="1" s="1"/>
  <c r="DT147" i="1" s="1"/>
  <c r="DO147" i="1"/>
  <c r="DN147" i="1"/>
  <c r="DV146" i="1"/>
  <c r="DR146" i="1"/>
  <c r="DS146" i="1" s="1"/>
  <c r="DO146" i="1"/>
  <c r="DN146" i="1"/>
  <c r="DV145" i="1"/>
  <c r="DR145" i="1"/>
  <c r="DS145" i="1" s="1"/>
  <c r="DO145" i="1"/>
  <c r="DN145" i="1"/>
  <c r="DV144" i="1"/>
  <c r="DR144" i="1"/>
  <c r="DS144" i="1" s="1"/>
  <c r="DT144" i="1" s="1"/>
  <c r="DO144" i="1"/>
  <c r="DN144" i="1"/>
  <c r="EI143" i="1"/>
  <c r="DV143" i="1"/>
  <c r="DR143" i="1"/>
  <c r="DS143" i="1" s="1"/>
  <c r="DO143" i="1"/>
  <c r="DN143" i="1"/>
  <c r="DV142" i="1"/>
  <c r="DR142" i="1"/>
  <c r="DS142" i="1" s="1"/>
  <c r="DT142" i="1" s="1"/>
  <c r="DO142" i="1"/>
  <c r="DN142" i="1"/>
  <c r="DV141" i="1"/>
  <c r="DR141" i="1"/>
  <c r="DS141" i="1" s="1"/>
  <c r="DT141" i="1" s="1"/>
  <c r="DO141" i="1"/>
  <c r="DN141" i="1"/>
  <c r="DV140" i="1"/>
  <c r="DO140" i="1"/>
  <c r="DN140" i="1"/>
  <c r="BA140" i="1"/>
  <c r="DV139" i="1"/>
  <c r="DR139" i="1"/>
  <c r="DS139" i="1" s="1"/>
  <c r="DT139" i="1" s="1"/>
  <c r="DO139" i="1"/>
  <c r="DN139" i="1"/>
  <c r="DV138" i="1"/>
  <c r="BA138" i="1"/>
  <c r="DN138" i="1" s="1"/>
  <c r="DV137" i="1"/>
  <c r="DR137" i="1"/>
  <c r="DS137" i="1" s="1"/>
  <c r="DT137" i="1" s="1"/>
  <c r="DO137" i="1"/>
  <c r="DN137" i="1"/>
  <c r="DV136" i="1"/>
  <c r="DR136" i="1"/>
  <c r="DO136" i="1"/>
  <c r="DN136" i="1"/>
  <c r="BA136" i="1"/>
  <c r="DV135" i="1"/>
  <c r="BA135" i="1"/>
  <c r="DN135" i="1" s="1"/>
  <c r="F135" i="1"/>
  <c r="E135" i="1"/>
  <c r="DV134" i="1"/>
  <c r="DO134" i="1"/>
  <c r="CZ134" i="1"/>
  <c r="BJ134" i="1"/>
  <c r="BI134" i="1"/>
  <c r="BA134" i="1"/>
  <c r="AO134" i="1"/>
  <c r="AN134" i="1"/>
  <c r="AF134" i="1"/>
  <c r="DV133" i="1"/>
  <c r="DR133" i="1"/>
  <c r="DS133" i="1" s="1"/>
  <c r="DT133" i="1" s="1"/>
  <c r="DO133" i="1"/>
  <c r="DN133" i="1"/>
  <c r="DV132" i="1"/>
  <c r="DR132" i="1"/>
  <c r="DO132" i="1"/>
  <c r="BI132" i="1"/>
  <c r="BA132" i="1"/>
  <c r="AN132" i="1"/>
  <c r="AF132" i="1"/>
  <c r="DV131" i="1"/>
  <c r="DR131" i="1"/>
  <c r="DS131" i="1" s="1"/>
  <c r="DT131" i="1" s="1"/>
  <c r="DO131" i="1"/>
  <c r="DN131" i="1"/>
  <c r="DV130" i="1"/>
  <c r="BJ130" i="1"/>
  <c r="BI130" i="1"/>
  <c r="BA130" i="1"/>
  <c r="AO130" i="1"/>
  <c r="AN130" i="1"/>
  <c r="AF130" i="1"/>
  <c r="DR130" i="1" s="1"/>
  <c r="T130" i="1"/>
  <c r="S130" i="1"/>
  <c r="K130" i="1"/>
  <c r="DV129" i="1"/>
  <c r="DR129" i="1"/>
  <c r="DS129" i="1" s="1"/>
  <c r="DT129" i="1" s="1"/>
  <c r="DO129" i="1"/>
  <c r="DN129" i="1"/>
  <c r="BL129" i="1"/>
  <c r="BK129" i="1"/>
  <c r="DV128" i="1"/>
  <c r="DR128" i="1"/>
  <c r="DS128" i="1" s="1"/>
  <c r="DT128" i="1" s="1"/>
  <c r="DO128" i="1"/>
  <c r="DN128" i="1"/>
  <c r="DV127" i="1"/>
  <c r="DO127" i="1"/>
  <c r="BA127" i="1"/>
  <c r="DV126" i="1"/>
  <c r="DR126" i="1"/>
  <c r="DS126" i="1" s="1"/>
  <c r="DT126" i="1" s="1"/>
  <c r="DO126" i="1"/>
  <c r="DN126" i="1"/>
  <c r="DV125" i="1"/>
  <c r="DR125" i="1"/>
  <c r="DO125" i="1"/>
  <c r="DN125" i="1"/>
  <c r="DV124" i="1"/>
  <c r="DR124" i="1"/>
  <c r="DS124" i="1" s="1"/>
  <c r="DT124" i="1" s="1"/>
  <c r="DO124" i="1"/>
  <c r="DN124" i="1"/>
  <c r="DV123" i="1"/>
  <c r="DR123" i="1"/>
  <c r="DO123" i="1"/>
  <c r="DN123" i="1"/>
  <c r="BE123" i="1"/>
  <c r="BA123" i="1"/>
  <c r="DR122" i="1"/>
  <c r="DO122" i="1"/>
  <c r="CQ122" i="1"/>
  <c r="DF122" i="1" s="1"/>
  <c r="DF1" i="1" s="1"/>
  <c r="BP122" i="1"/>
  <c r="AN122" i="1"/>
  <c r="DN122" i="1" s="1"/>
  <c r="AH122" i="1"/>
  <c r="AG122" i="1"/>
  <c r="AF122" i="1"/>
  <c r="AR122" i="1" s="1"/>
  <c r="Z122" i="1"/>
  <c r="Z1" i="1" s="1"/>
  <c r="DR121" i="1"/>
  <c r="DH121" i="1"/>
  <c r="DG121" i="1"/>
  <c r="CZ121" i="1"/>
  <c r="CQ121" i="1"/>
  <c r="CY121" i="1" s="1"/>
  <c r="CE121" i="1"/>
  <c r="BV121" i="1"/>
  <c r="DV121" i="1" s="1"/>
  <c r="BR121" i="1"/>
  <c r="BQ121" i="1"/>
  <c r="BJ121" i="1"/>
  <c r="BA121" i="1"/>
  <c r="BI121" i="1" s="1"/>
  <c r="AO121" i="1"/>
  <c r="AF121" i="1"/>
  <c r="AW121" i="1" s="1"/>
  <c r="AB121" i="1"/>
  <c r="AA121" i="1"/>
  <c r="T121" i="1"/>
  <c r="K121" i="1"/>
  <c r="CQ120" i="1"/>
  <c r="DG120" i="1" s="1"/>
  <c r="BV120" i="1"/>
  <c r="CD120" i="1" s="1"/>
  <c r="BA120" i="1"/>
  <c r="BQ120" i="1" s="1"/>
  <c r="AF120" i="1"/>
  <c r="AW120" i="1" s="1"/>
  <c r="K120" i="1"/>
  <c r="AA120" i="1" s="1"/>
  <c r="DV119" i="1"/>
  <c r="DW119" i="1" s="1"/>
  <c r="DX119" i="1" s="1"/>
  <c r="DR119" i="1"/>
  <c r="DS119" i="1" s="1"/>
  <c r="DT119" i="1" s="1"/>
  <c r="DO119" i="1"/>
  <c r="DN119" i="1"/>
  <c r="CR118" i="1"/>
  <c r="CQ118" i="1"/>
  <c r="CZ118" i="1" s="1"/>
  <c r="BA118" i="1"/>
  <c r="DR118" i="1" s="1"/>
  <c r="AF118" i="1"/>
  <c r="AN118" i="1" s="1"/>
  <c r="DV117" i="1"/>
  <c r="DR117" i="1"/>
  <c r="BI117" i="1"/>
  <c r="BA117" i="1"/>
  <c r="BR117" i="1" s="1"/>
  <c r="AW117" i="1"/>
  <c r="AV117" i="1"/>
  <c r="AO117" i="1"/>
  <c r="AN117" i="1"/>
  <c r="AF117" i="1"/>
  <c r="DV116" i="1"/>
  <c r="BI116" i="1"/>
  <c r="BA116" i="1"/>
  <c r="DV115" i="1"/>
  <c r="DR115" i="1"/>
  <c r="DS115" i="1" s="1"/>
  <c r="DT115" i="1" s="1"/>
  <c r="DO115" i="1"/>
  <c r="DN115" i="1"/>
  <c r="DV114" i="1"/>
  <c r="DW114" i="1" s="1"/>
  <c r="DX114" i="1" s="1"/>
  <c r="DR114" i="1"/>
  <c r="DS114" i="1" s="1"/>
  <c r="DT114" i="1" s="1"/>
  <c r="DO114" i="1"/>
  <c r="DN114" i="1"/>
  <c r="DV113" i="1"/>
  <c r="DR113" i="1"/>
  <c r="DS113" i="1" s="1"/>
  <c r="DT113" i="1" s="1"/>
  <c r="DO113" i="1"/>
  <c r="DN113" i="1"/>
  <c r="DV112" i="1"/>
  <c r="DR112" i="1"/>
  <c r="DS112" i="1" s="1"/>
  <c r="DT112" i="1" s="1"/>
  <c r="DO112" i="1"/>
  <c r="DN112" i="1"/>
  <c r="DV111" i="1"/>
  <c r="DW111" i="1" s="1"/>
  <c r="DX111" i="1" s="1"/>
  <c r="DR111" i="1"/>
  <c r="DS111" i="1" s="1"/>
  <c r="DT111" i="1" s="1"/>
  <c r="DO111" i="1"/>
  <c r="DN111" i="1"/>
  <c r="DV110" i="1"/>
  <c r="DR110" i="1"/>
  <c r="DS110" i="1" s="1"/>
  <c r="DT110" i="1" s="1"/>
  <c r="DO110" i="1"/>
  <c r="DN110" i="1"/>
  <c r="DV109" i="1"/>
  <c r="DK109" i="1"/>
  <c r="DG109" i="1"/>
  <c r="CY109" i="1"/>
  <c r="CQ109" i="1"/>
  <c r="BU109" i="1"/>
  <c r="BA109" i="1"/>
  <c r="BQ109" i="1" s="1"/>
  <c r="AZ109" i="1"/>
  <c r="AF109" i="1"/>
  <c r="DV108" i="1"/>
  <c r="DR108" i="1"/>
  <c r="DS108" i="1" s="1"/>
  <c r="DT108" i="1" s="1"/>
  <c r="DO108" i="1"/>
  <c r="DN108" i="1"/>
  <c r="CQ107" i="1"/>
  <c r="CY107" i="1" s="1"/>
  <c r="BA107" i="1"/>
  <c r="BI107" i="1" s="1"/>
  <c r="AF107" i="1"/>
  <c r="DO107" i="1" s="1"/>
  <c r="EI106" i="1"/>
  <c r="EH106" i="1"/>
  <c r="DV106" i="1"/>
  <c r="DR106" i="1"/>
  <c r="DS106" i="1" s="1"/>
  <c r="DT106" i="1" s="1"/>
  <c r="DO106" i="1"/>
  <c r="DN106" i="1"/>
  <c r="DV105" i="1"/>
  <c r="DR105" i="1"/>
  <c r="DS105" i="1" s="1"/>
  <c r="DO105" i="1"/>
  <c r="DN105" i="1"/>
  <c r="DV104" i="1"/>
  <c r="DR104" i="1"/>
  <c r="DO104" i="1"/>
  <c r="DN104" i="1"/>
  <c r="DV103" i="1"/>
  <c r="DR103" i="1"/>
  <c r="DS103" i="1" s="1"/>
  <c r="DT103" i="1" s="1"/>
  <c r="DO103" i="1"/>
  <c r="DN103" i="1"/>
  <c r="DV102" i="1"/>
  <c r="DR102" i="1"/>
  <c r="DS102" i="1" s="1"/>
  <c r="DT102" i="1" s="1"/>
  <c r="DO102" i="1"/>
  <c r="DN102" i="1"/>
  <c r="DV101" i="1"/>
  <c r="DR101" i="1"/>
  <c r="DS101" i="1" s="1"/>
  <c r="DO101" i="1"/>
  <c r="DN101" i="1"/>
  <c r="DV100" i="1"/>
  <c r="DR100" i="1"/>
  <c r="DO100" i="1"/>
  <c r="DN100" i="1"/>
  <c r="DV99" i="1"/>
  <c r="DR99" i="1"/>
  <c r="DS99" i="1" s="1"/>
  <c r="DT99" i="1" s="1"/>
  <c r="DO99" i="1"/>
  <c r="DN99" i="1"/>
  <c r="DV98" i="1"/>
  <c r="DO98" i="1"/>
  <c r="BA98" i="1"/>
  <c r="DV97" i="1"/>
  <c r="BA97" i="1"/>
  <c r="BQ97" i="1" s="1"/>
  <c r="AV97" i="1"/>
  <c r="AF97" i="1"/>
  <c r="AP97" i="1" s="1"/>
  <c r="AA97" i="1"/>
  <c r="V97" i="1"/>
  <c r="U97" i="1"/>
  <c r="T97" i="1"/>
  <c r="S97" i="1"/>
  <c r="K97" i="1"/>
  <c r="DR97" i="1" s="1"/>
  <c r="DV96" i="1"/>
  <c r="BA96" i="1"/>
  <c r="DR96" i="1" s="1"/>
  <c r="AN96" i="1"/>
  <c r="AF96" i="1"/>
  <c r="DV95" i="1"/>
  <c r="AF95" i="1"/>
  <c r="DV94" i="1"/>
  <c r="DR94" i="1"/>
  <c r="DO94" i="1"/>
  <c r="DN94" i="1"/>
  <c r="DV93" i="1"/>
  <c r="DR93" i="1"/>
  <c r="DO93" i="1"/>
  <c r="DN93" i="1"/>
  <c r="DV92" i="1"/>
  <c r="DR92" i="1"/>
  <c r="DS92" i="1" s="1"/>
  <c r="DT92" i="1" s="1"/>
  <c r="DO92" i="1"/>
  <c r="DN92" i="1"/>
  <c r="DV91" i="1"/>
  <c r="DR91" i="1"/>
  <c r="DS91" i="1" s="1"/>
  <c r="DT91" i="1" s="1"/>
  <c r="DO91" i="1"/>
  <c r="DN91" i="1"/>
  <c r="DV90" i="1"/>
  <c r="DR90" i="1"/>
  <c r="DS90" i="1" s="1"/>
  <c r="DT90" i="1" s="1"/>
  <c r="DO90" i="1"/>
  <c r="DN90" i="1"/>
  <c r="DV89" i="1"/>
  <c r="DR89" i="1"/>
  <c r="DS89" i="1" s="1"/>
  <c r="DO89" i="1"/>
  <c r="DN89" i="1"/>
  <c r="DV88" i="1"/>
  <c r="DR88" i="1"/>
  <c r="DO88" i="1"/>
  <c r="BA88" i="1"/>
  <c r="BI88" i="1" s="1"/>
  <c r="AN88" i="1"/>
  <c r="AF88" i="1"/>
  <c r="DV87" i="1"/>
  <c r="DR87" i="1"/>
  <c r="DS87" i="1" s="1"/>
  <c r="DT87" i="1" s="1"/>
  <c r="DO87" i="1"/>
  <c r="DN87" i="1"/>
  <c r="DV86" i="1"/>
  <c r="DR86" i="1"/>
  <c r="BT86" i="1"/>
  <c r="BT1" i="1" s="1"/>
  <c r="BJ86" i="1"/>
  <c r="DO86" i="1" s="1"/>
  <c r="BI86" i="1"/>
  <c r="BB86" i="1"/>
  <c r="DV85" i="1"/>
  <c r="DR85" i="1"/>
  <c r="DS85" i="1" s="1"/>
  <c r="DT85" i="1" s="1"/>
  <c r="DO85" i="1"/>
  <c r="DN85" i="1"/>
  <c r="DV84" i="1"/>
  <c r="DR84" i="1"/>
  <c r="DS84" i="1" s="1"/>
  <c r="BA84" i="1"/>
  <c r="AF84" i="1"/>
  <c r="K84" i="1"/>
  <c r="DN84" i="1" s="1"/>
  <c r="DV83" i="1"/>
  <c r="DR83" i="1"/>
  <c r="DO83" i="1"/>
  <c r="DN83" i="1"/>
  <c r="DV82" i="1"/>
  <c r="BA82" i="1"/>
  <c r="AF82" i="1"/>
  <c r="K82" i="1"/>
  <c r="DV81" i="1"/>
  <c r="DO81" i="1"/>
  <c r="BA81" i="1"/>
  <c r="DV80" i="1"/>
  <c r="DR80" i="1"/>
  <c r="DS80" i="1" s="1"/>
  <c r="DT80" i="1" s="1"/>
  <c r="DO80" i="1"/>
  <c r="DN80" i="1"/>
  <c r="DV79" i="1"/>
  <c r="DR79" i="1"/>
  <c r="DS79" i="1" s="1"/>
  <c r="DT79" i="1" s="1"/>
  <c r="DO79" i="1"/>
  <c r="DN79" i="1"/>
  <c r="DV78" i="1"/>
  <c r="DR78" i="1"/>
  <c r="DO78" i="1"/>
  <c r="DN78" i="1"/>
  <c r="DV77" i="1"/>
  <c r="DR77" i="1"/>
  <c r="DO77" i="1"/>
  <c r="DN77" i="1"/>
  <c r="DV76" i="1"/>
  <c r="DR76" i="1"/>
  <c r="DO76" i="1"/>
  <c r="DN76" i="1"/>
  <c r="DV75" i="1"/>
  <c r="CQ75" i="1"/>
  <c r="CY75" i="1" s="1"/>
  <c r="BV75" i="1"/>
  <c r="CD75" i="1" s="1"/>
  <c r="AN75" i="1"/>
  <c r="AF75" i="1"/>
  <c r="DO75" i="1" s="1"/>
  <c r="S75" i="1"/>
  <c r="K75" i="1"/>
  <c r="DR75" i="1" s="1"/>
  <c r="EB74" i="1"/>
  <c r="DV74" i="1"/>
  <c r="DR74" i="1"/>
  <c r="DS74" i="1" s="1"/>
  <c r="DO74" i="1"/>
  <c r="DN74" i="1"/>
  <c r="DV73" i="1"/>
  <c r="DR73" i="1"/>
  <c r="DO73" i="1"/>
  <c r="DN73" i="1"/>
  <c r="DV72" i="1"/>
  <c r="DR72" i="1"/>
  <c r="DS72" i="1" s="1"/>
  <c r="DT72" i="1" s="1"/>
  <c r="DO72" i="1"/>
  <c r="DN72" i="1"/>
  <c r="AV72" i="1"/>
  <c r="DV71" i="1"/>
  <c r="DR71" i="1"/>
  <c r="DO71" i="1"/>
  <c r="DN71" i="1"/>
  <c r="DV70" i="1"/>
  <c r="BA70" i="1"/>
  <c r="DR70" i="1" s="1"/>
  <c r="AN70" i="1"/>
  <c r="AG70" i="1"/>
  <c r="AF70" i="1"/>
  <c r="DV69" i="1"/>
  <c r="DR69" i="1"/>
  <c r="DO69" i="1"/>
  <c r="DN69" i="1"/>
  <c r="DV68" i="1"/>
  <c r="DR68" i="1"/>
  <c r="DS68" i="1" s="1"/>
  <c r="DT68" i="1" s="1"/>
  <c r="DO68" i="1"/>
  <c r="DN68" i="1"/>
  <c r="DV67" i="1"/>
  <c r="DR67" i="1"/>
  <c r="DO67" i="1"/>
  <c r="DN67" i="1"/>
  <c r="DV66" i="1"/>
  <c r="DK66" i="1"/>
  <c r="DK1" i="1" s="1"/>
  <c r="DG66" i="1"/>
  <c r="CY66" i="1"/>
  <c r="CQ66" i="1"/>
  <c r="BU66" i="1"/>
  <c r="BA66" i="1"/>
  <c r="BQ66" i="1" s="1"/>
  <c r="AZ66" i="1"/>
  <c r="AV66" i="1"/>
  <c r="AN66" i="1"/>
  <c r="AF66" i="1"/>
  <c r="DV65" i="1"/>
  <c r="DW65" i="1" s="1"/>
  <c r="DX65" i="1" s="1"/>
  <c r="DR65" i="1"/>
  <c r="DO65" i="1"/>
  <c r="DN65" i="1"/>
  <c r="DV64" i="1"/>
  <c r="DR64" i="1"/>
  <c r="DS64" i="1" s="1"/>
  <c r="DT64" i="1" s="1"/>
  <c r="DO64" i="1"/>
  <c r="DN64" i="1"/>
  <c r="DV63" i="1"/>
  <c r="DR63" i="1"/>
  <c r="DO63" i="1"/>
  <c r="DN63" i="1"/>
  <c r="DV62" i="1"/>
  <c r="BI62" i="1"/>
  <c r="BA62" i="1"/>
  <c r="DV61" i="1"/>
  <c r="DR61" i="1"/>
  <c r="DS61" i="1" s="1"/>
  <c r="DT61" i="1" s="1"/>
  <c r="DO61" i="1"/>
  <c r="DN61" i="1"/>
  <c r="DV60" i="1"/>
  <c r="DR60" i="1"/>
  <c r="BF60" i="1"/>
  <c r="BE60" i="1"/>
  <c r="BB60" i="1"/>
  <c r="BA60" i="1"/>
  <c r="BJ60" i="1" s="1"/>
  <c r="DO60" i="1" s="1"/>
  <c r="AK60" i="1"/>
  <c r="AJ60" i="1"/>
  <c r="AF60" i="1"/>
  <c r="DV59" i="1"/>
  <c r="DW59" i="1" s="1"/>
  <c r="DX59" i="1" s="1"/>
  <c r="DR59" i="1"/>
  <c r="DO59" i="1"/>
  <c r="AN59" i="1"/>
  <c r="AF59" i="1"/>
  <c r="S59" i="1"/>
  <c r="K59" i="1"/>
  <c r="DV58" i="1"/>
  <c r="DR58" i="1"/>
  <c r="DS58" i="1" s="1"/>
  <c r="DT58" i="1" s="1"/>
  <c r="DO58" i="1"/>
  <c r="DN58" i="1"/>
  <c r="DV57" i="1"/>
  <c r="DR57" i="1"/>
  <c r="DS57" i="1" s="1"/>
  <c r="DT57" i="1" s="1"/>
  <c r="DO57" i="1"/>
  <c r="DN57" i="1"/>
  <c r="CQ56" i="1"/>
  <c r="DV56" i="1" s="1"/>
  <c r="DW56" i="1" s="1"/>
  <c r="DX56" i="1" s="1"/>
  <c r="BA56" i="1"/>
  <c r="DO56" i="1" s="1"/>
  <c r="DV55" i="1"/>
  <c r="DR55" i="1"/>
  <c r="DO55" i="1"/>
  <c r="BQ55" i="1"/>
  <c r="BA55" i="1"/>
  <c r="BI55" i="1" s="1"/>
  <c r="DV54" i="1"/>
  <c r="DW54" i="1" s="1"/>
  <c r="DX54" i="1" s="1"/>
  <c r="DR54" i="1"/>
  <c r="DS54" i="1" s="1"/>
  <c r="DO54" i="1"/>
  <c r="DN54" i="1"/>
  <c r="DV53" i="1"/>
  <c r="BA53" i="1"/>
  <c r="BI53" i="1" s="1"/>
  <c r="DN53" i="1" s="1"/>
  <c r="DV52" i="1"/>
  <c r="DR52" i="1"/>
  <c r="DS52" i="1" s="1"/>
  <c r="DT52" i="1" s="1"/>
  <c r="DO52" i="1"/>
  <c r="DN52" i="1"/>
  <c r="DV51" i="1"/>
  <c r="DR51" i="1"/>
  <c r="DO51" i="1"/>
  <c r="DN51" i="1"/>
  <c r="DV50" i="1"/>
  <c r="BA50" i="1"/>
  <c r="DV49" i="1"/>
  <c r="DR49" i="1"/>
  <c r="DS49" i="1" s="1"/>
  <c r="DT49" i="1" s="1"/>
  <c r="DO49" i="1"/>
  <c r="DN49" i="1"/>
  <c r="DV48" i="1"/>
  <c r="DR48" i="1"/>
  <c r="DO48" i="1"/>
  <c r="DN48" i="1"/>
  <c r="DV47" i="1"/>
  <c r="DW47" i="1" s="1"/>
  <c r="DX47" i="1" s="1"/>
  <c r="BJ47" i="1"/>
  <c r="BI47" i="1"/>
  <c r="BB47" i="1"/>
  <c r="BA47" i="1"/>
  <c r="AO47" i="1"/>
  <c r="AN47" i="1"/>
  <c r="AG47" i="1"/>
  <c r="AF47" i="1"/>
  <c r="DV46" i="1"/>
  <c r="DR46" i="1"/>
  <c r="DS46" i="1" s="1"/>
  <c r="DT46" i="1" s="1"/>
  <c r="DO46" i="1"/>
  <c r="DN46" i="1"/>
  <c r="DV45" i="1"/>
  <c r="DR45" i="1"/>
  <c r="DS45" i="1" s="1"/>
  <c r="DT45" i="1" s="1"/>
  <c r="DO45" i="1"/>
  <c r="DN45" i="1"/>
  <c r="DV44" i="1"/>
  <c r="DR44" i="1"/>
  <c r="DO44" i="1"/>
  <c r="DN44" i="1"/>
  <c r="DV43" i="1"/>
  <c r="DR43" i="1"/>
  <c r="DS43" i="1" s="1"/>
  <c r="DT43" i="1" s="1"/>
  <c r="DO43" i="1"/>
  <c r="DN43" i="1"/>
  <c r="DV42" i="1"/>
  <c r="DR42" i="1"/>
  <c r="DS42" i="1" s="1"/>
  <c r="DT42" i="1" s="1"/>
  <c r="DO42" i="1"/>
  <c r="DN42" i="1"/>
  <c r="DV41" i="1"/>
  <c r="DR41" i="1"/>
  <c r="DS41" i="1" s="1"/>
  <c r="DO41" i="1"/>
  <c r="DN41" i="1"/>
  <c r="DV40" i="1"/>
  <c r="DR40" i="1"/>
  <c r="DS40" i="1" s="1"/>
  <c r="DO40" i="1"/>
  <c r="DN40" i="1"/>
  <c r="DV39" i="1"/>
  <c r="BA39" i="1"/>
  <c r="DR39" i="1" s="1"/>
  <c r="DV38" i="1"/>
  <c r="DW38" i="1" s="1"/>
  <c r="DX38" i="1" s="1"/>
  <c r="BA38" i="1"/>
  <c r="BI38" i="1" s="1"/>
  <c r="AN38" i="1"/>
  <c r="AF38" i="1"/>
  <c r="K38" i="1"/>
  <c r="DO38" i="1" s="1"/>
  <c r="EI37" i="1"/>
  <c r="DV37" i="1"/>
  <c r="DR37" i="1"/>
  <c r="DS37" i="1" s="1"/>
  <c r="DT37" i="1" s="1"/>
  <c r="DO37" i="1"/>
  <c r="DN37" i="1"/>
  <c r="BQ37" i="1"/>
  <c r="AV37" i="1"/>
  <c r="EH36" i="1"/>
  <c r="DV36" i="1"/>
  <c r="DR36" i="1"/>
  <c r="DS36" i="1" s="1"/>
  <c r="DT36" i="1" s="1"/>
  <c r="DO36" i="1"/>
  <c r="DN36" i="1"/>
  <c r="DV35" i="1"/>
  <c r="DR35" i="1"/>
  <c r="DS35" i="1" s="1"/>
  <c r="DO35" i="1"/>
  <c r="DN35" i="1"/>
  <c r="DV34" i="1"/>
  <c r="DR34" i="1"/>
  <c r="DS34" i="1" s="1"/>
  <c r="DO34" i="1"/>
  <c r="DN34" i="1"/>
  <c r="DV33" i="1"/>
  <c r="DR33" i="1"/>
  <c r="DS33" i="1" s="1"/>
  <c r="DT33" i="1" s="1"/>
  <c r="DO33" i="1"/>
  <c r="DN33" i="1"/>
  <c r="DV32" i="1"/>
  <c r="DR32" i="1"/>
  <c r="DS32" i="1" s="1"/>
  <c r="DT32" i="1" s="1"/>
  <c r="DO32" i="1"/>
  <c r="DN32" i="1"/>
  <c r="DV31" i="1"/>
  <c r="DR31" i="1"/>
  <c r="DS31" i="1" s="1"/>
  <c r="DO31" i="1"/>
  <c r="DN31" i="1"/>
  <c r="DV30" i="1"/>
  <c r="DR30" i="1"/>
  <c r="DS30" i="1" s="1"/>
  <c r="DT30" i="1" s="1"/>
  <c r="DO30" i="1"/>
  <c r="DN30" i="1"/>
  <c r="DV29" i="1"/>
  <c r="DR29" i="1"/>
  <c r="DS29" i="1" s="1"/>
  <c r="DT29" i="1" s="1"/>
  <c r="DO29" i="1"/>
  <c r="DN29" i="1"/>
  <c r="BA29" i="1"/>
  <c r="DV28" i="1"/>
  <c r="DR28" i="1"/>
  <c r="DO28" i="1"/>
  <c r="DN28" i="1"/>
  <c r="DV27" i="1"/>
  <c r="DR27" i="1"/>
  <c r="DS27" i="1" s="1"/>
  <c r="DT27" i="1" s="1"/>
  <c r="DO27" i="1"/>
  <c r="DN27" i="1"/>
  <c r="FH26" i="1"/>
  <c r="FG26" i="1"/>
  <c r="FO26" i="1" s="1"/>
  <c r="EH26" i="1"/>
  <c r="DV26" i="1"/>
  <c r="DR26" i="1"/>
  <c r="DO26" i="1"/>
  <c r="DN26" i="1"/>
  <c r="DV25" i="1"/>
  <c r="DR25" i="1"/>
  <c r="DO25" i="1"/>
  <c r="DN25" i="1"/>
  <c r="DV24" i="1"/>
  <c r="DR24" i="1"/>
  <c r="DO24" i="1"/>
  <c r="DN24" i="1"/>
  <c r="DV23" i="1"/>
  <c r="DR23" i="1"/>
  <c r="DO23" i="1"/>
  <c r="DN23" i="1"/>
  <c r="DV22" i="1"/>
  <c r="DR22" i="1"/>
  <c r="DS22" i="1" s="1"/>
  <c r="DT22" i="1" s="1"/>
  <c r="DO22" i="1"/>
  <c r="DN22" i="1"/>
  <c r="DV21" i="1"/>
  <c r="DR21" i="1"/>
  <c r="DO21" i="1"/>
  <c r="DN21" i="1"/>
  <c r="DV20" i="1"/>
  <c r="DW20" i="1" s="1"/>
  <c r="DX20" i="1" s="1"/>
  <c r="AF20" i="1"/>
  <c r="DR20" i="1" s="1"/>
  <c r="T20" i="1"/>
  <c r="S20" i="1"/>
  <c r="K20" i="1"/>
  <c r="DV19" i="1"/>
  <c r="DR19" i="1"/>
  <c r="DO19" i="1"/>
  <c r="DN19" i="1"/>
  <c r="DV18" i="1"/>
  <c r="DW18" i="1" s="1"/>
  <c r="DX18" i="1" s="1"/>
  <c r="DR18" i="1"/>
  <c r="DO18" i="1"/>
  <c r="DN18" i="1"/>
  <c r="DV17" i="1"/>
  <c r="DR17" i="1"/>
  <c r="DS17" i="1" s="1"/>
  <c r="DT17" i="1" s="1"/>
  <c r="DO17" i="1"/>
  <c r="DN17" i="1"/>
  <c r="DV16" i="1"/>
  <c r="DR16" i="1"/>
  <c r="DO16" i="1"/>
  <c r="DN16" i="1"/>
  <c r="DV15" i="1"/>
  <c r="DR15" i="1"/>
  <c r="DO15" i="1"/>
  <c r="DN15" i="1"/>
  <c r="DV14" i="1"/>
  <c r="DR14" i="1"/>
  <c r="DS14" i="1" s="1"/>
  <c r="DT14" i="1" s="1"/>
  <c r="DO14" i="1"/>
  <c r="DN14" i="1"/>
  <c r="DV13" i="1"/>
  <c r="DR13" i="1"/>
  <c r="DO13" i="1"/>
  <c r="DN13" i="1"/>
  <c r="DR12" i="1"/>
  <c r="DO12" i="1"/>
  <c r="DC12" i="1"/>
  <c r="DB12" i="1"/>
  <c r="DA12" i="1"/>
  <c r="CH12" i="1"/>
  <c r="CG12" i="1"/>
  <c r="CF12" i="1"/>
  <c r="BV12" i="1"/>
  <c r="DV12" i="1" s="1"/>
  <c r="BM12" i="1"/>
  <c r="BL12" i="1"/>
  <c r="BK12" i="1"/>
  <c r="AR12" i="1"/>
  <c r="AQ12" i="1"/>
  <c r="AP12" i="1"/>
  <c r="W12" i="1"/>
  <c r="V12" i="1"/>
  <c r="U12" i="1"/>
  <c r="S12" i="1"/>
  <c r="L12" i="1"/>
  <c r="K12" i="1"/>
  <c r="K1" i="1" s="1"/>
  <c r="DV11" i="1"/>
  <c r="DR11" i="1"/>
  <c r="DS11" i="1" s="1"/>
  <c r="DT11" i="1" s="1"/>
  <c r="DO11" i="1"/>
  <c r="DN11" i="1"/>
  <c r="DV10" i="1"/>
  <c r="DR10" i="1"/>
  <c r="DS10" i="1" s="1"/>
  <c r="DT10" i="1" s="1"/>
  <c r="DO10" i="1"/>
  <c r="DN10" i="1"/>
  <c r="BA10" i="1"/>
  <c r="DV9" i="1"/>
  <c r="DR9" i="1"/>
  <c r="DO9" i="1"/>
  <c r="DN9" i="1"/>
  <c r="DV8" i="1"/>
  <c r="DR8" i="1"/>
  <c r="DS8" i="1" s="1"/>
  <c r="DT8" i="1" s="1"/>
  <c r="DO8" i="1"/>
  <c r="DN8" i="1"/>
  <c r="DV7" i="1"/>
  <c r="DR7" i="1"/>
  <c r="DO7" i="1"/>
  <c r="DN7" i="1"/>
  <c r="BP7" i="1"/>
  <c r="BP1" i="1" s="1"/>
  <c r="AU7" i="1"/>
  <c r="Z7" i="1"/>
  <c r="DV6" i="1"/>
  <c r="DR6" i="1"/>
  <c r="DS6" i="1" s="1"/>
  <c r="DO6" i="1"/>
  <c r="DN6" i="1"/>
  <c r="DV5" i="1"/>
  <c r="DR5" i="1"/>
  <c r="DS5" i="1" s="1"/>
  <c r="DT5" i="1" s="1"/>
  <c r="DO5" i="1"/>
  <c r="DN5" i="1"/>
  <c r="FN1" i="1"/>
  <c r="FM1" i="1"/>
  <c r="FL1" i="1"/>
  <c r="FK1" i="1"/>
  <c r="FI1" i="1"/>
  <c r="FC1" i="1"/>
  <c r="FB1" i="1"/>
  <c r="EZ1" i="1"/>
  <c r="EY1" i="1"/>
  <c r="EX1" i="1"/>
  <c r="EV1" i="1"/>
  <c r="EC1" i="1"/>
  <c r="EB1" i="1"/>
  <c r="DJ1" i="1"/>
  <c r="DI1" i="1"/>
  <c r="DE1" i="1"/>
  <c r="DD1" i="1"/>
  <c r="CX1" i="1"/>
  <c r="CW1" i="1"/>
  <c r="CV1" i="1"/>
  <c r="CU1" i="1"/>
  <c r="CT1" i="1"/>
  <c r="CP1" i="1"/>
  <c r="CO1" i="1"/>
  <c r="CN1" i="1"/>
  <c r="CK1" i="1"/>
  <c r="CJ1" i="1"/>
  <c r="CI1" i="1"/>
  <c r="CF1" i="1"/>
  <c r="CC1" i="1"/>
  <c r="CB1" i="1"/>
  <c r="CA1" i="1"/>
  <c r="BZ1" i="1"/>
  <c r="BY1" i="1"/>
  <c r="BU1" i="1"/>
  <c r="BO1" i="1"/>
  <c r="BN1" i="1"/>
  <c r="BG1" i="1"/>
  <c r="BD1" i="1"/>
  <c r="AY1" i="1"/>
  <c r="AT1" i="1"/>
  <c r="AS1" i="1"/>
  <c r="AL1" i="1"/>
  <c r="AD1" i="1"/>
  <c r="AC1" i="1"/>
  <c r="Y1" i="1"/>
  <c r="X1" i="1"/>
  <c r="W1" i="1"/>
  <c r="Q1" i="1"/>
  <c r="P1" i="1"/>
  <c r="O1" i="1"/>
  <c r="N1" i="1"/>
  <c r="DW160" i="1" l="1"/>
  <c r="DN47" i="1"/>
  <c r="DN134" i="1"/>
  <c r="DS339" i="1"/>
  <c r="DT339" i="1" s="1"/>
  <c r="DO369" i="1"/>
  <c r="BA1" i="1"/>
  <c r="FI222" i="1"/>
  <c r="DS603" i="1"/>
  <c r="DT603" i="1" s="1"/>
  <c r="DW109" i="1"/>
  <c r="DX109" i="1" s="1"/>
  <c r="ET352" i="1"/>
  <c r="FD352" i="1" s="1"/>
  <c r="EL352" i="1" s="1"/>
  <c r="DN487" i="1"/>
  <c r="DS620" i="1"/>
  <c r="DT620" i="1" s="1"/>
  <c r="DN75" i="1"/>
  <c r="DO487" i="1"/>
  <c r="DT494" i="1"/>
  <c r="FA1" i="1"/>
  <c r="DW75" i="1"/>
  <c r="AX1" i="1"/>
  <c r="DT441" i="1"/>
  <c r="DT338" i="1"/>
  <c r="DS497" i="1"/>
  <c r="DT497" i="1" s="1"/>
  <c r="DO504" i="1"/>
  <c r="DS130" i="1"/>
  <c r="DT130" i="1" s="1"/>
  <c r="DS393" i="1"/>
  <c r="DT393" i="1" s="1"/>
  <c r="DX507" i="1"/>
  <c r="DS580" i="1"/>
  <c r="DT580" i="1" s="1"/>
  <c r="DN599" i="1"/>
  <c r="DT329" i="1"/>
  <c r="DS406" i="1"/>
  <c r="DT406" i="1" s="1"/>
  <c r="DT513" i="1"/>
  <c r="DS560" i="1"/>
  <c r="DT560" i="1" s="1"/>
  <c r="DT589" i="1"/>
  <c r="AW1" i="1"/>
  <c r="DN132" i="1"/>
  <c r="DT249" i="1"/>
  <c r="DS542" i="1"/>
  <c r="DT542" i="1" s="1"/>
  <c r="DS268" i="1"/>
  <c r="DT268" i="1" s="1"/>
  <c r="DN459" i="1"/>
  <c r="DS466" i="1"/>
  <c r="DT466" i="1" s="1"/>
  <c r="EN224" i="1"/>
  <c r="DS606" i="1"/>
  <c r="DT606" i="1" s="1"/>
  <c r="BF1" i="1"/>
  <c r="DW66" i="1"/>
  <c r="DX66" i="1" s="1"/>
  <c r="DS117" i="1"/>
  <c r="DT117" i="1" s="1"/>
  <c r="DS297" i="1"/>
  <c r="DT297" i="1" s="1"/>
  <c r="DW305" i="1"/>
  <c r="DX305" i="1" s="1"/>
  <c r="DS306" i="1"/>
  <c r="DT306" i="1" s="1"/>
  <c r="DT308" i="1"/>
  <c r="DS359" i="1"/>
  <c r="DT359" i="1" s="1"/>
  <c r="DW396" i="1"/>
  <c r="DX396" i="1" s="1"/>
  <c r="DS561" i="1"/>
  <c r="DT561" i="1" s="1"/>
  <c r="DS158" i="1"/>
  <c r="DT158" i="1" s="1"/>
  <c r="DN359" i="1"/>
  <c r="DO363" i="1"/>
  <c r="DT575" i="1"/>
  <c r="FJ1" i="1"/>
  <c r="DN333" i="1"/>
  <c r="DS505" i="1"/>
  <c r="DT505" i="1" s="1"/>
  <c r="EZ106" i="1"/>
  <c r="DO130" i="1"/>
  <c r="DW216" i="1"/>
  <c r="DX216" i="1" s="1"/>
  <c r="EN270" i="1"/>
  <c r="DW487" i="1"/>
  <c r="DX487" i="1" s="1"/>
  <c r="EW1" i="1"/>
  <c r="FF26" i="1"/>
  <c r="DT34" i="1"/>
  <c r="EV94" i="1"/>
  <c r="DT143" i="1"/>
  <c r="DT145" i="1"/>
  <c r="DT200" i="1"/>
  <c r="EN223" i="1"/>
  <c r="FI266" i="1"/>
  <c r="FF269" i="1"/>
  <c r="DS299" i="1"/>
  <c r="DT299" i="1" s="1"/>
  <c r="FA446" i="1"/>
  <c r="DT474" i="1"/>
  <c r="DT482" i="1"/>
  <c r="DT547" i="1"/>
  <c r="DS611" i="1"/>
  <c r="DT611" i="1" s="1"/>
  <c r="DW255" i="1"/>
  <c r="DX255" i="1" s="1"/>
  <c r="DS264" i="1"/>
  <c r="DT264" i="1" s="1"/>
  <c r="DS392" i="1"/>
  <c r="DT392" i="1" s="1"/>
  <c r="DS540" i="1"/>
  <c r="DT540" i="1" s="1"/>
  <c r="AR1" i="1"/>
  <c r="DN59" i="1"/>
  <c r="DT101" i="1"/>
  <c r="DT185" i="1"/>
  <c r="DN192" i="1"/>
  <c r="DT219" i="1"/>
  <c r="EU27" i="1" s="1"/>
  <c r="DX241" i="1"/>
  <c r="DO255" i="1"/>
  <c r="DS294" i="1"/>
  <c r="DT294" i="1" s="1"/>
  <c r="DS311" i="1"/>
  <c r="DT311" i="1" s="1"/>
  <c r="DS335" i="1"/>
  <c r="DT335" i="1" s="1"/>
  <c r="DS337" i="1"/>
  <c r="DT337" i="1" s="1"/>
  <c r="DS365" i="1"/>
  <c r="DT365" i="1" s="1"/>
  <c r="DS378" i="1"/>
  <c r="DT378" i="1" s="1"/>
  <c r="DT384" i="1"/>
  <c r="DT399" i="1"/>
  <c r="DT405" i="1"/>
  <c r="DT409" i="1"/>
  <c r="DS411" i="1"/>
  <c r="DT411" i="1" s="1"/>
  <c r="DX440" i="1"/>
  <c r="EO446" i="1"/>
  <c r="DT453" i="1"/>
  <c r="DT467" i="1"/>
  <c r="DS491" i="1"/>
  <c r="DT491" i="1" s="1"/>
  <c r="DT496" i="1"/>
  <c r="DS528" i="1"/>
  <c r="DT528" i="1" s="1"/>
  <c r="DS534" i="1"/>
  <c r="DT534" i="1" s="1"/>
  <c r="DT549" i="1"/>
  <c r="DW590" i="1"/>
  <c r="DX590" i="1" s="1"/>
  <c r="DS592" i="1"/>
  <c r="DT592" i="1" s="1"/>
  <c r="DX629" i="1"/>
  <c r="DT196" i="1"/>
  <c r="DX391" i="1"/>
  <c r="DT432" i="1"/>
  <c r="DS596" i="1"/>
  <c r="DT596" i="1" s="1"/>
  <c r="DS21" i="1"/>
  <c r="DT21" i="1" s="1"/>
  <c r="FE36" i="1"/>
  <c r="FE1" i="1" s="1"/>
  <c r="DW74" i="1"/>
  <c r="DX74" i="1" s="1"/>
  <c r="DS93" i="1"/>
  <c r="DT93" i="1" s="1"/>
  <c r="DS125" i="1"/>
  <c r="DT125" i="1" s="1"/>
  <c r="DS192" i="1"/>
  <c r="DT192" i="1" s="1"/>
  <c r="DS304" i="1"/>
  <c r="DT304" i="1" s="1"/>
  <c r="DO359" i="1"/>
  <c r="DS370" i="1"/>
  <c r="DT370" i="1" s="1"/>
  <c r="DW392" i="1"/>
  <c r="DX392" i="1" s="1"/>
  <c r="DW417" i="1"/>
  <c r="DX417" i="1" s="1"/>
  <c r="DS436" i="1"/>
  <c r="DT436" i="1" s="1"/>
  <c r="DS450" i="1"/>
  <c r="DT450" i="1" s="1"/>
  <c r="DS495" i="1"/>
  <c r="DT495" i="1" s="1"/>
  <c r="DS498" i="1"/>
  <c r="DT498" i="1" s="1"/>
  <c r="DW553" i="1"/>
  <c r="DX553" i="1" s="1"/>
  <c r="DS555" i="1"/>
  <c r="DT555" i="1" s="1"/>
  <c r="DS563" i="1"/>
  <c r="DT563" i="1" s="1"/>
  <c r="DS569" i="1"/>
  <c r="DT569" i="1" s="1"/>
  <c r="DS571" i="1"/>
  <c r="DT571" i="1" s="1"/>
  <c r="DS573" i="1"/>
  <c r="DT573" i="1" s="1"/>
  <c r="DT577" i="1"/>
  <c r="DS613" i="1"/>
  <c r="DT613" i="1" s="1"/>
  <c r="DN620" i="1"/>
  <c r="DX160" i="1"/>
  <c r="DW383" i="1"/>
  <c r="DX383" i="1" s="1"/>
  <c r="DT31" i="1"/>
  <c r="DT40" i="1"/>
  <c r="DS78" i="1"/>
  <c r="DT78" i="1" s="1"/>
  <c r="DO121" i="1"/>
  <c r="DT225" i="1"/>
  <c r="DO331" i="1"/>
  <c r="DS372" i="1"/>
  <c r="DT372" i="1" s="1"/>
  <c r="DT477" i="1"/>
  <c r="DS481" i="1"/>
  <c r="DT481" i="1" s="1"/>
  <c r="DS512" i="1"/>
  <c r="DT512" i="1" s="1"/>
  <c r="DS520" i="1"/>
  <c r="DT520" i="1" s="1"/>
  <c r="DT522" i="1"/>
  <c r="DT524" i="1"/>
  <c r="DS539" i="1"/>
  <c r="DT539" i="1" s="1"/>
  <c r="DN561" i="1"/>
  <c r="DT403" i="1"/>
  <c r="DT415" i="1"/>
  <c r="DS190" i="1"/>
  <c r="DT190" i="1" s="1"/>
  <c r="DS211" i="1"/>
  <c r="DT211" i="1" s="1"/>
  <c r="ER266" i="1"/>
  <c r="DS289" i="1"/>
  <c r="DT289" i="1" s="1"/>
  <c r="DS420" i="1"/>
  <c r="DT420" i="1" s="1"/>
  <c r="DS514" i="1"/>
  <c r="DT514" i="1" s="1"/>
  <c r="DS25" i="1"/>
  <c r="DT25" i="1" s="1"/>
  <c r="DT376" i="1"/>
  <c r="DO396" i="1"/>
  <c r="DT413" i="1"/>
  <c r="DW35" i="1"/>
  <c r="DX35" i="1" s="1"/>
  <c r="DS86" i="1"/>
  <c r="DT86" i="1" s="1"/>
  <c r="DS104" i="1"/>
  <c r="DT104" i="1" s="1"/>
  <c r="DT150" i="1"/>
  <c r="DS228" i="1"/>
  <c r="DT228" i="1" s="1"/>
  <c r="DS233" i="1"/>
  <c r="DT233" i="1" s="1"/>
  <c r="DS235" i="1"/>
  <c r="DT235" i="1" s="1"/>
  <c r="DS239" i="1"/>
  <c r="DT239" i="1" s="1"/>
  <c r="DS258" i="1"/>
  <c r="DT258" i="1" s="1"/>
  <c r="DS315" i="1"/>
  <c r="DT315" i="1" s="1"/>
  <c r="DS321" i="1"/>
  <c r="DS343" i="1"/>
  <c r="DT343" i="1" s="1"/>
  <c r="DW348" i="1"/>
  <c r="DX348" i="1" s="1"/>
  <c r="DS364" i="1"/>
  <c r="DT364" i="1" s="1"/>
  <c r="DS377" i="1"/>
  <c r="DT377" i="1" s="1"/>
  <c r="DS400" i="1"/>
  <c r="DT400" i="1" s="1"/>
  <c r="DS402" i="1"/>
  <c r="DT402" i="1" s="1"/>
  <c r="DS414" i="1"/>
  <c r="DT414" i="1" s="1"/>
  <c r="DT416" i="1"/>
  <c r="DX419" i="1"/>
  <c r="DT435" i="1"/>
  <c r="DS444" i="1"/>
  <c r="DT444" i="1" s="1"/>
  <c r="DT446" i="1"/>
  <c r="EW446" i="1"/>
  <c r="DW454" i="1"/>
  <c r="DX454" i="1" s="1"/>
  <c r="DS462" i="1"/>
  <c r="DT462" i="1" s="1"/>
  <c r="DW495" i="1"/>
  <c r="DX495" i="1" s="1"/>
  <c r="DS503" i="1"/>
  <c r="DT503" i="1" s="1"/>
  <c r="DT532" i="1"/>
  <c r="DS548" i="1"/>
  <c r="DT548" i="1" s="1"/>
  <c r="DT550" i="1"/>
  <c r="DT582" i="1"/>
  <c r="DS586" i="1"/>
  <c r="DT586" i="1" s="1"/>
  <c r="DS597" i="1"/>
  <c r="DT597" i="1" s="1"/>
  <c r="DT615" i="1"/>
  <c r="DS622" i="1"/>
  <c r="DT622" i="1" s="1"/>
  <c r="DS624" i="1"/>
  <c r="DT624" i="1" s="1"/>
  <c r="DS630" i="1"/>
  <c r="DT630" i="1" s="1"/>
  <c r="DT243" i="1"/>
  <c r="ER27" i="1"/>
  <c r="DW31" i="1"/>
  <c r="DX31" i="1" s="1"/>
  <c r="DS73" i="1"/>
  <c r="DT73" i="1" s="1"/>
  <c r="BE1" i="1"/>
  <c r="DN159" i="1"/>
  <c r="DT366" i="1"/>
  <c r="DW459" i="1"/>
  <c r="DX459" i="1" s="1"/>
  <c r="DS537" i="1"/>
  <c r="DT537" i="1" s="1"/>
  <c r="DS55" i="1"/>
  <c r="DT55" i="1" s="1"/>
  <c r="DN55" i="1"/>
  <c r="DN381" i="1"/>
  <c r="DS381" i="1"/>
  <c r="DS88" i="1"/>
  <c r="DT88" i="1" s="1"/>
  <c r="DN88" i="1"/>
  <c r="DS331" i="1"/>
  <c r="DT331" i="1" s="1"/>
  <c r="DX75" i="1"/>
  <c r="DS75" i="1"/>
  <c r="DT75" i="1" s="1"/>
  <c r="DS205" i="1"/>
  <c r="DT205" i="1" s="1"/>
  <c r="DS558" i="1"/>
  <c r="DT558" i="1" s="1"/>
  <c r="DS51" i="1"/>
  <c r="DT51" i="1" s="1"/>
  <c r="DS94" i="1"/>
  <c r="DT94" i="1" s="1"/>
  <c r="DS100" i="1"/>
  <c r="DT100" i="1" s="1"/>
  <c r="AN120" i="1"/>
  <c r="CY205" i="1"/>
  <c r="DS224" i="1"/>
  <c r="DT224" i="1" s="1"/>
  <c r="DS257" i="1"/>
  <c r="DT257" i="1" s="1"/>
  <c r="DS267" i="1"/>
  <c r="DT267" i="1" s="1"/>
  <c r="DS282" i="1"/>
  <c r="DT282" i="1" s="1"/>
  <c r="DW575" i="1"/>
  <c r="DX575" i="1" s="1"/>
  <c r="AF1" i="1"/>
  <c r="DR38" i="1"/>
  <c r="DS39" i="1"/>
  <c r="DT39" i="1" s="1"/>
  <c r="DR56" i="1"/>
  <c r="DO84" i="1"/>
  <c r="AQ97" i="1"/>
  <c r="DR107" i="1"/>
  <c r="DN117" i="1"/>
  <c r="AO118" i="1"/>
  <c r="DO118" i="1" s="1"/>
  <c r="AB120" i="1"/>
  <c r="BR120" i="1"/>
  <c r="DH120" i="1"/>
  <c r="S121" i="1"/>
  <c r="AU122" i="1"/>
  <c r="AU1" i="1" s="1"/>
  <c r="DS149" i="1"/>
  <c r="DT149" i="1" s="1"/>
  <c r="DR157" i="1"/>
  <c r="CY159" i="1"/>
  <c r="DR183" i="1"/>
  <c r="DS184" i="1"/>
  <c r="DT184" i="1" s="1"/>
  <c r="V216" i="1"/>
  <c r="V1" i="1" s="1"/>
  <c r="FD225" i="1"/>
  <c r="EL225" i="1" s="1"/>
  <c r="DT242" i="1"/>
  <c r="AH255" i="1"/>
  <c r="AG255" i="1"/>
  <c r="EO269" i="1"/>
  <c r="CD275" i="1"/>
  <c r="ES309" i="1"/>
  <c r="DT319" i="1"/>
  <c r="DT327" i="1"/>
  <c r="CD332" i="1"/>
  <c r="DW332" i="1" s="1"/>
  <c r="DX332" i="1" s="1"/>
  <c r="DT340" i="1"/>
  <c r="ES350" i="1"/>
  <c r="DR369" i="1"/>
  <c r="AQ369" i="1"/>
  <c r="AN369" i="1"/>
  <c r="DN369" i="1" s="1"/>
  <c r="AH369" i="1"/>
  <c r="DO374" i="1"/>
  <c r="DW382" i="1"/>
  <c r="DX382" i="1" s="1"/>
  <c r="DS421" i="1"/>
  <c r="DT421" i="1" s="1"/>
  <c r="DS424" i="1"/>
  <c r="DT424" i="1" s="1"/>
  <c r="DT433" i="1"/>
  <c r="DS438" i="1"/>
  <c r="DT438" i="1" s="1"/>
  <c r="DR455" i="1"/>
  <c r="T455" i="1"/>
  <c r="DO455" i="1" s="1"/>
  <c r="S455" i="1"/>
  <c r="DN455" i="1" s="1"/>
  <c r="DR456" i="1"/>
  <c r="DS456" i="1" s="1"/>
  <c r="DO456" i="1"/>
  <c r="DS485" i="1"/>
  <c r="DT485" i="1" s="1"/>
  <c r="DN485" i="1"/>
  <c r="DT489" i="1"/>
  <c r="DR508" i="1"/>
  <c r="DO508" i="1"/>
  <c r="DN508" i="1"/>
  <c r="DS595" i="1"/>
  <c r="DT595" i="1" s="1"/>
  <c r="DS604" i="1"/>
  <c r="DT604" i="1" s="1"/>
  <c r="DT616" i="1"/>
  <c r="EK631" i="2"/>
  <c r="EK623" i="2"/>
  <c r="EK621" i="2"/>
  <c r="EK618" i="2"/>
  <c r="EK629" i="2"/>
  <c r="EK627" i="2"/>
  <c r="EK616" i="2"/>
  <c r="EK613" i="2"/>
  <c r="EK611" i="2"/>
  <c r="EK609" i="2"/>
  <c r="EK607" i="2"/>
  <c r="EK617" i="2"/>
  <c r="EK630" i="2"/>
  <c r="EK626" i="2"/>
  <c r="EK622" i="2"/>
  <c r="EK620" i="2"/>
  <c r="EK628" i="2"/>
  <c r="EK624" i="2"/>
  <c r="EK608" i="2"/>
  <c r="EK605" i="2"/>
  <c r="EK603" i="2"/>
  <c r="EK614" i="2"/>
  <c r="EK612" i="2"/>
  <c r="EK610" i="2"/>
  <c r="EK606" i="2"/>
  <c r="EK604" i="2"/>
  <c r="EK602" i="2"/>
  <c r="EK599" i="2"/>
  <c r="EK584" i="2"/>
  <c r="EK583" i="2"/>
  <c r="EK615" i="2"/>
  <c r="EK592" i="2"/>
  <c r="EK582" i="2"/>
  <c r="EK596" i="2"/>
  <c r="EK593" i="2"/>
  <c r="EK591" i="2"/>
  <c r="EK590" i="2"/>
  <c r="EK595" i="2"/>
  <c r="EK589" i="2"/>
  <c r="EK588" i="2"/>
  <c r="EK578" i="2"/>
  <c r="EK573" i="2"/>
  <c r="EK571" i="2"/>
  <c r="EK569" i="2"/>
  <c r="EK561" i="2"/>
  <c r="EK576" i="2"/>
  <c r="EK567" i="2"/>
  <c r="EK600" i="2"/>
  <c r="EK580" i="2"/>
  <c r="EK597" i="2"/>
  <c r="EK585" i="2"/>
  <c r="EK594" i="2"/>
  <c r="EK587" i="2"/>
  <c r="EK574" i="2"/>
  <c r="EK572" i="2"/>
  <c r="EK570" i="2"/>
  <c r="EK598" i="2"/>
  <c r="EK586" i="2"/>
  <c r="EK581" i="2"/>
  <c r="EK579" i="2"/>
  <c r="EK551" i="2"/>
  <c r="EK548" i="2"/>
  <c r="EK546" i="2"/>
  <c r="EK544" i="2"/>
  <c r="EK566" i="2"/>
  <c r="EK557" i="2"/>
  <c r="EK552" i="2"/>
  <c r="EK540" i="2"/>
  <c r="EK538" i="2"/>
  <c r="EK536" i="2"/>
  <c r="EK534" i="2"/>
  <c r="EK560" i="2"/>
  <c r="EK550" i="2"/>
  <c r="EK575" i="2"/>
  <c r="EK558" i="2"/>
  <c r="EK549" i="2"/>
  <c r="EK547" i="2"/>
  <c r="EK545" i="2"/>
  <c r="EK555" i="2"/>
  <c r="EK539" i="2"/>
  <c r="EK537" i="2"/>
  <c r="EK577" i="2"/>
  <c r="EK553" i="2"/>
  <c r="EK535" i="2"/>
  <c r="EK531" i="2"/>
  <c r="EK563" i="2"/>
  <c r="EK559" i="2"/>
  <c r="EK556" i="2"/>
  <c r="EK543" i="2"/>
  <c r="EK542" i="2"/>
  <c r="EK533" i="2"/>
  <c r="EK528" i="2"/>
  <c r="EK524" i="2"/>
  <c r="EK520" i="2"/>
  <c r="EK516" i="2"/>
  <c r="EK532" i="2"/>
  <c r="EK525" i="2"/>
  <c r="EK511" i="2"/>
  <c r="EK509" i="2"/>
  <c r="EK507" i="2"/>
  <c r="EK541" i="2"/>
  <c r="EK529" i="2"/>
  <c r="EK518" i="2"/>
  <c r="EK526" i="2"/>
  <c r="EK522" i="2"/>
  <c r="EK519" i="2"/>
  <c r="EK515" i="2"/>
  <c r="EK505" i="2"/>
  <c r="EK527" i="2"/>
  <c r="EK523" i="2"/>
  <c r="EK521" i="2"/>
  <c r="EK512" i="2"/>
  <c r="EK510" i="2"/>
  <c r="EK508" i="2"/>
  <c r="EK530" i="2"/>
  <c r="EK496" i="2"/>
  <c r="EK498" i="2"/>
  <c r="EK493" i="2"/>
  <c r="EK501" i="2"/>
  <c r="EK490" i="2"/>
  <c r="EK488" i="2"/>
  <c r="EK468" i="2"/>
  <c r="EK466" i="2"/>
  <c r="EK502" i="2"/>
  <c r="EK499" i="2"/>
  <c r="EK494" i="2"/>
  <c r="EK506" i="2"/>
  <c r="EK503" i="2"/>
  <c r="EK500" i="2"/>
  <c r="EK492" i="2"/>
  <c r="EK486" i="2"/>
  <c r="EK504" i="2"/>
  <c r="EK473" i="2"/>
  <c r="EK460" i="2"/>
  <c r="EK458" i="2"/>
  <c r="EK449" i="2"/>
  <c r="EK469" i="2"/>
  <c r="EK462" i="2"/>
  <c r="EK477" i="2"/>
  <c r="EK472" i="2"/>
  <c r="EK464" i="2"/>
  <c r="EK457" i="2"/>
  <c r="EK455" i="2"/>
  <c r="EK445" i="2"/>
  <c r="EK485" i="2"/>
  <c r="EK482" i="2"/>
  <c r="EK481" i="2"/>
  <c r="EK479" i="2"/>
  <c r="EK475" i="2"/>
  <c r="EK470" i="2"/>
  <c r="EK484" i="2"/>
  <c r="EK483" i="2"/>
  <c r="EK476" i="2"/>
  <c r="EK474" i="2"/>
  <c r="EK471" i="2"/>
  <c r="EK465" i="2"/>
  <c r="EK461" i="2"/>
  <c r="EK459" i="2"/>
  <c r="EK478" i="2"/>
  <c r="EK489" i="2"/>
  <c r="EK513" i="2"/>
  <c r="EK487" i="2"/>
  <c r="EK495" i="2"/>
  <c r="EK480" i="2"/>
  <c r="EK432" i="2"/>
  <c r="EK430" i="2"/>
  <c r="EK424" i="2"/>
  <c r="EK422" i="2"/>
  <c r="EK463" i="2"/>
  <c r="EK447" i="2"/>
  <c r="EK446" i="2"/>
  <c r="EK425" i="2"/>
  <c r="EK452" i="2"/>
  <c r="EK436" i="2"/>
  <c r="EK426" i="2"/>
  <c r="EK418" i="2"/>
  <c r="EK416" i="2"/>
  <c r="EK450" i="2"/>
  <c r="EK437" i="2"/>
  <c r="EK427" i="2"/>
  <c r="EK419" i="2"/>
  <c r="EK440" i="2"/>
  <c r="EK428" i="2"/>
  <c r="EK448" i="2"/>
  <c r="EK433" i="2"/>
  <c r="EK431" i="2"/>
  <c r="EK429" i="2"/>
  <c r="EK423" i="2"/>
  <c r="EK467" i="2"/>
  <c r="EK443" i="2"/>
  <c r="EK434" i="2"/>
  <c r="EK456" i="2"/>
  <c r="EK438" i="2"/>
  <c r="EK411" i="2"/>
  <c r="EK409" i="2"/>
  <c r="EK397" i="2"/>
  <c r="EK385" i="2"/>
  <c r="EK417" i="2"/>
  <c r="EK412" i="2"/>
  <c r="EK390" i="2"/>
  <c r="EK439" i="2"/>
  <c r="EK421" i="2"/>
  <c r="EK413" i="2"/>
  <c r="EK391" i="2"/>
  <c r="EK444" i="2"/>
  <c r="EK404" i="2"/>
  <c r="EK402" i="2"/>
  <c r="EK400" i="2"/>
  <c r="EK392" i="2"/>
  <c r="EK441" i="2"/>
  <c r="EK435" i="2"/>
  <c r="EK420" i="2"/>
  <c r="EK407" i="2"/>
  <c r="EK405" i="2"/>
  <c r="EK395" i="2"/>
  <c r="EK393" i="2"/>
  <c r="EK388" i="2"/>
  <c r="EK386" i="2"/>
  <c r="EK442" i="2"/>
  <c r="EK410" i="2"/>
  <c r="EK408" i="2"/>
  <c r="EK389" i="2"/>
  <c r="EK396" i="2"/>
  <c r="EK379" i="2"/>
  <c r="EK367" i="2"/>
  <c r="EK363" i="2"/>
  <c r="EK403" i="2"/>
  <c r="EK398" i="2"/>
  <c r="EK387" i="2"/>
  <c r="EK383" i="2"/>
  <c r="EK380" i="2"/>
  <c r="EK373" i="2"/>
  <c r="EK360" i="2"/>
  <c r="EK357" i="2"/>
  <c r="EK381" i="2"/>
  <c r="EK375" i="2"/>
  <c r="EK370" i="2"/>
  <c r="EK365" i="2"/>
  <c r="EK359" i="2"/>
  <c r="EK382" i="2"/>
  <c r="EK376" i="2"/>
  <c r="EK355" i="2"/>
  <c r="EK401" i="2"/>
  <c r="EK377" i="2"/>
  <c r="EK406" i="2"/>
  <c r="EK368" i="2"/>
  <c r="EK366" i="2"/>
  <c r="EK415" i="2"/>
  <c r="EK374" i="2"/>
  <c r="EK372" i="2"/>
  <c r="EK414" i="2"/>
  <c r="EK399" i="2"/>
  <c r="EK378" i="2"/>
  <c r="EK339" i="2"/>
  <c r="EK334" i="2"/>
  <c r="EK364" i="2"/>
  <c r="EK353" i="2"/>
  <c r="EK337" i="2"/>
  <c r="EK335" i="2"/>
  <c r="EK352" i="2"/>
  <c r="EK345" i="2"/>
  <c r="EK343" i="2"/>
  <c r="EK394" i="2"/>
  <c r="EK356" i="2"/>
  <c r="EK354" i="2"/>
  <c r="EK351" i="2"/>
  <c r="EK350" i="2"/>
  <c r="EK349" i="2"/>
  <c r="EK344" i="2"/>
  <c r="EK340" i="2"/>
  <c r="EK346" i="2"/>
  <c r="EK326" i="2"/>
  <c r="EK319" i="2"/>
  <c r="EK309" i="2"/>
  <c r="EK328" i="2"/>
  <c r="EK327" i="2"/>
  <c r="EK325" i="2"/>
  <c r="EK324" i="2"/>
  <c r="EK358" i="2"/>
  <c r="EK341" i="2"/>
  <c r="EK323" i="2"/>
  <c r="EK322" i="2"/>
  <c r="EK307" i="2"/>
  <c r="EK348" i="2"/>
  <c r="EK347" i="2"/>
  <c r="EK321" i="2"/>
  <c r="EK332" i="2"/>
  <c r="EK315" i="2"/>
  <c r="EK313" i="2"/>
  <c r="EK342" i="2"/>
  <c r="EK329" i="2"/>
  <c r="EK318" i="2"/>
  <c r="EK336" i="2"/>
  <c r="EK330" i="2"/>
  <c r="EK295" i="2"/>
  <c r="EK289" i="2"/>
  <c r="EK311" i="2"/>
  <c r="EK300" i="2"/>
  <c r="EK362" i="2"/>
  <c r="EK285" i="2"/>
  <c r="EK283" i="2"/>
  <c r="EK281" i="2"/>
  <c r="EK279" i="2"/>
  <c r="EK275" i="2"/>
  <c r="EK338" i="2"/>
  <c r="EK293" i="2"/>
  <c r="EK291" i="2"/>
  <c r="EK305" i="2"/>
  <c r="EK303" i="2"/>
  <c r="EK296" i="2"/>
  <c r="EK314" i="2"/>
  <c r="EK299" i="2"/>
  <c r="EK316" i="2"/>
  <c r="EK290" i="2"/>
  <c r="EK265" i="2"/>
  <c r="EK258" i="2"/>
  <c r="EK256" i="2"/>
  <c r="EK302" i="2"/>
  <c r="EK284" i="2"/>
  <c r="EK274" i="2"/>
  <c r="EK272" i="2"/>
  <c r="EK271" i="2"/>
  <c r="EK254" i="2"/>
  <c r="EK252" i="2"/>
  <c r="EK250" i="2"/>
  <c r="EK248" i="2"/>
  <c r="EK246" i="2"/>
  <c r="EK242" i="2"/>
  <c r="EK240" i="2"/>
  <c r="EK276" i="2"/>
  <c r="EK269" i="2"/>
  <c r="EK263" i="2"/>
  <c r="EK261" i="2"/>
  <c r="EK280" i="2"/>
  <c r="EK259" i="2"/>
  <c r="EK257" i="2"/>
  <c r="EK288" i="2"/>
  <c r="EK278" i="2"/>
  <c r="EK270" i="2"/>
  <c r="EK255" i="2"/>
  <c r="EK253" i="2"/>
  <c r="EK251" i="2"/>
  <c r="EK249" i="2"/>
  <c r="EK247" i="2"/>
  <c r="EK245" i="2"/>
  <c r="EK292" i="2"/>
  <c r="EK282" i="2"/>
  <c r="EK294" i="2"/>
  <c r="EK268" i="2"/>
  <c r="EK267" i="2"/>
  <c r="EK264" i="2"/>
  <c r="EK262" i="2"/>
  <c r="EK260" i="2"/>
  <c r="EK239" i="2"/>
  <c r="EK238" i="2"/>
  <c r="EK214" i="2"/>
  <c r="EK212" i="2"/>
  <c r="EK203" i="2"/>
  <c r="EK201" i="2"/>
  <c r="EK199" i="2"/>
  <c r="EK197" i="2"/>
  <c r="EK195" i="2"/>
  <c r="EK241" i="2"/>
  <c r="EK225" i="2"/>
  <c r="EK266" i="2"/>
  <c r="EK237" i="2"/>
  <c r="EK231" i="2"/>
  <c r="EK222" i="2"/>
  <c r="EK219" i="2"/>
  <c r="EK228" i="2"/>
  <c r="EK244" i="2"/>
  <c r="EK243" i="2"/>
  <c r="EK232" i="2"/>
  <c r="EK227" i="2"/>
  <c r="EK224" i="2"/>
  <c r="EK213" i="2"/>
  <c r="EK204" i="2"/>
  <c r="EK202" i="2"/>
  <c r="EK200" i="2"/>
  <c r="EK198" i="2"/>
  <c r="EK236" i="2"/>
  <c r="EK221" i="2"/>
  <c r="EK216" i="2"/>
  <c r="EK206" i="2"/>
  <c r="EK196" i="2"/>
  <c r="EK168" i="2"/>
  <c r="EK166" i="2"/>
  <c r="EK155" i="2"/>
  <c r="EK158" i="2"/>
  <c r="EK151" i="2"/>
  <c r="EK149" i="2"/>
  <c r="EK147" i="2"/>
  <c r="EK145" i="2"/>
  <c r="EK138" i="2"/>
  <c r="EK220" i="2"/>
  <c r="EK194" i="2"/>
  <c r="EK175" i="2"/>
  <c r="EK173" i="2"/>
  <c r="EK192" i="2"/>
  <c r="EK188" i="2"/>
  <c r="EK186" i="2"/>
  <c r="EK184" i="2"/>
  <c r="EK182" i="2"/>
  <c r="EK180" i="2"/>
  <c r="EK178" i="2"/>
  <c r="EK164" i="2"/>
  <c r="EK162" i="2"/>
  <c r="EK233" i="2"/>
  <c r="EK226" i="2"/>
  <c r="EK193" i="2"/>
  <c r="EK189" i="2"/>
  <c r="EK167" i="2"/>
  <c r="EK165" i="2"/>
  <c r="EK156" i="2"/>
  <c r="EK223" i="2"/>
  <c r="EK191" i="2"/>
  <c r="EK157" i="2"/>
  <c r="EK152" i="2"/>
  <c r="EK150" i="2"/>
  <c r="EK148" i="2"/>
  <c r="EK146" i="2"/>
  <c r="EK137" i="2"/>
  <c r="EK187" i="2"/>
  <c r="EK185" i="2"/>
  <c r="EK183" i="2"/>
  <c r="EK181" i="2"/>
  <c r="EK179" i="2"/>
  <c r="EK177" i="2"/>
  <c r="EK169" i="2"/>
  <c r="EK163" i="2"/>
  <c r="EK161" i="2"/>
  <c r="EK154" i="2"/>
  <c r="EK170" i="2"/>
  <c r="EK143" i="2"/>
  <c r="EK128" i="2"/>
  <c r="EK126" i="2"/>
  <c r="EK102" i="2"/>
  <c r="EK100" i="2"/>
  <c r="EK94" i="2"/>
  <c r="EK92" i="2"/>
  <c r="EK90" i="2"/>
  <c r="EK88" i="2"/>
  <c r="EK86" i="2"/>
  <c r="EK75" i="2"/>
  <c r="EK174" i="2"/>
  <c r="EK131" i="2"/>
  <c r="EK114" i="2"/>
  <c r="EK103" i="2"/>
  <c r="EK84" i="2"/>
  <c r="EK82" i="2"/>
  <c r="EK80" i="2"/>
  <c r="EK78" i="2"/>
  <c r="EK76" i="2"/>
  <c r="EK124" i="2"/>
  <c r="EK122" i="2"/>
  <c r="EK111" i="2"/>
  <c r="EK104" i="2"/>
  <c r="EK134" i="2"/>
  <c r="EK130" i="2"/>
  <c r="EK118" i="2"/>
  <c r="EK109" i="2"/>
  <c r="EK105" i="2"/>
  <c r="EK136" i="2"/>
  <c r="EK119" i="2"/>
  <c r="EK106" i="2"/>
  <c r="EK98" i="2"/>
  <c r="EK172" i="2"/>
  <c r="EK140" i="2"/>
  <c r="EK129" i="2"/>
  <c r="EK127" i="2"/>
  <c r="EK101" i="2"/>
  <c r="EK95" i="2"/>
  <c r="EK91" i="2"/>
  <c r="EK89" i="2"/>
  <c r="EK87" i="2"/>
  <c r="EK74" i="2"/>
  <c r="EK141" i="2"/>
  <c r="EK115" i="2"/>
  <c r="EK113" i="2"/>
  <c r="EK85" i="2"/>
  <c r="EK83" i="2"/>
  <c r="EK81" i="2"/>
  <c r="EK79" i="2"/>
  <c r="EK77" i="2"/>
  <c r="EK71" i="2"/>
  <c r="EK67" i="2"/>
  <c r="EK65" i="2"/>
  <c r="EK63" i="2"/>
  <c r="EK61" i="2"/>
  <c r="EK59" i="2"/>
  <c r="EK133" i="2"/>
  <c r="EK60" i="2"/>
  <c r="EK176" i="2"/>
  <c r="EK54" i="2"/>
  <c r="EK40" i="2"/>
  <c r="EK39" i="2"/>
  <c r="EK142" i="2"/>
  <c r="EK57" i="2"/>
  <c r="EK53" i="2"/>
  <c r="EK33" i="2"/>
  <c r="EK30" i="2"/>
  <c r="EK97" i="2"/>
  <c r="EK73" i="2"/>
  <c r="EK70" i="2"/>
  <c r="EK47" i="2"/>
  <c r="EK46" i="2"/>
  <c r="EK110" i="2"/>
  <c r="EK107" i="2"/>
  <c r="EK93" i="2"/>
  <c r="EK72" i="2"/>
  <c r="EK55" i="2"/>
  <c r="EK37" i="2"/>
  <c r="EK35" i="2"/>
  <c r="EK99" i="2"/>
  <c r="EK69" i="2"/>
  <c r="EK50" i="2"/>
  <c r="EK48" i="2"/>
  <c r="EK45" i="2"/>
  <c r="EK125" i="2"/>
  <c r="EK123" i="2"/>
  <c r="EK121" i="2"/>
  <c r="EK68" i="2"/>
  <c r="EK51" i="2"/>
  <c r="EK38" i="2"/>
  <c r="EK36" i="2"/>
  <c r="EK29" i="2"/>
  <c r="EK25" i="2"/>
  <c r="EK28" i="2"/>
  <c r="EK12" i="2"/>
  <c r="EK6" i="2"/>
  <c r="EK66" i="2"/>
  <c r="EK52" i="2"/>
  <c r="EK43" i="2"/>
  <c r="EK58" i="2"/>
  <c r="EK56" i="2"/>
  <c r="EK17" i="2"/>
  <c r="EK11" i="2"/>
  <c r="EK10" i="2"/>
  <c r="EK5" i="2"/>
  <c r="EK62" i="2"/>
  <c r="EK42" i="2"/>
  <c r="EK24" i="2"/>
  <c r="EK9" i="2"/>
  <c r="EK64" i="2"/>
  <c r="EK49" i="2"/>
  <c r="EK26" i="2"/>
  <c r="EK41" i="2"/>
  <c r="EK132" i="2"/>
  <c r="EK44" i="2"/>
  <c r="EK31" i="2"/>
  <c r="EK13" i="2"/>
  <c r="EK7" i="2"/>
  <c r="FU630" i="2"/>
  <c r="FU628" i="2"/>
  <c r="FU626" i="2"/>
  <c r="FU620" i="2"/>
  <c r="FU631" i="2"/>
  <c r="FU629" i="2"/>
  <c r="FU623" i="2"/>
  <c r="FU619" i="2"/>
  <c r="FU617" i="2"/>
  <c r="FU612" i="2"/>
  <c r="FU610" i="2"/>
  <c r="FU608" i="2"/>
  <c r="FU621" i="2"/>
  <c r="FU627" i="2"/>
  <c r="FU624" i="2"/>
  <c r="FU622" i="2"/>
  <c r="FU609" i="2"/>
  <c r="FU625" i="2"/>
  <c r="FU606" i="2"/>
  <c r="FU604" i="2"/>
  <c r="FU602" i="2"/>
  <c r="FU616" i="2"/>
  <c r="FU614" i="2"/>
  <c r="FU599" i="2"/>
  <c r="FU613" i="2"/>
  <c r="FU607" i="2"/>
  <c r="FU611" i="2"/>
  <c r="FU605" i="2"/>
  <c r="FU603" i="2"/>
  <c r="FU597" i="2"/>
  <c r="FU592" i="2"/>
  <c r="FU591" i="2"/>
  <c r="FU582" i="2"/>
  <c r="FU581" i="2"/>
  <c r="FU577" i="2"/>
  <c r="FU593" i="2"/>
  <c r="FU590" i="2"/>
  <c r="FU589" i="2"/>
  <c r="FU580" i="2"/>
  <c r="FU618" i="2"/>
  <c r="FU600" i="2"/>
  <c r="FU596" i="2"/>
  <c r="FU588" i="2"/>
  <c r="FU587" i="2"/>
  <c r="FU595" i="2"/>
  <c r="FU586" i="2"/>
  <c r="FU585" i="2"/>
  <c r="FU615" i="2"/>
  <c r="FU565" i="2"/>
  <c r="FU583" i="2"/>
  <c r="FU574" i="2"/>
  <c r="FU572" i="2"/>
  <c r="FU570" i="2"/>
  <c r="FU568" i="2"/>
  <c r="FU594" i="2"/>
  <c r="FU551" i="2"/>
  <c r="FU566" i="2"/>
  <c r="FU598" i="2"/>
  <c r="FU584" i="2"/>
  <c r="FU563" i="2"/>
  <c r="FU575" i="2"/>
  <c r="FU573" i="2"/>
  <c r="FU571" i="2"/>
  <c r="FU569" i="2"/>
  <c r="FU561" i="2"/>
  <c r="FU567" i="2"/>
  <c r="FU578" i="2"/>
  <c r="FU562" i="2"/>
  <c r="FU549" i="2"/>
  <c r="FU547" i="2"/>
  <c r="FU545" i="2"/>
  <c r="FU576" i="2"/>
  <c r="FU558" i="2"/>
  <c r="FU555" i="2"/>
  <c r="FU560" i="2"/>
  <c r="FU579" i="2"/>
  <c r="FU559" i="2"/>
  <c r="FU553" i="2"/>
  <c r="FU548" i="2"/>
  <c r="FU546" i="2"/>
  <c r="FU544" i="2"/>
  <c r="FU537" i="2"/>
  <c r="FU541" i="2"/>
  <c r="FU538" i="2"/>
  <c r="FU535" i="2"/>
  <c r="FU539" i="2"/>
  <c r="FU564" i="2"/>
  <c r="FU552" i="2"/>
  <c r="FU550" i="2"/>
  <c r="FU540" i="2"/>
  <c r="FU529" i="2"/>
  <c r="FU527" i="2"/>
  <c r="FU525" i="2"/>
  <c r="FU523" i="2"/>
  <c r="FU556" i="2"/>
  <c r="FU533" i="2"/>
  <c r="FU557" i="2"/>
  <c r="FU543" i="2"/>
  <c r="FU532" i="2"/>
  <c r="FU542" i="2"/>
  <c r="FU518" i="2"/>
  <c r="FU514" i="2"/>
  <c r="FU519" i="2"/>
  <c r="FU515" i="2"/>
  <c r="FU505" i="2"/>
  <c r="FU502" i="2"/>
  <c r="FU500" i="2"/>
  <c r="FU512" i="2"/>
  <c r="FU510" i="2"/>
  <c r="FU508" i="2"/>
  <c r="FU495" i="2"/>
  <c r="FU521" i="2"/>
  <c r="FU513" i="2"/>
  <c r="FU526" i="2"/>
  <c r="FU522" i="2"/>
  <c r="FU536" i="2"/>
  <c r="FU517" i="2"/>
  <c r="FU520" i="2"/>
  <c r="FU516" i="2"/>
  <c r="FU506" i="2"/>
  <c r="FU504" i="2"/>
  <c r="FU503" i="2"/>
  <c r="FU501" i="2"/>
  <c r="FU530" i="2"/>
  <c r="FU534" i="2"/>
  <c r="FU531" i="2"/>
  <c r="FU528" i="2"/>
  <c r="FU524" i="2"/>
  <c r="FU507" i="2"/>
  <c r="FU499" i="2"/>
  <c r="FU492" i="2"/>
  <c r="FU486" i="2"/>
  <c r="FU489" i="2"/>
  <c r="FU487" i="2"/>
  <c r="FU497" i="2"/>
  <c r="FU484" i="2"/>
  <c r="FU482" i="2"/>
  <c r="FU480" i="2"/>
  <c r="FU478" i="2"/>
  <c r="FU476" i="2"/>
  <c r="FU483" i="2"/>
  <c r="FU511" i="2"/>
  <c r="FU474" i="2"/>
  <c r="FU472" i="2"/>
  <c r="FU473" i="2"/>
  <c r="FU464" i="2"/>
  <c r="FU453" i="2"/>
  <c r="FU451" i="2"/>
  <c r="FU447" i="2"/>
  <c r="FU469" i="2"/>
  <c r="FU461" i="2"/>
  <c r="FU459" i="2"/>
  <c r="FU452" i="2"/>
  <c r="FU450" i="2"/>
  <c r="FU448" i="2"/>
  <c r="FU491" i="2"/>
  <c r="FU477" i="2"/>
  <c r="FU465" i="2"/>
  <c r="FU496" i="2"/>
  <c r="FU475" i="2"/>
  <c r="FU470" i="2"/>
  <c r="FU456" i="2"/>
  <c r="FU454" i="2"/>
  <c r="FU509" i="2"/>
  <c r="FU494" i="2"/>
  <c r="FU493" i="2"/>
  <c r="FU479" i="2"/>
  <c r="FU463" i="2"/>
  <c r="FU498" i="2"/>
  <c r="FU490" i="2"/>
  <c r="FU481" i="2"/>
  <c r="FU471" i="2"/>
  <c r="FU467" i="2"/>
  <c r="FU460" i="2"/>
  <c r="FU458" i="2"/>
  <c r="FU488" i="2"/>
  <c r="FU462" i="2"/>
  <c r="FU446" i="2"/>
  <c r="FU440" i="2"/>
  <c r="FU428" i="2"/>
  <c r="FU420" i="2"/>
  <c r="FU455" i="2"/>
  <c r="FU433" i="2"/>
  <c r="FU431" i="2"/>
  <c r="FU429" i="2"/>
  <c r="FU423" i="2"/>
  <c r="FU421" i="2"/>
  <c r="FU466" i="2"/>
  <c r="FU434" i="2"/>
  <c r="FU414" i="2"/>
  <c r="FU468" i="2"/>
  <c r="FU443" i="2"/>
  <c r="FU435" i="2"/>
  <c r="FU417" i="2"/>
  <c r="FU445" i="2"/>
  <c r="FU438" i="2"/>
  <c r="FU457" i="2"/>
  <c r="FU442" i="2"/>
  <c r="FU441" i="2"/>
  <c r="FU439" i="2"/>
  <c r="FU449" i="2"/>
  <c r="FU432" i="2"/>
  <c r="FU430" i="2"/>
  <c r="FU424" i="2"/>
  <c r="FU422" i="2"/>
  <c r="FU413" i="2"/>
  <c r="FU407" i="2"/>
  <c r="FU405" i="2"/>
  <c r="FU395" i="2"/>
  <c r="FU393" i="2"/>
  <c r="FU388" i="2"/>
  <c r="FU386" i="2"/>
  <c r="FU436" i="2"/>
  <c r="FU418" i="2"/>
  <c r="FU410" i="2"/>
  <c r="FU408" i="2"/>
  <c r="FU389" i="2"/>
  <c r="FU383" i="2"/>
  <c r="FU381" i="2"/>
  <c r="FU427" i="2"/>
  <c r="FU425" i="2"/>
  <c r="FU419" i="2"/>
  <c r="FU403" i="2"/>
  <c r="FU401" i="2"/>
  <c r="FU399" i="2"/>
  <c r="FU384" i="2"/>
  <c r="FU406" i="2"/>
  <c r="FU396" i="2"/>
  <c r="FU394" i="2"/>
  <c r="FU387" i="2"/>
  <c r="FU415" i="2"/>
  <c r="FU411" i="2"/>
  <c r="FU409" i="2"/>
  <c r="FU397" i="2"/>
  <c r="FU385" i="2"/>
  <c r="FU390" i="2"/>
  <c r="FU382" i="2"/>
  <c r="FU377" i="2"/>
  <c r="FU361" i="2"/>
  <c r="FU416" i="2"/>
  <c r="FU402" i="2"/>
  <c r="FU371" i="2"/>
  <c r="FU368" i="2"/>
  <c r="FU366" i="2"/>
  <c r="FU374" i="2"/>
  <c r="FU372" i="2"/>
  <c r="FU369" i="2"/>
  <c r="FU362" i="2"/>
  <c r="FU400" i="2"/>
  <c r="FU356" i="2"/>
  <c r="FU378" i="2"/>
  <c r="FU364" i="2"/>
  <c r="FU412" i="2"/>
  <c r="FU392" i="2"/>
  <c r="FU379" i="2"/>
  <c r="FU367" i="2"/>
  <c r="FU363" i="2"/>
  <c r="FU358" i="2"/>
  <c r="FU437" i="2"/>
  <c r="FU426" i="2"/>
  <c r="FU404" i="2"/>
  <c r="FU375" i="2"/>
  <c r="FU370" i="2"/>
  <c r="FU373" i="2"/>
  <c r="FU352" i="2"/>
  <c r="FU331" i="2"/>
  <c r="FU380" i="2"/>
  <c r="FU353" i="2"/>
  <c r="FU345" i="2"/>
  <c r="FU330" i="2"/>
  <c r="FU328" i="2"/>
  <c r="FU326" i="2"/>
  <c r="FU357" i="2"/>
  <c r="FU351" i="2"/>
  <c r="FU350" i="2"/>
  <c r="FU344" i="2"/>
  <c r="FU340" i="2"/>
  <c r="FU333" i="2"/>
  <c r="FU360" i="2"/>
  <c r="FU341" i="2"/>
  <c r="FU338" i="2"/>
  <c r="FU336" i="2"/>
  <c r="FU354" i="2"/>
  <c r="FU349" i="2"/>
  <c r="FU348" i="2"/>
  <c r="FU342" i="2"/>
  <c r="FU347" i="2"/>
  <c r="FU346" i="2"/>
  <c r="FU391" i="2"/>
  <c r="FU376" i="2"/>
  <c r="FU343" i="2"/>
  <c r="FU339" i="2"/>
  <c r="FU334" i="2"/>
  <c r="FU307" i="2"/>
  <c r="FU323" i="2"/>
  <c r="FU322" i="2"/>
  <c r="FU315" i="2"/>
  <c r="FU313" i="2"/>
  <c r="FU305" i="2"/>
  <c r="FU321" i="2"/>
  <c r="FU320" i="2"/>
  <c r="FU318" i="2"/>
  <c r="FU311" i="2"/>
  <c r="FU355" i="2"/>
  <c r="FU329" i="2"/>
  <c r="FU332" i="2"/>
  <c r="FU319" i="2"/>
  <c r="FU309" i="2"/>
  <c r="FU365" i="2"/>
  <c r="FU316" i="2"/>
  <c r="FU325" i="2"/>
  <c r="FU314" i="2"/>
  <c r="FU297" i="2"/>
  <c r="FU293" i="2"/>
  <c r="FU291" i="2"/>
  <c r="FU272" i="2"/>
  <c r="FU303" i="2"/>
  <c r="FU296" i="2"/>
  <c r="FU273" i="2"/>
  <c r="FU270" i="2"/>
  <c r="FU268" i="2"/>
  <c r="FU266" i="2"/>
  <c r="FU264" i="2"/>
  <c r="FU302" i="2"/>
  <c r="FU284" i="2"/>
  <c r="FU282" i="2"/>
  <c r="FU280" i="2"/>
  <c r="FU278" i="2"/>
  <c r="FU327" i="2"/>
  <c r="FU304" i="2"/>
  <c r="FU299" i="2"/>
  <c r="FU335" i="2"/>
  <c r="FU317" i="2"/>
  <c r="FU310" i="2"/>
  <c r="FU306" i="2"/>
  <c r="FU294" i="2"/>
  <c r="FU292" i="2"/>
  <c r="FU290" i="2"/>
  <c r="FU288" i="2"/>
  <c r="FU295" i="2"/>
  <c r="FU289" i="2"/>
  <c r="FU324" i="2"/>
  <c r="FU285" i="2"/>
  <c r="FU283" i="2"/>
  <c r="FU281" i="2"/>
  <c r="FU279" i="2"/>
  <c r="FU312" i="2"/>
  <c r="FU277" i="2"/>
  <c r="FU275" i="2"/>
  <c r="FU271" i="2"/>
  <c r="FU263" i="2"/>
  <c r="FU261" i="2"/>
  <c r="FU233" i="2"/>
  <c r="FU274" i="2"/>
  <c r="FU259" i="2"/>
  <c r="FU257" i="2"/>
  <c r="FU255" i="2"/>
  <c r="FU253" i="2"/>
  <c r="FU251" i="2"/>
  <c r="FU249" i="2"/>
  <c r="FU247" i="2"/>
  <c r="FU245" i="2"/>
  <c r="FU269" i="2"/>
  <c r="FU243" i="2"/>
  <c r="FU241" i="2"/>
  <c r="FU239" i="2"/>
  <c r="FU237" i="2"/>
  <c r="FU262" i="2"/>
  <c r="FU260" i="2"/>
  <c r="FU337" i="2"/>
  <c r="FU308" i="2"/>
  <c r="FU276" i="2"/>
  <c r="FU267" i="2"/>
  <c r="FU258" i="2"/>
  <c r="FU256" i="2"/>
  <c r="FU300" i="2"/>
  <c r="FU254" i="2"/>
  <c r="FU250" i="2"/>
  <c r="FU246" i="2"/>
  <c r="FU236" i="2"/>
  <c r="FU222" i="2"/>
  <c r="FU219" i="2"/>
  <c r="FU218" i="2"/>
  <c r="FU208" i="2"/>
  <c r="FU230" i="2"/>
  <c r="FU217" i="2"/>
  <c r="FU209" i="2"/>
  <c r="FU231" i="2"/>
  <c r="FU224" i="2"/>
  <c r="FU213" i="2"/>
  <c r="FU204" i="2"/>
  <c r="FU202" i="2"/>
  <c r="FU200" i="2"/>
  <c r="FU198" i="2"/>
  <c r="FU196" i="2"/>
  <c r="FU194" i="2"/>
  <c r="FU192" i="2"/>
  <c r="FU188" i="2"/>
  <c r="FU238" i="2"/>
  <c r="FU229" i="2"/>
  <c r="FU227" i="2"/>
  <c r="FU223" i="2"/>
  <c r="FU205" i="2"/>
  <c r="FU220" i="2"/>
  <c r="FU211" i="2"/>
  <c r="FU206" i="2"/>
  <c r="FU252" i="2"/>
  <c r="FU248" i="2"/>
  <c r="FU240" i="2"/>
  <c r="FU228" i="2"/>
  <c r="FU226" i="2"/>
  <c r="FU221" i="2"/>
  <c r="FU216" i="2"/>
  <c r="FU207" i="2"/>
  <c r="FU234" i="2"/>
  <c r="FU232" i="2"/>
  <c r="FU215" i="2"/>
  <c r="FU265" i="2"/>
  <c r="FU242" i="2"/>
  <c r="FU235" i="2"/>
  <c r="FU244" i="2"/>
  <c r="FU225" i="2"/>
  <c r="FU186" i="2"/>
  <c r="FU184" i="2"/>
  <c r="FU182" i="2"/>
  <c r="FU180" i="2"/>
  <c r="FU178" i="2"/>
  <c r="FU164" i="2"/>
  <c r="FU162" i="2"/>
  <c r="FU160" i="2"/>
  <c r="FU203" i="2"/>
  <c r="FU199" i="2"/>
  <c r="FU167" i="2"/>
  <c r="FU165" i="2"/>
  <c r="FU156" i="2"/>
  <c r="FU143" i="2"/>
  <c r="FU141" i="2"/>
  <c r="FU139" i="2"/>
  <c r="FU193" i="2"/>
  <c r="FU189" i="2"/>
  <c r="FU157" i="2"/>
  <c r="FU152" i="2"/>
  <c r="FU150" i="2"/>
  <c r="FU148" i="2"/>
  <c r="FU146" i="2"/>
  <c r="FU137" i="2"/>
  <c r="FU191" i="2"/>
  <c r="FU176" i="2"/>
  <c r="FU174" i="2"/>
  <c r="FU172" i="2"/>
  <c r="FU170" i="2"/>
  <c r="FU153" i="2"/>
  <c r="FU144" i="2"/>
  <c r="FU133" i="2"/>
  <c r="FU187" i="2"/>
  <c r="FU185" i="2"/>
  <c r="FU183" i="2"/>
  <c r="FU181" i="2"/>
  <c r="FU179" i="2"/>
  <c r="FU177" i="2"/>
  <c r="FU169" i="2"/>
  <c r="FU163" i="2"/>
  <c r="FU161" i="2"/>
  <c r="FU154" i="2"/>
  <c r="FU212" i="2"/>
  <c r="FU195" i="2"/>
  <c r="FU168" i="2"/>
  <c r="FU166" i="2"/>
  <c r="FU155" i="2"/>
  <c r="FU142" i="2"/>
  <c r="FU140" i="2"/>
  <c r="FU197" i="2"/>
  <c r="FU190" i="2"/>
  <c r="FU214" i="2"/>
  <c r="FU201" i="2"/>
  <c r="FU175" i="2"/>
  <c r="FU173" i="2"/>
  <c r="FU171" i="2"/>
  <c r="FU130" i="2"/>
  <c r="FU119" i="2"/>
  <c r="FU106" i="2"/>
  <c r="FU98" i="2"/>
  <c r="FU134" i="2"/>
  <c r="FU127" i="2"/>
  <c r="FU112" i="2"/>
  <c r="FU101" i="2"/>
  <c r="FU95" i="2"/>
  <c r="FU91" i="2"/>
  <c r="FU89" i="2"/>
  <c r="FU87" i="2"/>
  <c r="FU115" i="2"/>
  <c r="FU113" i="2"/>
  <c r="FU85" i="2"/>
  <c r="FU83" i="2"/>
  <c r="FU81" i="2"/>
  <c r="FU79" i="2"/>
  <c r="FU77" i="2"/>
  <c r="FU129" i="2"/>
  <c r="FU125" i="2"/>
  <c r="FU123" i="2"/>
  <c r="FU121" i="2"/>
  <c r="FU136" i="2"/>
  <c r="FU110" i="2"/>
  <c r="FU96" i="2"/>
  <c r="FU151" i="2"/>
  <c r="FU138" i="2"/>
  <c r="FU107" i="2"/>
  <c r="FU99" i="2"/>
  <c r="FU97" i="2"/>
  <c r="FU93" i="2"/>
  <c r="FU149" i="2"/>
  <c r="FU132" i="2"/>
  <c r="FU128" i="2"/>
  <c r="FU126" i="2"/>
  <c r="FU102" i="2"/>
  <c r="FU100" i="2"/>
  <c r="FU94" i="2"/>
  <c r="FU92" i="2"/>
  <c r="FU90" i="2"/>
  <c r="FU88" i="2"/>
  <c r="FU86" i="2"/>
  <c r="FU75" i="2"/>
  <c r="FU158" i="2"/>
  <c r="FU74" i="2"/>
  <c r="FU55" i="2"/>
  <c r="FU37" i="2"/>
  <c r="FU35" i="2"/>
  <c r="FU111" i="2"/>
  <c r="FU73" i="2"/>
  <c r="FU70" i="2"/>
  <c r="FU50" i="2"/>
  <c r="FU48" i="2"/>
  <c r="FU45" i="2"/>
  <c r="FU145" i="2"/>
  <c r="FU103" i="2"/>
  <c r="FU80" i="2"/>
  <c r="FU72" i="2"/>
  <c r="FU69" i="2"/>
  <c r="FU51" i="2"/>
  <c r="FU38" i="2"/>
  <c r="FU36" i="2"/>
  <c r="FU28" i="2"/>
  <c r="FU120" i="2"/>
  <c r="FU114" i="2"/>
  <c r="FU135" i="2"/>
  <c r="FU109" i="2"/>
  <c r="FU68" i="2"/>
  <c r="FU58" i="2"/>
  <c r="FU56" i="2"/>
  <c r="FU49" i="2"/>
  <c r="FU44" i="2"/>
  <c r="FU43" i="2"/>
  <c r="FU42" i="2"/>
  <c r="FU41" i="2"/>
  <c r="FU124" i="2"/>
  <c r="FU122" i="2"/>
  <c r="FU105" i="2"/>
  <c r="FU82" i="2"/>
  <c r="FU76" i="2"/>
  <c r="FU67" i="2"/>
  <c r="FU66" i="2"/>
  <c r="FU52" i="2"/>
  <c r="FU159" i="2"/>
  <c r="FU118" i="2"/>
  <c r="FU65" i="2"/>
  <c r="FU64" i="2"/>
  <c r="FU34" i="2"/>
  <c r="FU78" i="2"/>
  <c r="FU62" i="2"/>
  <c r="FU29" i="2"/>
  <c r="FU15" i="2"/>
  <c r="FU57" i="2"/>
  <c r="FU53" i="2"/>
  <c r="FU24" i="2"/>
  <c r="FU9" i="2"/>
  <c r="FU84" i="2"/>
  <c r="FU46" i="2"/>
  <c r="FU39" i="2"/>
  <c r="FU33" i="2"/>
  <c r="FU147" i="2"/>
  <c r="FU131" i="2"/>
  <c r="FU61" i="2"/>
  <c r="FU23" i="2"/>
  <c r="FU22" i="2"/>
  <c r="FU21" i="2"/>
  <c r="FU19" i="2"/>
  <c r="FU18" i="2"/>
  <c r="FU14" i="2"/>
  <c r="FU8" i="2"/>
  <c r="FU26" i="2"/>
  <c r="FU20" i="2"/>
  <c r="FU104" i="2"/>
  <c r="FU54" i="2"/>
  <c r="FU27" i="2"/>
  <c r="FU13" i="2"/>
  <c r="FU7" i="2"/>
  <c r="FU60" i="2"/>
  <c r="FU63" i="2"/>
  <c r="FU47" i="2"/>
  <c r="FU40" i="2"/>
  <c r="FU31" i="2"/>
  <c r="FU30" i="2"/>
  <c r="FU25" i="2"/>
  <c r="FU59" i="2"/>
  <c r="FU32" i="2"/>
  <c r="FU17" i="2"/>
  <c r="FU16" i="2"/>
  <c r="FU11" i="2"/>
  <c r="FU10" i="2"/>
  <c r="FU5" i="2"/>
  <c r="GH630" i="2"/>
  <c r="GH628" i="2"/>
  <c r="GH626" i="2"/>
  <c r="GH620" i="2"/>
  <c r="GH624" i="2"/>
  <c r="GH631" i="2"/>
  <c r="GH623" i="2"/>
  <c r="GH621" i="2"/>
  <c r="GH618" i="2"/>
  <c r="GH619" i="2"/>
  <c r="GH629" i="2"/>
  <c r="GH617" i="2"/>
  <c r="GH627" i="2"/>
  <c r="GH622" i="2"/>
  <c r="GH610" i="2"/>
  <c r="GH606" i="2"/>
  <c r="GH599" i="2"/>
  <c r="GH609" i="2"/>
  <c r="GH615" i="2"/>
  <c r="GH614" i="2"/>
  <c r="GH608" i="2"/>
  <c r="GH605" i="2"/>
  <c r="GH603" i="2"/>
  <c r="GH616" i="2"/>
  <c r="GH607" i="2"/>
  <c r="GH600" i="2"/>
  <c r="GH625" i="2"/>
  <c r="GH613" i="2"/>
  <c r="GH612" i="2"/>
  <c r="GH611" i="2"/>
  <c r="GH594" i="2"/>
  <c r="GH590" i="2"/>
  <c r="GH580" i="2"/>
  <c r="GH597" i="2"/>
  <c r="GH589" i="2"/>
  <c r="GH602" i="2"/>
  <c r="GH588" i="2"/>
  <c r="GH593" i="2"/>
  <c r="GH587" i="2"/>
  <c r="GH596" i="2"/>
  <c r="GH586" i="2"/>
  <c r="GH585" i="2"/>
  <c r="GH584" i="2"/>
  <c r="GH604" i="2"/>
  <c r="GH598" i="2"/>
  <c r="GH566" i="2"/>
  <c r="GH575" i="2"/>
  <c r="GH591" i="2"/>
  <c r="GH581" i="2"/>
  <c r="GH573" i="2"/>
  <c r="GH571" i="2"/>
  <c r="GH569" i="2"/>
  <c r="GH583" i="2"/>
  <c r="GH567" i="2"/>
  <c r="GH595" i="2"/>
  <c r="GH578" i="2"/>
  <c r="GH576" i="2"/>
  <c r="GH577" i="2"/>
  <c r="GH562" i="2"/>
  <c r="GH592" i="2"/>
  <c r="GH582" i="2"/>
  <c r="GH579" i="2"/>
  <c r="GH570" i="2"/>
  <c r="GH558" i="2"/>
  <c r="GH574" i="2"/>
  <c r="GH568" i="2"/>
  <c r="GH563" i="2"/>
  <c r="GH555" i="2"/>
  <c r="GH548" i="2"/>
  <c r="GH546" i="2"/>
  <c r="GH553" i="2"/>
  <c r="GH540" i="2"/>
  <c r="GH538" i="2"/>
  <c r="GH536" i="2"/>
  <c r="GH565" i="2"/>
  <c r="GH559" i="2"/>
  <c r="GH561" i="2"/>
  <c r="GH556" i="2"/>
  <c r="GH552" i="2"/>
  <c r="GH542" i="2"/>
  <c r="GH572" i="2"/>
  <c r="GH564" i="2"/>
  <c r="GH545" i="2"/>
  <c r="GH557" i="2"/>
  <c r="GH544" i="2"/>
  <c r="GH535" i="2"/>
  <c r="GH547" i="2"/>
  <c r="GH541" i="2"/>
  <c r="GH537" i="2"/>
  <c r="GH532" i="2"/>
  <c r="GH549" i="2"/>
  <c r="GH539" i="2"/>
  <c r="GH533" i="2"/>
  <c r="GH530" i="2"/>
  <c r="GH528" i="2"/>
  <c r="GH550" i="2"/>
  <c r="GH525" i="2"/>
  <c r="GH513" i="2"/>
  <c r="GH551" i="2"/>
  <c r="GH529" i="2"/>
  <c r="GH521" i="2"/>
  <c r="GH517" i="2"/>
  <c r="GH534" i="2"/>
  <c r="GH526" i="2"/>
  <c r="GH522" i="2"/>
  <c r="GH520" i="2"/>
  <c r="GH516" i="2"/>
  <c r="GH511" i="2"/>
  <c r="GH509" i="2"/>
  <c r="GH507" i="2"/>
  <c r="GH527" i="2"/>
  <c r="GH523" i="2"/>
  <c r="GH531" i="2"/>
  <c r="GH543" i="2"/>
  <c r="GH499" i="2"/>
  <c r="GH489" i="2"/>
  <c r="GH487" i="2"/>
  <c r="GH515" i="2"/>
  <c r="GH484" i="2"/>
  <c r="GH482" i="2"/>
  <c r="GH480" i="2"/>
  <c r="GH519" i="2"/>
  <c r="GH506" i="2"/>
  <c r="GH503" i="2"/>
  <c r="GH497" i="2"/>
  <c r="GH485" i="2"/>
  <c r="GH483" i="2"/>
  <c r="GH518" i="2"/>
  <c r="GH512" i="2"/>
  <c r="GH493" i="2"/>
  <c r="GH491" i="2"/>
  <c r="GH470" i="2"/>
  <c r="GH505" i="2"/>
  <c r="GH496" i="2"/>
  <c r="GH490" i="2"/>
  <c r="GH488" i="2"/>
  <c r="GH524" i="2"/>
  <c r="GH510" i="2"/>
  <c r="GH502" i="2"/>
  <c r="GH501" i="2"/>
  <c r="GH500" i="2"/>
  <c r="GH495" i="2"/>
  <c r="GH494" i="2"/>
  <c r="GH481" i="2"/>
  <c r="GH479" i="2"/>
  <c r="GH477" i="2"/>
  <c r="GH465" i="2"/>
  <c r="GH456" i="2"/>
  <c r="GH454" i="2"/>
  <c r="GH498" i="2"/>
  <c r="GH486" i="2"/>
  <c r="GH475" i="2"/>
  <c r="GH469" i="2"/>
  <c r="GH463" i="2"/>
  <c r="GH460" i="2"/>
  <c r="GH458" i="2"/>
  <c r="GH504" i="2"/>
  <c r="GH472" i="2"/>
  <c r="GH471" i="2"/>
  <c r="GH467" i="2"/>
  <c r="GH466" i="2"/>
  <c r="GH457" i="2"/>
  <c r="GH514" i="2"/>
  <c r="GH462" i="2"/>
  <c r="GH508" i="2"/>
  <c r="GH492" i="2"/>
  <c r="GH473" i="2"/>
  <c r="GH453" i="2"/>
  <c r="GH451" i="2"/>
  <c r="GH450" i="2"/>
  <c r="GH435" i="2"/>
  <c r="GH452" i="2"/>
  <c r="GH443" i="2"/>
  <c r="GH438" i="2"/>
  <c r="GH474" i="2"/>
  <c r="GH445" i="2"/>
  <c r="GH442" i="2"/>
  <c r="GH441" i="2"/>
  <c r="GH439" i="2"/>
  <c r="GH476" i="2"/>
  <c r="GH447" i="2"/>
  <c r="GH432" i="2"/>
  <c r="GH430" i="2"/>
  <c r="GH424" i="2"/>
  <c r="GH422" i="2"/>
  <c r="GH478" i="2"/>
  <c r="GH455" i="2"/>
  <c r="GH425" i="2"/>
  <c r="GH461" i="2"/>
  <c r="GH436" i="2"/>
  <c r="GH426" i="2"/>
  <c r="GH449" i="2"/>
  <c r="GH437" i="2"/>
  <c r="GH427" i="2"/>
  <c r="GH440" i="2"/>
  <c r="GH464" i="2"/>
  <c r="GH468" i="2"/>
  <c r="GH459" i="2"/>
  <c r="GH448" i="2"/>
  <c r="GH433" i="2"/>
  <c r="GH418" i="2"/>
  <c r="GH403" i="2"/>
  <c r="GH401" i="2"/>
  <c r="GH399" i="2"/>
  <c r="GH446" i="2"/>
  <c r="GH429" i="2"/>
  <c r="GH406" i="2"/>
  <c r="GH396" i="2"/>
  <c r="GH394" i="2"/>
  <c r="GH387" i="2"/>
  <c r="GH419" i="2"/>
  <c r="GH411" i="2"/>
  <c r="GH409" i="2"/>
  <c r="GH397" i="2"/>
  <c r="GH428" i="2"/>
  <c r="GH417" i="2"/>
  <c r="GH412" i="2"/>
  <c r="GH390" i="2"/>
  <c r="GH415" i="2"/>
  <c r="GH414" i="2"/>
  <c r="GH391" i="2"/>
  <c r="GH431" i="2"/>
  <c r="GH404" i="2"/>
  <c r="GH402" i="2"/>
  <c r="GH400" i="2"/>
  <c r="GH392" i="2"/>
  <c r="GH369" i="2"/>
  <c r="GH362" i="2"/>
  <c r="GH423" i="2"/>
  <c r="GH393" i="2"/>
  <c r="GH383" i="2"/>
  <c r="GH356" i="2"/>
  <c r="GH354" i="2"/>
  <c r="GH410" i="2"/>
  <c r="GH408" i="2"/>
  <c r="GH395" i="2"/>
  <c r="GH378" i="2"/>
  <c r="GH364" i="2"/>
  <c r="GH384" i="2"/>
  <c r="GH379" i="2"/>
  <c r="GH367" i="2"/>
  <c r="GH363" i="2"/>
  <c r="GH358" i="2"/>
  <c r="GH386" i="2"/>
  <c r="GH380" i="2"/>
  <c r="GH373" i="2"/>
  <c r="GH360" i="2"/>
  <c r="GH357" i="2"/>
  <c r="GH389" i="2"/>
  <c r="GH375" i="2"/>
  <c r="GH370" i="2"/>
  <c r="GH365" i="2"/>
  <c r="GH416" i="2"/>
  <c r="GH407" i="2"/>
  <c r="GH388" i="2"/>
  <c r="GH376" i="2"/>
  <c r="GH355" i="2"/>
  <c r="GH434" i="2"/>
  <c r="GH420" i="2"/>
  <c r="GH405" i="2"/>
  <c r="GH382" i="2"/>
  <c r="GH371" i="2"/>
  <c r="GH421" i="2"/>
  <c r="GH413" i="2"/>
  <c r="GH353" i="2"/>
  <c r="GH351" i="2"/>
  <c r="GH345" i="2"/>
  <c r="GH344" i="2"/>
  <c r="GH341" i="2"/>
  <c r="GH338" i="2"/>
  <c r="GH336" i="2"/>
  <c r="GH361" i="2"/>
  <c r="GH350" i="2"/>
  <c r="GH342" i="2"/>
  <c r="GH385" i="2"/>
  <c r="GH349" i="2"/>
  <c r="GH332" i="2"/>
  <c r="GH377" i="2"/>
  <c r="GH348" i="2"/>
  <c r="GH347" i="2"/>
  <c r="GH339" i="2"/>
  <c r="GH372" i="2"/>
  <c r="GH368" i="2"/>
  <c r="GH346" i="2"/>
  <c r="GH381" i="2"/>
  <c r="GH366" i="2"/>
  <c r="GH343" i="2"/>
  <c r="GH352" i="2"/>
  <c r="GH340" i="2"/>
  <c r="GH374" i="2"/>
  <c r="GH322" i="2"/>
  <c r="GH318" i="2"/>
  <c r="GH328" i="2"/>
  <c r="GH321" i="2"/>
  <c r="GH334" i="2"/>
  <c r="GH320" i="2"/>
  <c r="GH337" i="2"/>
  <c r="GH335" i="2"/>
  <c r="GH319" i="2"/>
  <c r="GH329" i="2"/>
  <c r="GH316" i="2"/>
  <c r="GH314" i="2"/>
  <c r="GH312" i="2"/>
  <c r="GH317" i="2"/>
  <c r="GH310" i="2"/>
  <c r="GH306" i="2"/>
  <c r="GH327" i="2"/>
  <c r="GH326" i="2"/>
  <c r="GH325" i="2"/>
  <c r="GH331" i="2"/>
  <c r="GH323" i="2"/>
  <c r="GH302" i="2"/>
  <c r="GH298" i="2"/>
  <c r="GH284" i="2"/>
  <c r="GH282" i="2"/>
  <c r="GH280" i="2"/>
  <c r="GH278" i="2"/>
  <c r="GH277" i="2"/>
  <c r="GH276" i="2"/>
  <c r="GH274" i="2"/>
  <c r="GH304" i="2"/>
  <c r="GH299" i="2"/>
  <c r="GH313" i="2"/>
  <c r="GH294" i="2"/>
  <c r="GH292" i="2"/>
  <c r="GH290" i="2"/>
  <c r="GH288" i="2"/>
  <c r="GH330" i="2"/>
  <c r="GH324" i="2"/>
  <c r="GH295" i="2"/>
  <c r="GH289" i="2"/>
  <c r="GH300" i="2"/>
  <c r="GH307" i="2"/>
  <c r="GH305" i="2"/>
  <c r="GH285" i="2"/>
  <c r="GH283" i="2"/>
  <c r="GH281" i="2"/>
  <c r="GH279" i="2"/>
  <c r="GH308" i="2"/>
  <c r="GH303" i="2"/>
  <c r="GH296" i="2"/>
  <c r="GH309" i="2"/>
  <c r="GH275" i="2"/>
  <c r="GH243" i="2"/>
  <c r="GH315" i="2"/>
  <c r="GH301" i="2"/>
  <c r="GH291" i="2"/>
  <c r="GH293" i="2"/>
  <c r="GH269" i="2"/>
  <c r="GH262" i="2"/>
  <c r="GH260" i="2"/>
  <c r="GH234" i="2"/>
  <c r="GH311" i="2"/>
  <c r="GH258" i="2"/>
  <c r="GH256" i="2"/>
  <c r="GH273" i="2"/>
  <c r="GH272" i="2"/>
  <c r="GH254" i="2"/>
  <c r="GH252" i="2"/>
  <c r="GH250" i="2"/>
  <c r="GH248" i="2"/>
  <c r="GH246" i="2"/>
  <c r="GH244" i="2"/>
  <c r="GH267" i="2"/>
  <c r="GH266" i="2"/>
  <c r="GH265" i="2"/>
  <c r="GH333" i="2"/>
  <c r="GH297" i="2"/>
  <c r="GH270" i="2"/>
  <c r="GH264" i="2"/>
  <c r="GH271" i="2"/>
  <c r="GH268" i="2"/>
  <c r="GH255" i="2"/>
  <c r="GH253" i="2"/>
  <c r="GH251" i="2"/>
  <c r="GH249" i="2"/>
  <c r="GH247" i="2"/>
  <c r="GH236" i="2"/>
  <c r="GH223" i="2"/>
  <c r="GH205" i="2"/>
  <c r="GH263" i="2"/>
  <c r="GH259" i="2"/>
  <c r="GH220" i="2"/>
  <c r="GH211" i="2"/>
  <c r="GH206" i="2"/>
  <c r="GH231" i="2"/>
  <c r="GH227" i="2"/>
  <c r="GH221" i="2"/>
  <c r="GH216" i="2"/>
  <c r="GH207" i="2"/>
  <c r="GH261" i="2"/>
  <c r="GH226" i="2"/>
  <c r="GH215" i="2"/>
  <c r="GH238" i="2"/>
  <c r="GH228" i="2"/>
  <c r="GH214" i="2"/>
  <c r="GH212" i="2"/>
  <c r="GH203" i="2"/>
  <c r="GH201" i="2"/>
  <c r="GH199" i="2"/>
  <c r="GH197" i="2"/>
  <c r="GH195" i="2"/>
  <c r="GH239" i="2"/>
  <c r="GH237" i="2"/>
  <c r="GH232" i="2"/>
  <c r="GH245" i="2"/>
  <c r="GH240" i="2"/>
  <c r="GH235" i="2"/>
  <c r="GH241" i="2"/>
  <c r="GH242" i="2"/>
  <c r="GH257" i="2"/>
  <c r="GH224" i="2"/>
  <c r="GH213" i="2"/>
  <c r="GH210" i="2"/>
  <c r="GH204" i="2"/>
  <c r="GH202" i="2"/>
  <c r="GH193" i="2"/>
  <c r="GH189" i="2"/>
  <c r="GH194" i="2"/>
  <c r="GH192" i="2"/>
  <c r="GH191" i="2"/>
  <c r="GH188" i="2"/>
  <c r="GH176" i="2"/>
  <c r="GH174" i="2"/>
  <c r="GH172" i="2"/>
  <c r="GH170" i="2"/>
  <c r="GH153" i="2"/>
  <c r="GH144" i="2"/>
  <c r="GH222" i="2"/>
  <c r="GH196" i="2"/>
  <c r="GH187" i="2"/>
  <c r="GH185" i="2"/>
  <c r="GH183" i="2"/>
  <c r="GH181" i="2"/>
  <c r="GH179" i="2"/>
  <c r="GH177" i="2"/>
  <c r="GH169" i="2"/>
  <c r="GH163" i="2"/>
  <c r="GH161" i="2"/>
  <c r="GH154" i="2"/>
  <c r="GH168" i="2"/>
  <c r="GH166" i="2"/>
  <c r="GH155" i="2"/>
  <c r="GH158" i="2"/>
  <c r="GH151" i="2"/>
  <c r="GH149" i="2"/>
  <c r="GH147" i="2"/>
  <c r="GH145" i="2"/>
  <c r="GH138" i="2"/>
  <c r="GH136" i="2"/>
  <c r="GH209" i="2"/>
  <c r="GH190" i="2"/>
  <c r="GH159" i="2"/>
  <c r="GH219" i="2"/>
  <c r="GH200" i="2"/>
  <c r="GH175" i="2"/>
  <c r="GH173" i="2"/>
  <c r="GH171" i="2"/>
  <c r="GH134" i="2"/>
  <c r="GH132" i="2"/>
  <c r="GH130" i="2"/>
  <c r="GH186" i="2"/>
  <c r="GH184" i="2"/>
  <c r="GH182" i="2"/>
  <c r="GH180" i="2"/>
  <c r="GH233" i="2"/>
  <c r="GH225" i="2"/>
  <c r="GH218" i="2"/>
  <c r="GH217" i="2"/>
  <c r="GH198" i="2"/>
  <c r="GH157" i="2"/>
  <c r="GH152" i="2"/>
  <c r="GH162" i="2"/>
  <c r="GH125" i="2"/>
  <c r="GH123" i="2"/>
  <c r="GH121" i="2"/>
  <c r="GH141" i="2"/>
  <c r="GH129" i="2"/>
  <c r="GH110" i="2"/>
  <c r="GH96" i="2"/>
  <c r="GH150" i="2"/>
  <c r="GH107" i="2"/>
  <c r="GH99" i="2"/>
  <c r="GH97" i="2"/>
  <c r="GH93" i="2"/>
  <c r="GH148" i="2"/>
  <c r="GH142" i="2"/>
  <c r="GH128" i="2"/>
  <c r="GH126" i="2"/>
  <c r="GH102" i="2"/>
  <c r="GH100" i="2"/>
  <c r="GH94" i="2"/>
  <c r="GH92" i="2"/>
  <c r="GH90" i="2"/>
  <c r="GH88" i="2"/>
  <c r="GH86" i="2"/>
  <c r="GH75" i="2"/>
  <c r="GH164" i="2"/>
  <c r="GH160" i="2"/>
  <c r="GH146" i="2"/>
  <c r="GH114" i="2"/>
  <c r="GH103" i="2"/>
  <c r="GH84" i="2"/>
  <c r="GH82" i="2"/>
  <c r="GH80" i="2"/>
  <c r="GH78" i="2"/>
  <c r="GH76" i="2"/>
  <c r="GH156" i="2"/>
  <c r="GH143" i="2"/>
  <c r="GH124" i="2"/>
  <c r="GH122" i="2"/>
  <c r="GH120" i="2"/>
  <c r="GH111" i="2"/>
  <c r="GH104" i="2"/>
  <c r="GH73" i="2"/>
  <c r="GH139" i="2"/>
  <c r="GH135" i="2"/>
  <c r="GH118" i="2"/>
  <c r="GH109" i="2"/>
  <c r="GH105" i="2"/>
  <c r="GH56" i="2"/>
  <c r="GH165" i="2"/>
  <c r="GH95" i="2"/>
  <c r="GH89" i="2"/>
  <c r="GH81" i="2"/>
  <c r="GH72" i="2"/>
  <c r="GH69" i="2"/>
  <c r="GH49" i="2"/>
  <c r="GH44" i="2"/>
  <c r="GH43" i="2"/>
  <c r="GH42" i="2"/>
  <c r="GH41" i="2"/>
  <c r="GH131" i="2"/>
  <c r="GH91" i="2"/>
  <c r="GH83" i="2"/>
  <c r="GH58" i="2"/>
  <c r="GH52" i="2"/>
  <c r="GH27" i="2"/>
  <c r="GH26" i="2"/>
  <c r="GH25" i="2"/>
  <c r="GH137" i="2"/>
  <c r="GH133" i="2"/>
  <c r="GH85" i="2"/>
  <c r="GH74" i="2"/>
  <c r="GH68" i="2"/>
  <c r="GH67" i="2"/>
  <c r="GH112" i="2"/>
  <c r="GH106" i="2"/>
  <c r="GH77" i="2"/>
  <c r="GH66" i="2"/>
  <c r="GH65" i="2"/>
  <c r="GH54" i="2"/>
  <c r="GH40" i="2"/>
  <c r="GH39" i="2"/>
  <c r="GH178" i="2"/>
  <c r="GH119" i="2"/>
  <c r="GH98" i="2"/>
  <c r="GH64" i="2"/>
  <c r="GH63" i="2"/>
  <c r="GH53" i="2"/>
  <c r="GH167" i="2"/>
  <c r="GH127" i="2"/>
  <c r="GH62" i="2"/>
  <c r="GH61" i="2"/>
  <c r="GH47" i="2"/>
  <c r="GH46" i="2"/>
  <c r="GH48" i="2"/>
  <c r="GH23" i="2"/>
  <c r="GH22" i="2"/>
  <c r="GH21" i="2"/>
  <c r="GH19" i="2"/>
  <c r="GH18" i="2"/>
  <c r="GH14" i="2"/>
  <c r="GH8" i="2"/>
  <c r="GH87" i="2"/>
  <c r="GH60" i="2"/>
  <c r="GH59" i="2"/>
  <c r="GH20" i="2"/>
  <c r="GH140" i="2"/>
  <c r="GH28" i="2"/>
  <c r="GH13" i="2"/>
  <c r="GH7" i="2"/>
  <c r="GH51" i="2"/>
  <c r="GH36" i="2"/>
  <c r="GH33" i="2"/>
  <c r="GH12" i="2"/>
  <c r="GH6" i="2"/>
  <c r="GH113" i="2"/>
  <c r="GH57" i="2"/>
  <c r="GH34" i="2"/>
  <c r="GH50" i="2"/>
  <c r="GH35" i="2"/>
  <c r="GH31" i="2"/>
  <c r="GH30" i="2"/>
  <c r="GH17" i="2"/>
  <c r="GH16" i="2"/>
  <c r="GH11" i="2"/>
  <c r="GH10" i="2"/>
  <c r="GH5" i="2"/>
  <c r="GH101" i="2"/>
  <c r="GH38" i="2"/>
  <c r="GH37" i="2"/>
  <c r="GH79" i="2"/>
  <c r="GH55" i="2"/>
  <c r="GH45" i="2"/>
  <c r="GH24" i="2"/>
  <c r="GH115" i="2"/>
  <c r="GH70" i="2"/>
  <c r="GH32" i="2"/>
  <c r="GH29" i="2"/>
  <c r="HP6" i="2"/>
  <c r="EJ8" i="2"/>
  <c r="FA10" i="2"/>
  <c r="GG11" i="2"/>
  <c r="GG16" i="2"/>
  <c r="EK19" i="2"/>
  <c r="EK23" i="2"/>
  <c r="DR355" i="1"/>
  <c r="BV1" i="1"/>
  <c r="DS44" i="1"/>
  <c r="DT44" i="1" s="1"/>
  <c r="BB70" i="1"/>
  <c r="BB118" i="1"/>
  <c r="DS136" i="1"/>
  <c r="DT136" i="1" s="1"/>
  <c r="DS352" i="1"/>
  <c r="DT352" i="1" s="1"/>
  <c r="CQ1" i="1"/>
  <c r="DS16" i="1"/>
  <c r="DT16" i="1" s="1"/>
  <c r="DS19" i="1"/>
  <c r="DT19" i="1" s="1"/>
  <c r="AO20" i="1"/>
  <c r="DS24" i="1"/>
  <c r="DT24" i="1" s="1"/>
  <c r="DT35" i="1"/>
  <c r="S38" i="1"/>
  <c r="DT41" i="1"/>
  <c r="DO47" i="1"/>
  <c r="DS48" i="1"/>
  <c r="DT48" i="1" s="1"/>
  <c r="DN50" i="1"/>
  <c r="DT54" i="1"/>
  <c r="DS63" i="1"/>
  <c r="DT63" i="1" s="1"/>
  <c r="DO66" i="1"/>
  <c r="DS67" i="1"/>
  <c r="DT67" i="1" s="1"/>
  <c r="BI70" i="1"/>
  <c r="DN70" i="1" s="1"/>
  <c r="DS71" i="1"/>
  <c r="DT71" i="1" s="1"/>
  <c r="DT74" i="1"/>
  <c r="DS77" i="1"/>
  <c r="DT77" i="1" s="1"/>
  <c r="DS83" i="1"/>
  <c r="DT83" i="1" s="1"/>
  <c r="DT84" i="1"/>
  <c r="DT89" i="1"/>
  <c r="AN95" i="1"/>
  <c r="DN95" i="1" s="1"/>
  <c r="BI96" i="1"/>
  <c r="DN96" i="1" s="1"/>
  <c r="BI97" i="1"/>
  <c r="DT105" i="1"/>
  <c r="AN107" i="1"/>
  <c r="DV107" i="1"/>
  <c r="DW107" i="1" s="1"/>
  <c r="AN109" i="1"/>
  <c r="BC118" i="1"/>
  <c r="BC1" i="1" s="1"/>
  <c r="AO120" i="1"/>
  <c r="CE120" i="1"/>
  <c r="DR120" i="1"/>
  <c r="CR122" i="1"/>
  <c r="CR1" i="1" s="1"/>
  <c r="DS122" i="1"/>
  <c r="DT122" i="1" s="1"/>
  <c r="DS123" i="1"/>
  <c r="DT123" i="1" s="1"/>
  <c r="DR134" i="1"/>
  <c r="DS134" i="1" s="1"/>
  <c r="DO135" i="1"/>
  <c r="DO138" i="1"/>
  <c r="DT146" i="1"/>
  <c r="DT148" i="1"/>
  <c r="DT151" i="1"/>
  <c r="DS156" i="1"/>
  <c r="DT156" i="1" s="1"/>
  <c r="AV159" i="1"/>
  <c r="S160" i="1"/>
  <c r="DN160" i="1" s="1"/>
  <c r="DS163" i="1"/>
  <c r="DT163" i="1" s="1"/>
  <c r="DS171" i="1"/>
  <c r="DT171" i="1" s="1"/>
  <c r="DS179" i="1"/>
  <c r="DT179" i="1" s="1"/>
  <c r="DT186" i="1"/>
  <c r="DT191" i="1"/>
  <c r="DT201" i="1"/>
  <c r="DT204" i="1"/>
  <c r="DN205" i="1"/>
  <c r="DW206" i="1"/>
  <c r="DX206" i="1" s="1"/>
  <c r="DS212" i="1"/>
  <c r="DT212" i="1" s="1"/>
  <c r="AH216" i="1"/>
  <c r="DN216" i="1"/>
  <c r="DT220" i="1"/>
  <c r="DS223" i="1"/>
  <c r="DT223" i="1" s="1"/>
  <c r="EO225" i="1"/>
  <c r="DS230" i="1"/>
  <c r="DT230" i="1" s="1"/>
  <c r="FD230" i="1"/>
  <c r="EL230" i="1" s="1"/>
  <c r="DT231" i="1"/>
  <c r="DT250" i="1"/>
  <c r="ET249" i="1" s="1"/>
  <c r="DW251" i="1"/>
  <c r="DX251" i="1" s="1"/>
  <c r="L256" i="1"/>
  <c r="DO256" i="1"/>
  <c r="FD269" i="1"/>
  <c r="EL269" i="1" s="1"/>
  <c r="DT270" i="1"/>
  <c r="DS271" i="1"/>
  <c r="DT271" i="1" s="1"/>
  <c r="DS290" i="1"/>
  <c r="DT290" i="1" s="1"/>
  <c r="DT305" i="1"/>
  <c r="FD309" i="1"/>
  <c r="EL309" i="1" s="1"/>
  <c r="DT310" i="1"/>
  <c r="DT321" i="1"/>
  <c r="DO326" i="1"/>
  <c r="DN326" i="1"/>
  <c r="DS344" i="1"/>
  <c r="DT344" i="1" s="1"/>
  <c r="DO346" i="1"/>
  <c r="FD350" i="1"/>
  <c r="EL350" i="1" s="1"/>
  <c r="BI374" i="1"/>
  <c r="DN374" i="1" s="1"/>
  <c r="DT381" i="1"/>
  <c r="ES389" i="1"/>
  <c r="EK389" i="1"/>
  <c r="DR395" i="1"/>
  <c r="DO395" i="1"/>
  <c r="DR397" i="1"/>
  <c r="AB397" i="1"/>
  <c r="AA397" i="1"/>
  <c r="T397" i="1"/>
  <c r="DH397" i="1"/>
  <c r="DG397" i="1"/>
  <c r="CZ397" i="1"/>
  <c r="DW398" i="1"/>
  <c r="DX398" i="1" s="1"/>
  <c r="DT407" i="1"/>
  <c r="DS425" i="1"/>
  <c r="DT425" i="1" s="1"/>
  <c r="FO529" i="1"/>
  <c r="FJ529" i="1"/>
  <c r="AN541" i="1"/>
  <c r="DN541" i="1" s="1"/>
  <c r="AH541" i="1"/>
  <c r="DO541" i="1"/>
  <c r="GP13" i="2"/>
  <c r="GQ13" i="2" s="1"/>
  <c r="EJ18" i="2"/>
  <c r="EK20" i="2"/>
  <c r="DS298" i="1"/>
  <c r="DT298" i="1" s="1"/>
  <c r="S206" i="1"/>
  <c r="DN206" i="1" s="1"/>
  <c r="DN346" i="1"/>
  <c r="DN12" i="1"/>
  <c r="DR47" i="1"/>
  <c r="DS47" i="1" s="1"/>
  <c r="DO50" i="1"/>
  <c r="DO53" i="1"/>
  <c r="DN62" i="1"/>
  <c r="DR66" i="1"/>
  <c r="DN82" i="1"/>
  <c r="BJ97" i="1"/>
  <c r="AV109" i="1"/>
  <c r="DN116" i="1"/>
  <c r="BI118" i="1"/>
  <c r="DN118" i="1" s="1"/>
  <c r="AV120" i="1"/>
  <c r="CL120" i="1"/>
  <c r="CS122" i="1"/>
  <c r="DR135" i="1"/>
  <c r="DR138" i="1"/>
  <c r="DS138" i="1" s="1"/>
  <c r="DO159" i="1"/>
  <c r="DO203" i="1"/>
  <c r="DO216" i="1"/>
  <c r="ES252" i="1"/>
  <c r="DS254" i="1"/>
  <c r="DT254" i="1" s="1"/>
  <c r="M256" i="1"/>
  <c r="M1" i="1" s="1"/>
  <c r="DR256" i="1"/>
  <c r="DN275" i="1"/>
  <c r="DS275" i="1"/>
  <c r="DT275" i="1" s="1"/>
  <c r="DN289" i="1"/>
  <c r="DS292" i="1"/>
  <c r="DT292" i="1" s="1"/>
  <c r="DW323" i="1"/>
  <c r="DX323" i="1" s="1"/>
  <c r="DR326" i="1"/>
  <c r="DG331" i="1"/>
  <c r="CZ331" i="1"/>
  <c r="DG333" i="1"/>
  <c r="CZ333" i="1"/>
  <c r="DT334" i="1"/>
  <c r="DW335" i="1"/>
  <c r="DX335" i="1" s="1"/>
  <c r="DR346" i="1"/>
  <c r="DS348" i="1"/>
  <c r="DT348" i="1" s="1"/>
  <c r="DT350" i="1"/>
  <c r="DS353" i="1"/>
  <c r="DT353" i="1" s="1"/>
  <c r="DS371" i="1"/>
  <c r="DT371" i="1" s="1"/>
  <c r="BI395" i="1"/>
  <c r="DN395" i="1" s="1"/>
  <c r="S397" i="1"/>
  <c r="CY397" i="1"/>
  <c r="DW407" i="1"/>
  <c r="DX407" i="1" s="1"/>
  <c r="DS418" i="1"/>
  <c r="DT418" i="1" s="1"/>
  <c r="DS419" i="1"/>
  <c r="DT419" i="1" s="1"/>
  <c r="DR423" i="1"/>
  <c r="BJ423" i="1"/>
  <c r="DO423" i="1" s="1"/>
  <c r="DT430" i="1"/>
  <c r="DS437" i="1"/>
  <c r="DT437" i="1" s="1"/>
  <c r="DS447" i="1"/>
  <c r="DT447" i="1" s="1"/>
  <c r="DS483" i="1"/>
  <c r="DT483" i="1" s="1"/>
  <c r="DW506" i="1"/>
  <c r="DX506" i="1" s="1"/>
  <c r="DT515" i="1"/>
  <c r="DR527" i="1"/>
  <c r="DS527" i="1" s="1"/>
  <c r="DO527" i="1"/>
  <c r="CD537" i="1"/>
  <c r="BW537" i="1"/>
  <c r="DV537" i="1"/>
  <c r="AG541" i="1"/>
  <c r="DS574" i="1"/>
  <c r="DT574" i="1" s="1"/>
  <c r="DS625" i="1"/>
  <c r="DT625" i="1" s="1"/>
  <c r="DT631" i="1"/>
  <c r="HT7" i="2"/>
  <c r="HS7" i="2"/>
  <c r="HX6" i="2"/>
  <c r="GH9" i="2"/>
  <c r="GG17" i="2"/>
  <c r="EK18" i="2"/>
  <c r="EH22" i="2"/>
  <c r="EG22" i="2"/>
  <c r="EZ22" i="2" s="1"/>
  <c r="DV22" i="2"/>
  <c r="EE22" i="2"/>
  <c r="EX22" i="2" s="1"/>
  <c r="DU22" i="2"/>
  <c r="ED22" i="2"/>
  <c r="EW22" i="2" s="1"/>
  <c r="DT22" i="2"/>
  <c r="EM22" i="2" s="1"/>
  <c r="EC22" i="2"/>
  <c r="DS22" i="2"/>
  <c r="EL22" i="2" s="1"/>
  <c r="AM22" i="2"/>
  <c r="GO22" i="2"/>
  <c r="EB22" i="2"/>
  <c r="EU22" i="2" s="1"/>
  <c r="DR22" i="2"/>
  <c r="EK22" i="2" s="1"/>
  <c r="AL22" i="2"/>
  <c r="EA22" i="2"/>
  <c r="ET22" i="2" s="1"/>
  <c r="DQ22" i="2"/>
  <c r="EJ22" i="2" s="1"/>
  <c r="AE22" i="2"/>
  <c r="DT236" i="1"/>
  <c r="DW518" i="1"/>
  <c r="DX518" i="1" s="1"/>
  <c r="AN20" i="1"/>
  <c r="AN208" i="1"/>
  <c r="DN208" i="1" s="1"/>
  <c r="DT323" i="1"/>
  <c r="DS493" i="1"/>
  <c r="DT493" i="1" s="1"/>
  <c r="DW522" i="1"/>
  <c r="DX522" i="1" s="1"/>
  <c r="DS566" i="1"/>
  <c r="DT566" i="1" s="1"/>
  <c r="DS7" i="1"/>
  <c r="DT7" i="1" s="1"/>
  <c r="DS13" i="1"/>
  <c r="DT13" i="1" s="1"/>
  <c r="DS18" i="1"/>
  <c r="DT18" i="1" s="1"/>
  <c r="DS26" i="1"/>
  <c r="DT26" i="1" s="1"/>
  <c r="DR50" i="1"/>
  <c r="DS50" i="1" s="1"/>
  <c r="DR53" i="1"/>
  <c r="DS53" i="1" s="1"/>
  <c r="DS59" i="1"/>
  <c r="DT59" i="1" s="1"/>
  <c r="DO62" i="1"/>
  <c r="DS65" i="1"/>
  <c r="DT65" i="1" s="1"/>
  <c r="BI66" i="1"/>
  <c r="DN66" i="1" s="1"/>
  <c r="DS69" i="1"/>
  <c r="DT69" i="1" s="1"/>
  <c r="DO70" i="1"/>
  <c r="DN81" i="1"/>
  <c r="DO82" i="1"/>
  <c r="DN86" i="1"/>
  <c r="DO95" i="1"/>
  <c r="DO96" i="1"/>
  <c r="BK97" i="1"/>
  <c r="DN98" i="1"/>
  <c r="DO109" i="1"/>
  <c r="DO116" i="1"/>
  <c r="DV118" i="1"/>
  <c r="CM120" i="1"/>
  <c r="AN121" i="1"/>
  <c r="DS121" i="1" s="1"/>
  <c r="DT121" i="1" s="1"/>
  <c r="CD121" i="1"/>
  <c r="DW121" i="1" s="1"/>
  <c r="DX121" i="1" s="1"/>
  <c r="CY122" i="1"/>
  <c r="DV122" i="1"/>
  <c r="DN127" i="1"/>
  <c r="DS132" i="1"/>
  <c r="DT132" i="1" s="1"/>
  <c r="DS135" i="1"/>
  <c r="BI157" i="1"/>
  <c r="DN158" i="1"/>
  <c r="DR159" i="1"/>
  <c r="DS159" i="1" s="1"/>
  <c r="AN183" i="1"/>
  <c r="BB184" i="1"/>
  <c r="DR203" i="1"/>
  <c r="L216" i="1"/>
  <c r="DR216" i="1"/>
  <c r="FF230" i="1"/>
  <c r="S256" i="1"/>
  <c r="DN256" i="1" s="1"/>
  <c r="DS261" i="1"/>
  <c r="DT261" i="1" s="1"/>
  <c r="FD263" i="1"/>
  <c r="EL263" i="1" s="1"/>
  <c r="DT286" i="1"/>
  <c r="DS312" i="1"/>
  <c r="DT312" i="1" s="1"/>
  <c r="DT320" i="1"/>
  <c r="DT328" i="1"/>
  <c r="AV332" i="1"/>
  <c r="AO332" i="1"/>
  <c r="DT341" i="1"/>
  <c r="AN357" i="1"/>
  <c r="DR357" i="1"/>
  <c r="DO357" i="1"/>
  <c r="DS362" i="1"/>
  <c r="DT362" i="1" s="1"/>
  <c r="DS368" i="1"/>
  <c r="DT368" i="1" s="1"/>
  <c r="DT387" i="1"/>
  <c r="DN400" i="1"/>
  <c r="DT404" i="1"/>
  <c r="EK424" i="1"/>
  <c r="FD424" i="1"/>
  <c r="EL424" i="1" s="1"/>
  <c r="DS465" i="1"/>
  <c r="DT465" i="1" s="1"/>
  <c r="AO471" i="1"/>
  <c r="DO471" i="1" s="1"/>
  <c r="DR471" i="1"/>
  <c r="AN471" i="1"/>
  <c r="DN471" i="1" s="1"/>
  <c r="AK471" i="1"/>
  <c r="AK1" i="1" s="1"/>
  <c r="AJ471" i="1"/>
  <c r="DT472" i="1"/>
  <c r="HR7" i="2"/>
  <c r="FU12" i="2"/>
  <c r="ED15" i="2"/>
  <c r="EW15" i="2" s="1"/>
  <c r="DS197" i="1"/>
  <c r="DT197" i="1" s="1"/>
  <c r="BI203" i="1"/>
  <c r="DN203" i="1" s="1"/>
  <c r="DV331" i="1"/>
  <c r="CL331" i="1"/>
  <c r="CE331" i="1"/>
  <c r="DS386" i="1"/>
  <c r="DT386" i="1" s="1"/>
  <c r="EN36" i="1"/>
  <c r="EN1" i="1" s="1"/>
  <c r="DR62" i="1"/>
  <c r="DR82" i="1"/>
  <c r="DS82" i="1" s="1"/>
  <c r="DR95" i="1"/>
  <c r="BL97" i="1"/>
  <c r="DR109" i="1"/>
  <c r="DR116" i="1"/>
  <c r="DV120" i="1"/>
  <c r="DA122" i="1"/>
  <c r="DA1" i="1" s="1"/>
  <c r="DN130" i="1"/>
  <c r="DO208" i="1"/>
  <c r="AP216" i="1"/>
  <c r="ER249" i="1"/>
  <c r="U256" i="1"/>
  <c r="U1" i="1" s="1"/>
  <c r="DV275" i="1"/>
  <c r="DN331" i="1"/>
  <c r="DO382" i="1"/>
  <c r="AN382" i="1"/>
  <c r="DN382" i="1" s="1"/>
  <c r="AQ422" i="1"/>
  <c r="AP422" i="1"/>
  <c r="AN422" i="1"/>
  <c r="DN422" i="1" s="1"/>
  <c r="AH422" i="1"/>
  <c r="AG422" i="1"/>
  <c r="DR454" i="1"/>
  <c r="DO454" i="1"/>
  <c r="BI454" i="1"/>
  <c r="DN454" i="1" s="1"/>
  <c r="DS536" i="1"/>
  <c r="DT536" i="1" s="1"/>
  <c r="AD1" i="2"/>
  <c r="GU15" i="2"/>
  <c r="HO8" i="2" s="1"/>
  <c r="GH15" i="2"/>
  <c r="HP9" i="2"/>
  <c r="AA333" i="1"/>
  <c r="DR333" i="1"/>
  <c r="DS333" i="1" s="1"/>
  <c r="T333" i="1"/>
  <c r="DO333" i="1" s="1"/>
  <c r="DT583" i="1"/>
  <c r="AG216" i="1"/>
  <c r="DS265" i="1"/>
  <c r="DT265" i="1" s="1"/>
  <c r="DS316" i="1"/>
  <c r="DT316" i="1" s="1"/>
  <c r="S355" i="1"/>
  <c r="DN355" i="1" s="1"/>
  <c r="DW19" i="1"/>
  <c r="DX19" i="1" s="1"/>
  <c r="DT6" i="1"/>
  <c r="DS9" i="1"/>
  <c r="DT9" i="1" s="1"/>
  <c r="CD12" i="1"/>
  <c r="DS12" i="1"/>
  <c r="DT12" i="1" s="1"/>
  <c r="DS15" i="1"/>
  <c r="DT15" i="1" s="1"/>
  <c r="DS23" i="1"/>
  <c r="DT23" i="1" s="1"/>
  <c r="DS28" i="1"/>
  <c r="DT28" i="1" s="1"/>
  <c r="DN39" i="1"/>
  <c r="DW43" i="1"/>
  <c r="DX43" i="1" s="1"/>
  <c r="BH60" i="1"/>
  <c r="BH1" i="1" s="1"/>
  <c r="DS76" i="1"/>
  <c r="DT76" i="1" s="1"/>
  <c r="DR81" i="1"/>
  <c r="DS81" i="1" s="1"/>
  <c r="DW88" i="1"/>
  <c r="DX88" i="1" s="1"/>
  <c r="AN97" i="1"/>
  <c r="DR98" i="1"/>
  <c r="DS98" i="1" s="1"/>
  <c r="DW99" i="1"/>
  <c r="DX99" i="1" s="1"/>
  <c r="BI109" i="1"/>
  <c r="BJ117" i="1"/>
  <c r="DO117" i="1" s="1"/>
  <c r="AG118" i="1"/>
  <c r="CS118" i="1"/>
  <c r="S120" i="1"/>
  <c r="BI120" i="1"/>
  <c r="CY120" i="1"/>
  <c r="AV121" i="1"/>
  <c r="CL121" i="1"/>
  <c r="AP122" i="1"/>
  <c r="DB122" i="1"/>
  <c r="DB1" i="1" s="1"/>
  <c r="DR127" i="1"/>
  <c r="DW128" i="1"/>
  <c r="DX128" i="1" s="1"/>
  <c r="DW134" i="1"/>
  <c r="DX134" i="1" s="1"/>
  <c r="DR140" i="1"/>
  <c r="DS155" i="1"/>
  <c r="DT155" i="1" s="1"/>
  <c r="S157" i="1"/>
  <c r="DS162" i="1"/>
  <c r="DT162" i="1" s="1"/>
  <c r="DS170" i="1"/>
  <c r="DT170" i="1" s="1"/>
  <c r="DS178" i="1"/>
  <c r="DT178" i="1" s="1"/>
  <c r="DR199" i="1"/>
  <c r="DR208" i="1"/>
  <c r="DS237" i="1"/>
  <c r="DT237" i="1" s="1"/>
  <c r="DS238" i="1"/>
  <c r="DT238" i="1" s="1"/>
  <c r="DS240" i="1"/>
  <c r="DT240" i="1" s="1"/>
  <c r="R255" i="1"/>
  <c r="R1" i="1" s="1"/>
  <c r="DS266" i="1"/>
  <c r="DT266" i="1" s="1"/>
  <c r="DS281" i="1"/>
  <c r="DT281" i="1" s="1"/>
  <c r="DS322" i="1"/>
  <c r="DT322" i="1" s="1"/>
  <c r="BQ332" i="1"/>
  <c r="BJ332" i="1"/>
  <c r="DR332" i="1"/>
  <c r="DO347" i="1"/>
  <c r="DS351" i="1"/>
  <c r="DT351" i="1" s="1"/>
  <c r="DO355" i="1"/>
  <c r="AJ363" i="1"/>
  <c r="AG363" i="1"/>
  <c r="DW368" i="1"/>
  <c r="DX368" i="1" s="1"/>
  <c r="DS380" i="1"/>
  <c r="DT380" i="1" s="1"/>
  <c r="DR382" i="1"/>
  <c r="ES446" i="1"/>
  <c r="EK386" i="1"/>
  <c r="FD386" i="1"/>
  <c r="EL386" i="1" s="1"/>
  <c r="DV397" i="1"/>
  <c r="DS417" i="1"/>
  <c r="DT417" i="1" s="1"/>
  <c r="DS427" i="1"/>
  <c r="DT427" i="1" s="1"/>
  <c r="BS490" i="1"/>
  <c r="BS1" i="1" s="1"/>
  <c r="BQ490" i="1"/>
  <c r="BJ490" i="1"/>
  <c r="BJ529" i="1"/>
  <c r="DO529" i="1" s="1"/>
  <c r="BI529" i="1"/>
  <c r="DN529" i="1" s="1"/>
  <c r="DS578" i="1"/>
  <c r="DT578" i="1" s="1"/>
  <c r="DS598" i="1"/>
  <c r="DT598" i="1" s="1"/>
  <c r="FU6" i="2"/>
  <c r="HQ6" i="2"/>
  <c r="GP7" i="2"/>
  <c r="HZ43" i="2"/>
  <c r="EJ14" i="2"/>
  <c r="AY1" i="2"/>
  <c r="GV15" i="2"/>
  <c r="HP8" i="2" s="1"/>
  <c r="DT379" i="1"/>
  <c r="DT475" i="1"/>
  <c r="L160" i="1"/>
  <c r="DO39" i="1"/>
  <c r="DN56" i="1"/>
  <c r="BI60" i="1"/>
  <c r="AO97" i="1"/>
  <c r="BQ117" i="1"/>
  <c r="AH118" i="1"/>
  <c r="CY118" i="1"/>
  <c r="T120" i="1"/>
  <c r="BJ120" i="1"/>
  <c r="CZ120" i="1"/>
  <c r="CM121" i="1"/>
  <c r="AQ122" i="1"/>
  <c r="DC122" i="1"/>
  <c r="DC1" i="1" s="1"/>
  <c r="EJ147" i="1"/>
  <c r="DO149" i="1"/>
  <c r="T157" i="1"/>
  <c r="DO157" i="1" s="1"/>
  <c r="DV159" i="1"/>
  <c r="DO184" i="1"/>
  <c r="DV205" i="1"/>
  <c r="DO206" i="1"/>
  <c r="S255" i="1"/>
  <c r="DN255" i="1" s="1"/>
  <c r="AH256" i="1"/>
  <c r="AG256" i="1"/>
  <c r="FK266" i="1"/>
  <c r="DS330" i="1"/>
  <c r="DT330" i="1" s="1"/>
  <c r="BI332" i="1"/>
  <c r="DN332" i="1" s="1"/>
  <c r="DS336" i="1"/>
  <c r="DT336" i="1" s="1"/>
  <c r="DT345" i="1"/>
  <c r="DR347" i="1"/>
  <c r="DS347" i="1" s="1"/>
  <c r="DO349" i="1"/>
  <c r="DN349" i="1"/>
  <c r="DT354" i="1"/>
  <c r="AM363" i="1"/>
  <c r="AM1" i="1" s="1"/>
  <c r="DS373" i="1"/>
  <c r="DT373" i="1" s="1"/>
  <c r="DS396" i="1"/>
  <c r="DT396" i="1" s="1"/>
  <c r="DN396" i="1"/>
  <c r="BR397" i="1"/>
  <c r="BQ397" i="1"/>
  <c r="BJ397" i="1"/>
  <c r="DS452" i="1"/>
  <c r="DT452" i="1" s="1"/>
  <c r="DS478" i="1"/>
  <c r="DT478" i="1" s="1"/>
  <c r="DS486" i="1"/>
  <c r="DT486" i="1" s="1"/>
  <c r="BI490" i="1"/>
  <c r="DT501" i="1"/>
  <c r="DS525" i="1"/>
  <c r="DT525" i="1" s="1"/>
  <c r="BB529" i="1"/>
  <c r="DV531" i="1"/>
  <c r="DW531" i="1" s="1"/>
  <c r="DT543" i="1"/>
  <c r="DR585" i="1"/>
  <c r="DO585" i="1"/>
  <c r="DT628" i="1"/>
  <c r="HX43" i="2"/>
  <c r="FA11" i="2"/>
  <c r="EK14" i="2"/>
  <c r="DV15" i="2"/>
  <c r="EK21" i="2"/>
  <c r="DY22" i="2"/>
  <c r="DS367" i="1"/>
  <c r="DT367" i="1" s="1"/>
  <c r="DS401" i="1"/>
  <c r="DT401" i="1" s="1"/>
  <c r="DT356" i="1"/>
  <c r="BW12" i="1"/>
  <c r="DT247" i="1"/>
  <c r="DS279" i="1"/>
  <c r="DT279" i="1" s="1"/>
  <c r="DS303" i="1"/>
  <c r="DT303" i="1" s="1"/>
  <c r="DV333" i="1"/>
  <c r="DT349" i="1"/>
  <c r="DT375" i="1"/>
  <c r="BQ381" i="1"/>
  <c r="BJ381" i="1"/>
  <c r="DO381" i="1" s="1"/>
  <c r="FD446" i="1"/>
  <c r="EL446" i="1" s="1"/>
  <c r="EL385" i="1"/>
  <c r="DT389" i="1"/>
  <c r="DO391" i="1"/>
  <c r="DT412" i="1"/>
  <c r="DS440" i="1"/>
  <c r="DT440" i="1" s="1"/>
  <c r="DS460" i="1"/>
  <c r="DT460" i="1" s="1"/>
  <c r="DR535" i="1"/>
  <c r="DO535" i="1"/>
  <c r="DR541" i="1"/>
  <c r="EK620" i="1"/>
  <c r="FD620" i="1"/>
  <c r="EL620" i="1" s="1"/>
  <c r="EJ629" i="2"/>
  <c r="EJ627" i="2"/>
  <c r="EJ619" i="2"/>
  <c r="EJ614" i="2"/>
  <c r="EJ616" i="2"/>
  <c r="EJ613" i="2"/>
  <c r="EJ611" i="2"/>
  <c r="EJ609" i="2"/>
  <c r="EJ607" i="2"/>
  <c r="EJ631" i="2"/>
  <c r="EJ623" i="2"/>
  <c r="EJ621" i="2"/>
  <c r="EJ630" i="2"/>
  <c r="EJ626" i="2"/>
  <c r="EJ622" i="2"/>
  <c r="EJ628" i="2"/>
  <c r="EJ615" i="2"/>
  <c r="EJ608" i="2"/>
  <c r="EJ617" i="2"/>
  <c r="EJ605" i="2"/>
  <c r="EJ603" i="2"/>
  <c r="EJ612" i="2"/>
  <c r="EJ600" i="2"/>
  <c r="EJ620" i="2"/>
  <c r="EJ610" i="2"/>
  <c r="EJ606" i="2"/>
  <c r="EJ604" i="2"/>
  <c r="EJ602" i="2"/>
  <c r="EJ618" i="2"/>
  <c r="EJ597" i="2"/>
  <c r="EJ594" i="2"/>
  <c r="EJ585" i="2"/>
  <c r="EJ578" i="2"/>
  <c r="EJ584" i="2"/>
  <c r="EJ583" i="2"/>
  <c r="EJ592" i="2"/>
  <c r="EJ582" i="2"/>
  <c r="EJ596" i="2"/>
  <c r="EJ593" i="2"/>
  <c r="EJ591" i="2"/>
  <c r="EJ599" i="2"/>
  <c r="EJ590" i="2"/>
  <c r="EJ595" i="2"/>
  <c r="EJ589" i="2"/>
  <c r="EJ598" i="2"/>
  <c r="EJ581" i="2"/>
  <c r="EJ579" i="2"/>
  <c r="EJ577" i="2"/>
  <c r="EJ575" i="2"/>
  <c r="EJ560" i="2"/>
  <c r="EJ573" i="2"/>
  <c r="EJ571" i="2"/>
  <c r="EJ569" i="2"/>
  <c r="EJ552" i="2"/>
  <c r="EJ550" i="2"/>
  <c r="EJ580" i="2"/>
  <c r="EJ588" i="2"/>
  <c r="EJ587" i="2"/>
  <c r="EJ574" i="2"/>
  <c r="EJ572" i="2"/>
  <c r="EJ570" i="2"/>
  <c r="EJ586" i="2"/>
  <c r="EJ563" i="2"/>
  <c r="EJ543" i="2"/>
  <c r="EJ565" i="2"/>
  <c r="EJ551" i="2"/>
  <c r="EJ548" i="2"/>
  <c r="EJ546" i="2"/>
  <c r="EJ544" i="2"/>
  <c r="EJ557" i="2"/>
  <c r="EJ558" i="2"/>
  <c r="EJ542" i="2"/>
  <c r="EJ561" i="2"/>
  <c r="EJ549" i="2"/>
  <c r="EJ547" i="2"/>
  <c r="EJ545" i="2"/>
  <c r="EJ541" i="2"/>
  <c r="EJ539" i="2"/>
  <c r="EJ534" i="2"/>
  <c r="EJ540" i="2"/>
  <c r="EJ535" i="2"/>
  <c r="EJ530" i="2"/>
  <c r="EJ528" i="2"/>
  <c r="EJ526" i="2"/>
  <c r="EJ524" i="2"/>
  <c r="EJ564" i="2"/>
  <c r="EJ555" i="2"/>
  <c r="EJ537" i="2"/>
  <c r="EJ533" i="2"/>
  <c r="EJ520" i="2"/>
  <c r="EJ516" i="2"/>
  <c r="EJ506" i="2"/>
  <c r="EJ504" i="2"/>
  <c r="EJ503" i="2"/>
  <c r="EJ501" i="2"/>
  <c r="EJ532" i="2"/>
  <c r="EJ525" i="2"/>
  <c r="EJ511" i="2"/>
  <c r="EJ509" i="2"/>
  <c r="EJ507" i="2"/>
  <c r="EJ496" i="2"/>
  <c r="EJ559" i="2"/>
  <c r="EJ529" i="2"/>
  <c r="EJ538" i="2"/>
  <c r="EJ556" i="2"/>
  <c r="EJ518" i="2"/>
  <c r="EJ536" i="2"/>
  <c r="EJ522" i="2"/>
  <c r="EJ519" i="2"/>
  <c r="EJ515" i="2"/>
  <c r="EJ505" i="2"/>
  <c r="EJ502" i="2"/>
  <c r="EJ531" i="2"/>
  <c r="EJ495" i="2"/>
  <c r="EJ485" i="2"/>
  <c r="EJ483" i="2"/>
  <c r="EJ523" i="2"/>
  <c r="EJ508" i="2"/>
  <c r="EJ527" i="2"/>
  <c r="EJ498" i="2"/>
  <c r="EJ493" i="2"/>
  <c r="EJ470" i="2"/>
  <c r="EJ465" i="2"/>
  <c r="EJ490" i="2"/>
  <c r="EJ488" i="2"/>
  <c r="EJ494" i="2"/>
  <c r="EJ481" i="2"/>
  <c r="EJ479" i="2"/>
  <c r="EJ477" i="2"/>
  <c r="EJ521" i="2"/>
  <c r="EJ475" i="2"/>
  <c r="EJ473" i="2"/>
  <c r="EJ500" i="2"/>
  <c r="EJ480" i="2"/>
  <c r="EJ466" i="2"/>
  <c r="EJ510" i="2"/>
  <c r="EJ460" i="2"/>
  <c r="EJ449" i="2"/>
  <c r="EJ469" i="2"/>
  <c r="EJ462" i="2"/>
  <c r="EJ444" i="2"/>
  <c r="EJ472" i="2"/>
  <c r="EJ464" i="2"/>
  <c r="EJ457" i="2"/>
  <c r="EJ455" i="2"/>
  <c r="EJ482" i="2"/>
  <c r="EJ484" i="2"/>
  <c r="EJ476" i="2"/>
  <c r="EJ474" i="2"/>
  <c r="EJ461" i="2"/>
  <c r="EJ459" i="2"/>
  <c r="EJ452" i="2"/>
  <c r="EJ450" i="2"/>
  <c r="EJ492" i="2"/>
  <c r="EJ486" i="2"/>
  <c r="EJ489" i="2"/>
  <c r="EJ513" i="2"/>
  <c r="EJ512" i="2"/>
  <c r="EJ487" i="2"/>
  <c r="EJ468" i="2"/>
  <c r="EJ467" i="2"/>
  <c r="EJ456" i="2"/>
  <c r="EJ442" i="2"/>
  <c r="EJ441" i="2"/>
  <c r="EJ439" i="2"/>
  <c r="EJ432" i="2"/>
  <c r="EJ430" i="2"/>
  <c r="EJ424" i="2"/>
  <c r="EJ422" i="2"/>
  <c r="EJ463" i="2"/>
  <c r="EJ447" i="2"/>
  <c r="EJ446" i="2"/>
  <c r="EJ425" i="2"/>
  <c r="EJ415" i="2"/>
  <c r="EJ436" i="2"/>
  <c r="EJ426" i="2"/>
  <c r="EJ418" i="2"/>
  <c r="EJ416" i="2"/>
  <c r="EJ437" i="2"/>
  <c r="EJ427" i="2"/>
  <c r="EJ451" i="2"/>
  <c r="EJ440" i="2"/>
  <c r="EJ428" i="2"/>
  <c r="EJ448" i="2"/>
  <c r="EJ433" i="2"/>
  <c r="EJ431" i="2"/>
  <c r="EJ429" i="2"/>
  <c r="EJ423" i="2"/>
  <c r="EJ421" i="2"/>
  <c r="EJ445" i="2"/>
  <c r="EJ478" i="2"/>
  <c r="EJ406" i="2"/>
  <c r="EJ396" i="2"/>
  <c r="EJ394" i="2"/>
  <c r="EJ387" i="2"/>
  <c r="EJ438" i="2"/>
  <c r="EJ411" i="2"/>
  <c r="EJ409" i="2"/>
  <c r="EJ397" i="2"/>
  <c r="EJ419" i="2"/>
  <c r="EJ417" i="2"/>
  <c r="EJ412" i="2"/>
  <c r="EJ390" i="2"/>
  <c r="EJ382" i="2"/>
  <c r="EJ413" i="2"/>
  <c r="EJ391" i="2"/>
  <c r="EJ404" i="2"/>
  <c r="EJ402" i="2"/>
  <c r="EJ400" i="2"/>
  <c r="EJ392" i="2"/>
  <c r="EJ435" i="2"/>
  <c r="EJ420" i="2"/>
  <c r="EJ407" i="2"/>
  <c r="EJ405" i="2"/>
  <c r="EJ395" i="2"/>
  <c r="EJ393" i="2"/>
  <c r="EJ388" i="2"/>
  <c r="EJ386" i="2"/>
  <c r="EJ410" i="2"/>
  <c r="EJ408" i="2"/>
  <c r="EJ378" i="2"/>
  <c r="EJ364" i="2"/>
  <c r="EJ434" i="2"/>
  <c r="EJ389" i="2"/>
  <c r="EJ379" i="2"/>
  <c r="EJ367" i="2"/>
  <c r="EJ363" i="2"/>
  <c r="EJ358" i="2"/>
  <c r="EJ403" i="2"/>
  <c r="EJ383" i="2"/>
  <c r="EJ380" i="2"/>
  <c r="EJ373" i="2"/>
  <c r="EJ360" i="2"/>
  <c r="EJ357" i="2"/>
  <c r="EJ381" i="2"/>
  <c r="EJ370" i="2"/>
  <c r="EJ365" i="2"/>
  <c r="EJ376" i="2"/>
  <c r="EJ355" i="2"/>
  <c r="EJ401" i="2"/>
  <c r="EJ377" i="2"/>
  <c r="EJ371" i="2"/>
  <c r="EJ368" i="2"/>
  <c r="EJ366" i="2"/>
  <c r="EJ414" i="2"/>
  <c r="EJ399" i="2"/>
  <c r="EJ346" i="2"/>
  <c r="EJ332" i="2"/>
  <c r="EJ329" i="2"/>
  <c r="EJ327" i="2"/>
  <c r="EJ339" i="2"/>
  <c r="EJ334" i="2"/>
  <c r="EJ353" i="2"/>
  <c r="EJ337" i="2"/>
  <c r="EJ335" i="2"/>
  <c r="EJ372" i="2"/>
  <c r="EJ352" i="2"/>
  <c r="EJ345" i="2"/>
  <c r="EJ343" i="2"/>
  <c r="EJ356" i="2"/>
  <c r="EJ354" i="2"/>
  <c r="EJ351" i="2"/>
  <c r="EJ385" i="2"/>
  <c r="EJ374" i="2"/>
  <c r="EJ350" i="2"/>
  <c r="EJ347" i="2"/>
  <c r="EJ342" i="2"/>
  <c r="EJ362" i="2"/>
  <c r="EJ338" i="2"/>
  <c r="EJ336" i="2"/>
  <c r="EJ326" i="2"/>
  <c r="EJ319" i="2"/>
  <c r="EJ340" i="2"/>
  <c r="EJ328" i="2"/>
  <c r="EJ325" i="2"/>
  <c r="EJ316" i="2"/>
  <c r="EJ314" i="2"/>
  <c r="EJ324" i="2"/>
  <c r="EJ317" i="2"/>
  <c r="EJ344" i="2"/>
  <c r="EJ341" i="2"/>
  <c r="EJ323" i="2"/>
  <c r="EJ322" i="2"/>
  <c r="EJ348" i="2"/>
  <c r="EJ321" i="2"/>
  <c r="EJ315" i="2"/>
  <c r="EJ349" i="2"/>
  <c r="EJ294" i="2"/>
  <c r="EJ292" i="2"/>
  <c r="EJ330" i="2"/>
  <c r="EJ295" i="2"/>
  <c r="EJ289" i="2"/>
  <c r="EJ311" i="2"/>
  <c r="EJ307" i="2"/>
  <c r="EJ271" i="2"/>
  <c r="EJ269" i="2"/>
  <c r="EJ267" i="2"/>
  <c r="EJ265" i="2"/>
  <c r="EJ287" i="2"/>
  <c r="EJ285" i="2"/>
  <c r="EJ283" i="2"/>
  <c r="EJ281" i="2"/>
  <c r="EJ279" i="2"/>
  <c r="EJ293" i="2"/>
  <c r="EJ291" i="2"/>
  <c r="EJ309" i="2"/>
  <c r="EJ305" i="2"/>
  <c r="EJ296" i="2"/>
  <c r="EJ302" i="2"/>
  <c r="EJ284" i="2"/>
  <c r="EJ282" i="2"/>
  <c r="EJ280" i="2"/>
  <c r="EJ268" i="2"/>
  <c r="EJ264" i="2"/>
  <c r="EJ262" i="2"/>
  <c r="EJ260" i="2"/>
  <c r="EJ313" i="2"/>
  <c r="EJ258" i="2"/>
  <c r="EJ256" i="2"/>
  <c r="EJ318" i="2"/>
  <c r="EJ274" i="2"/>
  <c r="EJ272" i="2"/>
  <c r="EJ254" i="2"/>
  <c r="EJ252" i="2"/>
  <c r="EJ250" i="2"/>
  <c r="EJ248" i="2"/>
  <c r="EJ246" i="2"/>
  <c r="EJ225" i="2"/>
  <c r="EJ301" i="2"/>
  <c r="EJ299" i="2"/>
  <c r="EJ242" i="2"/>
  <c r="EJ240" i="2"/>
  <c r="EJ238" i="2"/>
  <c r="EJ276" i="2"/>
  <c r="EJ263" i="2"/>
  <c r="EJ261" i="2"/>
  <c r="EJ259" i="2"/>
  <c r="EJ257" i="2"/>
  <c r="EJ304" i="2"/>
  <c r="EJ275" i="2"/>
  <c r="EJ266" i="2"/>
  <c r="EJ270" i="2"/>
  <c r="EJ245" i="2"/>
  <c r="EJ236" i="2"/>
  <c r="EJ221" i="2"/>
  <c r="EJ216" i="2"/>
  <c r="EJ253" i="2"/>
  <c r="EJ249" i="2"/>
  <c r="EJ239" i="2"/>
  <c r="EJ214" i="2"/>
  <c r="EJ212" i="2"/>
  <c r="EJ203" i="2"/>
  <c r="EJ201" i="2"/>
  <c r="EJ199" i="2"/>
  <c r="EJ197" i="2"/>
  <c r="EJ195" i="2"/>
  <c r="EJ193" i="2"/>
  <c r="EJ191" i="2"/>
  <c r="EJ189" i="2"/>
  <c r="EJ241" i="2"/>
  <c r="EJ237" i="2"/>
  <c r="EJ231" i="2"/>
  <c r="EJ222" i="2"/>
  <c r="EJ219" i="2"/>
  <c r="EJ255" i="2"/>
  <c r="EJ251" i="2"/>
  <c r="EJ247" i="2"/>
  <c r="EJ228" i="2"/>
  <c r="EJ243" i="2"/>
  <c r="EJ220" i="2"/>
  <c r="EJ211" i="2"/>
  <c r="EJ206" i="2"/>
  <c r="EJ213" i="2"/>
  <c r="EJ187" i="2"/>
  <c r="EJ185" i="2"/>
  <c r="EJ183" i="2"/>
  <c r="EJ181" i="2"/>
  <c r="EJ179" i="2"/>
  <c r="EJ177" i="2"/>
  <c r="EJ169" i="2"/>
  <c r="EJ163" i="2"/>
  <c r="EJ161" i="2"/>
  <c r="EJ154" i="2"/>
  <c r="EJ196" i="2"/>
  <c r="EJ190" i="2"/>
  <c r="EJ168" i="2"/>
  <c r="EJ166" i="2"/>
  <c r="EJ155" i="2"/>
  <c r="EJ142" i="2"/>
  <c r="EJ140" i="2"/>
  <c r="EJ202" i="2"/>
  <c r="EJ198" i="2"/>
  <c r="EJ158" i="2"/>
  <c r="EJ151" i="2"/>
  <c r="EJ149" i="2"/>
  <c r="EJ147" i="2"/>
  <c r="EJ138" i="2"/>
  <c r="EJ136" i="2"/>
  <c r="EJ232" i="2"/>
  <c r="EJ200" i="2"/>
  <c r="EJ194" i="2"/>
  <c r="EJ175" i="2"/>
  <c r="EJ173" i="2"/>
  <c r="EJ171" i="2"/>
  <c r="EJ134" i="2"/>
  <c r="EJ224" i="2"/>
  <c r="EJ204" i="2"/>
  <c r="EJ192" i="2"/>
  <c r="EJ188" i="2"/>
  <c r="EJ186" i="2"/>
  <c r="EJ184" i="2"/>
  <c r="EJ182" i="2"/>
  <c r="EJ180" i="2"/>
  <c r="EJ178" i="2"/>
  <c r="EJ164" i="2"/>
  <c r="EJ162" i="2"/>
  <c r="EJ233" i="2"/>
  <c r="EJ226" i="2"/>
  <c r="EJ167" i="2"/>
  <c r="EJ165" i="2"/>
  <c r="EJ156" i="2"/>
  <c r="EJ143" i="2"/>
  <c r="EJ141" i="2"/>
  <c r="EJ227" i="2"/>
  <c r="EJ223" i="2"/>
  <c r="EJ176" i="2"/>
  <c r="EJ174" i="2"/>
  <c r="EJ172" i="2"/>
  <c r="EJ170" i="2"/>
  <c r="EJ153" i="2"/>
  <c r="EJ150" i="2"/>
  <c r="EJ133" i="2"/>
  <c r="EJ132" i="2"/>
  <c r="EJ107" i="2"/>
  <c r="EJ99" i="2"/>
  <c r="EJ97" i="2"/>
  <c r="EJ93" i="2"/>
  <c r="EJ148" i="2"/>
  <c r="EJ137" i="2"/>
  <c r="EJ128" i="2"/>
  <c r="EJ126" i="2"/>
  <c r="EJ102" i="2"/>
  <c r="EJ100" i="2"/>
  <c r="EJ94" i="2"/>
  <c r="EJ92" i="2"/>
  <c r="EJ90" i="2"/>
  <c r="EJ88" i="2"/>
  <c r="EJ86" i="2"/>
  <c r="EJ75" i="2"/>
  <c r="EJ146" i="2"/>
  <c r="EJ131" i="2"/>
  <c r="EJ114" i="2"/>
  <c r="EJ103" i="2"/>
  <c r="EJ84" i="2"/>
  <c r="EJ82" i="2"/>
  <c r="EJ80" i="2"/>
  <c r="EJ78" i="2"/>
  <c r="EJ124" i="2"/>
  <c r="EJ122" i="2"/>
  <c r="EJ111" i="2"/>
  <c r="EJ104" i="2"/>
  <c r="EJ130" i="2"/>
  <c r="EJ118" i="2"/>
  <c r="EJ109" i="2"/>
  <c r="EJ105" i="2"/>
  <c r="EJ157" i="2"/>
  <c r="EJ119" i="2"/>
  <c r="EJ106" i="2"/>
  <c r="EJ98" i="2"/>
  <c r="EJ129" i="2"/>
  <c r="EJ127" i="2"/>
  <c r="EJ101" i="2"/>
  <c r="EJ95" i="2"/>
  <c r="EJ91" i="2"/>
  <c r="EJ89" i="2"/>
  <c r="EJ87" i="2"/>
  <c r="EJ74" i="2"/>
  <c r="EJ58" i="2"/>
  <c r="EJ152" i="2"/>
  <c r="EJ85" i="2"/>
  <c r="EJ77" i="2"/>
  <c r="EJ63" i="2"/>
  <c r="EJ62" i="2"/>
  <c r="EJ52" i="2"/>
  <c r="EJ61" i="2"/>
  <c r="EJ60" i="2"/>
  <c r="EJ31" i="2"/>
  <c r="EJ59" i="2"/>
  <c r="EJ54" i="2"/>
  <c r="EJ40" i="2"/>
  <c r="EJ39" i="2"/>
  <c r="EJ79" i="2"/>
  <c r="EJ57" i="2"/>
  <c r="EJ53" i="2"/>
  <c r="EJ73" i="2"/>
  <c r="EJ70" i="2"/>
  <c r="EJ47" i="2"/>
  <c r="EJ46" i="2"/>
  <c r="EJ113" i="2"/>
  <c r="EJ110" i="2"/>
  <c r="EJ72" i="2"/>
  <c r="EJ55" i="2"/>
  <c r="EJ37" i="2"/>
  <c r="EJ35" i="2"/>
  <c r="EJ144" i="2"/>
  <c r="EJ115" i="2"/>
  <c r="EJ81" i="2"/>
  <c r="EJ69" i="2"/>
  <c r="EJ50" i="2"/>
  <c r="EJ48" i="2"/>
  <c r="EJ45" i="2"/>
  <c r="EJ44" i="2"/>
  <c r="EJ13" i="2"/>
  <c r="EJ7" i="2"/>
  <c r="EJ51" i="2"/>
  <c r="EJ29" i="2"/>
  <c r="EJ25" i="2"/>
  <c r="EJ123" i="2"/>
  <c r="EJ96" i="2"/>
  <c r="EJ36" i="2"/>
  <c r="EJ33" i="2"/>
  <c r="EJ28" i="2"/>
  <c r="EJ12" i="2"/>
  <c r="EJ6" i="2"/>
  <c r="EJ68" i="2"/>
  <c r="EJ66" i="2"/>
  <c r="EJ43" i="2"/>
  <c r="EJ71" i="2"/>
  <c r="EJ67" i="2"/>
  <c r="EJ56" i="2"/>
  <c r="EJ17" i="2"/>
  <c r="EJ16" i="2"/>
  <c r="EJ11" i="2"/>
  <c r="EJ10" i="2"/>
  <c r="EJ5" i="2"/>
  <c r="EJ38" i="2"/>
  <c r="EJ65" i="2"/>
  <c r="EJ42" i="2"/>
  <c r="EJ24" i="2"/>
  <c r="EJ9" i="2"/>
  <c r="EJ125" i="2"/>
  <c r="EJ121" i="2"/>
  <c r="EJ83" i="2"/>
  <c r="EJ64" i="2"/>
  <c r="EJ49" i="2"/>
  <c r="EJ30" i="2"/>
  <c r="EJ26" i="2"/>
  <c r="EJ41" i="2"/>
  <c r="EJ20" i="2"/>
  <c r="FA622" i="2"/>
  <c r="FA630" i="2"/>
  <c r="FA628" i="2"/>
  <c r="FA626" i="2"/>
  <c r="FA620" i="2"/>
  <c r="FA629" i="2"/>
  <c r="FA623" i="2"/>
  <c r="FA619" i="2"/>
  <c r="FA617" i="2"/>
  <c r="FA612" i="2"/>
  <c r="FA610" i="2"/>
  <c r="FA608" i="2"/>
  <c r="FA621" i="2"/>
  <c r="FA627" i="2"/>
  <c r="FA609" i="2"/>
  <c r="FA606" i="2"/>
  <c r="FA604" i="2"/>
  <c r="FA602" i="2"/>
  <c r="FA616" i="2"/>
  <c r="FA614" i="2"/>
  <c r="FA613" i="2"/>
  <c r="FA607" i="2"/>
  <c r="FA611" i="2"/>
  <c r="FA605" i="2"/>
  <c r="FA603" i="2"/>
  <c r="FA600" i="2"/>
  <c r="FA615" i="2"/>
  <c r="FA599" i="2"/>
  <c r="FA593" i="2"/>
  <c r="FA590" i="2"/>
  <c r="FA589" i="2"/>
  <c r="FA596" i="2"/>
  <c r="FA588" i="2"/>
  <c r="FA587" i="2"/>
  <c r="FA595" i="2"/>
  <c r="FA586" i="2"/>
  <c r="FA598" i="2"/>
  <c r="FA594" i="2"/>
  <c r="FA583" i="2"/>
  <c r="FA574" i="2"/>
  <c r="FA572" i="2"/>
  <c r="FA570" i="2"/>
  <c r="FA580" i="2"/>
  <c r="FA584" i="2"/>
  <c r="FA582" i="2"/>
  <c r="FA575" i="2"/>
  <c r="FA585" i="2"/>
  <c r="FA573" i="2"/>
  <c r="FA571" i="2"/>
  <c r="FA569" i="2"/>
  <c r="FA591" i="2"/>
  <c r="FA579" i="2"/>
  <c r="FA578" i="2"/>
  <c r="FA577" i="2"/>
  <c r="FA597" i="2"/>
  <c r="FA581" i="2"/>
  <c r="FA592" i="2"/>
  <c r="FA549" i="2"/>
  <c r="FA547" i="2"/>
  <c r="FA545" i="2"/>
  <c r="FA539" i="2"/>
  <c r="FA537" i="2"/>
  <c r="FA535" i="2"/>
  <c r="FA565" i="2"/>
  <c r="FA558" i="2"/>
  <c r="FA555" i="2"/>
  <c r="FA561" i="2"/>
  <c r="FA559" i="2"/>
  <c r="FA543" i="2"/>
  <c r="FA548" i="2"/>
  <c r="FA546" i="2"/>
  <c r="FA544" i="2"/>
  <c r="FA556" i="2"/>
  <c r="FA540" i="2"/>
  <c r="FA538" i="2"/>
  <c r="FA536" i="2"/>
  <c r="FA541" i="2"/>
  <c r="FA551" i="2"/>
  <c r="FA564" i="2"/>
  <c r="FA563" i="2"/>
  <c r="FA552" i="2"/>
  <c r="FA550" i="2"/>
  <c r="FA533" i="2"/>
  <c r="FA557" i="2"/>
  <c r="FA532" i="2"/>
  <c r="FA519" i="2"/>
  <c r="FA515" i="2"/>
  <c r="FA512" i="2"/>
  <c r="FA510" i="2"/>
  <c r="FA508" i="2"/>
  <c r="FA521" i="2"/>
  <c r="FA513" i="2"/>
  <c r="FA527" i="2"/>
  <c r="FA526" i="2"/>
  <c r="FA523" i="2"/>
  <c r="FA522" i="2"/>
  <c r="FA520" i="2"/>
  <c r="FA516" i="2"/>
  <c r="FA506" i="2"/>
  <c r="FA504" i="2"/>
  <c r="FA503" i="2"/>
  <c r="FA530" i="2"/>
  <c r="FA511" i="2"/>
  <c r="FA509" i="2"/>
  <c r="FA507" i="2"/>
  <c r="FA534" i="2"/>
  <c r="FA531" i="2"/>
  <c r="FA542" i="2"/>
  <c r="FA529" i="2"/>
  <c r="FA518" i="2"/>
  <c r="FA514" i="2"/>
  <c r="FA528" i="2"/>
  <c r="FA492" i="2"/>
  <c r="FA486" i="2"/>
  <c r="FA505" i="2"/>
  <c r="FA501" i="2"/>
  <c r="FA489" i="2"/>
  <c r="FA487" i="2"/>
  <c r="FA469" i="2"/>
  <c r="FA467" i="2"/>
  <c r="FA497" i="2"/>
  <c r="FA484" i="2"/>
  <c r="FA502" i="2"/>
  <c r="FA483" i="2"/>
  <c r="FA500" i="2"/>
  <c r="FA496" i="2"/>
  <c r="FA495" i="2"/>
  <c r="FA493" i="2"/>
  <c r="FA461" i="2"/>
  <c r="FA459" i="2"/>
  <c r="FA452" i="2"/>
  <c r="FA450" i="2"/>
  <c r="FA448" i="2"/>
  <c r="FA480" i="2"/>
  <c r="FA477" i="2"/>
  <c r="FA472" i="2"/>
  <c r="FA465" i="2"/>
  <c r="FA475" i="2"/>
  <c r="FA456" i="2"/>
  <c r="FA524" i="2"/>
  <c r="FA494" i="2"/>
  <c r="FA479" i="2"/>
  <c r="FA476" i="2"/>
  <c r="FA474" i="2"/>
  <c r="FA463" i="2"/>
  <c r="FA525" i="2"/>
  <c r="FA498" i="2"/>
  <c r="FA490" i="2"/>
  <c r="FA482" i="2"/>
  <c r="FA481" i="2"/>
  <c r="FA478" i="2"/>
  <c r="FA471" i="2"/>
  <c r="FA460" i="2"/>
  <c r="FA488" i="2"/>
  <c r="FA468" i="2"/>
  <c r="FA466" i="2"/>
  <c r="FA473" i="2"/>
  <c r="FA464" i="2"/>
  <c r="FA455" i="2"/>
  <c r="FA433" i="2"/>
  <c r="FA431" i="2"/>
  <c r="FA429" i="2"/>
  <c r="FA423" i="2"/>
  <c r="FA421" i="2"/>
  <c r="FA453" i="2"/>
  <c r="FA447" i="2"/>
  <c r="FA434" i="2"/>
  <c r="FA443" i="2"/>
  <c r="FA435" i="2"/>
  <c r="FA417" i="2"/>
  <c r="FA445" i="2"/>
  <c r="FA438" i="2"/>
  <c r="FA457" i="2"/>
  <c r="FA442" i="2"/>
  <c r="FA441" i="2"/>
  <c r="FA439" i="2"/>
  <c r="FA449" i="2"/>
  <c r="FA432" i="2"/>
  <c r="FA430" i="2"/>
  <c r="FA424" i="2"/>
  <c r="FA422" i="2"/>
  <c r="FA425" i="2"/>
  <c r="FA451" i="2"/>
  <c r="FA462" i="2"/>
  <c r="FA436" i="2"/>
  <c r="FA418" i="2"/>
  <c r="FA410" i="2"/>
  <c r="FA408" i="2"/>
  <c r="FA389" i="2"/>
  <c r="FA440" i="2"/>
  <c r="FA427" i="2"/>
  <c r="FA419" i="2"/>
  <c r="FA398" i="2"/>
  <c r="FA403" i="2"/>
  <c r="FA401" i="2"/>
  <c r="FA399" i="2"/>
  <c r="FA446" i="2"/>
  <c r="FA420" i="2"/>
  <c r="FA406" i="2"/>
  <c r="FA396" i="2"/>
  <c r="FA394" i="2"/>
  <c r="FA387" i="2"/>
  <c r="FA415" i="2"/>
  <c r="FA414" i="2"/>
  <c r="FA411" i="2"/>
  <c r="FA409" i="2"/>
  <c r="FA397" i="2"/>
  <c r="FA385" i="2"/>
  <c r="FA416" i="2"/>
  <c r="FA412" i="2"/>
  <c r="FA390" i="2"/>
  <c r="FA402" i="2"/>
  <c r="FA388" i="2"/>
  <c r="FA386" i="2"/>
  <c r="FA368" i="2"/>
  <c r="FA366" i="2"/>
  <c r="FA407" i="2"/>
  <c r="FA374" i="2"/>
  <c r="FA372" i="2"/>
  <c r="FA428" i="2"/>
  <c r="FA405" i="2"/>
  <c r="FA369" i="2"/>
  <c r="FA362" i="2"/>
  <c r="FA345" i="2"/>
  <c r="FA413" i="2"/>
  <c r="FA400" i="2"/>
  <c r="FA356" i="2"/>
  <c r="FA354" i="2"/>
  <c r="FA378" i="2"/>
  <c r="FA364" i="2"/>
  <c r="FA393" i="2"/>
  <c r="FA392" i="2"/>
  <c r="FA379" i="2"/>
  <c r="FA367" i="2"/>
  <c r="FA363" i="2"/>
  <c r="FA358" i="2"/>
  <c r="FA437" i="2"/>
  <c r="FA395" i="2"/>
  <c r="FA380" i="2"/>
  <c r="FA373" i="2"/>
  <c r="FA360" i="2"/>
  <c r="FA357" i="2"/>
  <c r="FA426" i="2"/>
  <c r="FA404" i="2"/>
  <c r="FA391" i="2"/>
  <c r="FA376" i="2"/>
  <c r="FA353" i="2"/>
  <c r="FA351" i="2"/>
  <c r="FA350" i="2"/>
  <c r="FA344" i="2"/>
  <c r="FA340" i="2"/>
  <c r="FA382" i="2"/>
  <c r="FA341" i="2"/>
  <c r="FA338" i="2"/>
  <c r="FA336" i="2"/>
  <c r="FA349" i="2"/>
  <c r="FA348" i="2"/>
  <c r="FA342" i="2"/>
  <c r="FA370" i="2"/>
  <c r="FA347" i="2"/>
  <c r="FA346" i="2"/>
  <c r="FA377" i="2"/>
  <c r="FA365" i="2"/>
  <c r="FA361" i="2"/>
  <c r="FA339" i="2"/>
  <c r="FA334" i="2"/>
  <c r="FA383" i="2"/>
  <c r="FA381" i="2"/>
  <c r="FA359" i="2"/>
  <c r="FA352" i="2"/>
  <c r="FA328" i="2"/>
  <c r="FA323" i="2"/>
  <c r="FA322" i="2"/>
  <c r="FA321" i="2"/>
  <c r="FA320" i="2"/>
  <c r="FA318" i="2"/>
  <c r="FA311" i="2"/>
  <c r="FA355" i="2"/>
  <c r="FA329" i="2"/>
  <c r="FA332" i="2"/>
  <c r="FA319" i="2"/>
  <c r="FA331" i="2"/>
  <c r="FA316" i="2"/>
  <c r="FA314" i="2"/>
  <c r="FA330" i="2"/>
  <c r="FA327" i="2"/>
  <c r="FA326" i="2"/>
  <c r="FA303" i="2"/>
  <c r="FA296" i="2"/>
  <c r="FA301" i="2"/>
  <c r="FA302" i="2"/>
  <c r="FA284" i="2"/>
  <c r="FA282" i="2"/>
  <c r="FA280" i="2"/>
  <c r="FA276" i="2"/>
  <c r="FA274" i="2"/>
  <c r="FA315" i="2"/>
  <c r="FA307" i="2"/>
  <c r="FA305" i="2"/>
  <c r="FA304" i="2"/>
  <c r="FA299" i="2"/>
  <c r="FA335" i="2"/>
  <c r="FA294" i="2"/>
  <c r="FA292" i="2"/>
  <c r="FA309" i="2"/>
  <c r="FA289" i="2"/>
  <c r="FA337" i="2"/>
  <c r="FA343" i="2"/>
  <c r="FA297" i="2"/>
  <c r="FA259" i="2"/>
  <c r="FA257" i="2"/>
  <c r="FA236" i="2"/>
  <c r="FA324" i="2"/>
  <c r="FA285" i="2"/>
  <c r="FA279" i="2"/>
  <c r="FA255" i="2"/>
  <c r="FA253" i="2"/>
  <c r="FA251" i="2"/>
  <c r="FA249" i="2"/>
  <c r="FA247" i="2"/>
  <c r="FA272" i="2"/>
  <c r="FA269" i="2"/>
  <c r="FA243" i="2"/>
  <c r="FA241" i="2"/>
  <c r="FA239" i="2"/>
  <c r="FA281" i="2"/>
  <c r="FA270" i="2"/>
  <c r="FA262" i="2"/>
  <c r="FA260" i="2"/>
  <c r="FA291" i="2"/>
  <c r="FA267" i="2"/>
  <c r="FA266" i="2"/>
  <c r="FA258" i="2"/>
  <c r="FA313" i="2"/>
  <c r="FA293" i="2"/>
  <c r="FA265" i="2"/>
  <c r="FA264" i="2"/>
  <c r="FA254" i="2"/>
  <c r="FA252" i="2"/>
  <c r="FA250" i="2"/>
  <c r="FA248" i="2"/>
  <c r="FA246" i="2"/>
  <c r="FA287" i="2"/>
  <c r="FA283" i="2"/>
  <c r="FA325" i="2"/>
  <c r="FA275" i="2"/>
  <c r="FA271" i="2"/>
  <c r="FA263" i="2"/>
  <c r="FA261" i="2"/>
  <c r="FA217" i="2"/>
  <c r="FA209" i="2"/>
  <c r="FA245" i="2"/>
  <c r="FA231" i="2"/>
  <c r="FA224" i="2"/>
  <c r="FA213" i="2"/>
  <c r="FA204" i="2"/>
  <c r="FA202" i="2"/>
  <c r="FA200" i="2"/>
  <c r="FA198" i="2"/>
  <c r="FA196" i="2"/>
  <c r="FA238" i="2"/>
  <c r="FA237" i="2"/>
  <c r="FA227" i="2"/>
  <c r="FA223" i="2"/>
  <c r="FA205" i="2"/>
  <c r="FA220" i="2"/>
  <c r="FA211" i="2"/>
  <c r="FA240" i="2"/>
  <c r="FA228" i="2"/>
  <c r="FA226" i="2"/>
  <c r="FA221" i="2"/>
  <c r="FA268" i="2"/>
  <c r="FA232" i="2"/>
  <c r="FA242" i="2"/>
  <c r="FA235" i="2"/>
  <c r="FA233" i="2"/>
  <c r="FA214" i="2"/>
  <c r="FA212" i="2"/>
  <c r="FA203" i="2"/>
  <c r="FA201" i="2"/>
  <c r="FA199" i="2"/>
  <c r="FA222" i="2"/>
  <c r="FA219" i="2"/>
  <c r="FA218" i="2"/>
  <c r="FA194" i="2"/>
  <c r="FA167" i="2"/>
  <c r="FA165" i="2"/>
  <c r="FA156" i="2"/>
  <c r="FA193" i="2"/>
  <c r="FA192" i="2"/>
  <c r="FA189" i="2"/>
  <c r="FA188" i="2"/>
  <c r="FA157" i="2"/>
  <c r="FA152" i="2"/>
  <c r="FA150" i="2"/>
  <c r="FA148" i="2"/>
  <c r="FA146" i="2"/>
  <c r="FA137" i="2"/>
  <c r="FA191" i="2"/>
  <c r="FA225" i="2"/>
  <c r="FA176" i="2"/>
  <c r="FA174" i="2"/>
  <c r="FA172" i="2"/>
  <c r="FA170" i="2"/>
  <c r="FA153" i="2"/>
  <c r="FA187" i="2"/>
  <c r="FA185" i="2"/>
  <c r="FA183" i="2"/>
  <c r="FA181" i="2"/>
  <c r="FA179" i="2"/>
  <c r="FA163" i="2"/>
  <c r="FA161" i="2"/>
  <c r="FA154" i="2"/>
  <c r="FA195" i="2"/>
  <c r="FA168" i="2"/>
  <c r="FA166" i="2"/>
  <c r="FA155" i="2"/>
  <c r="FA197" i="2"/>
  <c r="FA158" i="2"/>
  <c r="FA151" i="2"/>
  <c r="FA149" i="2"/>
  <c r="FA147" i="2"/>
  <c r="FA138" i="2"/>
  <c r="FA136" i="2"/>
  <c r="FA186" i="2"/>
  <c r="FA184" i="2"/>
  <c r="FA182" i="2"/>
  <c r="FA180" i="2"/>
  <c r="FA178" i="2"/>
  <c r="FA164" i="2"/>
  <c r="FA162" i="2"/>
  <c r="FA160" i="2"/>
  <c r="FA134" i="2"/>
  <c r="FA127" i="2"/>
  <c r="FA112" i="2"/>
  <c r="FA101" i="2"/>
  <c r="FA95" i="2"/>
  <c r="FA91" i="2"/>
  <c r="FA89" i="2"/>
  <c r="FA87" i="2"/>
  <c r="FA115" i="2"/>
  <c r="FA113" i="2"/>
  <c r="FA85" i="2"/>
  <c r="FA83" i="2"/>
  <c r="FA81" i="2"/>
  <c r="FA79" i="2"/>
  <c r="FA77" i="2"/>
  <c r="FA143" i="2"/>
  <c r="FA129" i="2"/>
  <c r="FA125" i="2"/>
  <c r="FA123" i="2"/>
  <c r="FA121" i="2"/>
  <c r="FA175" i="2"/>
  <c r="FA139" i="2"/>
  <c r="FA110" i="2"/>
  <c r="FA107" i="2"/>
  <c r="FA99" i="2"/>
  <c r="FA97" i="2"/>
  <c r="FA140" i="2"/>
  <c r="FA132" i="2"/>
  <c r="FA128" i="2"/>
  <c r="FA126" i="2"/>
  <c r="FA102" i="2"/>
  <c r="FA100" i="2"/>
  <c r="FA94" i="2"/>
  <c r="FA92" i="2"/>
  <c r="FA90" i="2"/>
  <c r="FA88" i="2"/>
  <c r="FA75" i="2"/>
  <c r="FA114" i="2"/>
  <c r="FA103" i="2"/>
  <c r="FA84" i="2"/>
  <c r="FA82" i="2"/>
  <c r="FA80" i="2"/>
  <c r="FA78" i="2"/>
  <c r="FA68" i="2"/>
  <c r="FA66" i="2"/>
  <c r="FA64" i="2"/>
  <c r="FA62" i="2"/>
  <c r="FA60" i="2"/>
  <c r="FA119" i="2"/>
  <c r="FA111" i="2"/>
  <c r="FA98" i="2"/>
  <c r="FA73" i="2"/>
  <c r="FA70" i="2"/>
  <c r="FA50" i="2"/>
  <c r="FA48" i="2"/>
  <c r="FA45" i="2"/>
  <c r="FA72" i="2"/>
  <c r="FA69" i="2"/>
  <c r="FA51" i="2"/>
  <c r="FA38" i="2"/>
  <c r="FA36" i="2"/>
  <c r="FA28" i="2"/>
  <c r="FA144" i="2"/>
  <c r="FA141" i="2"/>
  <c r="FA109" i="2"/>
  <c r="FA71" i="2"/>
  <c r="FA58" i="2"/>
  <c r="FA56" i="2"/>
  <c r="FA49" i="2"/>
  <c r="FA44" i="2"/>
  <c r="FA43" i="2"/>
  <c r="FA42" i="2"/>
  <c r="FA41" i="2"/>
  <c r="FA124" i="2"/>
  <c r="FA122" i="2"/>
  <c r="FA105" i="2"/>
  <c r="FA67" i="2"/>
  <c r="FA52" i="2"/>
  <c r="FA130" i="2"/>
  <c r="FA118" i="2"/>
  <c r="FA65" i="2"/>
  <c r="FA133" i="2"/>
  <c r="FA63" i="2"/>
  <c r="FA54" i="2"/>
  <c r="FA40" i="2"/>
  <c r="FA39" i="2"/>
  <c r="FA57" i="2"/>
  <c r="FA53" i="2"/>
  <c r="FA24" i="2"/>
  <c r="FA9" i="2"/>
  <c r="FA46" i="2"/>
  <c r="FA35" i="2"/>
  <c r="FA33" i="2"/>
  <c r="FA131" i="2"/>
  <c r="FA106" i="2"/>
  <c r="FA61" i="2"/>
  <c r="FA37" i="2"/>
  <c r="FA23" i="2"/>
  <c r="FA22" i="2"/>
  <c r="FA21" i="2"/>
  <c r="FA19" i="2"/>
  <c r="FA18" i="2"/>
  <c r="FA14" i="2"/>
  <c r="FA8" i="2"/>
  <c r="FA55" i="2"/>
  <c r="FA20" i="2"/>
  <c r="FA104" i="2"/>
  <c r="FA74" i="2"/>
  <c r="FA13" i="2"/>
  <c r="FA7" i="2"/>
  <c r="FA47" i="2"/>
  <c r="FA30" i="2"/>
  <c r="FA12" i="2"/>
  <c r="FA6" i="2"/>
  <c r="FA59" i="2"/>
  <c r="FA142" i="2"/>
  <c r="FA173" i="2"/>
  <c r="FA29" i="2"/>
  <c r="FA15" i="2"/>
  <c r="GG617" i="2"/>
  <c r="GG615" i="2"/>
  <c r="GG613" i="2"/>
  <c r="GG624" i="2"/>
  <c r="GG631" i="2"/>
  <c r="GG623" i="2"/>
  <c r="GG619" i="2"/>
  <c r="GG629" i="2"/>
  <c r="GG628" i="2"/>
  <c r="GG621" i="2"/>
  <c r="GG627" i="2"/>
  <c r="GG626" i="2"/>
  <c r="GG630" i="2"/>
  <c r="GG604" i="2"/>
  <c r="GG602" i="2"/>
  <c r="GG610" i="2"/>
  <c r="GG606" i="2"/>
  <c r="GG599" i="2"/>
  <c r="GG597" i="2"/>
  <c r="GG595" i="2"/>
  <c r="GG593" i="2"/>
  <c r="GG591" i="2"/>
  <c r="GG589" i="2"/>
  <c r="GG587" i="2"/>
  <c r="GG585" i="2"/>
  <c r="GG583" i="2"/>
  <c r="GG581" i="2"/>
  <c r="GG579" i="2"/>
  <c r="GG618" i="2"/>
  <c r="GG609" i="2"/>
  <c r="GG622" i="2"/>
  <c r="GG614" i="2"/>
  <c r="GG608" i="2"/>
  <c r="GG605" i="2"/>
  <c r="GG603" i="2"/>
  <c r="GG616" i="2"/>
  <c r="GG607" i="2"/>
  <c r="GG600" i="2"/>
  <c r="GG598" i="2"/>
  <c r="GG596" i="2"/>
  <c r="GG594" i="2"/>
  <c r="GG592" i="2"/>
  <c r="GG625" i="2"/>
  <c r="GG612" i="2"/>
  <c r="GG590" i="2"/>
  <c r="GG611" i="2"/>
  <c r="GG588" i="2"/>
  <c r="GG620" i="2"/>
  <c r="GG586" i="2"/>
  <c r="GG566" i="2"/>
  <c r="GG563" i="2"/>
  <c r="GG559" i="2"/>
  <c r="GG557" i="2"/>
  <c r="GG555" i="2"/>
  <c r="GG575" i="2"/>
  <c r="GG573" i="2"/>
  <c r="GG571" i="2"/>
  <c r="GG569" i="2"/>
  <c r="GG561" i="2"/>
  <c r="GG580" i="2"/>
  <c r="GG567" i="2"/>
  <c r="GG578" i="2"/>
  <c r="GG576" i="2"/>
  <c r="GG564" i="2"/>
  <c r="GG584" i="2"/>
  <c r="GG582" i="2"/>
  <c r="GG539" i="2"/>
  <c r="GG537" i="2"/>
  <c r="GG535" i="2"/>
  <c r="GG533" i="2"/>
  <c r="GG570" i="2"/>
  <c r="GG562" i="2"/>
  <c r="GG558" i="2"/>
  <c r="GG574" i="2"/>
  <c r="GG568" i="2"/>
  <c r="GG560" i="2"/>
  <c r="GG548" i="2"/>
  <c r="GG546" i="2"/>
  <c r="GG544" i="2"/>
  <c r="GG553" i="2"/>
  <c r="GG565" i="2"/>
  <c r="GG541" i="2"/>
  <c r="GG577" i="2"/>
  <c r="GG572" i="2"/>
  <c r="GG556" i="2"/>
  <c r="GG542" i="2"/>
  <c r="GG529" i="2"/>
  <c r="GG527" i="2"/>
  <c r="GG525" i="2"/>
  <c r="GG523" i="2"/>
  <c r="GG521" i="2"/>
  <c r="GG545" i="2"/>
  <c r="GG536" i="2"/>
  <c r="GG547" i="2"/>
  <c r="GG538" i="2"/>
  <c r="GG532" i="2"/>
  <c r="GG549" i="2"/>
  <c r="GG540" i="2"/>
  <c r="GG550" i="2"/>
  <c r="GG513" i="2"/>
  <c r="GG551" i="2"/>
  <c r="GG517" i="2"/>
  <c r="GG534" i="2"/>
  <c r="GG526" i="2"/>
  <c r="GG522" i="2"/>
  <c r="GG520" i="2"/>
  <c r="GG516" i="2"/>
  <c r="GG506" i="2"/>
  <c r="GG504" i="2"/>
  <c r="GG503" i="2"/>
  <c r="GG501" i="2"/>
  <c r="GG511" i="2"/>
  <c r="GG509" i="2"/>
  <c r="GG507" i="2"/>
  <c r="GG530" i="2"/>
  <c r="GG552" i="2"/>
  <c r="GG531" i="2"/>
  <c r="GG528" i="2"/>
  <c r="GG524" i="2"/>
  <c r="GG519" i="2"/>
  <c r="GG515" i="2"/>
  <c r="GG492" i="2"/>
  <c r="GG486" i="2"/>
  <c r="GG499" i="2"/>
  <c r="GG489" i="2"/>
  <c r="GG487" i="2"/>
  <c r="GG484" i="2"/>
  <c r="GG482" i="2"/>
  <c r="GG480" i="2"/>
  <c r="GG478" i="2"/>
  <c r="GG476" i="2"/>
  <c r="GG497" i="2"/>
  <c r="GG483" i="2"/>
  <c r="GG518" i="2"/>
  <c r="GG474" i="2"/>
  <c r="GG472" i="2"/>
  <c r="GG512" i="2"/>
  <c r="GG493" i="2"/>
  <c r="GG491" i="2"/>
  <c r="GG505" i="2"/>
  <c r="GG496" i="2"/>
  <c r="GG490" i="2"/>
  <c r="GG488" i="2"/>
  <c r="GG468" i="2"/>
  <c r="GG495" i="2"/>
  <c r="GG473" i="2"/>
  <c r="GG502" i="2"/>
  <c r="GG465" i="2"/>
  <c r="GG456" i="2"/>
  <c r="GG454" i="2"/>
  <c r="GG500" i="2"/>
  <c r="GG498" i="2"/>
  <c r="GG477" i="2"/>
  <c r="GG475" i="2"/>
  <c r="GG469" i="2"/>
  <c r="GG470" i="2"/>
  <c r="GG463" i="2"/>
  <c r="GG460" i="2"/>
  <c r="GG458" i="2"/>
  <c r="GG510" i="2"/>
  <c r="GG479" i="2"/>
  <c r="GG471" i="2"/>
  <c r="GG467" i="2"/>
  <c r="GG466" i="2"/>
  <c r="GG457" i="2"/>
  <c r="GG455" i="2"/>
  <c r="GG514" i="2"/>
  <c r="GG508" i="2"/>
  <c r="GG494" i="2"/>
  <c r="GG481" i="2"/>
  <c r="GG464" i="2"/>
  <c r="GG461" i="2"/>
  <c r="GG459" i="2"/>
  <c r="GG448" i="2"/>
  <c r="GG446" i="2"/>
  <c r="GG434" i="2"/>
  <c r="GG453" i="2"/>
  <c r="GG451" i="2"/>
  <c r="GG450" i="2"/>
  <c r="GG435" i="2"/>
  <c r="GG417" i="2"/>
  <c r="GG452" i="2"/>
  <c r="GG443" i="2"/>
  <c r="GG438" i="2"/>
  <c r="GG445" i="2"/>
  <c r="GG442" i="2"/>
  <c r="GG441" i="2"/>
  <c r="GG439" i="2"/>
  <c r="GG447" i="2"/>
  <c r="GG432" i="2"/>
  <c r="GG430" i="2"/>
  <c r="GG424" i="2"/>
  <c r="GG422" i="2"/>
  <c r="GG425" i="2"/>
  <c r="GG462" i="2"/>
  <c r="GG436" i="2"/>
  <c r="GG426" i="2"/>
  <c r="GG449" i="2"/>
  <c r="GG437" i="2"/>
  <c r="GG423" i="2"/>
  <c r="GG421" i="2"/>
  <c r="GG389" i="2"/>
  <c r="GG433" i="2"/>
  <c r="GG418" i="2"/>
  <c r="GG403" i="2"/>
  <c r="GG401" i="2"/>
  <c r="GG399" i="2"/>
  <c r="GG384" i="2"/>
  <c r="GG429" i="2"/>
  <c r="GG406" i="2"/>
  <c r="GG396" i="2"/>
  <c r="GG394" i="2"/>
  <c r="GG387" i="2"/>
  <c r="GG419" i="2"/>
  <c r="GG411" i="2"/>
  <c r="GG409" i="2"/>
  <c r="GG397" i="2"/>
  <c r="GG385" i="2"/>
  <c r="GG428" i="2"/>
  <c r="GG412" i="2"/>
  <c r="GG390" i="2"/>
  <c r="GG415" i="2"/>
  <c r="GG414" i="2"/>
  <c r="GG391" i="2"/>
  <c r="GG440" i="2"/>
  <c r="GG413" i="2"/>
  <c r="GG381" i="2"/>
  <c r="GG374" i="2"/>
  <c r="GG372" i="2"/>
  <c r="GG392" i="2"/>
  <c r="GG369" i="2"/>
  <c r="GG362" i="2"/>
  <c r="GG404" i="2"/>
  <c r="GG393" i="2"/>
  <c r="GG383" i="2"/>
  <c r="GG356" i="2"/>
  <c r="GG354" i="2"/>
  <c r="GG352" i="2"/>
  <c r="GG350" i="2"/>
  <c r="GG348" i="2"/>
  <c r="GG346" i="2"/>
  <c r="GG410" i="2"/>
  <c r="GG408" i="2"/>
  <c r="GG395" i="2"/>
  <c r="GG378" i="2"/>
  <c r="GG364" i="2"/>
  <c r="GG379" i="2"/>
  <c r="GG367" i="2"/>
  <c r="GG363" i="2"/>
  <c r="GG358" i="2"/>
  <c r="GG402" i="2"/>
  <c r="GG386" i="2"/>
  <c r="GG380" i="2"/>
  <c r="GG373" i="2"/>
  <c r="GG360" i="2"/>
  <c r="GG357" i="2"/>
  <c r="GG375" i="2"/>
  <c r="GG370" i="2"/>
  <c r="GG365" i="2"/>
  <c r="GG427" i="2"/>
  <c r="GG416" i="2"/>
  <c r="GG407" i="2"/>
  <c r="GG420" i="2"/>
  <c r="GG405" i="2"/>
  <c r="GG400" i="2"/>
  <c r="GG377" i="2"/>
  <c r="GG431" i="2"/>
  <c r="GG382" i="2"/>
  <c r="GG340" i="2"/>
  <c r="GG333" i="2"/>
  <c r="GG355" i="2"/>
  <c r="GG353" i="2"/>
  <c r="GG351" i="2"/>
  <c r="GG345" i="2"/>
  <c r="GG344" i="2"/>
  <c r="GG341" i="2"/>
  <c r="GG338" i="2"/>
  <c r="GG336" i="2"/>
  <c r="GG324" i="2"/>
  <c r="GG322" i="2"/>
  <c r="GG320" i="2"/>
  <c r="GG361" i="2"/>
  <c r="GG342" i="2"/>
  <c r="GG349" i="2"/>
  <c r="GG332" i="2"/>
  <c r="GG388" i="2"/>
  <c r="GG376" i="2"/>
  <c r="GG371" i="2"/>
  <c r="GG347" i="2"/>
  <c r="GG368" i="2"/>
  <c r="GG337" i="2"/>
  <c r="GG335" i="2"/>
  <c r="GG330" i="2"/>
  <c r="GG323" i="2"/>
  <c r="GG315" i="2"/>
  <c r="GG313" i="2"/>
  <c r="GG305" i="2"/>
  <c r="GG318" i="2"/>
  <c r="GG328" i="2"/>
  <c r="GG321" i="2"/>
  <c r="GG311" i="2"/>
  <c r="GG334" i="2"/>
  <c r="GG339" i="2"/>
  <c r="GG319" i="2"/>
  <c r="GG309" i="2"/>
  <c r="GG343" i="2"/>
  <c r="GG329" i="2"/>
  <c r="GG316" i="2"/>
  <c r="GG317" i="2"/>
  <c r="GG312" i="2"/>
  <c r="GG301" i="2"/>
  <c r="GG273" i="2"/>
  <c r="GG270" i="2"/>
  <c r="GG268" i="2"/>
  <c r="GG331" i="2"/>
  <c r="GG327" i="2"/>
  <c r="GG302" i="2"/>
  <c r="GG298" i="2"/>
  <c r="GG286" i="2"/>
  <c r="GG284" i="2"/>
  <c r="GG282" i="2"/>
  <c r="GG280" i="2"/>
  <c r="GG278" i="2"/>
  <c r="GG277" i="2"/>
  <c r="GG276" i="2"/>
  <c r="GG274" i="2"/>
  <c r="GG304" i="2"/>
  <c r="GG299" i="2"/>
  <c r="GG314" i="2"/>
  <c r="GG294" i="2"/>
  <c r="GG292" i="2"/>
  <c r="GG290" i="2"/>
  <c r="GG288" i="2"/>
  <c r="GG295" i="2"/>
  <c r="GG289" i="2"/>
  <c r="GG366" i="2"/>
  <c r="GG300" i="2"/>
  <c r="GG326" i="2"/>
  <c r="GG325" i="2"/>
  <c r="GG310" i="2"/>
  <c r="GG307" i="2"/>
  <c r="GG285" i="2"/>
  <c r="GG283" i="2"/>
  <c r="GG281" i="2"/>
  <c r="GG279" i="2"/>
  <c r="GG297" i="2"/>
  <c r="GG293" i="2"/>
  <c r="GG291" i="2"/>
  <c r="GG271" i="2"/>
  <c r="GG255" i="2"/>
  <c r="GG253" i="2"/>
  <c r="GG251" i="2"/>
  <c r="GG249" i="2"/>
  <c r="GG247" i="2"/>
  <c r="GG245" i="2"/>
  <c r="GG306" i="2"/>
  <c r="GG303" i="2"/>
  <c r="GG275" i="2"/>
  <c r="GG308" i="2"/>
  <c r="GG241" i="2"/>
  <c r="GG239" i="2"/>
  <c r="GG237" i="2"/>
  <c r="GG231" i="2"/>
  <c r="GG227" i="2"/>
  <c r="GG269" i="2"/>
  <c r="GG262" i="2"/>
  <c r="GG260" i="2"/>
  <c r="GG258" i="2"/>
  <c r="GG256" i="2"/>
  <c r="GG272" i="2"/>
  <c r="GG254" i="2"/>
  <c r="GG252" i="2"/>
  <c r="GG250" i="2"/>
  <c r="GG248" i="2"/>
  <c r="GG246" i="2"/>
  <c r="GG296" i="2"/>
  <c r="GG267" i="2"/>
  <c r="GG266" i="2"/>
  <c r="GG265" i="2"/>
  <c r="GG259" i="2"/>
  <c r="GG257" i="2"/>
  <c r="GG224" i="2"/>
  <c r="GG213" i="2"/>
  <c r="GG210" i="2"/>
  <c r="GG204" i="2"/>
  <c r="GG202" i="2"/>
  <c r="GG200" i="2"/>
  <c r="GG236" i="2"/>
  <c r="GG230" i="2"/>
  <c r="GG223" i="2"/>
  <c r="GG205" i="2"/>
  <c r="GG264" i="2"/>
  <c r="GG263" i="2"/>
  <c r="GG244" i="2"/>
  <c r="GG220" i="2"/>
  <c r="GG211" i="2"/>
  <c r="GG206" i="2"/>
  <c r="GG243" i="2"/>
  <c r="GG229" i="2"/>
  <c r="GG221" i="2"/>
  <c r="GG216" i="2"/>
  <c r="GG207" i="2"/>
  <c r="GG261" i="2"/>
  <c r="GG226" i="2"/>
  <c r="GG215" i="2"/>
  <c r="GG238" i="2"/>
  <c r="GG228" i="2"/>
  <c r="GG214" i="2"/>
  <c r="GG212" i="2"/>
  <c r="GG203" i="2"/>
  <c r="GG201" i="2"/>
  <c r="GG199" i="2"/>
  <c r="GG234" i="2"/>
  <c r="GG232" i="2"/>
  <c r="GG240" i="2"/>
  <c r="GG235" i="2"/>
  <c r="GG242" i="2"/>
  <c r="GG217" i="2"/>
  <c r="GG209" i="2"/>
  <c r="GG218" i="2"/>
  <c r="GG198" i="2"/>
  <c r="GG157" i="2"/>
  <c r="GG152" i="2"/>
  <c r="GG150" i="2"/>
  <c r="GG148" i="2"/>
  <c r="GG146" i="2"/>
  <c r="GG193" i="2"/>
  <c r="GG189" i="2"/>
  <c r="GG194" i="2"/>
  <c r="GG192" i="2"/>
  <c r="GG191" i="2"/>
  <c r="GG188" i="2"/>
  <c r="GG176" i="2"/>
  <c r="GG174" i="2"/>
  <c r="GG172" i="2"/>
  <c r="GG170" i="2"/>
  <c r="GG153" i="2"/>
  <c r="GG144" i="2"/>
  <c r="GG222" i="2"/>
  <c r="GG196" i="2"/>
  <c r="GG187" i="2"/>
  <c r="GG185" i="2"/>
  <c r="GG183" i="2"/>
  <c r="GG181" i="2"/>
  <c r="GG179" i="2"/>
  <c r="GG177" i="2"/>
  <c r="GG169" i="2"/>
  <c r="GG163" i="2"/>
  <c r="GG161" i="2"/>
  <c r="GG154" i="2"/>
  <c r="GG168" i="2"/>
  <c r="GG166" i="2"/>
  <c r="GG155" i="2"/>
  <c r="GG142" i="2"/>
  <c r="GG140" i="2"/>
  <c r="GG158" i="2"/>
  <c r="GG151" i="2"/>
  <c r="GG149" i="2"/>
  <c r="GG147" i="2"/>
  <c r="GG145" i="2"/>
  <c r="GG195" i="2"/>
  <c r="GG190" i="2"/>
  <c r="GG159" i="2"/>
  <c r="GG219" i="2"/>
  <c r="GG197" i="2"/>
  <c r="GG186" i="2"/>
  <c r="GG184" i="2"/>
  <c r="GG182" i="2"/>
  <c r="GG180" i="2"/>
  <c r="GG233" i="2"/>
  <c r="GG225" i="2"/>
  <c r="GG208" i="2"/>
  <c r="GG167" i="2"/>
  <c r="GG165" i="2"/>
  <c r="GG156" i="2"/>
  <c r="GG175" i="2"/>
  <c r="GG133" i="2"/>
  <c r="GG116" i="2"/>
  <c r="GG115" i="2"/>
  <c r="GG113" i="2"/>
  <c r="GG85" i="2"/>
  <c r="GG83" i="2"/>
  <c r="GG81" i="2"/>
  <c r="GG79" i="2"/>
  <c r="GG77" i="2"/>
  <c r="GG162" i="2"/>
  <c r="GG134" i="2"/>
  <c r="GG125" i="2"/>
  <c r="GG123" i="2"/>
  <c r="GG121" i="2"/>
  <c r="GG141" i="2"/>
  <c r="GG129" i="2"/>
  <c r="GG110" i="2"/>
  <c r="GG96" i="2"/>
  <c r="GG171" i="2"/>
  <c r="GG107" i="2"/>
  <c r="GG99" i="2"/>
  <c r="GG97" i="2"/>
  <c r="GG93" i="2"/>
  <c r="GG173" i="2"/>
  <c r="GG128" i="2"/>
  <c r="GG126" i="2"/>
  <c r="GG102" i="2"/>
  <c r="GG100" i="2"/>
  <c r="GG94" i="2"/>
  <c r="GG92" i="2"/>
  <c r="GG90" i="2"/>
  <c r="GG88" i="2"/>
  <c r="GG86" i="2"/>
  <c r="GG75" i="2"/>
  <c r="GG164" i="2"/>
  <c r="GG160" i="2"/>
  <c r="GG114" i="2"/>
  <c r="GG103" i="2"/>
  <c r="GG84" i="2"/>
  <c r="GG82" i="2"/>
  <c r="GG80" i="2"/>
  <c r="GG78" i="2"/>
  <c r="GG76" i="2"/>
  <c r="GG143" i="2"/>
  <c r="GG136" i="2"/>
  <c r="GG132" i="2"/>
  <c r="GG124" i="2"/>
  <c r="GG122" i="2"/>
  <c r="GG120" i="2"/>
  <c r="GG111" i="2"/>
  <c r="GG104" i="2"/>
  <c r="GG73" i="2"/>
  <c r="GG118" i="2"/>
  <c r="GG70" i="2"/>
  <c r="GG51" i="2"/>
  <c r="GG38" i="2"/>
  <c r="GG36" i="2"/>
  <c r="GG95" i="2"/>
  <c r="GG89" i="2"/>
  <c r="GG72" i="2"/>
  <c r="GG69" i="2"/>
  <c r="GG130" i="2"/>
  <c r="GG49" i="2"/>
  <c r="GG44" i="2"/>
  <c r="GG43" i="2"/>
  <c r="GG42" i="2"/>
  <c r="GG41" i="2"/>
  <c r="GG131" i="2"/>
  <c r="GG91" i="2"/>
  <c r="GG58" i="2"/>
  <c r="GG56" i="2"/>
  <c r="GG52" i="2"/>
  <c r="GG137" i="2"/>
  <c r="GG74" i="2"/>
  <c r="GG68" i="2"/>
  <c r="GG67" i="2"/>
  <c r="GG34" i="2"/>
  <c r="GG112" i="2"/>
  <c r="GG106" i="2"/>
  <c r="GG71" i="2"/>
  <c r="GG66" i="2"/>
  <c r="GG65" i="2"/>
  <c r="GG54" i="2"/>
  <c r="GG40" i="2"/>
  <c r="GG39" i="2"/>
  <c r="GG178" i="2"/>
  <c r="GG119" i="2"/>
  <c r="GG98" i="2"/>
  <c r="GG64" i="2"/>
  <c r="GG63" i="2"/>
  <c r="GG53" i="2"/>
  <c r="GG33" i="2"/>
  <c r="GG109" i="2"/>
  <c r="GG32" i="2"/>
  <c r="GG29" i="2"/>
  <c r="GG48" i="2"/>
  <c r="GG23" i="2"/>
  <c r="GG22" i="2"/>
  <c r="GG21" i="2"/>
  <c r="GG19" i="2"/>
  <c r="GG18" i="2"/>
  <c r="GG14" i="2"/>
  <c r="GG8" i="2"/>
  <c r="GG127" i="2"/>
  <c r="GG87" i="2"/>
  <c r="GG60" i="2"/>
  <c r="GG59" i="2"/>
  <c r="GG47" i="2"/>
  <c r="GG20" i="2"/>
  <c r="GG28" i="2"/>
  <c r="GG26" i="2"/>
  <c r="GG13" i="2"/>
  <c r="GG7" i="2"/>
  <c r="GG139" i="2"/>
  <c r="GG27" i="2"/>
  <c r="GG62" i="2"/>
  <c r="GG12" i="2"/>
  <c r="GG6" i="2"/>
  <c r="GG135" i="2"/>
  <c r="GG57" i="2"/>
  <c r="GG25" i="2"/>
  <c r="GG50" i="2"/>
  <c r="GG46" i="2"/>
  <c r="GG35" i="2"/>
  <c r="GG31" i="2"/>
  <c r="GG30" i="2"/>
  <c r="GG138" i="2"/>
  <c r="GG105" i="2"/>
  <c r="GG101" i="2"/>
  <c r="GG61" i="2"/>
  <c r="GG37" i="2"/>
  <c r="GG55" i="2"/>
  <c r="GG45" i="2"/>
  <c r="GG24" i="2"/>
  <c r="GG9" i="2"/>
  <c r="FA5" i="2"/>
  <c r="DW15" i="2"/>
  <c r="EP15" i="2" s="1"/>
  <c r="HN8" i="2"/>
  <c r="GP16" i="2"/>
  <c r="EC16" i="2"/>
  <c r="DS16" i="2"/>
  <c r="EL16" i="2" s="1"/>
  <c r="GO16" i="2"/>
  <c r="EB16" i="2"/>
  <c r="DR16" i="2"/>
  <c r="EK16" i="2" s="1"/>
  <c r="EA16" i="2"/>
  <c r="ET16" i="2" s="1"/>
  <c r="DQ16" i="2"/>
  <c r="DZ16" i="2"/>
  <c r="DP16" i="2"/>
  <c r="EI16" i="2" s="1"/>
  <c r="DY16" i="2"/>
  <c r="DM16" i="2"/>
  <c r="I1" i="2"/>
  <c r="DX16" i="2"/>
  <c r="EQ16" i="2" s="1"/>
  <c r="DL16" i="2"/>
  <c r="GT16" i="2"/>
  <c r="EH16" i="2"/>
  <c r="FA16" i="2" s="1"/>
  <c r="DW16" i="2"/>
  <c r="EP16" i="2" s="1"/>
  <c r="ED16" i="2"/>
  <c r="EW16" i="2" s="1"/>
  <c r="DT16" i="2"/>
  <c r="EM16" i="2" s="1"/>
  <c r="EJ19" i="2"/>
  <c r="DZ22" i="2"/>
  <c r="EJ23" i="2"/>
  <c r="DN505" i="1"/>
  <c r="AN551" i="1"/>
  <c r="DR551" i="1"/>
  <c r="DS612" i="1"/>
  <c r="DT612" i="1" s="1"/>
  <c r="EI623" i="2"/>
  <c r="EI621" i="2"/>
  <c r="EI616" i="2"/>
  <c r="EI629" i="2"/>
  <c r="EI615" i="2"/>
  <c r="EI614" i="2"/>
  <c r="EI613" i="2"/>
  <c r="EI611" i="2"/>
  <c r="EI609" i="2"/>
  <c r="EI607" i="2"/>
  <c r="EI627" i="2"/>
  <c r="EI630" i="2"/>
  <c r="EI626" i="2"/>
  <c r="EI622" i="2"/>
  <c r="EI620" i="2"/>
  <c r="EI628" i="2"/>
  <c r="EI608" i="2"/>
  <c r="EI617" i="2"/>
  <c r="EI605" i="2"/>
  <c r="EI603" i="2"/>
  <c r="EI619" i="2"/>
  <c r="EI612" i="2"/>
  <c r="EI600" i="2"/>
  <c r="EI598" i="2"/>
  <c r="EI596" i="2"/>
  <c r="EI594" i="2"/>
  <c r="EI586" i="2"/>
  <c r="EI597" i="2"/>
  <c r="EI585" i="2"/>
  <c r="EI584" i="2"/>
  <c r="EI610" i="2"/>
  <c r="EI604" i="2"/>
  <c r="EI583" i="2"/>
  <c r="EI592" i="2"/>
  <c r="EI593" i="2"/>
  <c r="EI591" i="2"/>
  <c r="EI599" i="2"/>
  <c r="EI590" i="2"/>
  <c r="EI606" i="2"/>
  <c r="EI602" i="2"/>
  <c r="EI563" i="2"/>
  <c r="EI559" i="2"/>
  <c r="EI557" i="2"/>
  <c r="EI595" i="2"/>
  <c r="EI582" i="2"/>
  <c r="EI581" i="2"/>
  <c r="EI579" i="2"/>
  <c r="EI578" i="2"/>
  <c r="EI577" i="2"/>
  <c r="EI575" i="2"/>
  <c r="EI573" i="2"/>
  <c r="EI571" i="2"/>
  <c r="EI569" i="2"/>
  <c r="EI561" i="2"/>
  <c r="EI576" i="2"/>
  <c r="EI567" i="2"/>
  <c r="EI580" i="2"/>
  <c r="EI589" i="2"/>
  <c r="EI588" i="2"/>
  <c r="EI587" i="2"/>
  <c r="EI574" i="2"/>
  <c r="EI552" i="2"/>
  <c r="EI551" i="2"/>
  <c r="EI548" i="2"/>
  <c r="EI546" i="2"/>
  <c r="EI566" i="2"/>
  <c r="EI550" i="2"/>
  <c r="EI541" i="2"/>
  <c r="EI572" i="2"/>
  <c r="EI558" i="2"/>
  <c r="EI570" i="2"/>
  <c r="EI538" i="2"/>
  <c r="EI532" i="2"/>
  <c r="EI545" i="2"/>
  <c r="EI539" i="2"/>
  <c r="EI534" i="2"/>
  <c r="EI547" i="2"/>
  <c r="EI540" i="2"/>
  <c r="EI549" i="2"/>
  <c r="EI544" i="2"/>
  <c r="EI535" i="2"/>
  <c r="EI531" i="2"/>
  <c r="EI555" i="2"/>
  <c r="EI537" i="2"/>
  <c r="EI528" i="2"/>
  <c r="EI524" i="2"/>
  <c r="EI533" i="2"/>
  <c r="EI520" i="2"/>
  <c r="EI516" i="2"/>
  <c r="EI506" i="2"/>
  <c r="EI504" i="2"/>
  <c r="EI503" i="2"/>
  <c r="EI501" i="2"/>
  <c r="EI499" i="2"/>
  <c r="EI542" i="2"/>
  <c r="EI525" i="2"/>
  <c r="EI529" i="2"/>
  <c r="EI556" i="2"/>
  <c r="EI526" i="2"/>
  <c r="EI518" i="2"/>
  <c r="EI536" i="2"/>
  <c r="EI530" i="2"/>
  <c r="EI513" i="2"/>
  <c r="EI510" i="2"/>
  <c r="EI505" i="2"/>
  <c r="EI484" i="2"/>
  <c r="EI496" i="2"/>
  <c r="EI495" i="2"/>
  <c r="EI485" i="2"/>
  <c r="EI483" i="2"/>
  <c r="EI523" i="2"/>
  <c r="EI508" i="2"/>
  <c r="EI474" i="2"/>
  <c r="EI472" i="2"/>
  <c r="EI462" i="2"/>
  <c r="EI527" i="2"/>
  <c r="EI498" i="2"/>
  <c r="EI493" i="2"/>
  <c r="EI511" i="2"/>
  <c r="EI502" i="2"/>
  <c r="EI490" i="2"/>
  <c r="EI488" i="2"/>
  <c r="EI494" i="2"/>
  <c r="EI481" i="2"/>
  <c r="EI509" i="2"/>
  <c r="EI512" i="2"/>
  <c r="EI507" i="2"/>
  <c r="EI487" i="2"/>
  <c r="EI468" i="2"/>
  <c r="EI467" i="2"/>
  <c r="EI500" i="2"/>
  <c r="EI480" i="2"/>
  <c r="EI473" i="2"/>
  <c r="EI466" i="2"/>
  <c r="EI460" i="2"/>
  <c r="EI449" i="2"/>
  <c r="EI477" i="2"/>
  <c r="EI469" i="2"/>
  <c r="EI522" i="2"/>
  <c r="EI479" i="2"/>
  <c r="EI475" i="2"/>
  <c r="EI470" i="2"/>
  <c r="EI464" i="2"/>
  <c r="EI457" i="2"/>
  <c r="EI455" i="2"/>
  <c r="EI519" i="2"/>
  <c r="EI482" i="2"/>
  <c r="EI471" i="2"/>
  <c r="EI465" i="2"/>
  <c r="EI451" i="2"/>
  <c r="EI521" i="2"/>
  <c r="EI515" i="2"/>
  <c r="EI492" i="2"/>
  <c r="EI486" i="2"/>
  <c r="EI489" i="2"/>
  <c r="EI463" i="2"/>
  <c r="EI478" i="2"/>
  <c r="EI444" i="2"/>
  <c r="EI438" i="2"/>
  <c r="EI456" i="2"/>
  <c r="EI442" i="2"/>
  <c r="EI441" i="2"/>
  <c r="EI439" i="2"/>
  <c r="EI461" i="2"/>
  <c r="EI432" i="2"/>
  <c r="EI430" i="2"/>
  <c r="EI424" i="2"/>
  <c r="EI422" i="2"/>
  <c r="EI447" i="2"/>
  <c r="EI446" i="2"/>
  <c r="EI425" i="2"/>
  <c r="EI450" i="2"/>
  <c r="EI436" i="2"/>
  <c r="EI426" i="2"/>
  <c r="EI437" i="2"/>
  <c r="EI427" i="2"/>
  <c r="EI440" i="2"/>
  <c r="EI428" i="2"/>
  <c r="EI448" i="2"/>
  <c r="EI476" i="2"/>
  <c r="EI459" i="2"/>
  <c r="EI429" i="2"/>
  <c r="EI415" i="2"/>
  <c r="EI414" i="2"/>
  <c r="EI403" i="2"/>
  <c r="EI401" i="2"/>
  <c r="EI399" i="2"/>
  <c r="EI443" i="2"/>
  <c r="EI418" i="2"/>
  <c r="EI406" i="2"/>
  <c r="EI396" i="2"/>
  <c r="EI394" i="2"/>
  <c r="EI411" i="2"/>
  <c r="EI409" i="2"/>
  <c r="EI397" i="2"/>
  <c r="EI385" i="2"/>
  <c r="EI421" i="2"/>
  <c r="EI419" i="2"/>
  <c r="EI417" i="2"/>
  <c r="EI412" i="2"/>
  <c r="EI390" i="2"/>
  <c r="EI431" i="2"/>
  <c r="EI413" i="2"/>
  <c r="EI391" i="2"/>
  <c r="EI404" i="2"/>
  <c r="EI402" i="2"/>
  <c r="EI400" i="2"/>
  <c r="EI392" i="2"/>
  <c r="EI435" i="2"/>
  <c r="EI420" i="2"/>
  <c r="EI407" i="2"/>
  <c r="EI405" i="2"/>
  <c r="EI395" i="2"/>
  <c r="EI393" i="2"/>
  <c r="EI388" i="2"/>
  <c r="EI386" i="2"/>
  <c r="EI378" i="2"/>
  <c r="EI364" i="2"/>
  <c r="EI434" i="2"/>
  <c r="EI389" i="2"/>
  <c r="EI387" i="2"/>
  <c r="EI379" i="2"/>
  <c r="EI367" i="2"/>
  <c r="EI363" i="2"/>
  <c r="EI358" i="2"/>
  <c r="EI410" i="2"/>
  <c r="EI408" i="2"/>
  <c r="EI398" i="2"/>
  <c r="EI383" i="2"/>
  <c r="EI380" i="2"/>
  <c r="EI373" i="2"/>
  <c r="EI360" i="2"/>
  <c r="EI357" i="2"/>
  <c r="EI416" i="2"/>
  <c r="EI382" i="2"/>
  <c r="EI381" i="2"/>
  <c r="EI370" i="2"/>
  <c r="EI365" i="2"/>
  <c r="EI359" i="2"/>
  <c r="EI433" i="2"/>
  <c r="EI376" i="2"/>
  <c r="EI423" i="2"/>
  <c r="EI377" i="2"/>
  <c r="EI445" i="2"/>
  <c r="EI374" i="2"/>
  <c r="EI372" i="2"/>
  <c r="EI347" i="2"/>
  <c r="EI342" i="2"/>
  <c r="EI346" i="2"/>
  <c r="EI332" i="2"/>
  <c r="EI329" i="2"/>
  <c r="EI339" i="2"/>
  <c r="EI334" i="2"/>
  <c r="EI369" i="2"/>
  <c r="EI353" i="2"/>
  <c r="EI337" i="2"/>
  <c r="EI368" i="2"/>
  <c r="EI355" i="2"/>
  <c r="EI352" i="2"/>
  <c r="EI345" i="2"/>
  <c r="EI343" i="2"/>
  <c r="EI366" i="2"/>
  <c r="EI356" i="2"/>
  <c r="EI354" i="2"/>
  <c r="EI351" i="2"/>
  <c r="EI362" i="2"/>
  <c r="EI348" i="2"/>
  <c r="EI341" i="2"/>
  <c r="EI338" i="2"/>
  <c r="EI336" i="2"/>
  <c r="EI330" i="2"/>
  <c r="EI311" i="2"/>
  <c r="EI350" i="2"/>
  <c r="EI327" i="2"/>
  <c r="EI326" i="2"/>
  <c r="EI309" i="2"/>
  <c r="EI340" i="2"/>
  <c r="EI328" i="2"/>
  <c r="EI325" i="2"/>
  <c r="EI316" i="2"/>
  <c r="EI314" i="2"/>
  <c r="EI324" i="2"/>
  <c r="EI344" i="2"/>
  <c r="EI323" i="2"/>
  <c r="EI335" i="2"/>
  <c r="EI322" i="2"/>
  <c r="EI307" i="2"/>
  <c r="EI321" i="2"/>
  <c r="EI318" i="2"/>
  <c r="EI304" i="2"/>
  <c r="EI299" i="2"/>
  <c r="EI349" i="2"/>
  <c r="EI315" i="2"/>
  <c r="EI294" i="2"/>
  <c r="EI292" i="2"/>
  <c r="EI290" i="2"/>
  <c r="EI288" i="2"/>
  <c r="EI320" i="2"/>
  <c r="EI289" i="2"/>
  <c r="EI285" i="2"/>
  <c r="EI283" i="2"/>
  <c r="EI281" i="2"/>
  <c r="EI279" i="2"/>
  <c r="EI293" i="2"/>
  <c r="EI291" i="2"/>
  <c r="EI313" i="2"/>
  <c r="EI301" i="2"/>
  <c r="EI275" i="2"/>
  <c r="EI267" i="2"/>
  <c r="EI266" i="2"/>
  <c r="EI241" i="2"/>
  <c r="EI239" i="2"/>
  <c r="EI237" i="2"/>
  <c r="EI231" i="2"/>
  <c r="EI268" i="2"/>
  <c r="EI265" i="2"/>
  <c r="EI264" i="2"/>
  <c r="EI262" i="2"/>
  <c r="EI260" i="2"/>
  <c r="EI302" i="2"/>
  <c r="EI284" i="2"/>
  <c r="EI271" i="2"/>
  <c r="EI258" i="2"/>
  <c r="EI274" i="2"/>
  <c r="EI272" i="2"/>
  <c r="EI254" i="2"/>
  <c r="EI252" i="2"/>
  <c r="EI250" i="2"/>
  <c r="EI248" i="2"/>
  <c r="EI246" i="2"/>
  <c r="EI244" i="2"/>
  <c r="EI303" i="2"/>
  <c r="EI296" i="2"/>
  <c r="EI269" i="2"/>
  <c r="EI280" i="2"/>
  <c r="EI276" i="2"/>
  <c r="EI263" i="2"/>
  <c r="EI261" i="2"/>
  <c r="EI305" i="2"/>
  <c r="EI278" i="2"/>
  <c r="EI282" i="2"/>
  <c r="EI220" i="2"/>
  <c r="EI211" i="2"/>
  <c r="EI206" i="2"/>
  <c r="EI270" i="2"/>
  <c r="EI245" i="2"/>
  <c r="EI236" i="2"/>
  <c r="EI221" i="2"/>
  <c r="EI216" i="2"/>
  <c r="EI253" i="2"/>
  <c r="EI249" i="2"/>
  <c r="EI238" i="2"/>
  <c r="EI190" i="2"/>
  <c r="EI240" i="2"/>
  <c r="EI225" i="2"/>
  <c r="EI214" i="2"/>
  <c r="EI212" i="2"/>
  <c r="EI203" i="2"/>
  <c r="EI201" i="2"/>
  <c r="EI199" i="2"/>
  <c r="EI257" i="2"/>
  <c r="EI242" i="2"/>
  <c r="EI259" i="2"/>
  <c r="EI222" i="2"/>
  <c r="EI219" i="2"/>
  <c r="EI255" i="2"/>
  <c r="EI251" i="2"/>
  <c r="EI247" i="2"/>
  <c r="EI243" i="2"/>
  <c r="EI233" i="2"/>
  <c r="EI226" i="2"/>
  <c r="EI223" i="2"/>
  <c r="EI205" i="2"/>
  <c r="EI228" i="2"/>
  <c r="EI176" i="2"/>
  <c r="EI174" i="2"/>
  <c r="EI172" i="2"/>
  <c r="EI170" i="2"/>
  <c r="EI153" i="2"/>
  <c r="EI213" i="2"/>
  <c r="EI187" i="2"/>
  <c r="EI185" i="2"/>
  <c r="EI183" i="2"/>
  <c r="EI181" i="2"/>
  <c r="EI179" i="2"/>
  <c r="EI163" i="2"/>
  <c r="EI161" i="2"/>
  <c r="EI154" i="2"/>
  <c r="EI196" i="2"/>
  <c r="EI168" i="2"/>
  <c r="EI166" i="2"/>
  <c r="EI155" i="2"/>
  <c r="EI142" i="2"/>
  <c r="EI140" i="2"/>
  <c r="EI202" i="2"/>
  <c r="EI198" i="2"/>
  <c r="EI158" i="2"/>
  <c r="EI232" i="2"/>
  <c r="EI200" i="2"/>
  <c r="EI194" i="2"/>
  <c r="EI175" i="2"/>
  <c r="EI173" i="2"/>
  <c r="EI171" i="2"/>
  <c r="EI224" i="2"/>
  <c r="EI204" i="2"/>
  <c r="EI193" i="2"/>
  <c r="EI192" i="2"/>
  <c r="EI189" i="2"/>
  <c r="EI188" i="2"/>
  <c r="EI186" i="2"/>
  <c r="EI184" i="2"/>
  <c r="EI182" i="2"/>
  <c r="EI180" i="2"/>
  <c r="EI178" i="2"/>
  <c r="EI164" i="2"/>
  <c r="EI162" i="2"/>
  <c r="EI195" i="2"/>
  <c r="EI191" i="2"/>
  <c r="EI227" i="2"/>
  <c r="EI197" i="2"/>
  <c r="EI156" i="2"/>
  <c r="EI152" i="2"/>
  <c r="EI110" i="2"/>
  <c r="EI96" i="2"/>
  <c r="EI151" i="2"/>
  <c r="EI150" i="2"/>
  <c r="EI143" i="2"/>
  <c r="EI133" i="2"/>
  <c r="EI132" i="2"/>
  <c r="EI107" i="2"/>
  <c r="EI99" i="2"/>
  <c r="EI97" i="2"/>
  <c r="EI149" i="2"/>
  <c r="EI148" i="2"/>
  <c r="EI139" i="2"/>
  <c r="EI137" i="2"/>
  <c r="EI128" i="2"/>
  <c r="EI126" i="2"/>
  <c r="EI102" i="2"/>
  <c r="EI100" i="2"/>
  <c r="EI94" i="2"/>
  <c r="EI92" i="2"/>
  <c r="EI90" i="2"/>
  <c r="EI88" i="2"/>
  <c r="EI75" i="2"/>
  <c r="EI147" i="2"/>
  <c r="EI146" i="2"/>
  <c r="EI131" i="2"/>
  <c r="EI114" i="2"/>
  <c r="EI103" i="2"/>
  <c r="EI84" i="2"/>
  <c r="EI82" i="2"/>
  <c r="EI80" i="2"/>
  <c r="EI78" i="2"/>
  <c r="EI167" i="2"/>
  <c r="EI165" i="2"/>
  <c r="EI138" i="2"/>
  <c r="EI134" i="2"/>
  <c r="EI124" i="2"/>
  <c r="EI122" i="2"/>
  <c r="EI111" i="2"/>
  <c r="EI104" i="2"/>
  <c r="EI136" i="2"/>
  <c r="EI130" i="2"/>
  <c r="EI118" i="2"/>
  <c r="EI109" i="2"/>
  <c r="EI105" i="2"/>
  <c r="EI157" i="2"/>
  <c r="EI119" i="2"/>
  <c r="EI106" i="2"/>
  <c r="EI98" i="2"/>
  <c r="EI69" i="2"/>
  <c r="EI57" i="2"/>
  <c r="EI65" i="2"/>
  <c r="EI64" i="2"/>
  <c r="EI49" i="2"/>
  <c r="EI44" i="2"/>
  <c r="EI43" i="2"/>
  <c r="EI42" i="2"/>
  <c r="EI41" i="2"/>
  <c r="EI91" i="2"/>
  <c r="EI85" i="2"/>
  <c r="EI77" i="2"/>
  <c r="EI63" i="2"/>
  <c r="EI62" i="2"/>
  <c r="EI52" i="2"/>
  <c r="EI61" i="2"/>
  <c r="EI60" i="2"/>
  <c r="EI34" i="2"/>
  <c r="EI31" i="2"/>
  <c r="EI59" i="2"/>
  <c r="EI54" i="2"/>
  <c r="EI40" i="2"/>
  <c r="EI39" i="2"/>
  <c r="EI79" i="2"/>
  <c r="EI53" i="2"/>
  <c r="EI73" i="2"/>
  <c r="EI70" i="2"/>
  <c r="EI47" i="2"/>
  <c r="EI46" i="2"/>
  <c r="EI141" i="2"/>
  <c r="EI113" i="2"/>
  <c r="EI72" i="2"/>
  <c r="EI55" i="2"/>
  <c r="EI37" i="2"/>
  <c r="EI35" i="2"/>
  <c r="EV616" i="2"/>
  <c r="EV614" i="2"/>
  <c r="EV618" i="2"/>
  <c r="EV613" i="2"/>
  <c r="EV629" i="2"/>
  <c r="EV623" i="2"/>
  <c r="EV631" i="2"/>
  <c r="EV621" i="2"/>
  <c r="EV630" i="2"/>
  <c r="EV627" i="2"/>
  <c r="EV626" i="2"/>
  <c r="EV622" i="2"/>
  <c r="EV628" i="2"/>
  <c r="EV619" i="2"/>
  <c r="EV611" i="2"/>
  <c r="EV605" i="2"/>
  <c r="EV603" i="2"/>
  <c r="EV620" i="2"/>
  <c r="EV600" i="2"/>
  <c r="EV598" i="2"/>
  <c r="EV596" i="2"/>
  <c r="EV594" i="2"/>
  <c r="EV592" i="2"/>
  <c r="EV590" i="2"/>
  <c r="EV588" i="2"/>
  <c r="EV586" i="2"/>
  <c r="EV584" i="2"/>
  <c r="EV582" i="2"/>
  <c r="EV580" i="2"/>
  <c r="EV615" i="2"/>
  <c r="EV608" i="2"/>
  <c r="EV617" i="2"/>
  <c r="EV612" i="2"/>
  <c r="EV609" i="2"/>
  <c r="EV606" i="2"/>
  <c r="EV604" i="2"/>
  <c r="EV602" i="2"/>
  <c r="EV599" i="2"/>
  <c r="EV597" i="2"/>
  <c r="EV595" i="2"/>
  <c r="EV593" i="2"/>
  <c r="EV607" i="2"/>
  <c r="EV583" i="2"/>
  <c r="EV591" i="2"/>
  <c r="EV589" i="2"/>
  <c r="EV610" i="2"/>
  <c r="EV587" i="2"/>
  <c r="EV581" i="2"/>
  <c r="EV579" i="2"/>
  <c r="EV578" i="2"/>
  <c r="EV576" i="2"/>
  <c r="EV567" i="2"/>
  <c r="EV558" i="2"/>
  <c r="EV556" i="2"/>
  <c r="EV553" i="2"/>
  <c r="EV574" i="2"/>
  <c r="EV572" i="2"/>
  <c r="EV570" i="2"/>
  <c r="EV585" i="2"/>
  <c r="EV564" i="2"/>
  <c r="EV551" i="2"/>
  <c r="EV540" i="2"/>
  <c r="EV538" i="2"/>
  <c r="EV536" i="2"/>
  <c r="EV534" i="2"/>
  <c r="EV532" i="2"/>
  <c r="EV552" i="2"/>
  <c r="EV541" i="2"/>
  <c r="EV569" i="2"/>
  <c r="EV563" i="2"/>
  <c r="EV557" i="2"/>
  <c r="EV550" i="2"/>
  <c r="EV577" i="2"/>
  <c r="EV560" i="2"/>
  <c r="EV573" i="2"/>
  <c r="EV549" i="2"/>
  <c r="EV547" i="2"/>
  <c r="EV545" i="2"/>
  <c r="EV555" i="2"/>
  <c r="EV571" i="2"/>
  <c r="EV575" i="2"/>
  <c r="EV548" i="2"/>
  <c r="EV542" i="2"/>
  <c r="EV537" i="2"/>
  <c r="EV530" i="2"/>
  <c r="EV528" i="2"/>
  <c r="EV526" i="2"/>
  <c r="EV524" i="2"/>
  <c r="EV522" i="2"/>
  <c r="EV561" i="2"/>
  <c r="EV539" i="2"/>
  <c r="EV535" i="2"/>
  <c r="EV559" i="2"/>
  <c r="EV544" i="2"/>
  <c r="EV531" i="2"/>
  <c r="EV525" i="2"/>
  <c r="EV498" i="2"/>
  <c r="EV529" i="2"/>
  <c r="EV518" i="2"/>
  <c r="EV546" i="2"/>
  <c r="EV519" i="2"/>
  <c r="EV515" i="2"/>
  <c r="EV505" i="2"/>
  <c r="EV502" i="2"/>
  <c r="EV533" i="2"/>
  <c r="EV512" i="2"/>
  <c r="EV510" i="2"/>
  <c r="EV508" i="2"/>
  <c r="EV521" i="2"/>
  <c r="EV513" i="2"/>
  <c r="EV520" i="2"/>
  <c r="EV516" i="2"/>
  <c r="EV509" i="2"/>
  <c r="EV496" i="2"/>
  <c r="EV493" i="2"/>
  <c r="EV490" i="2"/>
  <c r="EV488" i="2"/>
  <c r="EV507" i="2"/>
  <c r="EV494" i="2"/>
  <c r="EV481" i="2"/>
  <c r="EV479" i="2"/>
  <c r="EV477" i="2"/>
  <c r="EV463" i="2"/>
  <c r="EV504" i="2"/>
  <c r="EV499" i="2"/>
  <c r="EV475" i="2"/>
  <c r="EV473" i="2"/>
  <c r="EV501" i="2"/>
  <c r="EV492" i="2"/>
  <c r="EV486" i="2"/>
  <c r="EV489" i="2"/>
  <c r="EV487" i="2"/>
  <c r="EV469" i="2"/>
  <c r="EV483" i="2"/>
  <c r="EV468" i="2"/>
  <c r="EV466" i="2"/>
  <c r="EV506" i="2"/>
  <c r="EV503" i="2"/>
  <c r="EV462" i="2"/>
  <c r="EV457" i="2"/>
  <c r="EV455" i="2"/>
  <c r="EV464" i="2"/>
  <c r="EV446" i="2"/>
  <c r="EV527" i="2"/>
  <c r="EV511" i="2"/>
  <c r="EV480" i="2"/>
  <c r="EV451" i="2"/>
  <c r="EV472" i="2"/>
  <c r="EV461" i="2"/>
  <c r="EV459" i="2"/>
  <c r="EV500" i="2"/>
  <c r="EV495" i="2"/>
  <c r="EV470" i="2"/>
  <c r="EV465" i="2"/>
  <c r="EV456" i="2"/>
  <c r="EV482" i="2"/>
  <c r="EV523" i="2"/>
  <c r="EV484" i="2"/>
  <c r="EV425" i="2"/>
  <c r="EV436" i="2"/>
  <c r="EV426" i="2"/>
  <c r="EV418" i="2"/>
  <c r="EV416" i="2"/>
  <c r="EV447" i="2"/>
  <c r="EV437" i="2"/>
  <c r="EV427" i="2"/>
  <c r="EV419" i="2"/>
  <c r="EV440" i="2"/>
  <c r="EV428" i="2"/>
  <c r="EV420" i="2"/>
  <c r="EV474" i="2"/>
  <c r="EV467" i="2"/>
  <c r="EV460" i="2"/>
  <c r="EV433" i="2"/>
  <c r="EV431" i="2"/>
  <c r="EV429" i="2"/>
  <c r="EV423" i="2"/>
  <c r="EV443" i="2"/>
  <c r="EV434" i="2"/>
  <c r="EV476" i="2"/>
  <c r="EV450" i="2"/>
  <c r="EV435" i="2"/>
  <c r="EV478" i="2"/>
  <c r="EV448" i="2"/>
  <c r="EV445" i="2"/>
  <c r="EV438" i="2"/>
  <c r="EV412" i="2"/>
  <c r="EV390" i="2"/>
  <c r="EV444" i="2"/>
  <c r="EV442" i="2"/>
  <c r="EV432" i="2"/>
  <c r="EV391" i="2"/>
  <c r="EV413" i="2"/>
  <c r="EV404" i="2"/>
  <c r="EV402" i="2"/>
  <c r="EV400" i="2"/>
  <c r="EV392" i="2"/>
  <c r="EV422" i="2"/>
  <c r="EV417" i="2"/>
  <c r="EV407" i="2"/>
  <c r="EV405" i="2"/>
  <c r="EV395" i="2"/>
  <c r="EV393" i="2"/>
  <c r="EV388" i="2"/>
  <c r="EV424" i="2"/>
  <c r="EV410" i="2"/>
  <c r="EV408" i="2"/>
  <c r="EV421" i="2"/>
  <c r="EV389" i="2"/>
  <c r="EV406" i="2"/>
  <c r="EV380" i="2"/>
  <c r="EV373" i="2"/>
  <c r="EV360" i="2"/>
  <c r="EV375" i="2"/>
  <c r="EV370" i="2"/>
  <c r="EV365" i="2"/>
  <c r="EV359" i="2"/>
  <c r="EV415" i="2"/>
  <c r="EV414" i="2"/>
  <c r="EV399" i="2"/>
  <c r="EV386" i="2"/>
  <c r="EV383" i="2"/>
  <c r="EV381" i="2"/>
  <c r="EV376" i="2"/>
  <c r="EV355" i="2"/>
  <c r="EV353" i="2"/>
  <c r="EV351" i="2"/>
  <c r="EV349" i="2"/>
  <c r="EV347" i="2"/>
  <c r="EV449" i="2"/>
  <c r="EV439" i="2"/>
  <c r="EV385" i="2"/>
  <c r="EV382" i="2"/>
  <c r="EV377" i="2"/>
  <c r="EV394" i="2"/>
  <c r="EV368" i="2"/>
  <c r="EV366" i="2"/>
  <c r="EV441" i="2"/>
  <c r="EV396" i="2"/>
  <c r="EV387" i="2"/>
  <c r="EV374" i="2"/>
  <c r="EV372" i="2"/>
  <c r="EV403" i="2"/>
  <c r="EV362" i="2"/>
  <c r="EV397" i="2"/>
  <c r="EV378" i="2"/>
  <c r="EV430" i="2"/>
  <c r="EV411" i="2"/>
  <c r="EV409" i="2"/>
  <c r="EV367" i="2"/>
  <c r="EV339" i="2"/>
  <c r="EV334" i="2"/>
  <c r="EV337" i="2"/>
  <c r="EV335" i="2"/>
  <c r="EV325" i="2"/>
  <c r="EV323" i="2"/>
  <c r="EV321" i="2"/>
  <c r="EV363" i="2"/>
  <c r="EV358" i="2"/>
  <c r="EV343" i="2"/>
  <c r="EV401" i="2"/>
  <c r="EV352" i="2"/>
  <c r="EV345" i="2"/>
  <c r="EV357" i="2"/>
  <c r="EV350" i="2"/>
  <c r="EV344" i="2"/>
  <c r="EV340" i="2"/>
  <c r="EV354" i="2"/>
  <c r="EV341" i="2"/>
  <c r="EV338" i="2"/>
  <c r="EV336" i="2"/>
  <c r="EV379" i="2"/>
  <c r="EV346" i="2"/>
  <c r="EV364" i="2"/>
  <c r="EV326" i="2"/>
  <c r="EV316" i="2"/>
  <c r="EV314" i="2"/>
  <c r="EV312" i="2"/>
  <c r="EV348" i="2"/>
  <c r="EV327" i="2"/>
  <c r="EV328" i="2"/>
  <c r="EV324" i="2"/>
  <c r="EV342" i="2"/>
  <c r="EV322" i="2"/>
  <c r="EV315" i="2"/>
  <c r="EV318" i="2"/>
  <c r="EV356" i="2"/>
  <c r="EV313" i="2"/>
  <c r="EV271" i="2"/>
  <c r="EV269" i="2"/>
  <c r="EV287" i="2"/>
  <c r="EV285" i="2"/>
  <c r="EV283" i="2"/>
  <c r="EV281" i="2"/>
  <c r="EV279" i="2"/>
  <c r="EV275" i="2"/>
  <c r="EV319" i="2"/>
  <c r="EV297" i="2"/>
  <c r="EV293" i="2"/>
  <c r="EV291" i="2"/>
  <c r="EV329" i="2"/>
  <c r="EV311" i="2"/>
  <c r="EV296" i="2"/>
  <c r="EV307" i="2"/>
  <c r="EV301" i="2"/>
  <c r="EV330" i="2"/>
  <c r="EV305" i="2"/>
  <c r="EV302" i="2"/>
  <c r="EV284" i="2"/>
  <c r="EV282" i="2"/>
  <c r="EV280" i="2"/>
  <c r="EV276" i="2"/>
  <c r="EV294" i="2"/>
  <c r="EV292" i="2"/>
  <c r="EV268" i="2"/>
  <c r="EV265" i="2"/>
  <c r="EV254" i="2"/>
  <c r="EV252" i="2"/>
  <c r="EV250" i="2"/>
  <c r="EV248" i="2"/>
  <c r="EV246" i="2"/>
  <c r="EV244" i="2"/>
  <c r="EV289" i="2"/>
  <c r="EV242" i="2"/>
  <c r="EV240" i="2"/>
  <c r="EV238" i="2"/>
  <c r="EV232" i="2"/>
  <c r="EV228" i="2"/>
  <c r="EV226" i="2"/>
  <c r="EV332" i="2"/>
  <c r="EV309" i="2"/>
  <c r="EV274" i="2"/>
  <c r="EV272" i="2"/>
  <c r="EV263" i="2"/>
  <c r="EV261" i="2"/>
  <c r="EV259" i="2"/>
  <c r="EV257" i="2"/>
  <c r="EV236" i="2"/>
  <c r="EV304" i="2"/>
  <c r="EV255" i="2"/>
  <c r="EV253" i="2"/>
  <c r="EV251" i="2"/>
  <c r="EV249" i="2"/>
  <c r="EV247" i="2"/>
  <c r="EV295" i="2"/>
  <c r="EV299" i="2"/>
  <c r="EV267" i="2"/>
  <c r="EV264" i="2"/>
  <c r="EV258" i="2"/>
  <c r="EV256" i="2"/>
  <c r="EV214" i="2"/>
  <c r="EV212" i="2"/>
  <c r="EV203" i="2"/>
  <c r="EV201" i="2"/>
  <c r="EV199" i="2"/>
  <c r="EV266" i="2"/>
  <c r="EV225" i="2"/>
  <c r="EV245" i="2"/>
  <c r="EV239" i="2"/>
  <c r="EV222" i="2"/>
  <c r="EV219" i="2"/>
  <c r="EV241" i="2"/>
  <c r="EV231" i="2"/>
  <c r="EV224" i="2"/>
  <c r="EV213" i="2"/>
  <c r="EV204" i="2"/>
  <c r="EV202" i="2"/>
  <c r="EV200" i="2"/>
  <c r="EV198" i="2"/>
  <c r="EV270" i="2"/>
  <c r="EV237" i="2"/>
  <c r="EV227" i="2"/>
  <c r="EV223" i="2"/>
  <c r="EV262" i="2"/>
  <c r="EV260" i="2"/>
  <c r="EV243" i="2"/>
  <c r="EV215" i="2"/>
  <c r="EV221" i="2"/>
  <c r="EV197" i="2"/>
  <c r="EV158" i="2"/>
  <c r="EV151" i="2"/>
  <c r="EV149" i="2"/>
  <c r="EV147" i="2"/>
  <c r="EV145" i="2"/>
  <c r="EV196" i="2"/>
  <c r="EV233" i="2"/>
  <c r="EV175" i="2"/>
  <c r="EV173" i="2"/>
  <c r="EV171" i="2"/>
  <c r="EV194" i="2"/>
  <c r="EV186" i="2"/>
  <c r="EV184" i="2"/>
  <c r="EV182" i="2"/>
  <c r="EV180" i="2"/>
  <c r="EV178" i="2"/>
  <c r="EV164" i="2"/>
  <c r="EV162" i="2"/>
  <c r="EV192" i="2"/>
  <c r="EV188" i="2"/>
  <c r="EV167" i="2"/>
  <c r="EV165" i="2"/>
  <c r="EV156" i="2"/>
  <c r="EV143" i="2"/>
  <c r="EV141" i="2"/>
  <c r="EV193" i="2"/>
  <c r="EV189" i="2"/>
  <c r="EV157" i="2"/>
  <c r="EV152" i="2"/>
  <c r="EV150" i="2"/>
  <c r="EV148" i="2"/>
  <c r="EV146" i="2"/>
  <c r="EV191" i="2"/>
  <c r="EV220" i="2"/>
  <c r="EV206" i="2"/>
  <c r="EV187" i="2"/>
  <c r="EV185" i="2"/>
  <c r="EV183" i="2"/>
  <c r="EV181" i="2"/>
  <c r="EV216" i="2"/>
  <c r="EV195" i="2"/>
  <c r="EV168" i="2"/>
  <c r="EV166" i="2"/>
  <c r="EV155" i="2"/>
  <c r="EV133" i="2"/>
  <c r="EV114" i="2"/>
  <c r="EV103" i="2"/>
  <c r="EV84" i="2"/>
  <c r="EV82" i="2"/>
  <c r="EV80" i="2"/>
  <c r="EV78" i="2"/>
  <c r="EV172" i="2"/>
  <c r="EV131" i="2"/>
  <c r="EV124" i="2"/>
  <c r="EV122" i="2"/>
  <c r="EV111" i="2"/>
  <c r="EV108" i="2"/>
  <c r="EV104" i="2"/>
  <c r="EV142" i="2"/>
  <c r="EV118" i="2"/>
  <c r="EV109" i="2"/>
  <c r="EV105" i="2"/>
  <c r="EV176" i="2"/>
  <c r="EV130" i="2"/>
  <c r="EV119" i="2"/>
  <c r="EV106" i="2"/>
  <c r="EV98" i="2"/>
  <c r="EV137" i="2"/>
  <c r="EV134" i="2"/>
  <c r="EV127" i="2"/>
  <c r="EV101" i="2"/>
  <c r="EV95" i="2"/>
  <c r="EV91" i="2"/>
  <c r="EV89" i="2"/>
  <c r="EV87" i="2"/>
  <c r="EV74" i="2"/>
  <c r="EV161" i="2"/>
  <c r="EV154" i="2"/>
  <c r="EV129" i="2"/>
  <c r="EV115" i="2"/>
  <c r="EV113" i="2"/>
  <c r="EV85" i="2"/>
  <c r="EV83" i="2"/>
  <c r="EV81" i="2"/>
  <c r="EV79" i="2"/>
  <c r="EV77" i="2"/>
  <c r="EV170" i="2"/>
  <c r="EV136" i="2"/>
  <c r="EV125" i="2"/>
  <c r="EV123" i="2"/>
  <c r="EV121" i="2"/>
  <c r="EV72" i="2"/>
  <c r="EV107" i="2"/>
  <c r="EV63" i="2"/>
  <c r="EV60" i="2"/>
  <c r="EV54" i="2"/>
  <c r="EV40" i="2"/>
  <c r="EV39" i="2"/>
  <c r="EV138" i="2"/>
  <c r="EV99" i="2"/>
  <c r="EV61" i="2"/>
  <c r="EV53" i="2"/>
  <c r="EV33" i="2"/>
  <c r="EV30" i="2"/>
  <c r="EV174" i="2"/>
  <c r="EV86" i="2"/>
  <c r="EV59" i="2"/>
  <c r="EV57" i="2"/>
  <c r="EV47" i="2"/>
  <c r="EV46" i="2"/>
  <c r="EV128" i="2"/>
  <c r="EV126" i="2"/>
  <c r="EV100" i="2"/>
  <c r="EV70" i="2"/>
  <c r="EV55" i="2"/>
  <c r="EV37" i="2"/>
  <c r="EV144" i="2"/>
  <c r="EV96" i="2"/>
  <c r="EV73" i="2"/>
  <c r="EV50" i="2"/>
  <c r="EV48" i="2"/>
  <c r="EV45" i="2"/>
  <c r="EV179" i="2"/>
  <c r="EV163" i="2"/>
  <c r="EV132" i="2"/>
  <c r="EV102" i="2"/>
  <c r="EV94" i="2"/>
  <c r="EV88" i="2"/>
  <c r="EV69" i="2"/>
  <c r="EV51" i="2"/>
  <c r="EV38" i="2"/>
  <c r="EV36" i="2"/>
  <c r="EV68" i="2"/>
  <c r="GF622" i="2"/>
  <c r="GF630" i="2"/>
  <c r="GF628" i="2"/>
  <c r="GF626" i="2"/>
  <c r="GF620" i="2"/>
  <c r="GF625" i="2"/>
  <c r="GF616" i="2"/>
  <c r="GF612" i="2"/>
  <c r="GF610" i="2"/>
  <c r="GF608" i="2"/>
  <c r="GF623" i="2"/>
  <c r="GF619" i="2"/>
  <c r="GF617" i="2"/>
  <c r="GF629" i="2"/>
  <c r="GF621" i="2"/>
  <c r="GF627" i="2"/>
  <c r="GF624" i="2"/>
  <c r="GF631" i="2"/>
  <c r="GF604" i="2"/>
  <c r="GF602" i="2"/>
  <c r="GF606" i="2"/>
  <c r="GF618" i="2"/>
  <c r="GF615" i="2"/>
  <c r="GF609" i="2"/>
  <c r="GF614" i="2"/>
  <c r="GF605" i="2"/>
  <c r="GF603" i="2"/>
  <c r="GF613" i="2"/>
  <c r="GF607" i="2"/>
  <c r="GF600" i="2"/>
  <c r="GF592" i="2"/>
  <c r="GF591" i="2"/>
  <c r="GF582" i="2"/>
  <c r="GF581" i="2"/>
  <c r="GF594" i="2"/>
  <c r="GF597" i="2"/>
  <c r="GF590" i="2"/>
  <c r="GF589" i="2"/>
  <c r="GF580" i="2"/>
  <c r="GF579" i="2"/>
  <c r="GF611" i="2"/>
  <c r="GF593" i="2"/>
  <c r="GF588" i="2"/>
  <c r="GF587" i="2"/>
  <c r="GF596" i="2"/>
  <c r="GF586" i="2"/>
  <c r="GF585" i="2"/>
  <c r="GF599" i="2"/>
  <c r="GF595" i="2"/>
  <c r="GF574" i="2"/>
  <c r="GF572" i="2"/>
  <c r="GF570" i="2"/>
  <c r="GF568" i="2"/>
  <c r="GF598" i="2"/>
  <c r="GF566" i="2"/>
  <c r="GF554" i="2"/>
  <c r="GF575" i="2"/>
  <c r="GF583" i="2"/>
  <c r="GF573" i="2"/>
  <c r="GF571" i="2"/>
  <c r="GF569" i="2"/>
  <c r="GF567" i="2"/>
  <c r="GF584" i="2"/>
  <c r="GF564" i="2"/>
  <c r="GF557" i="2"/>
  <c r="GF549" i="2"/>
  <c r="GF547" i="2"/>
  <c r="GF545" i="2"/>
  <c r="GF539" i="2"/>
  <c r="GF537" i="2"/>
  <c r="GF535" i="2"/>
  <c r="GF533" i="2"/>
  <c r="GF563" i="2"/>
  <c r="GF562" i="2"/>
  <c r="GF558" i="2"/>
  <c r="GF555" i="2"/>
  <c r="GF543" i="2"/>
  <c r="GF548" i="2"/>
  <c r="GF546" i="2"/>
  <c r="GF544" i="2"/>
  <c r="GF559" i="2"/>
  <c r="GF553" i="2"/>
  <c r="GF540" i="2"/>
  <c r="GF538" i="2"/>
  <c r="GF536" i="2"/>
  <c r="GF576" i="2"/>
  <c r="GF578" i="2"/>
  <c r="GF577" i="2"/>
  <c r="GF551" i="2"/>
  <c r="GF534" i="2"/>
  <c r="GF565" i="2"/>
  <c r="GF561" i="2"/>
  <c r="GF556" i="2"/>
  <c r="GF542" i="2"/>
  <c r="GF541" i="2"/>
  <c r="GF532" i="2"/>
  <c r="GF531" i="2"/>
  <c r="GF528" i="2"/>
  <c r="GF524" i="2"/>
  <c r="GF519" i="2"/>
  <c r="GF515" i="2"/>
  <c r="GF525" i="2"/>
  <c r="GF512" i="2"/>
  <c r="GF510" i="2"/>
  <c r="GF508" i="2"/>
  <c r="GF513" i="2"/>
  <c r="GF550" i="2"/>
  <c r="GF529" i="2"/>
  <c r="GF521" i="2"/>
  <c r="GF517" i="2"/>
  <c r="GF526" i="2"/>
  <c r="GF522" i="2"/>
  <c r="GF520" i="2"/>
  <c r="GF516" i="2"/>
  <c r="GF506" i="2"/>
  <c r="GF504" i="2"/>
  <c r="GF503" i="2"/>
  <c r="GF527" i="2"/>
  <c r="GF523" i="2"/>
  <c r="GF511" i="2"/>
  <c r="GF509" i="2"/>
  <c r="GF507" i="2"/>
  <c r="GF530" i="2"/>
  <c r="GF552" i="2"/>
  <c r="GF518" i="2"/>
  <c r="GF514" i="2"/>
  <c r="GF498" i="2"/>
  <c r="GF492" i="2"/>
  <c r="GF486" i="2"/>
  <c r="GF499" i="2"/>
  <c r="GF489" i="2"/>
  <c r="GF487" i="2"/>
  <c r="GF469" i="2"/>
  <c r="GF467" i="2"/>
  <c r="GF484" i="2"/>
  <c r="GF497" i="2"/>
  <c r="GF483" i="2"/>
  <c r="GF493" i="2"/>
  <c r="GF491" i="2"/>
  <c r="GF470" i="2"/>
  <c r="GF494" i="2"/>
  <c r="GF481" i="2"/>
  <c r="GF464" i="2"/>
  <c r="GF461" i="2"/>
  <c r="GF459" i="2"/>
  <c r="GF452" i="2"/>
  <c r="GF450" i="2"/>
  <c r="GF448" i="2"/>
  <c r="GF495" i="2"/>
  <c r="GF490" i="2"/>
  <c r="GF482" i="2"/>
  <c r="GF473" i="2"/>
  <c r="GF505" i="2"/>
  <c r="GF502" i="2"/>
  <c r="GF488" i="2"/>
  <c r="GF465" i="2"/>
  <c r="GF456" i="2"/>
  <c r="GF454" i="2"/>
  <c r="GF500" i="2"/>
  <c r="GF477" i="2"/>
  <c r="GF475" i="2"/>
  <c r="GF472" i="2"/>
  <c r="GF463" i="2"/>
  <c r="GF460" i="2"/>
  <c r="GF458" i="2"/>
  <c r="GF501" i="2"/>
  <c r="GF480" i="2"/>
  <c r="GF479" i="2"/>
  <c r="GF496" i="2"/>
  <c r="GF478" i="2"/>
  <c r="GF468" i="2"/>
  <c r="GF433" i="2"/>
  <c r="GF431" i="2"/>
  <c r="GF429" i="2"/>
  <c r="GF423" i="2"/>
  <c r="GF421" i="2"/>
  <c r="GF446" i="2"/>
  <c r="GF434" i="2"/>
  <c r="GF471" i="2"/>
  <c r="GF453" i="2"/>
  <c r="GF451" i="2"/>
  <c r="GF435" i="2"/>
  <c r="GF417" i="2"/>
  <c r="GF474" i="2"/>
  <c r="GF443" i="2"/>
  <c r="GF438" i="2"/>
  <c r="GF476" i="2"/>
  <c r="GF445" i="2"/>
  <c r="GF442" i="2"/>
  <c r="GF441" i="2"/>
  <c r="GF439" i="2"/>
  <c r="GF455" i="2"/>
  <c r="GF447" i="2"/>
  <c r="GF432" i="2"/>
  <c r="GF430" i="2"/>
  <c r="GF424" i="2"/>
  <c r="GF422" i="2"/>
  <c r="GF425" i="2"/>
  <c r="GF462" i="2"/>
  <c r="GF466" i="2"/>
  <c r="GF457" i="2"/>
  <c r="GF413" i="2"/>
  <c r="GF410" i="2"/>
  <c r="GF408" i="2"/>
  <c r="GF389" i="2"/>
  <c r="GF426" i="2"/>
  <c r="GF418" i="2"/>
  <c r="GF403" i="2"/>
  <c r="GF401" i="2"/>
  <c r="GF399" i="2"/>
  <c r="GF437" i="2"/>
  <c r="GF406" i="2"/>
  <c r="GF396" i="2"/>
  <c r="GF394" i="2"/>
  <c r="GF387" i="2"/>
  <c r="GF436" i="2"/>
  <c r="GF419" i="2"/>
  <c r="GF411" i="2"/>
  <c r="GF409" i="2"/>
  <c r="GF397" i="2"/>
  <c r="GF385" i="2"/>
  <c r="GF449" i="2"/>
  <c r="GF428" i="2"/>
  <c r="GF412" i="2"/>
  <c r="GF390" i="2"/>
  <c r="GF382" i="2"/>
  <c r="GF371" i="2"/>
  <c r="GF368" i="2"/>
  <c r="GF366" i="2"/>
  <c r="GF440" i="2"/>
  <c r="GF381" i="2"/>
  <c r="GF374" i="2"/>
  <c r="GF372" i="2"/>
  <c r="GF392" i="2"/>
  <c r="GF369" i="2"/>
  <c r="GF362" i="2"/>
  <c r="GF345" i="2"/>
  <c r="GF404" i="2"/>
  <c r="GF393" i="2"/>
  <c r="GF383" i="2"/>
  <c r="GF356" i="2"/>
  <c r="GF354" i="2"/>
  <c r="GF395" i="2"/>
  <c r="GF391" i="2"/>
  <c r="GF384" i="2"/>
  <c r="GF378" i="2"/>
  <c r="GF364" i="2"/>
  <c r="GF379" i="2"/>
  <c r="GF367" i="2"/>
  <c r="GF363" i="2"/>
  <c r="GF358" i="2"/>
  <c r="GF415" i="2"/>
  <c r="GF402" i="2"/>
  <c r="GF386" i="2"/>
  <c r="GF380" i="2"/>
  <c r="GF373" i="2"/>
  <c r="GF360" i="2"/>
  <c r="GF357" i="2"/>
  <c r="GF427" i="2"/>
  <c r="GF416" i="2"/>
  <c r="GF414" i="2"/>
  <c r="GF407" i="2"/>
  <c r="GF388" i="2"/>
  <c r="GF376" i="2"/>
  <c r="GF420" i="2"/>
  <c r="GF405" i="2"/>
  <c r="GF352" i="2"/>
  <c r="GF370" i="2"/>
  <c r="GF365" i="2"/>
  <c r="GF340" i="2"/>
  <c r="GF333" i="2"/>
  <c r="GF355" i="2"/>
  <c r="GF353" i="2"/>
  <c r="GF351" i="2"/>
  <c r="GF350" i="2"/>
  <c r="GF344" i="2"/>
  <c r="GF341" i="2"/>
  <c r="GF338" i="2"/>
  <c r="GF336" i="2"/>
  <c r="GF361" i="2"/>
  <c r="GF342" i="2"/>
  <c r="GF377" i="2"/>
  <c r="GF349" i="2"/>
  <c r="GF348" i="2"/>
  <c r="GF400" i="2"/>
  <c r="GF347" i="2"/>
  <c r="GF346" i="2"/>
  <c r="GF339" i="2"/>
  <c r="GF334" i="2"/>
  <c r="GF375" i="2"/>
  <c r="GF331" i="2"/>
  <c r="GF308" i="2"/>
  <c r="GF330" i="2"/>
  <c r="GF323" i="2"/>
  <c r="GF322" i="2"/>
  <c r="GF318" i="2"/>
  <c r="GF328" i="2"/>
  <c r="GF321" i="2"/>
  <c r="GF320" i="2"/>
  <c r="GF311" i="2"/>
  <c r="GF337" i="2"/>
  <c r="GF335" i="2"/>
  <c r="GF319" i="2"/>
  <c r="GF343" i="2"/>
  <c r="GF329" i="2"/>
  <c r="GF316" i="2"/>
  <c r="GF314" i="2"/>
  <c r="GF312" i="2"/>
  <c r="GF317" i="2"/>
  <c r="GF315" i="2"/>
  <c r="GF309" i="2"/>
  <c r="GF303" i="2"/>
  <c r="GF296" i="2"/>
  <c r="GF301" i="2"/>
  <c r="GF273" i="2"/>
  <c r="GF327" i="2"/>
  <c r="GF302" i="2"/>
  <c r="GF298" i="2"/>
  <c r="GF286" i="2"/>
  <c r="GF284" i="2"/>
  <c r="GF282" i="2"/>
  <c r="GF280" i="2"/>
  <c r="GF278" i="2"/>
  <c r="GF277" i="2"/>
  <c r="GF276" i="2"/>
  <c r="GF274" i="2"/>
  <c r="GF313" i="2"/>
  <c r="GF304" i="2"/>
  <c r="GF299" i="2"/>
  <c r="GF324" i="2"/>
  <c r="GF294" i="2"/>
  <c r="GF292" i="2"/>
  <c r="GF290" i="2"/>
  <c r="GF288" i="2"/>
  <c r="GF295" i="2"/>
  <c r="GF289" i="2"/>
  <c r="GF305" i="2"/>
  <c r="GF300" i="2"/>
  <c r="GF332" i="2"/>
  <c r="GF306" i="2"/>
  <c r="GF326" i="2"/>
  <c r="GF268" i="2"/>
  <c r="GF259" i="2"/>
  <c r="GF257" i="2"/>
  <c r="GF236" i="2"/>
  <c r="GF281" i="2"/>
  <c r="GF271" i="2"/>
  <c r="GF255" i="2"/>
  <c r="GF253" i="2"/>
  <c r="GF251" i="2"/>
  <c r="GF249" i="2"/>
  <c r="GF247" i="2"/>
  <c r="GF291" i="2"/>
  <c r="GF275" i="2"/>
  <c r="GF243" i="2"/>
  <c r="GF307" i="2"/>
  <c r="GF293" i="2"/>
  <c r="GF241" i="2"/>
  <c r="GF239" i="2"/>
  <c r="GF283" i="2"/>
  <c r="GF269" i="2"/>
  <c r="GF262" i="2"/>
  <c r="GF260" i="2"/>
  <c r="GF310" i="2"/>
  <c r="GF258" i="2"/>
  <c r="GF256" i="2"/>
  <c r="GF272" i="2"/>
  <c r="GF254" i="2"/>
  <c r="GF252" i="2"/>
  <c r="GF250" i="2"/>
  <c r="GF248" i="2"/>
  <c r="GF246" i="2"/>
  <c r="GF244" i="2"/>
  <c r="GF325" i="2"/>
  <c r="GF297" i="2"/>
  <c r="GF285" i="2"/>
  <c r="GF279" i="2"/>
  <c r="GF287" i="2"/>
  <c r="GF263" i="2"/>
  <c r="GF261" i="2"/>
  <c r="GF242" i="2"/>
  <c r="GF217" i="2"/>
  <c r="GF209" i="2"/>
  <c r="GF267" i="2"/>
  <c r="GF224" i="2"/>
  <c r="GF213" i="2"/>
  <c r="GF210" i="2"/>
  <c r="GF204" i="2"/>
  <c r="GF202" i="2"/>
  <c r="GF200" i="2"/>
  <c r="GF198" i="2"/>
  <c r="GF196" i="2"/>
  <c r="GF223" i="2"/>
  <c r="GF205" i="2"/>
  <c r="GF270" i="2"/>
  <c r="GF264" i="2"/>
  <c r="GF231" i="2"/>
  <c r="GF227" i="2"/>
  <c r="GF220" i="2"/>
  <c r="GF211" i="2"/>
  <c r="GF206" i="2"/>
  <c r="GF265" i="2"/>
  <c r="GF229" i="2"/>
  <c r="GF221" i="2"/>
  <c r="GF216" i="2"/>
  <c r="GF207" i="2"/>
  <c r="GF226" i="2"/>
  <c r="GF215" i="2"/>
  <c r="GF238" i="2"/>
  <c r="GF237" i="2"/>
  <c r="GF228" i="2"/>
  <c r="GF214" i="2"/>
  <c r="GF212" i="2"/>
  <c r="GF203" i="2"/>
  <c r="GF201" i="2"/>
  <c r="GF199" i="2"/>
  <c r="GF245" i="2"/>
  <c r="GF234" i="2"/>
  <c r="GF266" i="2"/>
  <c r="GF240" i="2"/>
  <c r="GF235" i="2"/>
  <c r="GF233" i="2"/>
  <c r="GF225" i="2"/>
  <c r="GF222" i="2"/>
  <c r="GF219" i="2"/>
  <c r="GF218" i="2"/>
  <c r="GF208" i="2"/>
  <c r="GF167" i="2"/>
  <c r="GF165" i="2"/>
  <c r="GF156" i="2"/>
  <c r="GF157" i="2"/>
  <c r="GF152" i="2"/>
  <c r="GF150" i="2"/>
  <c r="GF148" i="2"/>
  <c r="GF146" i="2"/>
  <c r="GF137" i="2"/>
  <c r="GF193" i="2"/>
  <c r="GF189" i="2"/>
  <c r="GF194" i="2"/>
  <c r="GF192" i="2"/>
  <c r="GF191" i="2"/>
  <c r="GF188" i="2"/>
  <c r="GF176" i="2"/>
  <c r="GF174" i="2"/>
  <c r="GF172" i="2"/>
  <c r="GF170" i="2"/>
  <c r="GF153" i="2"/>
  <c r="GF187" i="2"/>
  <c r="GF185" i="2"/>
  <c r="GF183" i="2"/>
  <c r="GF181" i="2"/>
  <c r="GF179" i="2"/>
  <c r="GF177" i="2"/>
  <c r="GF169" i="2"/>
  <c r="GF163" i="2"/>
  <c r="GF161" i="2"/>
  <c r="GF154" i="2"/>
  <c r="GF168" i="2"/>
  <c r="GF166" i="2"/>
  <c r="GF155" i="2"/>
  <c r="GF158" i="2"/>
  <c r="GF151" i="2"/>
  <c r="GF149" i="2"/>
  <c r="GF147" i="2"/>
  <c r="GF145" i="2"/>
  <c r="GF138" i="2"/>
  <c r="GF136" i="2"/>
  <c r="GF232" i="2"/>
  <c r="GF195" i="2"/>
  <c r="GF190" i="2"/>
  <c r="GF197" i="2"/>
  <c r="GF186" i="2"/>
  <c r="GF184" i="2"/>
  <c r="GF182" i="2"/>
  <c r="GF180" i="2"/>
  <c r="GF178" i="2"/>
  <c r="GF164" i="2"/>
  <c r="GF162" i="2"/>
  <c r="GF160" i="2"/>
  <c r="GF140" i="2"/>
  <c r="GF130" i="2"/>
  <c r="GF127" i="2"/>
  <c r="GF112" i="2"/>
  <c r="GF101" i="2"/>
  <c r="GF95" i="2"/>
  <c r="GF91" i="2"/>
  <c r="GF89" i="2"/>
  <c r="GF87" i="2"/>
  <c r="GF74" i="2"/>
  <c r="GF175" i="2"/>
  <c r="GF133" i="2"/>
  <c r="GF116" i="2"/>
  <c r="GF115" i="2"/>
  <c r="GF113" i="2"/>
  <c r="GF85" i="2"/>
  <c r="GF83" i="2"/>
  <c r="GF81" i="2"/>
  <c r="GF79" i="2"/>
  <c r="GF77" i="2"/>
  <c r="GF134" i="2"/>
  <c r="GF125" i="2"/>
  <c r="GF123" i="2"/>
  <c r="GF121" i="2"/>
  <c r="GF141" i="2"/>
  <c r="GF129" i="2"/>
  <c r="GF110" i="2"/>
  <c r="GF96" i="2"/>
  <c r="GF171" i="2"/>
  <c r="GF159" i="2"/>
  <c r="GF144" i="2"/>
  <c r="GF142" i="2"/>
  <c r="GF107" i="2"/>
  <c r="GF99" i="2"/>
  <c r="GF97" i="2"/>
  <c r="GF93" i="2"/>
  <c r="GF173" i="2"/>
  <c r="GF128" i="2"/>
  <c r="GF126" i="2"/>
  <c r="GF102" i="2"/>
  <c r="GF100" i="2"/>
  <c r="GF94" i="2"/>
  <c r="GF92" i="2"/>
  <c r="GF90" i="2"/>
  <c r="GF88" i="2"/>
  <c r="GF86" i="2"/>
  <c r="GF75" i="2"/>
  <c r="GF114" i="2"/>
  <c r="GF103" i="2"/>
  <c r="GF84" i="2"/>
  <c r="GF82" i="2"/>
  <c r="GF80" i="2"/>
  <c r="GF78" i="2"/>
  <c r="GF76" i="2"/>
  <c r="GF68" i="2"/>
  <c r="GF66" i="2"/>
  <c r="GF64" i="2"/>
  <c r="GF62" i="2"/>
  <c r="GF60" i="2"/>
  <c r="GF139" i="2"/>
  <c r="GF135" i="2"/>
  <c r="GF105" i="2"/>
  <c r="GF50" i="2"/>
  <c r="GF48" i="2"/>
  <c r="GF45" i="2"/>
  <c r="GF143" i="2"/>
  <c r="GF132" i="2"/>
  <c r="GF124" i="2"/>
  <c r="GF122" i="2"/>
  <c r="GF118" i="2"/>
  <c r="GF70" i="2"/>
  <c r="GF51" i="2"/>
  <c r="GF38" i="2"/>
  <c r="GF36" i="2"/>
  <c r="GF28" i="2"/>
  <c r="GF72" i="2"/>
  <c r="GF69" i="2"/>
  <c r="GF73" i="2"/>
  <c r="GF49" i="2"/>
  <c r="GF44" i="2"/>
  <c r="GF43" i="2"/>
  <c r="GF42" i="2"/>
  <c r="GF41" i="2"/>
  <c r="GF131" i="2"/>
  <c r="GF104" i="2"/>
  <c r="GF58" i="2"/>
  <c r="GF56" i="2"/>
  <c r="GF52" i="2"/>
  <c r="GF67" i="2"/>
  <c r="GF34" i="2"/>
  <c r="GF106" i="2"/>
  <c r="GF65" i="2"/>
  <c r="GF54" i="2"/>
  <c r="GF40" i="2"/>
  <c r="GF39" i="2"/>
  <c r="GE5" i="2"/>
  <c r="GQ5" i="2"/>
  <c r="EU7" i="2"/>
  <c r="GA7" i="2"/>
  <c r="EI8" i="2"/>
  <c r="EQ9" i="2"/>
  <c r="FW9" i="2"/>
  <c r="EO10" i="2"/>
  <c r="GE10" i="2"/>
  <c r="EO11" i="2"/>
  <c r="GE11" i="2"/>
  <c r="EU13" i="2"/>
  <c r="GA13" i="2"/>
  <c r="EI14" i="2"/>
  <c r="DU15" i="2"/>
  <c r="EE15" i="2"/>
  <c r="EX15" i="2" s="1"/>
  <c r="FV15" i="2"/>
  <c r="GF15" i="2"/>
  <c r="EO16" i="2"/>
  <c r="GE16" i="2"/>
  <c r="EO17" i="2"/>
  <c r="GE17" i="2"/>
  <c r="EI18" i="2"/>
  <c r="ES18" i="2"/>
  <c r="EI19" i="2"/>
  <c r="ES19" i="2"/>
  <c r="FZ20" i="2"/>
  <c r="EI21" i="2"/>
  <c r="ES21" i="2"/>
  <c r="ES22" i="2"/>
  <c r="EI23" i="2"/>
  <c r="ES23" i="2"/>
  <c r="EQ24" i="2"/>
  <c r="FW24" i="2"/>
  <c r="GD25" i="2"/>
  <c r="EI26" i="2"/>
  <c r="ET26" i="2"/>
  <c r="GA26" i="2"/>
  <c r="GM26" i="2"/>
  <c r="DX27" i="2"/>
  <c r="GO27" i="2"/>
  <c r="FV29" i="2"/>
  <c r="EI30" i="2"/>
  <c r="GE30" i="2"/>
  <c r="GE31" i="2"/>
  <c r="EO33" i="2"/>
  <c r="ER36" i="2"/>
  <c r="GF37" i="2"/>
  <c r="GC39" i="2"/>
  <c r="EO40" i="2"/>
  <c r="GA42" i="2"/>
  <c r="ET43" i="2"/>
  <c r="GM44" i="2"/>
  <c r="GE46" i="2"/>
  <c r="ER51" i="2"/>
  <c r="GA56" i="2"/>
  <c r="FW57" i="2"/>
  <c r="EV58" i="2"/>
  <c r="GF61" i="2"/>
  <c r="GD64" i="2"/>
  <c r="EV66" i="2"/>
  <c r="EU68" i="2"/>
  <c r="ET69" i="2"/>
  <c r="GA73" i="2"/>
  <c r="FZ79" i="2"/>
  <c r="ER85" i="2"/>
  <c r="EI89" i="2"/>
  <c r="GQ90" i="2"/>
  <c r="ER91" i="2"/>
  <c r="GE103" i="2"/>
  <c r="GC107" i="2"/>
  <c r="GD117" i="2"/>
  <c r="GC128" i="2"/>
  <c r="EI129" i="2"/>
  <c r="EI135" i="2"/>
  <c r="GE138" i="2"/>
  <c r="DW31" i="2"/>
  <c r="EP31" i="2" s="1"/>
  <c r="BC32" i="2"/>
  <c r="AZ32" i="2"/>
  <c r="DP32" i="2" s="1"/>
  <c r="EI32" i="2" s="1"/>
  <c r="EU43" i="2"/>
  <c r="EI45" i="2"/>
  <c r="GF46" i="2"/>
  <c r="EQ47" i="2"/>
  <c r="EU52" i="2"/>
  <c r="EN54" i="2"/>
  <c r="EN60" i="2"/>
  <c r="GE64" i="2"/>
  <c r="GC65" i="2"/>
  <c r="FZ69" i="2"/>
  <c r="EQ72" i="2"/>
  <c r="GC75" i="2"/>
  <c r="GC78" i="2"/>
  <c r="EI83" i="2"/>
  <c r="ES85" i="2"/>
  <c r="ES91" i="2"/>
  <c r="GF98" i="2"/>
  <c r="GD108" i="2"/>
  <c r="GA110" i="2"/>
  <c r="EI121" i="2"/>
  <c r="EI125" i="2"/>
  <c r="GC126" i="2"/>
  <c r="EI127" i="2"/>
  <c r="GD128" i="2"/>
  <c r="EQ134" i="2"/>
  <c r="GA134" i="2"/>
  <c r="GA142" i="2"/>
  <c r="DL26" i="2"/>
  <c r="GP26" i="2"/>
  <c r="GQ26" i="2" s="1"/>
  <c r="EH27" i="2"/>
  <c r="FA27" i="2" s="1"/>
  <c r="DW27" i="2"/>
  <c r="EP27" i="2" s="1"/>
  <c r="DM27" i="2"/>
  <c r="DZ27" i="2"/>
  <c r="GQ28" i="2"/>
  <c r="BF32" i="2"/>
  <c r="EV43" i="2"/>
  <c r="FZ43" i="2"/>
  <c r="EV52" i="2"/>
  <c r="GA52" i="2"/>
  <c r="GE53" i="2"/>
  <c r="EO54" i="2"/>
  <c r="GF57" i="2"/>
  <c r="GA68" i="2"/>
  <c r="GA69" i="2"/>
  <c r="ER72" i="2"/>
  <c r="ET85" i="2"/>
  <c r="EQ89" i="2"/>
  <c r="GA93" i="2"/>
  <c r="EI95" i="2"/>
  <c r="GY96" i="2"/>
  <c r="GX96" i="2"/>
  <c r="GC99" i="2"/>
  <c r="EV110" i="2"/>
  <c r="GF119" i="2"/>
  <c r="GD126" i="2"/>
  <c r="BI449" i="1"/>
  <c r="DN449" i="1" s="1"/>
  <c r="DO459" i="1"/>
  <c r="DR504" i="1"/>
  <c r="DR521" i="1"/>
  <c r="EJ529" i="1"/>
  <c r="DV551" i="1"/>
  <c r="DW551" i="1" s="1"/>
  <c r="AI562" i="1"/>
  <c r="AI1" i="1" s="1"/>
  <c r="DO599" i="1"/>
  <c r="BI602" i="1"/>
  <c r="EN625" i="2"/>
  <c r="EN622" i="2"/>
  <c r="EN617" i="2"/>
  <c r="EN630" i="2"/>
  <c r="EN628" i="2"/>
  <c r="EN621" i="2"/>
  <c r="EN619" i="2"/>
  <c r="EN626" i="2"/>
  <c r="EN627" i="2"/>
  <c r="EN620" i="2"/>
  <c r="EN612" i="2"/>
  <c r="EN610" i="2"/>
  <c r="EN608" i="2"/>
  <c r="EN629" i="2"/>
  <c r="EN631" i="2"/>
  <c r="EN623" i="2"/>
  <c r="EN614" i="2"/>
  <c r="EN613" i="2"/>
  <c r="EN607" i="2"/>
  <c r="EN606" i="2"/>
  <c r="EN604" i="2"/>
  <c r="EN602" i="2"/>
  <c r="EN599" i="2"/>
  <c r="EN597" i="2"/>
  <c r="EN595" i="2"/>
  <c r="EN618" i="2"/>
  <c r="EN611" i="2"/>
  <c r="EN615" i="2"/>
  <c r="EN592" i="2"/>
  <c r="EN591" i="2"/>
  <c r="EN582" i="2"/>
  <c r="EN581" i="2"/>
  <c r="EN596" i="2"/>
  <c r="EN593" i="2"/>
  <c r="EN590" i="2"/>
  <c r="EN589" i="2"/>
  <c r="EN580" i="2"/>
  <c r="EN605" i="2"/>
  <c r="EN588" i="2"/>
  <c r="EN587" i="2"/>
  <c r="EN598" i="2"/>
  <c r="EN616" i="2"/>
  <c r="EN609" i="2"/>
  <c r="EN600" i="2"/>
  <c r="EN586" i="2"/>
  <c r="EN585" i="2"/>
  <c r="EN603" i="2"/>
  <c r="EN584" i="2"/>
  <c r="EN562" i="2"/>
  <c r="EN558" i="2"/>
  <c r="EN556" i="2"/>
  <c r="EN574" i="2"/>
  <c r="EN572" i="2"/>
  <c r="EN570" i="2"/>
  <c r="EN594" i="2"/>
  <c r="EN583" i="2"/>
  <c r="EN579" i="2"/>
  <c r="EN577" i="2"/>
  <c r="EN575" i="2"/>
  <c r="EN542" i="2"/>
  <c r="EN549" i="2"/>
  <c r="EN547" i="2"/>
  <c r="EN569" i="2"/>
  <c r="EN561" i="2"/>
  <c r="EN555" i="2"/>
  <c r="EN578" i="2"/>
  <c r="EN559" i="2"/>
  <c r="EN573" i="2"/>
  <c r="EN564" i="2"/>
  <c r="EN553" i="2"/>
  <c r="EN548" i="2"/>
  <c r="EN544" i="2"/>
  <c r="EN551" i="2"/>
  <c r="EN533" i="2"/>
  <c r="EN563" i="2"/>
  <c r="EN536" i="2"/>
  <c r="EN552" i="2"/>
  <c r="EN550" i="2"/>
  <c r="EN537" i="2"/>
  <c r="EN532" i="2"/>
  <c r="EN571" i="2"/>
  <c r="EN560" i="2"/>
  <c r="EN534" i="2"/>
  <c r="EN541" i="2"/>
  <c r="EN518" i="2"/>
  <c r="EN557" i="2"/>
  <c r="EN538" i="2"/>
  <c r="EN535" i="2"/>
  <c r="EN519" i="2"/>
  <c r="EN515" i="2"/>
  <c r="EN505" i="2"/>
  <c r="EN502" i="2"/>
  <c r="EN500" i="2"/>
  <c r="EN527" i="2"/>
  <c r="EN526" i="2"/>
  <c r="EN523" i="2"/>
  <c r="EN522" i="2"/>
  <c r="EN521" i="2"/>
  <c r="EN513" i="2"/>
  <c r="EN546" i="2"/>
  <c r="EN539" i="2"/>
  <c r="EN530" i="2"/>
  <c r="EN531" i="2"/>
  <c r="EN545" i="2"/>
  <c r="EN540" i="2"/>
  <c r="EN529" i="2"/>
  <c r="EN516" i="2"/>
  <c r="EN494" i="2"/>
  <c r="EN520" i="2"/>
  <c r="EN511" i="2"/>
  <c r="EN506" i="2"/>
  <c r="EN503" i="2"/>
  <c r="EN475" i="2"/>
  <c r="EN473" i="2"/>
  <c r="EN471" i="2"/>
  <c r="EN525" i="2"/>
  <c r="EN524" i="2"/>
  <c r="EN509" i="2"/>
  <c r="EN492" i="2"/>
  <c r="EN486" i="2"/>
  <c r="EN528" i="2"/>
  <c r="EN489" i="2"/>
  <c r="EN487" i="2"/>
  <c r="EN512" i="2"/>
  <c r="EN507" i="2"/>
  <c r="EN484" i="2"/>
  <c r="EN482" i="2"/>
  <c r="EN480" i="2"/>
  <c r="EN504" i="2"/>
  <c r="EN495" i="2"/>
  <c r="EN483" i="2"/>
  <c r="EN498" i="2"/>
  <c r="EN490" i="2"/>
  <c r="EN477" i="2"/>
  <c r="EN464" i="2"/>
  <c r="EN488" i="2"/>
  <c r="EN479" i="2"/>
  <c r="EN451" i="2"/>
  <c r="EN501" i="2"/>
  <c r="EN481" i="2"/>
  <c r="EN474" i="2"/>
  <c r="EN465" i="2"/>
  <c r="EN461" i="2"/>
  <c r="EN459" i="2"/>
  <c r="EN450" i="2"/>
  <c r="EN448" i="2"/>
  <c r="EN508" i="2"/>
  <c r="EN476" i="2"/>
  <c r="EN478" i="2"/>
  <c r="EN456" i="2"/>
  <c r="EN467" i="2"/>
  <c r="EN463" i="2"/>
  <c r="EN496" i="2"/>
  <c r="EN468" i="2"/>
  <c r="EN493" i="2"/>
  <c r="EN510" i="2"/>
  <c r="EN472" i="2"/>
  <c r="EN469" i="2"/>
  <c r="EN437" i="2"/>
  <c r="EN427" i="2"/>
  <c r="EN440" i="2"/>
  <c r="EN428" i="2"/>
  <c r="EN420" i="2"/>
  <c r="EN433" i="2"/>
  <c r="EN431" i="2"/>
  <c r="EN429" i="2"/>
  <c r="EN423" i="2"/>
  <c r="EN421" i="2"/>
  <c r="EN413" i="2"/>
  <c r="EN434" i="2"/>
  <c r="EN462" i="2"/>
  <c r="EN449" i="2"/>
  <c r="EN445" i="2"/>
  <c r="EN435" i="2"/>
  <c r="EN466" i="2"/>
  <c r="EN438" i="2"/>
  <c r="EN460" i="2"/>
  <c r="EN455" i="2"/>
  <c r="EN442" i="2"/>
  <c r="EN441" i="2"/>
  <c r="EN439" i="2"/>
  <c r="EN457" i="2"/>
  <c r="EN447" i="2"/>
  <c r="EN404" i="2"/>
  <c r="EN402" i="2"/>
  <c r="EN400" i="2"/>
  <c r="EN392" i="2"/>
  <c r="EN419" i="2"/>
  <c r="EN407" i="2"/>
  <c r="EN405" i="2"/>
  <c r="EN395" i="2"/>
  <c r="EN393" i="2"/>
  <c r="EN388" i="2"/>
  <c r="EN410" i="2"/>
  <c r="EN408" i="2"/>
  <c r="EN432" i="2"/>
  <c r="EN426" i="2"/>
  <c r="EN389" i="2"/>
  <c r="EN436" i="2"/>
  <c r="EN422" i="2"/>
  <c r="EN416" i="2"/>
  <c r="EN414" i="2"/>
  <c r="EN403" i="2"/>
  <c r="EN401" i="2"/>
  <c r="EN399" i="2"/>
  <c r="EN425" i="2"/>
  <c r="EN424" i="2"/>
  <c r="EN415" i="2"/>
  <c r="EN406" i="2"/>
  <c r="EN396" i="2"/>
  <c r="EN394" i="2"/>
  <c r="EN387" i="2"/>
  <c r="EN411" i="2"/>
  <c r="EN409" i="2"/>
  <c r="EN382" i="2"/>
  <c r="EN376" i="2"/>
  <c r="EN430" i="2"/>
  <c r="EN377" i="2"/>
  <c r="EN361" i="2"/>
  <c r="EN446" i="2"/>
  <c r="EN368" i="2"/>
  <c r="EN366" i="2"/>
  <c r="EN391" i="2"/>
  <c r="EN390" i="2"/>
  <c r="EN374" i="2"/>
  <c r="EN372" i="2"/>
  <c r="EN417" i="2"/>
  <c r="EN362" i="2"/>
  <c r="EN386" i="2"/>
  <c r="EN385" i="2"/>
  <c r="EN378" i="2"/>
  <c r="EN364" i="2"/>
  <c r="EN397" i="2"/>
  <c r="EN383" i="2"/>
  <c r="EN380" i="2"/>
  <c r="EN373" i="2"/>
  <c r="EN418" i="2"/>
  <c r="EN412" i="2"/>
  <c r="EN353" i="2"/>
  <c r="EN352" i="2"/>
  <c r="EN345" i="2"/>
  <c r="EN343" i="2"/>
  <c r="EN379" i="2"/>
  <c r="EN365" i="2"/>
  <c r="EN354" i="2"/>
  <c r="EN367" i="2"/>
  <c r="EN356" i="2"/>
  <c r="EN351" i="2"/>
  <c r="EN350" i="2"/>
  <c r="EN330" i="2"/>
  <c r="EN328" i="2"/>
  <c r="EN381" i="2"/>
  <c r="EN340" i="2"/>
  <c r="EN375" i="2"/>
  <c r="EN363" i="2"/>
  <c r="EN359" i="2"/>
  <c r="EN355" i="2"/>
  <c r="EN349" i="2"/>
  <c r="EN348" i="2"/>
  <c r="EN341" i="2"/>
  <c r="EN338" i="2"/>
  <c r="EN336" i="2"/>
  <c r="EN358" i="2"/>
  <c r="EN342" i="2"/>
  <c r="EN360" i="2"/>
  <c r="EN357" i="2"/>
  <c r="EN347" i="2"/>
  <c r="EN346" i="2"/>
  <c r="EN337" i="2"/>
  <c r="EN323" i="2"/>
  <c r="EN322" i="2"/>
  <c r="EN339" i="2"/>
  <c r="EN332" i="2"/>
  <c r="EN321" i="2"/>
  <c r="EN315" i="2"/>
  <c r="EN313" i="2"/>
  <c r="EN370" i="2"/>
  <c r="EN329" i="2"/>
  <c r="EN318" i="2"/>
  <c r="EN335" i="2"/>
  <c r="EN334" i="2"/>
  <c r="EN319" i="2"/>
  <c r="EN324" i="2"/>
  <c r="EN307" i="2"/>
  <c r="EN297" i="2"/>
  <c r="EN293" i="2"/>
  <c r="EN291" i="2"/>
  <c r="EN272" i="2"/>
  <c r="EN305" i="2"/>
  <c r="EN296" i="2"/>
  <c r="EN325" i="2"/>
  <c r="EN309" i="2"/>
  <c r="EN302" i="2"/>
  <c r="EN284" i="2"/>
  <c r="EN282" i="2"/>
  <c r="EN280" i="2"/>
  <c r="EN327" i="2"/>
  <c r="EN316" i="2"/>
  <c r="EN299" i="2"/>
  <c r="EN314" i="2"/>
  <c r="EN294" i="2"/>
  <c r="EN292" i="2"/>
  <c r="EN311" i="2"/>
  <c r="EN242" i="2"/>
  <c r="EN240" i="2"/>
  <c r="EN238" i="2"/>
  <c r="EN232" i="2"/>
  <c r="EN228" i="2"/>
  <c r="EN287" i="2"/>
  <c r="EN283" i="2"/>
  <c r="EN263" i="2"/>
  <c r="EN261" i="2"/>
  <c r="EN276" i="2"/>
  <c r="EN269" i="2"/>
  <c r="EN259" i="2"/>
  <c r="EN257" i="2"/>
  <c r="EN236" i="2"/>
  <c r="EN270" i="2"/>
  <c r="EN255" i="2"/>
  <c r="EN253" i="2"/>
  <c r="EN251" i="2"/>
  <c r="EN249" i="2"/>
  <c r="EN247" i="2"/>
  <c r="EN245" i="2"/>
  <c r="EN289" i="2"/>
  <c r="EN285" i="2"/>
  <c r="EN279" i="2"/>
  <c r="EN266" i="2"/>
  <c r="EN268" i="2"/>
  <c r="EN267" i="2"/>
  <c r="EN264" i="2"/>
  <c r="EN262" i="2"/>
  <c r="EN260" i="2"/>
  <c r="EN295" i="2"/>
  <c r="EN281" i="2"/>
  <c r="EN271" i="2"/>
  <c r="EN265" i="2"/>
  <c r="EN237" i="2"/>
  <c r="EN231" i="2"/>
  <c r="EN222" i="2"/>
  <c r="EN219" i="2"/>
  <c r="EN217" i="2"/>
  <c r="EN254" i="2"/>
  <c r="EN250" i="2"/>
  <c r="EN246" i="2"/>
  <c r="EN227" i="2"/>
  <c r="EN224" i="2"/>
  <c r="EN213" i="2"/>
  <c r="EN204" i="2"/>
  <c r="EN202" i="2"/>
  <c r="EN200" i="2"/>
  <c r="EN256" i="2"/>
  <c r="EN244" i="2"/>
  <c r="EN223" i="2"/>
  <c r="EN275" i="2"/>
  <c r="EN235" i="2"/>
  <c r="EN233" i="2"/>
  <c r="EN226" i="2"/>
  <c r="EN220" i="2"/>
  <c r="EN206" i="2"/>
  <c r="EN221" i="2"/>
  <c r="EN239" i="2"/>
  <c r="EN258" i="2"/>
  <c r="EN252" i="2"/>
  <c r="EN248" i="2"/>
  <c r="EN241" i="2"/>
  <c r="EN225" i="2"/>
  <c r="EN194" i="2"/>
  <c r="EN175" i="2"/>
  <c r="EN173" i="2"/>
  <c r="EN171" i="2"/>
  <c r="EN214" i="2"/>
  <c r="EN192" i="2"/>
  <c r="EN188" i="2"/>
  <c r="EN186" i="2"/>
  <c r="EN184" i="2"/>
  <c r="EN182" i="2"/>
  <c r="EN180" i="2"/>
  <c r="EN178" i="2"/>
  <c r="EN164" i="2"/>
  <c r="EN162" i="2"/>
  <c r="EN193" i="2"/>
  <c r="EN189" i="2"/>
  <c r="EN167" i="2"/>
  <c r="EN165" i="2"/>
  <c r="EN156" i="2"/>
  <c r="EN143" i="2"/>
  <c r="EN141" i="2"/>
  <c r="EN201" i="2"/>
  <c r="EN191" i="2"/>
  <c r="EN157" i="2"/>
  <c r="EN203" i="2"/>
  <c r="EN195" i="2"/>
  <c r="EN199" i="2"/>
  <c r="EN197" i="2"/>
  <c r="EN176" i="2"/>
  <c r="EN174" i="2"/>
  <c r="EN172" i="2"/>
  <c r="EN170" i="2"/>
  <c r="EN187" i="2"/>
  <c r="EN185" i="2"/>
  <c r="EN183" i="2"/>
  <c r="EN181" i="2"/>
  <c r="EN179" i="2"/>
  <c r="EN163" i="2"/>
  <c r="EN161" i="2"/>
  <c r="EN154" i="2"/>
  <c r="EN196" i="2"/>
  <c r="EN212" i="2"/>
  <c r="EN198" i="2"/>
  <c r="EN149" i="2"/>
  <c r="EN148" i="2"/>
  <c r="EN134" i="2"/>
  <c r="EN130" i="2"/>
  <c r="EN118" i="2"/>
  <c r="EN109" i="2"/>
  <c r="EN105" i="2"/>
  <c r="EN158" i="2"/>
  <c r="EN147" i="2"/>
  <c r="EN146" i="2"/>
  <c r="EN138" i="2"/>
  <c r="EN119" i="2"/>
  <c r="EN106" i="2"/>
  <c r="EN98" i="2"/>
  <c r="EN155" i="2"/>
  <c r="EN140" i="2"/>
  <c r="EN127" i="2"/>
  <c r="EN101" i="2"/>
  <c r="EN95" i="2"/>
  <c r="EN91" i="2"/>
  <c r="EN89" i="2"/>
  <c r="EN87" i="2"/>
  <c r="EN129" i="2"/>
  <c r="EN115" i="2"/>
  <c r="EN113" i="2"/>
  <c r="EN85" i="2"/>
  <c r="EN83" i="2"/>
  <c r="EN81" i="2"/>
  <c r="EN79" i="2"/>
  <c r="EN77" i="2"/>
  <c r="EN144" i="2"/>
  <c r="EN125" i="2"/>
  <c r="EN123" i="2"/>
  <c r="EN121" i="2"/>
  <c r="EN110" i="2"/>
  <c r="EN96" i="2"/>
  <c r="EN142" i="2"/>
  <c r="EN132" i="2"/>
  <c r="EN107" i="2"/>
  <c r="EN99" i="2"/>
  <c r="EN97" i="2"/>
  <c r="EN70" i="2"/>
  <c r="EN166" i="2"/>
  <c r="EN108" i="2"/>
  <c r="EN92" i="2"/>
  <c r="EN84" i="2"/>
  <c r="EN75" i="2"/>
  <c r="EN73" i="2"/>
  <c r="EN47" i="2"/>
  <c r="EN46" i="2"/>
  <c r="EN131" i="2"/>
  <c r="EN55" i="2"/>
  <c r="EN37" i="2"/>
  <c r="EN35" i="2"/>
  <c r="EN32" i="2"/>
  <c r="EN29" i="2"/>
  <c r="EN104" i="2"/>
  <c r="EN78" i="2"/>
  <c r="EN72" i="2"/>
  <c r="EN69" i="2"/>
  <c r="EN50" i="2"/>
  <c r="EN48" i="2"/>
  <c r="EN45" i="2"/>
  <c r="EN68" i="2"/>
  <c r="EN51" i="2"/>
  <c r="EN38" i="2"/>
  <c r="EN151" i="2"/>
  <c r="EN128" i="2"/>
  <c r="EN126" i="2"/>
  <c r="EN100" i="2"/>
  <c r="EN71" i="2"/>
  <c r="EN66" i="2"/>
  <c r="EN58" i="2"/>
  <c r="EN56" i="2"/>
  <c r="EN111" i="2"/>
  <c r="EN103" i="2"/>
  <c r="EN80" i="2"/>
  <c r="EN67" i="2"/>
  <c r="EN64" i="2"/>
  <c r="EN49" i="2"/>
  <c r="EN44" i="2"/>
  <c r="EN43" i="2"/>
  <c r="EN42" i="2"/>
  <c r="EN41" i="2"/>
  <c r="EN168" i="2"/>
  <c r="EN114" i="2"/>
  <c r="EN102" i="2"/>
  <c r="EN94" i="2"/>
  <c r="EN88" i="2"/>
  <c r="EN65" i="2"/>
  <c r="EN62" i="2"/>
  <c r="EN52" i="2"/>
  <c r="FV622" i="2"/>
  <c r="FV630" i="2"/>
  <c r="FV628" i="2"/>
  <c r="FV626" i="2"/>
  <c r="FV620" i="2"/>
  <c r="FV629" i="2"/>
  <c r="FV623" i="2"/>
  <c r="FV619" i="2"/>
  <c r="FV617" i="2"/>
  <c r="FV612" i="2"/>
  <c r="FV610" i="2"/>
  <c r="FV608" i="2"/>
  <c r="FV621" i="2"/>
  <c r="FV631" i="2"/>
  <c r="FV627" i="2"/>
  <c r="FV624" i="2"/>
  <c r="FV609" i="2"/>
  <c r="FV625" i="2"/>
  <c r="FV606" i="2"/>
  <c r="FV604" i="2"/>
  <c r="FV602" i="2"/>
  <c r="FV616" i="2"/>
  <c r="FV614" i="2"/>
  <c r="FV613" i="2"/>
  <c r="FV607" i="2"/>
  <c r="FV611" i="2"/>
  <c r="FV605" i="2"/>
  <c r="FV603" i="2"/>
  <c r="FV600" i="2"/>
  <c r="FV618" i="2"/>
  <c r="FV615" i="2"/>
  <c r="FV599" i="2"/>
  <c r="FV593" i="2"/>
  <c r="FV590" i="2"/>
  <c r="FV589" i="2"/>
  <c r="FV596" i="2"/>
  <c r="FV588" i="2"/>
  <c r="FV587" i="2"/>
  <c r="FV595" i="2"/>
  <c r="FV586" i="2"/>
  <c r="FV598" i="2"/>
  <c r="FV594" i="2"/>
  <c r="FV592" i="2"/>
  <c r="FV583" i="2"/>
  <c r="FV574" i="2"/>
  <c r="FV572" i="2"/>
  <c r="FV570" i="2"/>
  <c r="FV568" i="2"/>
  <c r="FV566" i="2"/>
  <c r="FV584" i="2"/>
  <c r="FV580" i="2"/>
  <c r="FV575" i="2"/>
  <c r="FV582" i="2"/>
  <c r="FV573" i="2"/>
  <c r="FV571" i="2"/>
  <c r="FV569" i="2"/>
  <c r="FV585" i="2"/>
  <c r="FV579" i="2"/>
  <c r="FV578" i="2"/>
  <c r="FV576" i="2"/>
  <c r="FV567" i="2"/>
  <c r="FV597" i="2"/>
  <c r="FV581" i="2"/>
  <c r="FV563" i="2"/>
  <c r="FV562" i="2"/>
  <c r="FV549" i="2"/>
  <c r="FV547" i="2"/>
  <c r="FV545" i="2"/>
  <c r="FV539" i="2"/>
  <c r="FV537" i="2"/>
  <c r="FV535" i="2"/>
  <c r="FV533" i="2"/>
  <c r="FV577" i="2"/>
  <c r="FV558" i="2"/>
  <c r="FV555" i="2"/>
  <c r="FV565" i="2"/>
  <c r="FV561" i="2"/>
  <c r="FV559" i="2"/>
  <c r="FV543" i="2"/>
  <c r="FV553" i="2"/>
  <c r="FV548" i="2"/>
  <c r="FV546" i="2"/>
  <c r="FV544" i="2"/>
  <c r="FV556" i="2"/>
  <c r="FV540" i="2"/>
  <c r="FV538" i="2"/>
  <c r="FV536" i="2"/>
  <c r="FV591" i="2"/>
  <c r="FV541" i="2"/>
  <c r="FV564" i="2"/>
  <c r="FV552" i="2"/>
  <c r="FV551" i="2"/>
  <c r="FV550" i="2"/>
  <c r="FV557" i="2"/>
  <c r="FV532" i="2"/>
  <c r="FV529" i="2"/>
  <c r="FV519" i="2"/>
  <c r="FV515" i="2"/>
  <c r="FV512" i="2"/>
  <c r="FV510" i="2"/>
  <c r="FV508" i="2"/>
  <c r="FV521" i="2"/>
  <c r="FV513" i="2"/>
  <c r="FV526" i="2"/>
  <c r="FV522" i="2"/>
  <c r="FV527" i="2"/>
  <c r="FV523" i="2"/>
  <c r="FV517" i="2"/>
  <c r="FV520" i="2"/>
  <c r="FV516" i="2"/>
  <c r="FV506" i="2"/>
  <c r="FV504" i="2"/>
  <c r="FV503" i="2"/>
  <c r="FV530" i="2"/>
  <c r="FV511" i="2"/>
  <c r="FV509" i="2"/>
  <c r="FV507" i="2"/>
  <c r="FV534" i="2"/>
  <c r="FV531" i="2"/>
  <c r="FV542" i="2"/>
  <c r="FV525" i="2"/>
  <c r="FV518" i="2"/>
  <c r="FV514" i="2"/>
  <c r="FV499" i="2"/>
  <c r="FV528" i="2"/>
  <c r="FV492" i="2"/>
  <c r="FV486" i="2"/>
  <c r="FV489" i="2"/>
  <c r="FV487" i="2"/>
  <c r="FV469" i="2"/>
  <c r="FV467" i="2"/>
  <c r="FV505" i="2"/>
  <c r="FV501" i="2"/>
  <c r="FV497" i="2"/>
  <c r="FV484" i="2"/>
  <c r="FV483" i="2"/>
  <c r="FV502" i="2"/>
  <c r="FV500" i="2"/>
  <c r="FV496" i="2"/>
  <c r="FV493" i="2"/>
  <c r="FV491" i="2"/>
  <c r="FV470" i="2"/>
  <c r="FV461" i="2"/>
  <c r="FV459" i="2"/>
  <c r="FV452" i="2"/>
  <c r="FV450" i="2"/>
  <c r="FV448" i="2"/>
  <c r="FV477" i="2"/>
  <c r="FV465" i="2"/>
  <c r="FV480" i="2"/>
  <c r="FV475" i="2"/>
  <c r="FV472" i="2"/>
  <c r="FV456" i="2"/>
  <c r="FV454" i="2"/>
  <c r="FV494" i="2"/>
  <c r="FV479" i="2"/>
  <c r="FV524" i="2"/>
  <c r="FV495" i="2"/>
  <c r="FV463" i="2"/>
  <c r="FV498" i="2"/>
  <c r="FV490" i="2"/>
  <c r="FV481" i="2"/>
  <c r="FV476" i="2"/>
  <c r="FV474" i="2"/>
  <c r="FV471" i="2"/>
  <c r="FV460" i="2"/>
  <c r="FV458" i="2"/>
  <c r="FV488" i="2"/>
  <c r="FV482" i="2"/>
  <c r="FV478" i="2"/>
  <c r="FV468" i="2"/>
  <c r="FV466" i="2"/>
  <c r="FV473" i="2"/>
  <c r="FV464" i="2"/>
  <c r="FV455" i="2"/>
  <c r="FV433" i="2"/>
  <c r="FV431" i="2"/>
  <c r="FV429" i="2"/>
  <c r="FV423" i="2"/>
  <c r="FV421" i="2"/>
  <c r="FV434" i="2"/>
  <c r="FV447" i="2"/>
  <c r="FV443" i="2"/>
  <c r="FV435" i="2"/>
  <c r="FV417" i="2"/>
  <c r="FV445" i="2"/>
  <c r="FV438" i="2"/>
  <c r="FV457" i="2"/>
  <c r="FV442" i="2"/>
  <c r="FV441" i="2"/>
  <c r="FV439" i="2"/>
  <c r="FV449" i="2"/>
  <c r="FV432" i="2"/>
  <c r="FV430" i="2"/>
  <c r="FV424" i="2"/>
  <c r="FV422" i="2"/>
  <c r="FV453" i="2"/>
  <c r="FV425" i="2"/>
  <c r="FV462" i="2"/>
  <c r="FV436" i="2"/>
  <c r="FV418" i="2"/>
  <c r="FV410" i="2"/>
  <c r="FV408" i="2"/>
  <c r="FV389" i="2"/>
  <c r="FV451" i="2"/>
  <c r="FV427" i="2"/>
  <c r="FV419" i="2"/>
  <c r="FV440" i="2"/>
  <c r="FV403" i="2"/>
  <c r="FV401" i="2"/>
  <c r="FV399" i="2"/>
  <c r="FV406" i="2"/>
  <c r="FV396" i="2"/>
  <c r="FV394" i="2"/>
  <c r="FV387" i="2"/>
  <c r="FV446" i="2"/>
  <c r="FV420" i="2"/>
  <c r="FV415" i="2"/>
  <c r="FV411" i="2"/>
  <c r="FV409" i="2"/>
  <c r="FV397" i="2"/>
  <c r="FV385" i="2"/>
  <c r="FV416" i="2"/>
  <c r="FV414" i="2"/>
  <c r="FV412" i="2"/>
  <c r="FV390" i="2"/>
  <c r="FV402" i="2"/>
  <c r="FV384" i="2"/>
  <c r="FV383" i="2"/>
  <c r="FV381" i="2"/>
  <c r="FV371" i="2"/>
  <c r="FV368" i="2"/>
  <c r="FV366" i="2"/>
  <c r="FV388" i="2"/>
  <c r="FV386" i="2"/>
  <c r="FV374" i="2"/>
  <c r="FV372" i="2"/>
  <c r="FV407" i="2"/>
  <c r="FV369" i="2"/>
  <c r="FV362" i="2"/>
  <c r="FV345" i="2"/>
  <c r="FV428" i="2"/>
  <c r="FV405" i="2"/>
  <c r="FV400" i="2"/>
  <c r="FV356" i="2"/>
  <c r="FV354" i="2"/>
  <c r="FV413" i="2"/>
  <c r="FV378" i="2"/>
  <c r="FV364" i="2"/>
  <c r="FV392" i="2"/>
  <c r="FV379" i="2"/>
  <c r="FV367" i="2"/>
  <c r="FV363" i="2"/>
  <c r="FV358" i="2"/>
  <c r="FV437" i="2"/>
  <c r="FV393" i="2"/>
  <c r="FV380" i="2"/>
  <c r="FV373" i="2"/>
  <c r="FV360" i="2"/>
  <c r="FV357" i="2"/>
  <c r="FV426" i="2"/>
  <c r="FV404" i="2"/>
  <c r="FV391" i="2"/>
  <c r="FV376" i="2"/>
  <c r="FV353" i="2"/>
  <c r="FV351" i="2"/>
  <c r="FV350" i="2"/>
  <c r="FV344" i="2"/>
  <c r="FV340" i="2"/>
  <c r="FV333" i="2"/>
  <c r="FV341" i="2"/>
  <c r="FV338" i="2"/>
  <c r="FV336" i="2"/>
  <c r="FV382" i="2"/>
  <c r="FV375" i="2"/>
  <c r="FV349" i="2"/>
  <c r="FV348" i="2"/>
  <c r="FV342" i="2"/>
  <c r="FV370" i="2"/>
  <c r="FV347" i="2"/>
  <c r="FV346" i="2"/>
  <c r="FV365" i="2"/>
  <c r="FV339" i="2"/>
  <c r="FV334" i="2"/>
  <c r="FV395" i="2"/>
  <c r="FV352" i="2"/>
  <c r="FV323" i="2"/>
  <c r="FV322" i="2"/>
  <c r="FV308" i="2"/>
  <c r="FV328" i="2"/>
  <c r="FV321" i="2"/>
  <c r="FV320" i="2"/>
  <c r="FV318" i="2"/>
  <c r="FV311" i="2"/>
  <c r="FV361" i="2"/>
  <c r="FV355" i="2"/>
  <c r="FV329" i="2"/>
  <c r="FV332" i="2"/>
  <c r="FV319" i="2"/>
  <c r="FV316" i="2"/>
  <c r="FV314" i="2"/>
  <c r="FV312" i="2"/>
  <c r="FV377" i="2"/>
  <c r="FV331" i="2"/>
  <c r="FV327" i="2"/>
  <c r="FV317" i="2"/>
  <c r="FV343" i="2"/>
  <c r="FV303" i="2"/>
  <c r="FV296" i="2"/>
  <c r="FV301" i="2"/>
  <c r="FV273" i="2"/>
  <c r="FV302" i="2"/>
  <c r="FV284" i="2"/>
  <c r="FV282" i="2"/>
  <c r="FV280" i="2"/>
  <c r="FV278" i="2"/>
  <c r="FV277" i="2"/>
  <c r="FV276" i="2"/>
  <c r="FV274" i="2"/>
  <c r="FV304" i="2"/>
  <c r="FV299" i="2"/>
  <c r="FV335" i="2"/>
  <c r="FV315" i="2"/>
  <c r="FV310" i="2"/>
  <c r="FV307" i="2"/>
  <c r="FV306" i="2"/>
  <c r="FV305" i="2"/>
  <c r="FV294" i="2"/>
  <c r="FV292" i="2"/>
  <c r="FV290" i="2"/>
  <c r="FV288" i="2"/>
  <c r="FV295" i="2"/>
  <c r="FV289" i="2"/>
  <c r="FV330" i="2"/>
  <c r="FV309" i="2"/>
  <c r="FV300" i="2"/>
  <c r="FV337" i="2"/>
  <c r="FV313" i="2"/>
  <c r="FV259" i="2"/>
  <c r="FV257" i="2"/>
  <c r="FV236" i="2"/>
  <c r="FV297" i="2"/>
  <c r="FV287" i="2"/>
  <c r="FV255" i="2"/>
  <c r="FV253" i="2"/>
  <c r="FV251" i="2"/>
  <c r="FV249" i="2"/>
  <c r="FV247" i="2"/>
  <c r="FV326" i="2"/>
  <c r="FV324" i="2"/>
  <c r="FV285" i="2"/>
  <c r="FV279" i="2"/>
  <c r="FV269" i="2"/>
  <c r="FV243" i="2"/>
  <c r="FV272" i="2"/>
  <c r="FV241" i="2"/>
  <c r="FV239" i="2"/>
  <c r="FV262" i="2"/>
  <c r="FV260" i="2"/>
  <c r="FV281" i="2"/>
  <c r="FV270" i="2"/>
  <c r="FV267" i="2"/>
  <c r="FV258" i="2"/>
  <c r="FV256" i="2"/>
  <c r="FV291" i="2"/>
  <c r="FV266" i="2"/>
  <c r="FV265" i="2"/>
  <c r="FV254" i="2"/>
  <c r="FV252" i="2"/>
  <c r="FV250" i="2"/>
  <c r="FV248" i="2"/>
  <c r="FV246" i="2"/>
  <c r="FV244" i="2"/>
  <c r="FV293" i="2"/>
  <c r="FV283" i="2"/>
  <c r="FV325" i="2"/>
  <c r="FV275" i="2"/>
  <c r="FV271" i="2"/>
  <c r="FV263" i="2"/>
  <c r="FV261" i="2"/>
  <c r="FV217" i="2"/>
  <c r="FV209" i="2"/>
  <c r="FV231" i="2"/>
  <c r="FV224" i="2"/>
  <c r="FV213" i="2"/>
  <c r="FV210" i="2"/>
  <c r="FV204" i="2"/>
  <c r="FV202" i="2"/>
  <c r="FV200" i="2"/>
  <c r="FV198" i="2"/>
  <c r="FV196" i="2"/>
  <c r="FV245" i="2"/>
  <c r="FV238" i="2"/>
  <c r="FV227" i="2"/>
  <c r="FV223" i="2"/>
  <c r="FV205" i="2"/>
  <c r="FV237" i="2"/>
  <c r="FV220" i="2"/>
  <c r="FV211" i="2"/>
  <c r="FV206" i="2"/>
  <c r="FV240" i="2"/>
  <c r="FV228" i="2"/>
  <c r="FV226" i="2"/>
  <c r="FV221" i="2"/>
  <c r="FV216" i="2"/>
  <c r="FV207" i="2"/>
  <c r="FV264" i="2"/>
  <c r="FV234" i="2"/>
  <c r="FV232" i="2"/>
  <c r="FV215" i="2"/>
  <c r="FV268" i="2"/>
  <c r="FV242" i="2"/>
  <c r="FV235" i="2"/>
  <c r="FV214" i="2"/>
  <c r="FV212" i="2"/>
  <c r="FV203" i="2"/>
  <c r="FV201" i="2"/>
  <c r="FV199" i="2"/>
  <c r="FV222" i="2"/>
  <c r="FV219" i="2"/>
  <c r="FV218" i="2"/>
  <c r="FV208" i="2"/>
  <c r="FV167" i="2"/>
  <c r="FV165" i="2"/>
  <c r="FV156" i="2"/>
  <c r="FV194" i="2"/>
  <c r="FV193" i="2"/>
  <c r="FV189" i="2"/>
  <c r="FV157" i="2"/>
  <c r="FV152" i="2"/>
  <c r="FV150" i="2"/>
  <c r="FV148" i="2"/>
  <c r="FV146" i="2"/>
  <c r="FV137" i="2"/>
  <c r="FV233" i="2"/>
  <c r="FV192" i="2"/>
  <c r="FV191" i="2"/>
  <c r="FV188" i="2"/>
  <c r="FV176" i="2"/>
  <c r="FV174" i="2"/>
  <c r="FV172" i="2"/>
  <c r="FV170" i="2"/>
  <c r="FV153" i="2"/>
  <c r="FV225" i="2"/>
  <c r="FV187" i="2"/>
  <c r="FV185" i="2"/>
  <c r="FV183" i="2"/>
  <c r="FV181" i="2"/>
  <c r="FV179" i="2"/>
  <c r="FV177" i="2"/>
  <c r="FV169" i="2"/>
  <c r="FV163" i="2"/>
  <c r="FV161" i="2"/>
  <c r="FV154" i="2"/>
  <c r="FV195" i="2"/>
  <c r="FV168" i="2"/>
  <c r="FV166" i="2"/>
  <c r="FV155" i="2"/>
  <c r="FV197" i="2"/>
  <c r="FV190" i="2"/>
  <c r="FV158" i="2"/>
  <c r="FV151" i="2"/>
  <c r="FV149" i="2"/>
  <c r="FV147" i="2"/>
  <c r="FV145" i="2"/>
  <c r="FV138" i="2"/>
  <c r="FV136" i="2"/>
  <c r="FV186" i="2"/>
  <c r="FV184" i="2"/>
  <c r="FV182" i="2"/>
  <c r="FV180" i="2"/>
  <c r="FV178" i="2"/>
  <c r="FV164" i="2"/>
  <c r="FV162" i="2"/>
  <c r="FV160" i="2"/>
  <c r="FV142" i="2"/>
  <c r="FV134" i="2"/>
  <c r="FV127" i="2"/>
  <c r="FV112" i="2"/>
  <c r="FV101" i="2"/>
  <c r="FV95" i="2"/>
  <c r="FV91" i="2"/>
  <c r="FV89" i="2"/>
  <c r="FV87" i="2"/>
  <c r="FV116" i="2"/>
  <c r="FV115" i="2"/>
  <c r="FV113" i="2"/>
  <c r="FV85" i="2"/>
  <c r="FV83" i="2"/>
  <c r="FV81" i="2"/>
  <c r="FV79" i="2"/>
  <c r="FV77" i="2"/>
  <c r="FV129" i="2"/>
  <c r="FV125" i="2"/>
  <c r="FV123" i="2"/>
  <c r="FV121" i="2"/>
  <c r="FV143" i="2"/>
  <c r="FV110" i="2"/>
  <c r="FV96" i="2"/>
  <c r="FV175" i="2"/>
  <c r="FV139" i="2"/>
  <c r="FV107" i="2"/>
  <c r="FV99" i="2"/>
  <c r="FV97" i="2"/>
  <c r="FV93" i="2"/>
  <c r="FV132" i="2"/>
  <c r="FV128" i="2"/>
  <c r="FV126" i="2"/>
  <c r="FV102" i="2"/>
  <c r="FV100" i="2"/>
  <c r="FV94" i="2"/>
  <c r="FV92" i="2"/>
  <c r="FV90" i="2"/>
  <c r="FV88" i="2"/>
  <c r="FV86" i="2"/>
  <c r="FV75" i="2"/>
  <c r="FV159" i="2"/>
  <c r="FV140" i="2"/>
  <c r="FV135" i="2"/>
  <c r="FV114" i="2"/>
  <c r="FV103" i="2"/>
  <c r="FV84" i="2"/>
  <c r="FV82" i="2"/>
  <c r="FV80" i="2"/>
  <c r="FV78" i="2"/>
  <c r="FV76" i="2"/>
  <c r="FV68" i="2"/>
  <c r="FV66" i="2"/>
  <c r="FV64" i="2"/>
  <c r="FV62" i="2"/>
  <c r="FV60" i="2"/>
  <c r="FV173" i="2"/>
  <c r="FV171" i="2"/>
  <c r="FV111" i="2"/>
  <c r="FV106" i="2"/>
  <c r="FV73" i="2"/>
  <c r="FV70" i="2"/>
  <c r="FV50" i="2"/>
  <c r="FV48" i="2"/>
  <c r="FV45" i="2"/>
  <c r="FV119" i="2"/>
  <c r="FV98" i="2"/>
  <c r="FV72" i="2"/>
  <c r="FV69" i="2"/>
  <c r="FV51" i="2"/>
  <c r="FV38" i="2"/>
  <c r="FV36" i="2"/>
  <c r="FV28" i="2"/>
  <c r="FV120" i="2"/>
  <c r="FV144" i="2"/>
  <c r="FV109" i="2"/>
  <c r="FV58" i="2"/>
  <c r="FV56" i="2"/>
  <c r="FV49" i="2"/>
  <c r="FV44" i="2"/>
  <c r="FV43" i="2"/>
  <c r="FV42" i="2"/>
  <c r="FV41" i="2"/>
  <c r="FV141" i="2"/>
  <c r="FV124" i="2"/>
  <c r="FV122" i="2"/>
  <c r="FV105" i="2"/>
  <c r="FV67" i="2"/>
  <c r="FV52" i="2"/>
  <c r="FV118" i="2"/>
  <c r="FV65" i="2"/>
  <c r="FV34" i="2"/>
  <c r="FV130" i="2"/>
  <c r="FV63" i="2"/>
  <c r="FV54" i="2"/>
  <c r="FV40" i="2"/>
  <c r="FV39" i="2"/>
  <c r="GM616" i="2"/>
  <c r="GM614" i="2"/>
  <c r="GM625" i="2"/>
  <c r="GM627" i="2"/>
  <c r="GM615" i="2"/>
  <c r="GM613" i="2"/>
  <c r="GM622" i="2"/>
  <c r="GM626" i="2"/>
  <c r="GM624" i="2"/>
  <c r="GM620" i="2"/>
  <c r="GM630" i="2"/>
  <c r="GM631" i="2"/>
  <c r="GM619" i="2"/>
  <c r="GM629" i="2"/>
  <c r="GM628" i="2"/>
  <c r="GM609" i="2"/>
  <c r="GM608" i="2"/>
  <c r="GM605" i="2"/>
  <c r="GM603" i="2"/>
  <c r="GM600" i="2"/>
  <c r="GM598" i="2"/>
  <c r="GM596" i="2"/>
  <c r="GM594" i="2"/>
  <c r="GM592" i="2"/>
  <c r="GM590" i="2"/>
  <c r="GM588" i="2"/>
  <c r="GM586" i="2"/>
  <c r="GM584" i="2"/>
  <c r="GM582" i="2"/>
  <c r="GM580" i="2"/>
  <c r="GM578" i="2"/>
  <c r="GM612" i="2"/>
  <c r="GM623" i="2"/>
  <c r="GM607" i="2"/>
  <c r="GM617" i="2"/>
  <c r="GM604" i="2"/>
  <c r="GM602" i="2"/>
  <c r="GM611" i="2"/>
  <c r="GM610" i="2"/>
  <c r="GM606" i="2"/>
  <c r="GM599" i="2"/>
  <c r="GM597" i="2"/>
  <c r="GM595" i="2"/>
  <c r="GM593" i="2"/>
  <c r="GM621" i="2"/>
  <c r="GM585" i="2"/>
  <c r="GM583" i="2"/>
  <c r="GM591" i="2"/>
  <c r="GM618" i="2"/>
  <c r="GM567" i="2"/>
  <c r="GM577" i="2"/>
  <c r="GM576" i="2"/>
  <c r="GM562" i="2"/>
  <c r="GM558" i="2"/>
  <c r="GM556" i="2"/>
  <c r="GM553" i="2"/>
  <c r="GM574" i="2"/>
  <c r="GM572" i="2"/>
  <c r="GM570" i="2"/>
  <c r="GM568" i="2"/>
  <c r="GM587" i="2"/>
  <c r="GM579" i="2"/>
  <c r="GM589" i="2"/>
  <c r="GM566" i="2"/>
  <c r="GM581" i="2"/>
  <c r="GM573" i="2"/>
  <c r="GM563" i="2"/>
  <c r="GM555" i="2"/>
  <c r="GM540" i="2"/>
  <c r="GM538" i="2"/>
  <c r="GM536" i="2"/>
  <c r="GM534" i="2"/>
  <c r="GM532" i="2"/>
  <c r="GM541" i="2"/>
  <c r="GM565" i="2"/>
  <c r="GM559" i="2"/>
  <c r="GM554" i="2"/>
  <c r="GM552" i="2"/>
  <c r="GM551" i="2"/>
  <c r="GM575" i="2"/>
  <c r="GM571" i="2"/>
  <c r="GM561" i="2"/>
  <c r="GM550" i="2"/>
  <c r="GM549" i="2"/>
  <c r="GM547" i="2"/>
  <c r="GM545" i="2"/>
  <c r="GM564" i="2"/>
  <c r="GM557" i="2"/>
  <c r="GM569" i="2"/>
  <c r="GM544" i="2"/>
  <c r="GM537" i="2"/>
  <c r="GM546" i="2"/>
  <c r="GM533" i="2"/>
  <c r="GM530" i="2"/>
  <c r="GM528" i="2"/>
  <c r="GM526" i="2"/>
  <c r="GM524" i="2"/>
  <c r="GM522" i="2"/>
  <c r="GM520" i="2"/>
  <c r="GM539" i="2"/>
  <c r="GM548" i="2"/>
  <c r="GM527" i="2"/>
  <c r="GM523" i="2"/>
  <c r="GM498" i="2"/>
  <c r="GM518" i="2"/>
  <c r="GM514" i="2"/>
  <c r="GM542" i="2"/>
  <c r="GM531" i="2"/>
  <c r="GM519" i="2"/>
  <c r="GM515" i="2"/>
  <c r="GM505" i="2"/>
  <c r="GM502" i="2"/>
  <c r="GM535" i="2"/>
  <c r="GM512" i="2"/>
  <c r="GM510" i="2"/>
  <c r="GM508" i="2"/>
  <c r="GM525" i="2"/>
  <c r="GM513" i="2"/>
  <c r="GM529" i="2"/>
  <c r="GM516" i="2"/>
  <c r="GM509" i="2"/>
  <c r="GM506" i="2"/>
  <c r="GM503" i="2"/>
  <c r="GM493" i="2"/>
  <c r="GM491" i="2"/>
  <c r="GM490" i="2"/>
  <c r="GM488" i="2"/>
  <c r="GM507" i="2"/>
  <c r="GM500" i="2"/>
  <c r="GM496" i="2"/>
  <c r="GM495" i="2"/>
  <c r="GM494" i="2"/>
  <c r="GM481" i="2"/>
  <c r="GM479" i="2"/>
  <c r="GM477" i="2"/>
  <c r="GM463" i="2"/>
  <c r="GM501" i="2"/>
  <c r="GM475" i="2"/>
  <c r="GM473" i="2"/>
  <c r="GM471" i="2"/>
  <c r="GM517" i="2"/>
  <c r="GM504" i="2"/>
  <c r="GM492" i="2"/>
  <c r="GM486" i="2"/>
  <c r="GM489" i="2"/>
  <c r="GM487" i="2"/>
  <c r="GM469" i="2"/>
  <c r="GM497" i="2"/>
  <c r="GM472" i="2"/>
  <c r="GM470" i="2"/>
  <c r="GM467" i="2"/>
  <c r="GM457" i="2"/>
  <c r="GM455" i="2"/>
  <c r="GM521" i="2"/>
  <c r="GM466" i="2"/>
  <c r="GM446" i="2"/>
  <c r="GM480" i="2"/>
  <c r="GM476" i="2"/>
  <c r="GM462" i="2"/>
  <c r="GM453" i="2"/>
  <c r="GM451" i="2"/>
  <c r="GM484" i="2"/>
  <c r="GM478" i="2"/>
  <c r="GM474" i="2"/>
  <c r="GM468" i="2"/>
  <c r="GM464" i="2"/>
  <c r="GM461" i="2"/>
  <c r="GM459" i="2"/>
  <c r="GM456" i="2"/>
  <c r="GM454" i="2"/>
  <c r="GM499" i="2"/>
  <c r="GM483" i="2"/>
  <c r="GM511" i="2"/>
  <c r="GM482" i="2"/>
  <c r="GM460" i="2"/>
  <c r="GM425" i="2"/>
  <c r="GM436" i="2"/>
  <c r="GM426" i="2"/>
  <c r="GM418" i="2"/>
  <c r="GM416" i="2"/>
  <c r="GM437" i="2"/>
  <c r="GM427" i="2"/>
  <c r="GM419" i="2"/>
  <c r="GM444" i="2"/>
  <c r="GM440" i="2"/>
  <c r="GM428" i="2"/>
  <c r="GM420" i="2"/>
  <c r="GM433" i="2"/>
  <c r="GM431" i="2"/>
  <c r="GM429" i="2"/>
  <c r="GM423" i="2"/>
  <c r="GM449" i="2"/>
  <c r="GM448" i="2"/>
  <c r="GM434" i="2"/>
  <c r="GM458" i="2"/>
  <c r="GM435" i="2"/>
  <c r="GM465" i="2"/>
  <c r="GM450" i="2"/>
  <c r="GM443" i="2"/>
  <c r="GM438" i="2"/>
  <c r="GM417" i="2"/>
  <c r="GM412" i="2"/>
  <c r="GM390" i="2"/>
  <c r="GM414" i="2"/>
  <c r="GM391" i="2"/>
  <c r="GM404" i="2"/>
  <c r="GM402" i="2"/>
  <c r="GM400" i="2"/>
  <c r="GM392" i="2"/>
  <c r="GM439" i="2"/>
  <c r="GM430" i="2"/>
  <c r="GM415" i="2"/>
  <c r="GM407" i="2"/>
  <c r="GM405" i="2"/>
  <c r="GM395" i="2"/>
  <c r="GM393" i="2"/>
  <c r="GM388" i="2"/>
  <c r="GM386" i="2"/>
  <c r="GM413" i="2"/>
  <c r="GM410" i="2"/>
  <c r="GM408" i="2"/>
  <c r="GM441" i="2"/>
  <c r="GM389" i="2"/>
  <c r="GM452" i="2"/>
  <c r="GM447" i="2"/>
  <c r="GM421" i="2"/>
  <c r="GM396" i="2"/>
  <c r="GM380" i="2"/>
  <c r="GM373" i="2"/>
  <c r="GM360" i="2"/>
  <c r="GM445" i="2"/>
  <c r="GM403" i="2"/>
  <c r="GM397" i="2"/>
  <c r="GM387" i="2"/>
  <c r="GM375" i="2"/>
  <c r="GM370" i="2"/>
  <c r="GM365" i="2"/>
  <c r="GM411" i="2"/>
  <c r="GM409" i="2"/>
  <c r="GM376" i="2"/>
  <c r="GM355" i="2"/>
  <c r="GM353" i="2"/>
  <c r="GM351" i="2"/>
  <c r="GM349" i="2"/>
  <c r="GM347" i="2"/>
  <c r="GM377" i="2"/>
  <c r="GM361" i="2"/>
  <c r="GM432" i="2"/>
  <c r="GM422" i="2"/>
  <c r="GM401" i="2"/>
  <c r="GM371" i="2"/>
  <c r="GM368" i="2"/>
  <c r="GM366" i="2"/>
  <c r="GM406" i="2"/>
  <c r="GM385" i="2"/>
  <c r="GM382" i="2"/>
  <c r="GM381" i="2"/>
  <c r="GM374" i="2"/>
  <c r="GM372" i="2"/>
  <c r="GM369" i="2"/>
  <c r="GM362" i="2"/>
  <c r="GM424" i="2"/>
  <c r="GM399" i="2"/>
  <c r="GM442" i="2"/>
  <c r="GM383" i="2"/>
  <c r="GM378" i="2"/>
  <c r="GM339" i="2"/>
  <c r="GM334" i="2"/>
  <c r="GM364" i="2"/>
  <c r="GM346" i="2"/>
  <c r="GM337" i="2"/>
  <c r="GM335" i="2"/>
  <c r="GM325" i="2"/>
  <c r="GM323" i="2"/>
  <c r="GM321" i="2"/>
  <c r="GM343" i="2"/>
  <c r="GM384" i="2"/>
  <c r="GM331" i="2"/>
  <c r="GM367" i="2"/>
  <c r="GM357" i="2"/>
  <c r="GM354" i="2"/>
  <c r="GM379" i="2"/>
  <c r="GM358" i="2"/>
  <c r="GM352" i="2"/>
  <c r="GM340" i="2"/>
  <c r="GM345" i="2"/>
  <c r="GM341" i="2"/>
  <c r="GM338" i="2"/>
  <c r="GM336" i="2"/>
  <c r="GM394" i="2"/>
  <c r="GM356" i="2"/>
  <c r="GM348" i="2"/>
  <c r="GM350" i="2"/>
  <c r="GM316" i="2"/>
  <c r="GM314" i="2"/>
  <c r="GM312" i="2"/>
  <c r="GM329" i="2"/>
  <c r="GM310" i="2"/>
  <c r="GM306" i="2"/>
  <c r="GM326" i="2"/>
  <c r="GM333" i="2"/>
  <c r="GM324" i="2"/>
  <c r="GM308" i="2"/>
  <c r="GM330" i="2"/>
  <c r="GM327" i="2"/>
  <c r="GM315" i="2"/>
  <c r="GM322" i="2"/>
  <c r="GM318" i="2"/>
  <c r="GM344" i="2"/>
  <c r="GM332" i="2"/>
  <c r="GM328" i="2"/>
  <c r="GM342" i="2"/>
  <c r="GM300" i="2"/>
  <c r="GM271" i="2"/>
  <c r="GM269" i="2"/>
  <c r="GM267" i="2"/>
  <c r="GM307" i="2"/>
  <c r="GM305" i="2"/>
  <c r="GM287" i="2"/>
  <c r="GM285" i="2"/>
  <c r="GM283" i="2"/>
  <c r="GM281" i="2"/>
  <c r="GM279" i="2"/>
  <c r="GM275" i="2"/>
  <c r="GM363" i="2"/>
  <c r="GM297" i="2"/>
  <c r="GM293" i="2"/>
  <c r="GM291" i="2"/>
  <c r="GM311" i="2"/>
  <c r="GM303" i="2"/>
  <c r="GM296" i="2"/>
  <c r="GM301" i="2"/>
  <c r="GM320" i="2"/>
  <c r="GM302" i="2"/>
  <c r="GM298" i="2"/>
  <c r="GM284" i="2"/>
  <c r="GM282" i="2"/>
  <c r="GM280" i="2"/>
  <c r="GM278" i="2"/>
  <c r="GM277" i="2"/>
  <c r="GM276" i="2"/>
  <c r="GM319" i="2"/>
  <c r="GM313" i="2"/>
  <c r="GM304" i="2"/>
  <c r="GM294" i="2"/>
  <c r="GM292" i="2"/>
  <c r="GM290" i="2"/>
  <c r="GM288" i="2"/>
  <c r="GM274" i="2"/>
  <c r="GM273" i="2"/>
  <c r="GM272" i="2"/>
  <c r="GM254" i="2"/>
  <c r="GM252" i="2"/>
  <c r="GM250" i="2"/>
  <c r="GM248" i="2"/>
  <c r="GM246" i="2"/>
  <c r="GM244" i="2"/>
  <c r="GM266" i="2"/>
  <c r="GM295" i="2"/>
  <c r="GM270" i="2"/>
  <c r="GM265" i="2"/>
  <c r="GM264" i="2"/>
  <c r="GM242" i="2"/>
  <c r="GM240" i="2"/>
  <c r="GM238" i="2"/>
  <c r="GM232" i="2"/>
  <c r="GM228" i="2"/>
  <c r="GM226" i="2"/>
  <c r="GM299" i="2"/>
  <c r="GM263" i="2"/>
  <c r="GM261" i="2"/>
  <c r="GM259" i="2"/>
  <c r="GM257" i="2"/>
  <c r="GM236" i="2"/>
  <c r="GM268" i="2"/>
  <c r="GM255" i="2"/>
  <c r="GM253" i="2"/>
  <c r="GM251" i="2"/>
  <c r="GM249" i="2"/>
  <c r="GM247" i="2"/>
  <c r="GM243" i="2"/>
  <c r="GM317" i="2"/>
  <c r="GM289" i="2"/>
  <c r="GM309" i="2"/>
  <c r="GM258" i="2"/>
  <c r="GM256" i="2"/>
  <c r="GM214" i="2"/>
  <c r="GM212" i="2"/>
  <c r="GM203" i="2"/>
  <c r="GM201" i="2"/>
  <c r="GM199" i="2"/>
  <c r="GM245" i="2"/>
  <c r="GM239" i="2"/>
  <c r="GM237" i="2"/>
  <c r="GM262" i="2"/>
  <c r="GM235" i="2"/>
  <c r="GM234" i="2"/>
  <c r="GM233" i="2"/>
  <c r="GM222" i="2"/>
  <c r="GM219" i="2"/>
  <c r="GM208" i="2"/>
  <c r="GM241" i="2"/>
  <c r="GM225" i="2"/>
  <c r="GM260" i="2"/>
  <c r="GM224" i="2"/>
  <c r="GM213" i="2"/>
  <c r="GM204" i="2"/>
  <c r="GM202" i="2"/>
  <c r="GM200" i="2"/>
  <c r="GM198" i="2"/>
  <c r="GM223" i="2"/>
  <c r="GM205" i="2"/>
  <c r="GM231" i="2"/>
  <c r="GM215" i="2"/>
  <c r="GM158" i="2"/>
  <c r="GM151" i="2"/>
  <c r="GM149" i="2"/>
  <c r="GM147" i="2"/>
  <c r="GM145" i="2"/>
  <c r="GM159" i="2"/>
  <c r="GM220" i="2"/>
  <c r="GM190" i="2"/>
  <c r="GM175" i="2"/>
  <c r="GM173" i="2"/>
  <c r="GM171" i="2"/>
  <c r="GM211" i="2"/>
  <c r="GM207" i="2"/>
  <c r="GM186" i="2"/>
  <c r="GM184" i="2"/>
  <c r="GM182" i="2"/>
  <c r="GM180" i="2"/>
  <c r="GM178" i="2"/>
  <c r="GM164" i="2"/>
  <c r="GM162" i="2"/>
  <c r="GM160" i="2"/>
  <c r="GM195" i="2"/>
  <c r="GM167" i="2"/>
  <c r="GM165" i="2"/>
  <c r="GM156" i="2"/>
  <c r="GM143" i="2"/>
  <c r="GM141" i="2"/>
  <c r="GM139" i="2"/>
  <c r="GM206" i="2"/>
  <c r="GM197" i="2"/>
  <c r="GM157" i="2"/>
  <c r="GM152" i="2"/>
  <c r="GM150" i="2"/>
  <c r="GM148" i="2"/>
  <c r="GM146" i="2"/>
  <c r="GM221" i="2"/>
  <c r="GM135" i="2"/>
  <c r="GM216" i="2"/>
  <c r="GM194" i="2"/>
  <c r="GM193" i="2"/>
  <c r="GM192" i="2"/>
  <c r="GM189" i="2"/>
  <c r="GM188" i="2"/>
  <c r="GM227" i="2"/>
  <c r="GM196" i="2"/>
  <c r="GM191" i="2"/>
  <c r="GM187" i="2"/>
  <c r="GM185" i="2"/>
  <c r="GM183" i="2"/>
  <c r="GM181" i="2"/>
  <c r="GM168" i="2"/>
  <c r="GM166" i="2"/>
  <c r="GM155" i="2"/>
  <c r="GM114" i="2"/>
  <c r="GM103" i="2"/>
  <c r="GM84" i="2"/>
  <c r="GM82" i="2"/>
  <c r="GM80" i="2"/>
  <c r="GM78" i="2"/>
  <c r="GM76" i="2"/>
  <c r="GM177" i="2"/>
  <c r="GM176" i="2"/>
  <c r="GM144" i="2"/>
  <c r="GM142" i="2"/>
  <c r="GM124" i="2"/>
  <c r="GM122" i="2"/>
  <c r="GM120" i="2"/>
  <c r="GM117" i="2"/>
  <c r="GM111" i="2"/>
  <c r="GM104" i="2"/>
  <c r="GM118" i="2"/>
  <c r="GM109" i="2"/>
  <c r="GM105" i="2"/>
  <c r="GM161" i="2"/>
  <c r="GM154" i="2"/>
  <c r="GM136" i="2"/>
  <c r="GM132" i="2"/>
  <c r="GM131" i="2"/>
  <c r="GM119" i="2"/>
  <c r="GM106" i="2"/>
  <c r="GM98" i="2"/>
  <c r="GM179" i="2"/>
  <c r="GM170" i="2"/>
  <c r="GM153" i="2"/>
  <c r="GM137" i="2"/>
  <c r="GM127" i="2"/>
  <c r="GM112" i="2"/>
  <c r="GM101" i="2"/>
  <c r="GM95" i="2"/>
  <c r="GM91" i="2"/>
  <c r="GM89" i="2"/>
  <c r="GM87" i="2"/>
  <c r="GM74" i="2"/>
  <c r="GM174" i="2"/>
  <c r="GM133" i="2"/>
  <c r="GM130" i="2"/>
  <c r="GM115" i="2"/>
  <c r="GM113" i="2"/>
  <c r="GM85" i="2"/>
  <c r="GM83" i="2"/>
  <c r="GM81" i="2"/>
  <c r="GM79" i="2"/>
  <c r="GM77" i="2"/>
  <c r="GM138" i="2"/>
  <c r="GM125" i="2"/>
  <c r="GM123" i="2"/>
  <c r="GM121" i="2"/>
  <c r="GM72" i="2"/>
  <c r="GM96" i="2"/>
  <c r="GM90" i="2"/>
  <c r="GM67" i="2"/>
  <c r="GM66" i="2"/>
  <c r="GM54" i="2"/>
  <c r="GM40" i="2"/>
  <c r="GM39" i="2"/>
  <c r="GM172" i="2"/>
  <c r="GM73" i="2"/>
  <c r="GM65" i="2"/>
  <c r="GM64" i="2"/>
  <c r="GM53" i="2"/>
  <c r="GM33" i="2"/>
  <c r="GM30" i="2"/>
  <c r="GM92" i="2"/>
  <c r="GM63" i="2"/>
  <c r="GM62" i="2"/>
  <c r="GM47" i="2"/>
  <c r="GM46" i="2"/>
  <c r="GM163" i="2"/>
  <c r="GM61" i="2"/>
  <c r="GM60" i="2"/>
  <c r="GM55" i="2"/>
  <c r="GM37" i="2"/>
  <c r="GM97" i="2"/>
  <c r="GM59" i="2"/>
  <c r="GM57" i="2"/>
  <c r="GM50" i="2"/>
  <c r="GM45" i="2"/>
  <c r="GM140" i="2"/>
  <c r="GM110" i="2"/>
  <c r="GM107" i="2"/>
  <c r="GM93" i="2"/>
  <c r="GM86" i="2"/>
  <c r="GM75" i="2"/>
  <c r="GM70" i="2"/>
  <c r="GM51" i="2"/>
  <c r="GM38" i="2"/>
  <c r="GM36" i="2"/>
  <c r="GM134" i="2"/>
  <c r="GM128" i="2"/>
  <c r="GM126" i="2"/>
  <c r="GM100" i="2"/>
  <c r="GM99" i="2"/>
  <c r="ER5" i="2"/>
  <c r="FV6" i="2"/>
  <c r="GF6" i="2"/>
  <c r="EN7" i="2"/>
  <c r="EV8" i="2"/>
  <c r="GM8" i="2"/>
  <c r="FZ9" i="2"/>
  <c r="ER10" i="2"/>
  <c r="ER11" i="2"/>
  <c r="FV12" i="2"/>
  <c r="GF12" i="2"/>
  <c r="EN13" i="2"/>
  <c r="EV14" i="2"/>
  <c r="GM14" i="2"/>
  <c r="DL15" i="2"/>
  <c r="DX15" i="2"/>
  <c r="EQ15" i="2" s="1"/>
  <c r="ES15" i="2"/>
  <c r="ER16" i="2"/>
  <c r="ER17" i="2"/>
  <c r="EV18" i="2"/>
  <c r="GM18" i="2"/>
  <c r="EV19" i="2"/>
  <c r="GM19" i="2"/>
  <c r="GC20" i="2"/>
  <c r="EV21" i="2"/>
  <c r="GM21" i="2"/>
  <c r="EV22" i="2"/>
  <c r="GM22" i="2"/>
  <c r="EV23" i="2"/>
  <c r="GM23" i="2"/>
  <c r="ET24" i="2"/>
  <c r="FZ24" i="2"/>
  <c r="EO25" i="2"/>
  <c r="FV25" i="2"/>
  <c r="HN42" i="2"/>
  <c r="HN49" i="2" s="1"/>
  <c r="GD26" i="2"/>
  <c r="DP27" i="2"/>
  <c r="EA27" i="2"/>
  <c r="GE27" i="2"/>
  <c r="ER28" i="2"/>
  <c r="GP28" i="2"/>
  <c r="EQ29" i="2"/>
  <c r="EN30" i="2"/>
  <c r="FV30" i="2"/>
  <c r="FV31" i="2"/>
  <c r="BG32" i="2"/>
  <c r="GV32" i="2" s="1"/>
  <c r="HP13" i="2" s="1"/>
  <c r="DY32" i="2"/>
  <c r="ER32" i="2" s="1"/>
  <c r="GM32" i="2"/>
  <c r="ES33" i="2"/>
  <c r="GD33" i="2"/>
  <c r="DM34" i="2"/>
  <c r="DX34" i="2"/>
  <c r="EQ34" i="2" s="1"/>
  <c r="GD34" i="2"/>
  <c r="EI38" i="2"/>
  <c r="GA43" i="2"/>
  <c r="ET44" i="2"/>
  <c r="FV47" i="2"/>
  <c r="FI48" i="2"/>
  <c r="GB48" i="2" s="1"/>
  <c r="GX48" i="2"/>
  <c r="GY48" i="2" s="1"/>
  <c r="EI50" i="2"/>
  <c r="GF53" i="2"/>
  <c r="GQ54" i="2"/>
  <c r="GM56" i="2"/>
  <c r="GA58" i="2"/>
  <c r="EN61" i="2"/>
  <c r="GE62" i="2"/>
  <c r="GE65" i="2"/>
  <c r="GC66" i="2"/>
  <c r="GC67" i="2"/>
  <c r="FG71" i="2"/>
  <c r="ES72" i="2"/>
  <c r="EI74" i="2"/>
  <c r="GQ82" i="2"/>
  <c r="ER83" i="2"/>
  <c r="GC86" i="2"/>
  <c r="EI87" i="2"/>
  <c r="GP88" i="2"/>
  <c r="GQ88" i="2" s="1"/>
  <c r="FZ113" i="2"/>
  <c r="HC117" i="2"/>
  <c r="FI117" i="2"/>
  <c r="GB117" i="2" s="1"/>
  <c r="GF120" i="2"/>
  <c r="EN122" i="2"/>
  <c r="GM129" i="2"/>
  <c r="ES152" i="2"/>
  <c r="DR391" i="1"/>
  <c r="ES445" i="1"/>
  <c r="BJ449" i="1"/>
  <c r="DR459" i="1"/>
  <c r="DS459" i="1" s="1"/>
  <c r="DR487" i="1"/>
  <c r="DO500" i="1"/>
  <c r="AN562" i="1"/>
  <c r="DR599" i="1"/>
  <c r="DS599" i="1" s="1"/>
  <c r="BK602" i="1"/>
  <c r="FF616" i="1"/>
  <c r="EO630" i="2"/>
  <c r="EO628" i="2"/>
  <c r="EO626" i="2"/>
  <c r="EO620" i="2"/>
  <c r="EO627" i="2"/>
  <c r="EO612" i="2"/>
  <c r="EO610" i="2"/>
  <c r="EO608" i="2"/>
  <c r="EO622" i="2"/>
  <c r="EO625" i="2"/>
  <c r="EO629" i="2"/>
  <c r="EO617" i="2"/>
  <c r="EO613" i="2"/>
  <c r="EO621" i="2"/>
  <c r="EO607" i="2"/>
  <c r="EO606" i="2"/>
  <c r="EO604" i="2"/>
  <c r="EO619" i="2"/>
  <c r="EO599" i="2"/>
  <c r="EO618" i="2"/>
  <c r="EO611" i="2"/>
  <c r="EO615" i="2"/>
  <c r="EO605" i="2"/>
  <c r="EO603" i="2"/>
  <c r="EO616" i="2"/>
  <c r="EO623" i="2"/>
  <c r="EO596" i="2"/>
  <c r="EO593" i="2"/>
  <c r="EO577" i="2"/>
  <c r="EO590" i="2"/>
  <c r="EO589" i="2"/>
  <c r="EO595" i="2"/>
  <c r="EO588" i="2"/>
  <c r="EO587" i="2"/>
  <c r="EO598" i="2"/>
  <c r="EO609" i="2"/>
  <c r="EO600" i="2"/>
  <c r="EO586" i="2"/>
  <c r="EO614" i="2"/>
  <c r="EO594" i="2"/>
  <c r="EO602" i="2"/>
  <c r="EO591" i="2"/>
  <c r="EO582" i="2"/>
  <c r="EO580" i="2"/>
  <c r="EO565" i="2"/>
  <c r="EO597" i="2"/>
  <c r="EO585" i="2"/>
  <c r="EO574" i="2"/>
  <c r="EO572" i="2"/>
  <c r="EO570" i="2"/>
  <c r="EO592" i="2"/>
  <c r="EO551" i="2"/>
  <c r="EO563" i="2"/>
  <c r="EO583" i="2"/>
  <c r="EO579" i="2"/>
  <c r="EO575" i="2"/>
  <c r="EO581" i="2"/>
  <c r="EO578" i="2"/>
  <c r="EO573" i="2"/>
  <c r="EO571" i="2"/>
  <c r="EO569" i="2"/>
  <c r="EO584" i="2"/>
  <c r="EO558" i="2"/>
  <c r="EO549" i="2"/>
  <c r="EO547" i="2"/>
  <c r="EO545" i="2"/>
  <c r="EO567" i="2"/>
  <c r="EO561" i="2"/>
  <c r="EO555" i="2"/>
  <c r="EO559" i="2"/>
  <c r="EO576" i="2"/>
  <c r="EO556" i="2"/>
  <c r="EO548" i="2"/>
  <c r="EO546" i="2"/>
  <c r="EO544" i="2"/>
  <c r="EO562" i="2"/>
  <c r="EO533" i="2"/>
  <c r="EO529" i="2"/>
  <c r="EO527" i="2"/>
  <c r="EO525" i="2"/>
  <c r="EO523" i="2"/>
  <c r="EO536" i="2"/>
  <c r="EO552" i="2"/>
  <c r="EO550" i="2"/>
  <c r="EO542" i="2"/>
  <c r="EO537" i="2"/>
  <c r="EO532" i="2"/>
  <c r="EO560" i="2"/>
  <c r="EO538" i="2"/>
  <c r="EO557" i="2"/>
  <c r="EO541" i="2"/>
  <c r="EO518" i="2"/>
  <c r="EO514" i="2"/>
  <c r="EO535" i="2"/>
  <c r="EO519" i="2"/>
  <c r="EO515" i="2"/>
  <c r="EO505" i="2"/>
  <c r="EO502" i="2"/>
  <c r="EO500" i="2"/>
  <c r="EO526" i="2"/>
  <c r="EO522" i="2"/>
  <c r="EO521" i="2"/>
  <c r="EO512" i="2"/>
  <c r="EO510" i="2"/>
  <c r="EO508" i="2"/>
  <c r="EO495" i="2"/>
  <c r="EO513" i="2"/>
  <c r="EO539" i="2"/>
  <c r="EO530" i="2"/>
  <c r="EO531" i="2"/>
  <c r="EO520" i="2"/>
  <c r="EO516" i="2"/>
  <c r="EO506" i="2"/>
  <c r="EO504" i="2"/>
  <c r="EO503" i="2"/>
  <c r="EO501" i="2"/>
  <c r="EO528" i="2"/>
  <c r="EO540" i="2"/>
  <c r="EO534" i="2"/>
  <c r="EO511" i="2"/>
  <c r="EO524" i="2"/>
  <c r="EO509" i="2"/>
  <c r="EO492" i="2"/>
  <c r="EO486" i="2"/>
  <c r="EO489" i="2"/>
  <c r="EO487" i="2"/>
  <c r="EO507" i="2"/>
  <c r="EO484" i="2"/>
  <c r="EO482" i="2"/>
  <c r="EO480" i="2"/>
  <c r="EO478" i="2"/>
  <c r="EO476" i="2"/>
  <c r="EO485" i="2"/>
  <c r="EO483" i="2"/>
  <c r="EO496" i="2"/>
  <c r="EO474" i="2"/>
  <c r="EO472" i="2"/>
  <c r="EO488" i="2"/>
  <c r="EO479" i="2"/>
  <c r="EO475" i="2"/>
  <c r="EO451" i="2"/>
  <c r="EO447" i="2"/>
  <c r="EO481" i="2"/>
  <c r="EO465" i="2"/>
  <c r="EO461" i="2"/>
  <c r="EO459" i="2"/>
  <c r="EO452" i="2"/>
  <c r="EO450" i="2"/>
  <c r="EO448" i="2"/>
  <c r="EO499" i="2"/>
  <c r="EO471" i="2"/>
  <c r="EO456" i="2"/>
  <c r="EO467" i="2"/>
  <c r="EO463" i="2"/>
  <c r="EO468" i="2"/>
  <c r="EO493" i="2"/>
  <c r="EO466" i="2"/>
  <c r="EO460" i="2"/>
  <c r="EO494" i="2"/>
  <c r="EO498" i="2"/>
  <c r="EO490" i="2"/>
  <c r="EO477" i="2"/>
  <c r="EO470" i="2"/>
  <c r="EO464" i="2"/>
  <c r="EO473" i="2"/>
  <c r="EO440" i="2"/>
  <c r="EO428" i="2"/>
  <c r="EO433" i="2"/>
  <c r="EO431" i="2"/>
  <c r="EO429" i="2"/>
  <c r="EO423" i="2"/>
  <c r="EO421" i="2"/>
  <c r="EO434" i="2"/>
  <c r="EO414" i="2"/>
  <c r="EO462" i="2"/>
  <c r="EO449" i="2"/>
  <c r="EO445" i="2"/>
  <c r="EO435" i="2"/>
  <c r="EO417" i="2"/>
  <c r="EO438" i="2"/>
  <c r="EO455" i="2"/>
  <c r="EO442" i="2"/>
  <c r="EO441" i="2"/>
  <c r="EO439" i="2"/>
  <c r="EO432" i="2"/>
  <c r="EO430" i="2"/>
  <c r="EO424" i="2"/>
  <c r="EO422" i="2"/>
  <c r="EO469" i="2"/>
  <c r="EO437" i="2"/>
  <c r="EO419" i="2"/>
  <c r="EO407" i="2"/>
  <c r="EO405" i="2"/>
  <c r="EO395" i="2"/>
  <c r="EO393" i="2"/>
  <c r="EO388" i="2"/>
  <c r="EO386" i="2"/>
  <c r="EO410" i="2"/>
  <c r="EO408" i="2"/>
  <c r="EO426" i="2"/>
  <c r="EO420" i="2"/>
  <c r="EO389" i="2"/>
  <c r="EO383" i="2"/>
  <c r="EO381" i="2"/>
  <c r="EO398" i="2"/>
  <c r="EO457" i="2"/>
  <c r="EO436" i="2"/>
  <c r="EO416" i="2"/>
  <c r="EO403" i="2"/>
  <c r="EO401" i="2"/>
  <c r="EO399" i="2"/>
  <c r="EO425" i="2"/>
  <c r="EO415" i="2"/>
  <c r="EO406" i="2"/>
  <c r="EO396" i="2"/>
  <c r="EO394" i="2"/>
  <c r="EO387" i="2"/>
  <c r="EO446" i="2"/>
  <c r="EO427" i="2"/>
  <c r="EO411" i="2"/>
  <c r="EO409" i="2"/>
  <c r="EO397" i="2"/>
  <c r="EO385" i="2"/>
  <c r="EO377" i="2"/>
  <c r="EO361" i="2"/>
  <c r="EO404" i="2"/>
  <c r="EO368" i="2"/>
  <c r="EO366" i="2"/>
  <c r="EO391" i="2"/>
  <c r="EO390" i="2"/>
  <c r="EO374" i="2"/>
  <c r="EO372" i="2"/>
  <c r="EO362" i="2"/>
  <c r="EO402" i="2"/>
  <c r="EO356" i="2"/>
  <c r="EO378" i="2"/>
  <c r="EO364" i="2"/>
  <c r="EO413" i="2"/>
  <c r="EO379" i="2"/>
  <c r="EO367" i="2"/>
  <c r="EO363" i="2"/>
  <c r="EO358" i="2"/>
  <c r="EO400" i="2"/>
  <c r="EO418" i="2"/>
  <c r="EO412" i="2"/>
  <c r="EO370" i="2"/>
  <c r="EO365" i="2"/>
  <c r="EO354" i="2"/>
  <c r="EO376" i="2"/>
  <c r="EO351" i="2"/>
  <c r="EO350" i="2"/>
  <c r="EO330" i="2"/>
  <c r="EO328" i="2"/>
  <c r="EO326" i="2"/>
  <c r="EO340" i="2"/>
  <c r="EO380" i="2"/>
  <c r="EO373" i="2"/>
  <c r="EO359" i="2"/>
  <c r="EO355" i="2"/>
  <c r="EO349" i="2"/>
  <c r="EO348" i="2"/>
  <c r="EO341" i="2"/>
  <c r="EO338" i="2"/>
  <c r="EO336" i="2"/>
  <c r="EO342" i="2"/>
  <c r="EO392" i="2"/>
  <c r="EO382" i="2"/>
  <c r="EO360" i="2"/>
  <c r="EO357" i="2"/>
  <c r="EO347" i="2"/>
  <c r="EO346" i="2"/>
  <c r="EO353" i="2"/>
  <c r="EO352" i="2"/>
  <c r="EO345" i="2"/>
  <c r="EO343" i="2"/>
  <c r="EO323" i="2"/>
  <c r="EO322" i="2"/>
  <c r="EO307" i="2"/>
  <c r="EO339" i="2"/>
  <c r="EO337" i="2"/>
  <c r="EO332" i="2"/>
  <c r="EO321" i="2"/>
  <c r="EO315" i="2"/>
  <c r="EO313" i="2"/>
  <c r="EO305" i="2"/>
  <c r="EO331" i="2"/>
  <c r="EO329" i="2"/>
  <c r="EO318" i="2"/>
  <c r="EO335" i="2"/>
  <c r="EO334" i="2"/>
  <c r="EO311" i="2"/>
  <c r="EO309" i="2"/>
  <c r="EO327" i="2"/>
  <c r="EO316" i="2"/>
  <c r="EO293" i="2"/>
  <c r="EO291" i="2"/>
  <c r="EO272" i="2"/>
  <c r="EO303" i="2"/>
  <c r="EO296" i="2"/>
  <c r="EO325" i="2"/>
  <c r="EO270" i="2"/>
  <c r="EO268" i="2"/>
  <c r="EO266" i="2"/>
  <c r="EO264" i="2"/>
  <c r="EO302" i="2"/>
  <c r="EO284" i="2"/>
  <c r="EO282" i="2"/>
  <c r="EO280" i="2"/>
  <c r="EO299" i="2"/>
  <c r="EO314" i="2"/>
  <c r="EO294" i="2"/>
  <c r="EO292" i="2"/>
  <c r="EO289" i="2"/>
  <c r="EO287" i="2"/>
  <c r="EO285" i="2"/>
  <c r="EO283" i="2"/>
  <c r="EO281" i="2"/>
  <c r="EO279" i="2"/>
  <c r="EO263" i="2"/>
  <c r="EO261" i="2"/>
  <c r="EO233" i="2"/>
  <c r="EO276" i="2"/>
  <c r="EO269" i="2"/>
  <c r="EO259" i="2"/>
  <c r="EO257" i="2"/>
  <c r="EO255" i="2"/>
  <c r="EO253" i="2"/>
  <c r="EO251" i="2"/>
  <c r="EO249" i="2"/>
  <c r="EO247" i="2"/>
  <c r="EO245" i="2"/>
  <c r="EO324" i="2"/>
  <c r="EO243" i="2"/>
  <c r="EO241" i="2"/>
  <c r="EO239" i="2"/>
  <c r="EO237" i="2"/>
  <c r="EO267" i="2"/>
  <c r="EO262" i="2"/>
  <c r="EO260" i="2"/>
  <c r="EO265" i="2"/>
  <c r="EO258" i="2"/>
  <c r="EO222" i="2"/>
  <c r="EO219" i="2"/>
  <c r="EO218" i="2"/>
  <c r="EO208" i="2"/>
  <c r="EO240" i="2"/>
  <c r="EO217" i="2"/>
  <c r="EO254" i="2"/>
  <c r="EO250" i="2"/>
  <c r="EO246" i="2"/>
  <c r="EO227" i="2"/>
  <c r="EO224" i="2"/>
  <c r="EO213" i="2"/>
  <c r="EO204" i="2"/>
  <c r="EO202" i="2"/>
  <c r="EO200" i="2"/>
  <c r="EO198" i="2"/>
  <c r="EO196" i="2"/>
  <c r="EO194" i="2"/>
  <c r="EO192" i="2"/>
  <c r="EO188" i="2"/>
  <c r="EO244" i="2"/>
  <c r="EO242" i="2"/>
  <c r="EO228" i="2"/>
  <c r="EO223" i="2"/>
  <c r="EO275" i="2"/>
  <c r="EO235" i="2"/>
  <c r="EO232" i="2"/>
  <c r="EO226" i="2"/>
  <c r="EO220" i="2"/>
  <c r="EO271" i="2"/>
  <c r="EO230" i="2"/>
  <c r="EO221" i="2"/>
  <c r="EO236" i="2"/>
  <c r="EO252" i="2"/>
  <c r="EO248" i="2"/>
  <c r="EO238" i="2"/>
  <c r="EO214" i="2"/>
  <c r="EO186" i="2"/>
  <c r="EO184" i="2"/>
  <c r="EO182" i="2"/>
  <c r="EO180" i="2"/>
  <c r="EO178" i="2"/>
  <c r="EO164" i="2"/>
  <c r="EO162" i="2"/>
  <c r="EO160" i="2"/>
  <c r="EO193" i="2"/>
  <c r="EO189" i="2"/>
  <c r="EO167" i="2"/>
  <c r="EO165" i="2"/>
  <c r="EO156" i="2"/>
  <c r="EO143" i="2"/>
  <c r="EO141" i="2"/>
  <c r="EO201" i="2"/>
  <c r="EO191" i="2"/>
  <c r="EO157" i="2"/>
  <c r="EO152" i="2"/>
  <c r="EO150" i="2"/>
  <c r="EO148" i="2"/>
  <c r="EO146" i="2"/>
  <c r="EO137" i="2"/>
  <c r="EO203" i="2"/>
  <c r="EO195" i="2"/>
  <c r="EO199" i="2"/>
  <c r="EO197" i="2"/>
  <c r="EO176" i="2"/>
  <c r="EO174" i="2"/>
  <c r="EO172" i="2"/>
  <c r="EO170" i="2"/>
  <c r="EO133" i="2"/>
  <c r="EO187" i="2"/>
  <c r="EO185" i="2"/>
  <c r="EO183" i="2"/>
  <c r="EO181" i="2"/>
  <c r="EO179" i="2"/>
  <c r="EO163" i="2"/>
  <c r="EO161" i="2"/>
  <c r="EO154" i="2"/>
  <c r="EO225" i="2"/>
  <c r="EO168" i="2"/>
  <c r="EO166" i="2"/>
  <c r="EO155" i="2"/>
  <c r="EO142" i="2"/>
  <c r="EO140" i="2"/>
  <c r="EO212" i="2"/>
  <c r="EO175" i="2"/>
  <c r="EO173" i="2"/>
  <c r="EO171" i="2"/>
  <c r="EO158" i="2"/>
  <c r="EO147" i="2"/>
  <c r="EO138" i="2"/>
  <c r="EO136" i="2"/>
  <c r="EO119" i="2"/>
  <c r="EO106" i="2"/>
  <c r="EO98" i="2"/>
  <c r="EO127" i="2"/>
  <c r="EO101" i="2"/>
  <c r="EO95" i="2"/>
  <c r="EO91" i="2"/>
  <c r="EO89" i="2"/>
  <c r="EO87" i="2"/>
  <c r="EO129" i="2"/>
  <c r="EO115" i="2"/>
  <c r="EO113" i="2"/>
  <c r="EO85" i="2"/>
  <c r="EO83" i="2"/>
  <c r="EO81" i="2"/>
  <c r="EO79" i="2"/>
  <c r="EO77" i="2"/>
  <c r="EO125" i="2"/>
  <c r="EO123" i="2"/>
  <c r="EO121" i="2"/>
  <c r="EO110" i="2"/>
  <c r="EO135" i="2"/>
  <c r="EO132" i="2"/>
  <c r="EO107" i="2"/>
  <c r="EO99" i="2"/>
  <c r="EO97" i="2"/>
  <c r="EO128" i="2"/>
  <c r="EO126" i="2"/>
  <c r="EO102" i="2"/>
  <c r="EO100" i="2"/>
  <c r="EO94" i="2"/>
  <c r="EO92" i="2"/>
  <c r="EO90" i="2"/>
  <c r="EO88" i="2"/>
  <c r="EO75" i="2"/>
  <c r="EO131" i="2"/>
  <c r="EO70" i="2"/>
  <c r="EO55" i="2"/>
  <c r="EO37" i="2"/>
  <c r="EO35" i="2"/>
  <c r="EO134" i="2"/>
  <c r="EO104" i="2"/>
  <c r="EO78" i="2"/>
  <c r="EO72" i="2"/>
  <c r="EO69" i="2"/>
  <c r="EO50" i="2"/>
  <c r="EO48" i="2"/>
  <c r="EO45" i="2"/>
  <c r="EO149" i="2"/>
  <c r="EO68" i="2"/>
  <c r="EO51" i="2"/>
  <c r="EO38" i="2"/>
  <c r="EO36" i="2"/>
  <c r="EO28" i="2"/>
  <c r="EO151" i="2"/>
  <c r="EO71" i="2"/>
  <c r="EO66" i="2"/>
  <c r="EO58" i="2"/>
  <c r="EO56" i="2"/>
  <c r="EO111" i="2"/>
  <c r="EO103" i="2"/>
  <c r="EO80" i="2"/>
  <c r="EO67" i="2"/>
  <c r="EO64" i="2"/>
  <c r="EO49" i="2"/>
  <c r="EO44" i="2"/>
  <c r="EO43" i="2"/>
  <c r="EO42" i="2"/>
  <c r="EO41" i="2"/>
  <c r="EO114" i="2"/>
  <c r="EO65" i="2"/>
  <c r="EO62" i="2"/>
  <c r="EO52" i="2"/>
  <c r="EO74" i="2"/>
  <c r="EO63" i="2"/>
  <c r="EO60" i="2"/>
  <c r="FW617" i="2"/>
  <c r="FW615" i="2"/>
  <c r="FW613" i="2"/>
  <c r="FW624" i="2"/>
  <c r="FW631" i="2"/>
  <c r="FW621" i="2"/>
  <c r="FW627" i="2"/>
  <c r="FW630" i="2"/>
  <c r="FW626" i="2"/>
  <c r="FW622" i="2"/>
  <c r="FW620" i="2"/>
  <c r="FW625" i="2"/>
  <c r="FW628" i="2"/>
  <c r="FW629" i="2"/>
  <c r="FW606" i="2"/>
  <c r="FW604" i="2"/>
  <c r="FW602" i="2"/>
  <c r="FW619" i="2"/>
  <c r="FW616" i="2"/>
  <c r="FW614" i="2"/>
  <c r="FW599" i="2"/>
  <c r="FW597" i="2"/>
  <c r="FW595" i="2"/>
  <c r="FW593" i="2"/>
  <c r="FW591" i="2"/>
  <c r="FW589" i="2"/>
  <c r="FW587" i="2"/>
  <c r="FW585" i="2"/>
  <c r="FW583" i="2"/>
  <c r="FW581" i="2"/>
  <c r="FW579" i="2"/>
  <c r="FW608" i="2"/>
  <c r="FW607" i="2"/>
  <c r="FW612" i="2"/>
  <c r="FW611" i="2"/>
  <c r="FW605" i="2"/>
  <c r="FW603" i="2"/>
  <c r="FW600" i="2"/>
  <c r="FW598" i="2"/>
  <c r="FW596" i="2"/>
  <c r="FW594" i="2"/>
  <c r="FW618" i="2"/>
  <c r="FW623" i="2"/>
  <c r="FW590" i="2"/>
  <c r="FW580" i="2"/>
  <c r="FW588" i="2"/>
  <c r="FW609" i="2"/>
  <c r="FW586" i="2"/>
  <c r="FW584" i="2"/>
  <c r="FW592" i="2"/>
  <c r="FW610" i="2"/>
  <c r="FW566" i="2"/>
  <c r="FW563" i="2"/>
  <c r="FW559" i="2"/>
  <c r="FW557" i="2"/>
  <c r="FW555" i="2"/>
  <c r="FW575" i="2"/>
  <c r="FW582" i="2"/>
  <c r="FW573" i="2"/>
  <c r="FW571" i="2"/>
  <c r="FW569" i="2"/>
  <c r="FW578" i="2"/>
  <c r="FW576" i="2"/>
  <c r="FW567" i="2"/>
  <c r="FW577" i="2"/>
  <c r="FW564" i="2"/>
  <c r="FW539" i="2"/>
  <c r="FW537" i="2"/>
  <c r="FW535" i="2"/>
  <c r="FW533" i="2"/>
  <c r="FW558" i="2"/>
  <c r="FW572" i="2"/>
  <c r="FW565" i="2"/>
  <c r="FW560" i="2"/>
  <c r="FW561" i="2"/>
  <c r="FW553" i="2"/>
  <c r="FW548" i="2"/>
  <c r="FW546" i="2"/>
  <c r="FW544" i="2"/>
  <c r="FW556" i="2"/>
  <c r="FW570" i="2"/>
  <c r="FW552" i="2"/>
  <c r="FW541" i="2"/>
  <c r="FW574" i="2"/>
  <c r="FW568" i="2"/>
  <c r="FW562" i="2"/>
  <c r="FW538" i="2"/>
  <c r="FW551" i="2"/>
  <c r="FW550" i="2"/>
  <c r="FW529" i="2"/>
  <c r="FW527" i="2"/>
  <c r="FW525" i="2"/>
  <c r="FW523" i="2"/>
  <c r="FW521" i="2"/>
  <c r="FW540" i="2"/>
  <c r="FW532" i="2"/>
  <c r="FW545" i="2"/>
  <c r="FW547" i="2"/>
  <c r="FW542" i="2"/>
  <c r="FW513" i="2"/>
  <c r="FW526" i="2"/>
  <c r="FW522" i="2"/>
  <c r="FW517" i="2"/>
  <c r="FW536" i="2"/>
  <c r="FW520" i="2"/>
  <c r="FW516" i="2"/>
  <c r="FW506" i="2"/>
  <c r="FW504" i="2"/>
  <c r="FW503" i="2"/>
  <c r="FW501" i="2"/>
  <c r="FW530" i="2"/>
  <c r="FW511" i="2"/>
  <c r="FW509" i="2"/>
  <c r="FW507" i="2"/>
  <c r="FW549" i="2"/>
  <c r="FW534" i="2"/>
  <c r="FW531" i="2"/>
  <c r="FW528" i="2"/>
  <c r="FW519" i="2"/>
  <c r="FW515" i="2"/>
  <c r="FW512" i="2"/>
  <c r="FW492" i="2"/>
  <c r="FW486" i="2"/>
  <c r="FW489" i="2"/>
  <c r="FW487" i="2"/>
  <c r="FW514" i="2"/>
  <c r="FW510" i="2"/>
  <c r="FW505" i="2"/>
  <c r="FW497" i="2"/>
  <c r="FW484" i="2"/>
  <c r="FW482" i="2"/>
  <c r="FW480" i="2"/>
  <c r="FW478" i="2"/>
  <c r="FW476" i="2"/>
  <c r="FW483" i="2"/>
  <c r="FW508" i="2"/>
  <c r="FW502" i="2"/>
  <c r="FW474" i="2"/>
  <c r="FW472" i="2"/>
  <c r="FW500" i="2"/>
  <c r="FW496" i="2"/>
  <c r="FW493" i="2"/>
  <c r="FW491" i="2"/>
  <c r="FW495" i="2"/>
  <c r="FW490" i="2"/>
  <c r="FW488" i="2"/>
  <c r="FW468" i="2"/>
  <c r="FW477" i="2"/>
  <c r="FW469" i="2"/>
  <c r="FW465" i="2"/>
  <c r="FW475" i="2"/>
  <c r="FW456" i="2"/>
  <c r="FW454" i="2"/>
  <c r="FW518" i="2"/>
  <c r="FW499" i="2"/>
  <c r="FW494" i="2"/>
  <c r="FW479" i="2"/>
  <c r="FW470" i="2"/>
  <c r="FW524" i="2"/>
  <c r="FW463" i="2"/>
  <c r="FW498" i="2"/>
  <c r="FW481" i="2"/>
  <c r="FW471" i="2"/>
  <c r="FW460" i="2"/>
  <c r="FW458" i="2"/>
  <c r="FW467" i="2"/>
  <c r="FW466" i="2"/>
  <c r="FW462" i="2"/>
  <c r="FW457" i="2"/>
  <c r="FW455" i="2"/>
  <c r="FW461" i="2"/>
  <c r="FW473" i="2"/>
  <c r="FW434" i="2"/>
  <c r="FW464" i="2"/>
  <c r="FW447" i="2"/>
  <c r="FW443" i="2"/>
  <c r="FW435" i="2"/>
  <c r="FW417" i="2"/>
  <c r="FW445" i="2"/>
  <c r="FW438" i="2"/>
  <c r="FW442" i="2"/>
  <c r="FW441" i="2"/>
  <c r="FW439" i="2"/>
  <c r="FW459" i="2"/>
  <c r="FW449" i="2"/>
  <c r="FW432" i="2"/>
  <c r="FW430" i="2"/>
  <c r="FW424" i="2"/>
  <c r="FW422" i="2"/>
  <c r="FW453" i="2"/>
  <c r="FW425" i="2"/>
  <c r="FW450" i="2"/>
  <c r="FW436" i="2"/>
  <c r="FW426" i="2"/>
  <c r="FW452" i="2"/>
  <c r="FW451" i="2"/>
  <c r="FW448" i="2"/>
  <c r="FW437" i="2"/>
  <c r="FW389" i="2"/>
  <c r="FW431" i="2"/>
  <c r="FW427" i="2"/>
  <c r="FW419" i="2"/>
  <c r="FW398" i="2"/>
  <c r="FW440" i="2"/>
  <c r="FW403" i="2"/>
  <c r="FW401" i="2"/>
  <c r="FW399" i="2"/>
  <c r="FW384" i="2"/>
  <c r="FW406" i="2"/>
  <c r="FW396" i="2"/>
  <c r="FW394" i="2"/>
  <c r="FW387" i="2"/>
  <c r="FW446" i="2"/>
  <c r="FW423" i="2"/>
  <c r="FW420" i="2"/>
  <c r="FW415" i="2"/>
  <c r="FW411" i="2"/>
  <c r="FW409" i="2"/>
  <c r="FW397" i="2"/>
  <c r="FW385" i="2"/>
  <c r="FW433" i="2"/>
  <c r="FW421" i="2"/>
  <c r="FW416" i="2"/>
  <c r="FW414" i="2"/>
  <c r="FW412" i="2"/>
  <c r="FW390" i="2"/>
  <c r="FW391" i="2"/>
  <c r="FW388" i="2"/>
  <c r="FW386" i="2"/>
  <c r="FW374" i="2"/>
  <c r="FW372" i="2"/>
  <c r="FW407" i="2"/>
  <c r="FW369" i="2"/>
  <c r="FW362" i="2"/>
  <c r="FW428" i="2"/>
  <c r="FW405" i="2"/>
  <c r="FW400" i="2"/>
  <c r="FW356" i="2"/>
  <c r="FW354" i="2"/>
  <c r="FW352" i="2"/>
  <c r="FW350" i="2"/>
  <c r="FW348" i="2"/>
  <c r="FW346" i="2"/>
  <c r="FW413" i="2"/>
  <c r="FW378" i="2"/>
  <c r="FW364" i="2"/>
  <c r="FW392" i="2"/>
  <c r="FW379" i="2"/>
  <c r="FW367" i="2"/>
  <c r="FW363" i="2"/>
  <c r="FW358" i="2"/>
  <c r="FW393" i="2"/>
  <c r="FW380" i="2"/>
  <c r="FW373" i="2"/>
  <c r="FW360" i="2"/>
  <c r="FW357" i="2"/>
  <c r="FW429" i="2"/>
  <c r="FW404" i="2"/>
  <c r="FW395" i="2"/>
  <c r="FW375" i="2"/>
  <c r="FW370" i="2"/>
  <c r="FW365" i="2"/>
  <c r="FW418" i="2"/>
  <c r="FW410" i="2"/>
  <c r="FW408" i="2"/>
  <c r="FW382" i="2"/>
  <c r="FW377" i="2"/>
  <c r="FW381" i="2"/>
  <c r="FW368" i="2"/>
  <c r="FW351" i="2"/>
  <c r="FW345" i="2"/>
  <c r="FW344" i="2"/>
  <c r="FW340" i="2"/>
  <c r="FW333" i="2"/>
  <c r="FW402" i="2"/>
  <c r="FW366" i="2"/>
  <c r="FW341" i="2"/>
  <c r="FW338" i="2"/>
  <c r="FW336" i="2"/>
  <c r="FW324" i="2"/>
  <c r="FW322" i="2"/>
  <c r="FW320" i="2"/>
  <c r="FW349" i="2"/>
  <c r="FW342" i="2"/>
  <c r="FW332" i="2"/>
  <c r="FW347" i="2"/>
  <c r="FW361" i="2"/>
  <c r="FW355" i="2"/>
  <c r="FW337" i="2"/>
  <c r="FW335" i="2"/>
  <c r="FW353" i="2"/>
  <c r="FW383" i="2"/>
  <c r="FW328" i="2"/>
  <c r="FW315" i="2"/>
  <c r="FW313" i="2"/>
  <c r="FW305" i="2"/>
  <c r="FW321" i="2"/>
  <c r="FW318" i="2"/>
  <c r="FW311" i="2"/>
  <c r="FW329" i="2"/>
  <c r="FW376" i="2"/>
  <c r="FW371" i="2"/>
  <c r="FW319" i="2"/>
  <c r="FW309" i="2"/>
  <c r="FW316" i="2"/>
  <c r="FW331" i="2"/>
  <c r="FW327" i="2"/>
  <c r="FW317" i="2"/>
  <c r="FW330" i="2"/>
  <c r="FW326" i="2"/>
  <c r="FW325" i="2"/>
  <c r="FW301" i="2"/>
  <c r="FW273" i="2"/>
  <c r="FW270" i="2"/>
  <c r="FW268" i="2"/>
  <c r="FW334" i="2"/>
  <c r="FW302" i="2"/>
  <c r="FW298" i="2"/>
  <c r="FW286" i="2"/>
  <c r="FW284" i="2"/>
  <c r="FW282" i="2"/>
  <c r="FW280" i="2"/>
  <c r="FW278" i="2"/>
  <c r="FW277" i="2"/>
  <c r="FW276" i="2"/>
  <c r="FW274" i="2"/>
  <c r="FW323" i="2"/>
  <c r="FW304" i="2"/>
  <c r="FW299" i="2"/>
  <c r="FW310" i="2"/>
  <c r="FW307" i="2"/>
  <c r="FW306" i="2"/>
  <c r="FW294" i="2"/>
  <c r="FW292" i="2"/>
  <c r="FW290" i="2"/>
  <c r="FW288" i="2"/>
  <c r="FW339" i="2"/>
  <c r="FW295" i="2"/>
  <c r="FW289" i="2"/>
  <c r="FW300" i="2"/>
  <c r="FW312" i="2"/>
  <c r="FW308" i="2"/>
  <c r="FW285" i="2"/>
  <c r="FW283" i="2"/>
  <c r="FW281" i="2"/>
  <c r="FW279" i="2"/>
  <c r="FW297" i="2"/>
  <c r="FW293" i="2"/>
  <c r="FW291" i="2"/>
  <c r="FW343" i="2"/>
  <c r="FW296" i="2"/>
  <c r="FW255" i="2"/>
  <c r="FW253" i="2"/>
  <c r="FW251" i="2"/>
  <c r="FW249" i="2"/>
  <c r="FW247" i="2"/>
  <c r="FW245" i="2"/>
  <c r="FW314" i="2"/>
  <c r="FW269" i="2"/>
  <c r="FW272" i="2"/>
  <c r="FW241" i="2"/>
  <c r="FW239" i="2"/>
  <c r="FW237" i="2"/>
  <c r="FW231" i="2"/>
  <c r="FW227" i="2"/>
  <c r="FW262" i="2"/>
  <c r="FW260" i="2"/>
  <c r="FW267" i="2"/>
  <c r="FW258" i="2"/>
  <c r="FW256" i="2"/>
  <c r="FW303" i="2"/>
  <c r="FW266" i="2"/>
  <c r="FW265" i="2"/>
  <c r="FW254" i="2"/>
  <c r="FW252" i="2"/>
  <c r="FW250" i="2"/>
  <c r="FW248" i="2"/>
  <c r="FW246" i="2"/>
  <c r="FW264" i="2"/>
  <c r="FW275" i="2"/>
  <c r="FW259" i="2"/>
  <c r="FW257" i="2"/>
  <c r="FW224" i="2"/>
  <c r="FW213" i="2"/>
  <c r="FW210" i="2"/>
  <c r="FW204" i="2"/>
  <c r="FW202" i="2"/>
  <c r="FW200" i="2"/>
  <c r="FW238" i="2"/>
  <c r="FW223" i="2"/>
  <c r="FW205" i="2"/>
  <c r="FW220" i="2"/>
  <c r="FW211" i="2"/>
  <c r="FW206" i="2"/>
  <c r="FW240" i="2"/>
  <c r="FW228" i="2"/>
  <c r="FW226" i="2"/>
  <c r="FW221" i="2"/>
  <c r="FW216" i="2"/>
  <c r="FW207" i="2"/>
  <c r="FW234" i="2"/>
  <c r="FW232" i="2"/>
  <c r="FW215" i="2"/>
  <c r="FW271" i="2"/>
  <c r="FW263" i="2"/>
  <c r="FW242" i="2"/>
  <c r="FW235" i="2"/>
  <c r="FW214" i="2"/>
  <c r="FW212" i="2"/>
  <c r="FW203" i="2"/>
  <c r="FW201" i="2"/>
  <c r="FW199" i="2"/>
  <c r="FW233" i="2"/>
  <c r="FW261" i="2"/>
  <c r="FW244" i="2"/>
  <c r="FW243" i="2"/>
  <c r="FW236" i="2"/>
  <c r="FW217" i="2"/>
  <c r="FW209" i="2"/>
  <c r="FW196" i="2"/>
  <c r="FW194" i="2"/>
  <c r="FW193" i="2"/>
  <c r="FW189" i="2"/>
  <c r="FW157" i="2"/>
  <c r="FW152" i="2"/>
  <c r="FW150" i="2"/>
  <c r="FW148" i="2"/>
  <c r="FW146" i="2"/>
  <c r="FW219" i="2"/>
  <c r="FW208" i="2"/>
  <c r="FW192" i="2"/>
  <c r="FW191" i="2"/>
  <c r="FW188" i="2"/>
  <c r="FW176" i="2"/>
  <c r="FW174" i="2"/>
  <c r="FW172" i="2"/>
  <c r="FW170" i="2"/>
  <c r="FW153" i="2"/>
  <c r="FW144" i="2"/>
  <c r="FW225" i="2"/>
  <c r="FW218" i="2"/>
  <c r="FW187" i="2"/>
  <c r="FW185" i="2"/>
  <c r="FW183" i="2"/>
  <c r="FW181" i="2"/>
  <c r="FW179" i="2"/>
  <c r="FW177" i="2"/>
  <c r="FW163" i="2"/>
  <c r="FW161" i="2"/>
  <c r="FW154" i="2"/>
  <c r="FW198" i="2"/>
  <c r="FW195" i="2"/>
  <c r="FW168" i="2"/>
  <c r="FW166" i="2"/>
  <c r="FW155" i="2"/>
  <c r="FW142" i="2"/>
  <c r="FW140" i="2"/>
  <c r="FW197" i="2"/>
  <c r="FW190" i="2"/>
  <c r="FW158" i="2"/>
  <c r="FW151" i="2"/>
  <c r="FW149" i="2"/>
  <c r="FW147" i="2"/>
  <c r="FW145" i="2"/>
  <c r="FW159" i="2"/>
  <c r="FW222" i="2"/>
  <c r="FW186" i="2"/>
  <c r="FW184" i="2"/>
  <c r="FW182" i="2"/>
  <c r="FW180" i="2"/>
  <c r="FW167" i="2"/>
  <c r="FW165" i="2"/>
  <c r="FW156" i="2"/>
  <c r="FW116" i="2"/>
  <c r="FW115" i="2"/>
  <c r="FW113" i="2"/>
  <c r="FW85" i="2"/>
  <c r="FW83" i="2"/>
  <c r="FW81" i="2"/>
  <c r="FW79" i="2"/>
  <c r="FW77" i="2"/>
  <c r="FW129" i="2"/>
  <c r="FW125" i="2"/>
  <c r="FW123" i="2"/>
  <c r="FW121" i="2"/>
  <c r="FW178" i="2"/>
  <c r="FW143" i="2"/>
  <c r="FW110" i="2"/>
  <c r="FW96" i="2"/>
  <c r="FW175" i="2"/>
  <c r="FW139" i="2"/>
  <c r="FW136" i="2"/>
  <c r="FW107" i="2"/>
  <c r="FW99" i="2"/>
  <c r="FW97" i="2"/>
  <c r="FW93" i="2"/>
  <c r="FW162" i="2"/>
  <c r="FW138" i="2"/>
  <c r="FW137" i="2"/>
  <c r="FW132" i="2"/>
  <c r="FW128" i="2"/>
  <c r="FW126" i="2"/>
  <c r="FW102" i="2"/>
  <c r="FW100" i="2"/>
  <c r="FW94" i="2"/>
  <c r="FW92" i="2"/>
  <c r="FW90" i="2"/>
  <c r="FW88" i="2"/>
  <c r="FW86" i="2"/>
  <c r="FW75" i="2"/>
  <c r="FW135" i="2"/>
  <c r="FW114" i="2"/>
  <c r="FW103" i="2"/>
  <c r="FW84" i="2"/>
  <c r="FW82" i="2"/>
  <c r="FW80" i="2"/>
  <c r="FW78" i="2"/>
  <c r="FW76" i="2"/>
  <c r="FW171" i="2"/>
  <c r="FW124" i="2"/>
  <c r="FW122" i="2"/>
  <c r="FW120" i="2"/>
  <c r="FW111" i="2"/>
  <c r="FW104" i="2"/>
  <c r="FW73" i="2"/>
  <c r="FW134" i="2"/>
  <c r="FW119" i="2"/>
  <c r="FW98" i="2"/>
  <c r="FW72" i="2"/>
  <c r="FW69" i="2"/>
  <c r="FW51" i="2"/>
  <c r="FW38" i="2"/>
  <c r="FW36" i="2"/>
  <c r="FW127" i="2"/>
  <c r="FW109" i="2"/>
  <c r="FW101" i="2"/>
  <c r="FW87" i="2"/>
  <c r="FW58" i="2"/>
  <c r="FW56" i="2"/>
  <c r="FW49" i="2"/>
  <c r="FW44" i="2"/>
  <c r="FW43" i="2"/>
  <c r="FW42" i="2"/>
  <c r="FW41" i="2"/>
  <c r="FW160" i="2"/>
  <c r="FW141" i="2"/>
  <c r="FW105" i="2"/>
  <c r="FW68" i="2"/>
  <c r="FW67" i="2"/>
  <c r="FW52" i="2"/>
  <c r="FW164" i="2"/>
  <c r="FW118" i="2"/>
  <c r="FW95" i="2"/>
  <c r="FW89" i="2"/>
  <c r="FW71" i="2"/>
  <c r="FW66" i="2"/>
  <c r="FW65" i="2"/>
  <c r="FW34" i="2"/>
  <c r="FW130" i="2"/>
  <c r="FW64" i="2"/>
  <c r="FW63" i="2"/>
  <c r="FW54" i="2"/>
  <c r="FW40" i="2"/>
  <c r="FW39" i="2"/>
  <c r="FW133" i="2"/>
  <c r="FW131" i="2"/>
  <c r="FW91" i="2"/>
  <c r="FW62" i="2"/>
  <c r="FW61" i="2"/>
  <c r="FW53" i="2"/>
  <c r="FW33" i="2"/>
  <c r="EI5" i="2"/>
  <c r="HS5" i="2"/>
  <c r="EQ6" i="2"/>
  <c r="FW6" i="2"/>
  <c r="EO7" i="2"/>
  <c r="GE7" i="2"/>
  <c r="EU9" i="2"/>
  <c r="GA9" i="2"/>
  <c r="EI10" i="2"/>
  <c r="EI11" i="2"/>
  <c r="EQ12" i="2"/>
  <c r="FW12" i="2"/>
  <c r="EO13" i="2"/>
  <c r="GE13" i="2"/>
  <c r="GC14" i="2"/>
  <c r="DM15" i="2"/>
  <c r="DY15" i="2"/>
  <c r="ER15" i="2" s="1"/>
  <c r="FZ15" i="2"/>
  <c r="ES16" i="2"/>
  <c r="EI17" i="2"/>
  <c r="ES17" i="2"/>
  <c r="GC18" i="2"/>
  <c r="GC19" i="2"/>
  <c r="EN20" i="2"/>
  <c r="GD20" i="2"/>
  <c r="GC21" i="2"/>
  <c r="GC22" i="2"/>
  <c r="GC23" i="2"/>
  <c r="EU24" i="2"/>
  <c r="GA24" i="2"/>
  <c r="FW25" i="2"/>
  <c r="HO42" i="2"/>
  <c r="HY42" i="2"/>
  <c r="GE26" i="2"/>
  <c r="DQ27" i="2"/>
  <c r="EJ27" i="2" s="1"/>
  <c r="EB27" i="2"/>
  <c r="EU27" i="2" s="1"/>
  <c r="GF27" i="2"/>
  <c r="ES28" i="2"/>
  <c r="GC28" i="2"/>
  <c r="ER29" i="2"/>
  <c r="FZ29" i="2"/>
  <c r="GM29" i="2"/>
  <c r="EO30" i="2"/>
  <c r="FW30" i="2"/>
  <c r="DY31" i="2"/>
  <c r="ER31" i="2" s="1"/>
  <c r="AI31" i="2"/>
  <c r="AH31" i="2"/>
  <c r="EB31" i="2"/>
  <c r="EO31" i="2"/>
  <c r="FW31" i="2"/>
  <c r="BH32" i="2"/>
  <c r="ET33" i="2"/>
  <c r="GE33" i="2"/>
  <c r="DZ34" i="2"/>
  <c r="ES34" i="2" s="1"/>
  <c r="AL34" i="2"/>
  <c r="EE34" i="2"/>
  <c r="EX34" i="2" s="1"/>
  <c r="DU34" i="2"/>
  <c r="AK34" i="2"/>
  <c r="AF34" i="2"/>
  <c r="EH34" i="2"/>
  <c r="FA34" i="2" s="1"/>
  <c r="EN39" i="2"/>
  <c r="ET41" i="2"/>
  <c r="GM42" i="2"/>
  <c r="EU44" i="2"/>
  <c r="EQ45" i="2"/>
  <c r="EO46" i="2"/>
  <c r="FW47" i="2"/>
  <c r="EI48" i="2"/>
  <c r="GC52" i="2"/>
  <c r="EN53" i="2"/>
  <c r="EQ55" i="2"/>
  <c r="EI56" i="2"/>
  <c r="GQ56" i="2"/>
  <c r="FW60" i="2"/>
  <c r="EO61" i="2"/>
  <c r="EU64" i="2"/>
  <c r="GD66" i="2"/>
  <c r="EI67" i="2"/>
  <c r="GD67" i="2"/>
  <c r="GC68" i="2"/>
  <c r="EN74" i="2"/>
  <c r="FV74" i="2"/>
  <c r="GD86" i="2"/>
  <c r="EV92" i="2"/>
  <c r="GC93" i="2"/>
  <c r="GM94" i="2"/>
  <c r="GD111" i="2"/>
  <c r="FW112" i="2"/>
  <c r="EO122" i="2"/>
  <c r="GA125" i="2"/>
  <c r="ES147" i="2"/>
  <c r="GP151" i="2"/>
  <c r="DO422" i="1"/>
  <c r="FJ424" i="1"/>
  <c r="ES426" i="1"/>
  <c r="BK449" i="1"/>
  <c r="DR488" i="1"/>
  <c r="DR500" i="1"/>
  <c r="EJ510" i="1"/>
  <c r="DN531" i="1"/>
  <c r="AO562" i="1"/>
  <c r="DO562" i="1" s="1"/>
  <c r="BL602" i="1"/>
  <c r="EQ617" i="2"/>
  <c r="EQ615" i="2"/>
  <c r="EQ613" i="2"/>
  <c r="EQ630" i="2"/>
  <c r="EQ626" i="2"/>
  <c r="EQ620" i="2"/>
  <c r="EQ622" i="2"/>
  <c r="EQ628" i="2"/>
  <c r="EQ625" i="2"/>
  <c r="EQ629" i="2"/>
  <c r="EQ623" i="2"/>
  <c r="EQ621" i="2"/>
  <c r="EQ627" i="2"/>
  <c r="EQ607" i="2"/>
  <c r="EQ606" i="2"/>
  <c r="EQ604" i="2"/>
  <c r="EQ602" i="2"/>
  <c r="EQ599" i="2"/>
  <c r="EQ597" i="2"/>
  <c r="EQ595" i="2"/>
  <c r="EQ593" i="2"/>
  <c r="EQ591" i="2"/>
  <c r="EQ589" i="2"/>
  <c r="EQ587" i="2"/>
  <c r="EQ585" i="2"/>
  <c r="EQ583" i="2"/>
  <c r="EQ581" i="2"/>
  <c r="EQ579" i="2"/>
  <c r="EQ618" i="2"/>
  <c r="EQ611" i="2"/>
  <c r="EQ610" i="2"/>
  <c r="EQ605" i="2"/>
  <c r="EQ603" i="2"/>
  <c r="EQ616" i="2"/>
  <c r="EQ609" i="2"/>
  <c r="EQ600" i="2"/>
  <c r="EQ598" i="2"/>
  <c r="EQ596" i="2"/>
  <c r="EQ594" i="2"/>
  <c r="EQ614" i="2"/>
  <c r="EQ608" i="2"/>
  <c r="EQ588" i="2"/>
  <c r="EQ612" i="2"/>
  <c r="EQ586" i="2"/>
  <c r="EQ592" i="2"/>
  <c r="EQ563" i="2"/>
  <c r="EQ559" i="2"/>
  <c r="EQ557" i="2"/>
  <c r="EQ555" i="2"/>
  <c r="EQ575" i="2"/>
  <c r="EQ578" i="2"/>
  <c r="EQ577" i="2"/>
  <c r="EQ573" i="2"/>
  <c r="EQ571" i="2"/>
  <c r="EQ569" i="2"/>
  <c r="EQ567" i="2"/>
  <c r="EQ590" i="2"/>
  <c r="EQ582" i="2"/>
  <c r="EQ580" i="2"/>
  <c r="EQ561" i="2"/>
  <c r="EQ539" i="2"/>
  <c r="EQ537" i="2"/>
  <c r="EQ535" i="2"/>
  <c r="EQ533" i="2"/>
  <c r="EQ584" i="2"/>
  <c r="EQ572" i="2"/>
  <c r="EQ556" i="2"/>
  <c r="EQ553" i="2"/>
  <c r="EQ548" i="2"/>
  <c r="EQ546" i="2"/>
  <c r="EQ544" i="2"/>
  <c r="EQ562" i="2"/>
  <c r="EQ552" i="2"/>
  <c r="EQ551" i="2"/>
  <c r="EQ550" i="2"/>
  <c r="EQ541" i="2"/>
  <c r="EQ547" i="2"/>
  <c r="EQ529" i="2"/>
  <c r="EQ527" i="2"/>
  <c r="EQ525" i="2"/>
  <c r="EQ523" i="2"/>
  <c r="EQ521" i="2"/>
  <c r="EQ558" i="2"/>
  <c r="EQ549" i="2"/>
  <c r="EQ542" i="2"/>
  <c r="EQ536" i="2"/>
  <c r="EQ532" i="2"/>
  <c r="EQ538" i="2"/>
  <c r="EQ534" i="2"/>
  <c r="EQ574" i="2"/>
  <c r="EQ570" i="2"/>
  <c r="EQ526" i="2"/>
  <c r="EQ522" i="2"/>
  <c r="EQ513" i="2"/>
  <c r="EQ530" i="2"/>
  <c r="EQ531" i="2"/>
  <c r="EQ520" i="2"/>
  <c r="EQ516" i="2"/>
  <c r="EQ506" i="2"/>
  <c r="EQ503" i="2"/>
  <c r="EQ501" i="2"/>
  <c r="EQ528" i="2"/>
  <c r="EQ524" i="2"/>
  <c r="EQ511" i="2"/>
  <c r="EQ509" i="2"/>
  <c r="EQ507" i="2"/>
  <c r="EQ540" i="2"/>
  <c r="EQ545" i="2"/>
  <c r="EQ519" i="2"/>
  <c r="EQ515" i="2"/>
  <c r="EQ492" i="2"/>
  <c r="EQ486" i="2"/>
  <c r="EQ489" i="2"/>
  <c r="EQ487" i="2"/>
  <c r="EQ500" i="2"/>
  <c r="EQ484" i="2"/>
  <c r="EQ482" i="2"/>
  <c r="EQ480" i="2"/>
  <c r="EQ478" i="2"/>
  <c r="EQ476" i="2"/>
  <c r="EQ485" i="2"/>
  <c r="EQ483" i="2"/>
  <c r="EQ512" i="2"/>
  <c r="EQ496" i="2"/>
  <c r="EQ495" i="2"/>
  <c r="EQ474" i="2"/>
  <c r="EQ472" i="2"/>
  <c r="EQ493" i="2"/>
  <c r="EQ510" i="2"/>
  <c r="EQ505" i="2"/>
  <c r="EQ498" i="2"/>
  <c r="EQ490" i="2"/>
  <c r="EQ488" i="2"/>
  <c r="EQ468" i="2"/>
  <c r="EQ471" i="2"/>
  <c r="EQ456" i="2"/>
  <c r="EQ454" i="2"/>
  <c r="EQ518" i="2"/>
  <c r="EQ508" i="2"/>
  <c r="EQ463" i="2"/>
  <c r="EQ467" i="2"/>
  <c r="EQ466" i="2"/>
  <c r="EQ460" i="2"/>
  <c r="EQ494" i="2"/>
  <c r="EQ473" i="2"/>
  <c r="EQ462" i="2"/>
  <c r="EQ457" i="2"/>
  <c r="EQ455" i="2"/>
  <c r="EQ502" i="2"/>
  <c r="EQ481" i="2"/>
  <c r="EQ465" i="2"/>
  <c r="EQ461" i="2"/>
  <c r="EQ470" i="2"/>
  <c r="EQ464" i="2"/>
  <c r="EQ450" i="2"/>
  <c r="EQ443" i="2"/>
  <c r="EQ434" i="2"/>
  <c r="EQ451" i="2"/>
  <c r="EQ449" i="2"/>
  <c r="EQ445" i="2"/>
  <c r="EQ435" i="2"/>
  <c r="EQ417" i="2"/>
  <c r="EQ479" i="2"/>
  <c r="EQ477" i="2"/>
  <c r="EQ475" i="2"/>
  <c r="EQ448" i="2"/>
  <c r="EQ438" i="2"/>
  <c r="EQ444" i="2"/>
  <c r="EQ442" i="2"/>
  <c r="EQ441" i="2"/>
  <c r="EQ439" i="2"/>
  <c r="EQ432" i="2"/>
  <c r="EQ430" i="2"/>
  <c r="EQ424" i="2"/>
  <c r="EQ422" i="2"/>
  <c r="EQ425" i="2"/>
  <c r="EQ459" i="2"/>
  <c r="EQ446" i="2"/>
  <c r="EQ436" i="2"/>
  <c r="EQ426" i="2"/>
  <c r="EQ447" i="2"/>
  <c r="EQ437" i="2"/>
  <c r="EQ469" i="2"/>
  <c r="EQ428" i="2"/>
  <c r="EQ420" i="2"/>
  <c r="EQ389" i="2"/>
  <c r="EQ398" i="2"/>
  <c r="EQ431" i="2"/>
  <c r="EQ416" i="2"/>
  <c r="EQ403" i="2"/>
  <c r="EQ401" i="2"/>
  <c r="EQ399" i="2"/>
  <c r="EQ440" i="2"/>
  <c r="EQ415" i="2"/>
  <c r="EQ414" i="2"/>
  <c r="EQ406" i="2"/>
  <c r="EQ396" i="2"/>
  <c r="EQ394" i="2"/>
  <c r="EQ387" i="2"/>
  <c r="EQ427" i="2"/>
  <c r="EQ411" i="2"/>
  <c r="EQ409" i="2"/>
  <c r="EQ397" i="2"/>
  <c r="EQ385" i="2"/>
  <c r="EQ412" i="2"/>
  <c r="EQ390" i="2"/>
  <c r="EQ433" i="2"/>
  <c r="EQ423" i="2"/>
  <c r="EQ418" i="2"/>
  <c r="EQ391" i="2"/>
  <c r="EQ419" i="2"/>
  <c r="EQ410" i="2"/>
  <c r="EQ408" i="2"/>
  <c r="EQ374" i="2"/>
  <c r="EQ372" i="2"/>
  <c r="EQ369" i="2"/>
  <c r="EQ362" i="2"/>
  <c r="EQ402" i="2"/>
  <c r="EQ388" i="2"/>
  <c r="EQ356" i="2"/>
  <c r="EQ354" i="2"/>
  <c r="EQ352" i="2"/>
  <c r="EQ350" i="2"/>
  <c r="EQ348" i="2"/>
  <c r="EQ346" i="2"/>
  <c r="EQ421" i="2"/>
  <c r="EQ378" i="2"/>
  <c r="EQ364" i="2"/>
  <c r="EQ413" i="2"/>
  <c r="EQ407" i="2"/>
  <c r="EQ386" i="2"/>
  <c r="EQ379" i="2"/>
  <c r="EQ367" i="2"/>
  <c r="EQ363" i="2"/>
  <c r="EQ358" i="2"/>
  <c r="EQ405" i="2"/>
  <c r="EQ400" i="2"/>
  <c r="EQ380" i="2"/>
  <c r="EQ373" i="2"/>
  <c r="EQ360" i="2"/>
  <c r="EQ357" i="2"/>
  <c r="EQ429" i="2"/>
  <c r="EQ383" i="2"/>
  <c r="EQ370" i="2"/>
  <c r="EQ365" i="2"/>
  <c r="EQ377" i="2"/>
  <c r="EQ344" i="2"/>
  <c r="EQ340" i="2"/>
  <c r="EQ381" i="2"/>
  <c r="EQ355" i="2"/>
  <c r="EQ349" i="2"/>
  <c r="EQ341" i="2"/>
  <c r="EQ338" i="2"/>
  <c r="EQ336" i="2"/>
  <c r="EQ324" i="2"/>
  <c r="EQ322" i="2"/>
  <c r="EQ368" i="2"/>
  <c r="EQ342" i="2"/>
  <c r="EQ392" i="2"/>
  <c r="EQ382" i="2"/>
  <c r="EQ366" i="2"/>
  <c r="EQ347" i="2"/>
  <c r="EQ332" i="2"/>
  <c r="EQ393" i="2"/>
  <c r="EQ404" i="2"/>
  <c r="EQ337" i="2"/>
  <c r="EQ335" i="2"/>
  <c r="EQ395" i="2"/>
  <c r="EQ376" i="2"/>
  <c r="EQ351" i="2"/>
  <c r="EQ321" i="2"/>
  <c r="EQ315" i="2"/>
  <c r="EQ313" i="2"/>
  <c r="EQ305" i="2"/>
  <c r="EQ353" i="2"/>
  <c r="EQ339" i="2"/>
  <c r="EQ329" i="2"/>
  <c r="EQ320" i="2"/>
  <c r="EQ311" i="2"/>
  <c r="EQ334" i="2"/>
  <c r="EQ330" i="2"/>
  <c r="EQ309" i="2"/>
  <c r="EQ327" i="2"/>
  <c r="EQ326" i="2"/>
  <c r="EQ316" i="2"/>
  <c r="EQ325" i="2"/>
  <c r="EQ328" i="2"/>
  <c r="EQ343" i="2"/>
  <c r="EQ301" i="2"/>
  <c r="EQ270" i="2"/>
  <c r="EQ268" i="2"/>
  <c r="EQ323" i="2"/>
  <c r="EQ302" i="2"/>
  <c r="EQ286" i="2"/>
  <c r="EQ284" i="2"/>
  <c r="EQ282" i="2"/>
  <c r="EQ280" i="2"/>
  <c r="EQ276" i="2"/>
  <c r="EQ274" i="2"/>
  <c r="EQ304" i="2"/>
  <c r="EQ299" i="2"/>
  <c r="EQ314" i="2"/>
  <c r="EQ294" i="2"/>
  <c r="EQ292" i="2"/>
  <c r="EQ289" i="2"/>
  <c r="EQ318" i="2"/>
  <c r="EQ287" i="2"/>
  <c r="EQ285" i="2"/>
  <c r="EQ283" i="2"/>
  <c r="EQ281" i="2"/>
  <c r="EQ279" i="2"/>
  <c r="EQ307" i="2"/>
  <c r="EQ293" i="2"/>
  <c r="EQ291" i="2"/>
  <c r="EQ345" i="2"/>
  <c r="EQ255" i="2"/>
  <c r="EQ253" i="2"/>
  <c r="EQ251" i="2"/>
  <c r="EQ249" i="2"/>
  <c r="EQ247" i="2"/>
  <c r="EQ245" i="2"/>
  <c r="EQ296" i="2"/>
  <c r="EQ241" i="2"/>
  <c r="EQ239" i="2"/>
  <c r="EQ237" i="2"/>
  <c r="EQ231" i="2"/>
  <c r="EQ227" i="2"/>
  <c r="EQ267" i="2"/>
  <c r="EQ266" i="2"/>
  <c r="EQ262" i="2"/>
  <c r="EQ260" i="2"/>
  <c r="EQ265" i="2"/>
  <c r="EQ264" i="2"/>
  <c r="EQ258" i="2"/>
  <c r="EQ275" i="2"/>
  <c r="EQ254" i="2"/>
  <c r="EQ252" i="2"/>
  <c r="EQ250" i="2"/>
  <c r="EQ248" i="2"/>
  <c r="EQ246" i="2"/>
  <c r="EQ271" i="2"/>
  <c r="EQ269" i="2"/>
  <c r="EQ259" i="2"/>
  <c r="EQ257" i="2"/>
  <c r="EQ272" i="2"/>
  <c r="EQ224" i="2"/>
  <c r="EQ213" i="2"/>
  <c r="EQ204" i="2"/>
  <c r="EQ202" i="2"/>
  <c r="EQ200" i="2"/>
  <c r="EQ242" i="2"/>
  <c r="EQ228" i="2"/>
  <c r="EQ223" i="2"/>
  <c r="EQ244" i="2"/>
  <c r="EQ232" i="2"/>
  <c r="EQ226" i="2"/>
  <c r="EQ220" i="2"/>
  <c r="EQ206" i="2"/>
  <c r="EQ243" i="2"/>
  <c r="EQ233" i="2"/>
  <c r="EQ221" i="2"/>
  <c r="EQ263" i="2"/>
  <c r="EQ236" i="2"/>
  <c r="EQ214" i="2"/>
  <c r="EQ203" i="2"/>
  <c r="EQ201" i="2"/>
  <c r="EQ199" i="2"/>
  <c r="EQ225" i="2"/>
  <c r="EQ261" i="2"/>
  <c r="EQ238" i="2"/>
  <c r="EQ240" i="2"/>
  <c r="EQ217" i="2"/>
  <c r="EQ191" i="2"/>
  <c r="EQ157" i="2"/>
  <c r="EQ152" i="2"/>
  <c r="EQ150" i="2"/>
  <c r="EQ148" i="2"/>
  <c r="EQ146" i="2"/>
  <c r="EQ219" i="2"/>
  <c r="EQ195" i="2"/>
  <c r="EQ197" i="2"/>
  <c r="EQ176" i="2"/>
  <c r="EQ174" i="2"/>
  <c r="EQ172" i="2"/>
  <c r="EQ170" i="2"/>
  <c r="EQ144" i="2"/>
  <c r="EQ187" i="2"/>
  <c r="EQ185" i="2"/>
  <c r="EQ183" i="2"/>
  <c r="EQ181" i="2"/>
  <c r="EQ179" i="2"/>
  <c r="EQ177" i="2"/>
  <c r="EQ163" i="2"/>
  <c r="EQ161" i="2"/>
  <c r="EQ154" i="2"/>
  <c r="EQ168" i="2"/>
  <c r="EQ166" i="2"/>
  <c r="EQ155" i="2"/>
  <c r="EQ142" i="2"/>
  <c r="EQ140" i="2"/>
  <c r="EQ158" i="2"/>
  <c r="EQ151" i="2"/>
  <c r="EQ149" i="2"/>
  <c r="EQ147" i="2"/>
  <c r="EQ145" i="2"/>
  <c r="EQ196" i="2"/>
  <c r="EQ222" i="2"/>
  <c r="EQ198" i="2"/>
  <c r="EQ194" i="2"/>
  <c r="EQ186" i="2"/>
  <c r="EQ184" i="2"/>
  <c r="EQ182" i="2"/>
  <c r="EQ180" i="2"/>
  <c r="EQ193" i="2"/>
  <c r="EQ192" i="2"/>
  <c r="EQ189" i="2"/>
  <c r="EQ188" i="2"/>
  <c r="EQ167" i="2"/>
  <c r="EQ165" i="2"/>
  <c r="EQ156" i="2"/>
  <c r="EQ129" i="2"/>
  <c r="EQ115" i="2"/>
  <c r="EQ113" i="2"/>
  <c r="EQ85" i="2"/>
  <c r="EQ83" i="2"/>
  <c r="EQ81" i="2"/>
  <c r="EQ79" i="2"/>
  <c r="EQ77" i="2"/>
  <c r="EQ125" i="2"/>
  <c r="EQ123" i="2"/>
  <c r="EQ121" i="2"/>
  <c r="EQ110" i="2"/>
  <c r="EQ96" i="2"/>
  <c r="EQ178" i="2"/>
  <c r="EQ141" i="2"/>
  <c r="EQ135" i="2"/>
  <c r="EQ132" i="2"/>
  <c r="EQ107" i="2"/>
  <c r="EQ99" i="2"/>
  <c r="EQ97" i="2"/>
  <c r="EQ175" i="2"/>
  <c r="EQ162" i="2"/>
  <c r="EQ128" i="2"/>
  <c r="EQ126" i="2"/>
  <c r="EQ102" i="2"/>
  <c r="EQ100" i="2"/>
  <c r="EQ94" i="2"/>
  <c r="EQ92" i="2"/>
  <c r="EQ90" i="2"/>
  <c r="EQ88" i="2"/>
  <c r="EQ75" i="2"/>
  <c r="EQ133" i="2"/>
  <c r="EQ114" i="2"/>
  <c r="EQ103" i="2"/>
  <c r="EQ84" i="2"/>
  <c r="EQ82" i="2"/>
  <c r="EQ80" i="2"/>
  <c r="EQ78" i="2"/>
  <c r="EQ131" i="2"/>
  <c r="EQ124" i="2"/>
  <c r="EQ122" i="2"/>
  <c r="EQ111" i="2"/>
  <c r="EQ104" i="2"/>
  <c r="EQ73" i="2"/>
  <c r="EQ173" i="2"/>
  <c r="EQ51" i="2"/>
  <c r="EQ38" i="2"/>
  <c r="EQ36" i="2"/>
  <c r="EQ71" i="2"/>
  <c r="EQ68" i="2"/>
  <c r="EQ58" i="2"/>
  <c r="EQ56" i="2"/>
  <c r="EQ139" i="2"/>
  <c r="EQ136" i="2"/>
  <c r="EQ106" i="2"/>
  <c r="EQ67" i="2"/>
  <c r="EQ66" i="2"/>
  <c r="EQ49" i="2"/>
  <c r="EQ44" i="2"/>
  <c r="EQ43" i="2"/>
  <c r="EQ42" i="2"/>
  <c r="EQ41" i="2"/>
  <c r="EQ138" i="2"/>
  <c r="EQ119" i="2"/>
  <c r="EQ98" i="2"/>
  <c r="EQ65" i="2"/>
  <c r="EQ64" i="2"/>
  <c r="EQ52" i="2"/>
  <c r="EQ164" i="2"/>
  <c r="EQ143" i="2"/>
  <c r="EQ127" i="2"/>
  <c r="EQ74" i="2"/>
  <c r="EQ63" i="2"/>
  <c r="EQ62" i="2"/>
  <c r="EQ109" i="2"/>
  <c r="EQ101" i="2"/>
  <c r="EQ87" i="2"/>
  <c r="EQ61" i="2"/>
  <c r="EQ60" i="2"/>
  <c r="EQ54" i="2"/>
  <c r="EQ40" i="2"/>
  <c r="EQ39" i="2"/>
  <c r="EQ130" i="2"/>
  <c r="EQ105" i="2"/>
  <c r="EQ59" i="2"/>
  <c r="EQ57" i="2"/>
  <c r="EQ53" i="2"/>
  <c r="EQ33" i="2"/>
  <c r="FZ624" i="2"/>
  <c r="FZ631" i="2"/>
  <c r="FZ629" i="2"/>
  <c r="FZ627" i="2"/>
  <c r="FZ619" i="2"/>
  <c r="FZ615" i="2"/>
  <c r="FZ611" i="2"/>
  <c r="FZ609" i="2"/>
  <c r="FZ607" i="2"/>
  <c r="FZ622" i="2"/>
  <c r="FZ614" i="2"/>
  <c r="FZ630" i="2"/>
  <c r="FZ626" i="2"/>
  <c r="FZ620" i="2"/>
  <c r="FZ625" i="2"/>
  <c r="FZ628" i="2"/>
  <c r="FZ623" i="2"/>
  <c r="FZ613" i="2"/>
  <c r="FZ612" i="2"/>
  <c r="FZ617" i="2"/>
  <c r="FZ605" i="2"/>
  <c r="FZ603" i="2"/>
  <c r="FZ600" i="2"/>
  <c r="FZ618" i="2"/>
  <c r="FZ610" i="2"/>
  <c r="FZ606" i="2"/>
  <c r="FZ604" i="2"/>
  <c r="FZ602" i="2"/>
  <c r="FZ596" i="2"/>
  <c r="FZ587" i="2"/>
  <c r="FZ578" i="2"/>
  <c r="FZ576" i="2"/>
  <c r="FZ586" i="2"/>
  <c r="FZ595" i="2"/>
  <c r="FZ585" i="2"/>
  <c r="FZ584" i="2"/>
  <c r="FZ598" i="2"/>
  <c r="FZ621" i="2"/>
  <c r="FZ616" i="2"/>
  <c r="FZ592" i="2"/>
  <c r="FZ597" i="2"/>
  <c r="FZ594" i="2"/>
  <c r="FZ591" i="2"/>
  <c r="FZ593" i="2"/>
  <c r="FZ589" i="2"/>
  <c r="FZ608" i="2"/>
  <c r="FZ599" i="2"/>
  <c r="FZ580" i="2"/>
  <c r="FZ575" i="2"/>
  <c r="FZ582" i="2"/>
  <c r="FZ573" i="2"/>
  <c r="FZ571" i="2"/>
  <c r="FZ569" i="2"/>
  <c r="FZ567" i="2"/>
  <c r="FZ552" i="2"/>
  <c r="FZ550" i="2"/>
  <c r="FZ590" i="2"/>
  <c r="FZ577" i="2"/>
  <c r="FZ579" i="2"/>
  <c r="FZ562" i="2"/>
  <c r="FZ581" i="2"/>
  <c r="FZ574" i="2"/>
  <c r="FZ572" i="2"/>
  <c r="FZ570" i="2"/>
  <c r="FZ568" i="2"/>
  <c r="FZ588" i="2"/>
  <c r="FZ565" i="2"/>
  <c r="FZ555" i="2"/>
  <c r="FZ543" i="2"/>
  <c r="FZ561" i="2"/>
  <c r="FZ553" i="2"/>
  <c r="FZ548" i="2"/>
  <c r="FZ546" i="2"/>
  <c r="FZ544" i="2"/>
  <c r="FZ559" i="2"/>
  <c r="FZ556" i="2"/>
  <c r="FZ564" i="2"/>
  <c r="FZ551" i="2"/>
  <c r="FZ542" i="2"/>
  <c r="FZ557" i="2"/>
  <c r="FZ549" i="2"/>
  <c r="FZ547" i="2"/>
  <c r="FZ545" i="2"/>
  <c r="FZ583" i="2"/>
  <c r="FZ566" i="2"/>
  <c r="FZ558" i="2"/>
  <c r="FZ540" i="2"/>
  <c r="FZ533" i="2"/>
  <c r="FZ532" i="2"/>
  <c r="FZ563" i="2"/>
  <c r="FZ530" i="2"/>
  <c r="FZ528" i="2"/>
  <c r="FZ526" i="2"/>
  <c r="FZ524" i="2"/>
  <c r="FZ522" i="2"/>
  <c r="FZ534" i="2"/>
  <c r="FZ536" i="2"/>
  <c r="FZ538" i="2"/>
  <c r="FZ517" i="2"/>
  <c r="FZ527" i="2"/>
  <c r="FZ523" i="2"/>
  <c r="FZ520" i="2"/>
  <c r="FZ516" i="2"/>
  <c r="FZ506" i="2"/>
  <c r="FZ504" i="2"/>
  <c r="FZ503" i="2"/>
  <c r="FZ501" i="2"/>
  <c r="FZ499" i="2"/>
  <c r="FZ539" i="2"/>
  <c r="FZ511" i="2"/>
  <c r="FZ509" i="2"/>
  <c r="FZ507" i="2"/>
  <c r="FZ496" i="2"/>
  <c r="FZ531" i="2"/>
  <c r="FZ518" i="2"/>
  <c r="FZ514" i="2"/>
  <c r="FZ537" i="2"/>
  <c r="FZ525" i="2"/>
  <c r="FZ519" i="2"/>
  <c r="FZ515" i="2"/>
  <c r="FZ505" i="2"/>
  <c r="FZ502" i="2"/>
  <c r="FZ541" i="2"/>
  <c r="FZ529" i="2"/>
  <c r="FZ535" i="2"/>
  <c r="FZ521" i="2"/>
  <c r="FZ485" i="2"/>
  <c r="FZ483" i="2"/>
  <c r="FZ508" i="2"/>
  <c r="FZ500" i="2"/>
  <c r="FZ493" i="2"/>
  <c r="FZ491" i="2"/>
  <c r="FZ470" i="2"/>
  <c r="FZ465" i="2"/>
  <c r="FZ495" i="2"/>
  <c r="FZ490" i="2"/>
  <c r="FZ488" i="2"/>
  <c r="FZ513" i="2"/>
  <c r="FZ498" i="2"/>
  <c r="FZ494" i="2"/>
  <c r="FZ481" i="2"/>
  <c r="FZ479" i="2"/>
  <c r="FZ477" i="2"/>
  <c r="FZ475" i="2"/>
  <c r="FZ473" i="2"/>
  <c r="FZ471" i="2"/>
  <c r="FZ492" i="2"/>
  <c r="FZ480" i="2"/>
  <c r="FZ472" i="2"/>
  <c r="FZ463" i="2"/>
  <c r="FZ460" i="2"/>
  <c r="FZ458" i="2"/>
  <c r="FZ449" i="2"/>
  <c r="FZ489" i="2"/>
  <c r="FZ486" i="2"/>
  <c r="FZ476" i="2"/>
  <c r="FZ467" i="2"/>
  <c r="FZ466" i="2"/>
  <c r="FZ487" i="2"/>
  <c r="FZ478" i="2"/>
  <c r="FZ474" i="2"/>
  <c r="FZ468" i="2"/>
  <c r="FZ457" i="2"/>
  <c r="FZ455" i="2"/>
  <c r="FZ497" i="2"/>
  <c r="FZ482" i="2"/>
  <c r="FZ462" i="2"/>
  <c r="FZ512" i="2"/>
  <c r="FZ464" i="2"/>
  <c r="FZ461" i="2"/>
  <c r="FZ459" i="2"/>
  <c r="FZ452" i="2"/>
  <c r="FZ450" i="2"/>
  <c r="FZ510" i="2"/>
  <c r="FZ484" i="2"/>
  <c r="FZ442" i="2"/>
  <c r="FZ441" i="2"/>
  <c r="FZ439" i="2"/>
  <c r="FZ432" i="2"/>
  <c r="FZ430" i="2"/>
  <c r="FZ424" i="2"/>
  <c r="FZ422" i="2"/>
  <c r="FZ456" i="2"/>
  <c r="FZ425" i="2"/>
  <c r="FZ415" i="2"/>
  <c r="FZ453" i="2"/>
  <c r="FZ436" i="2"/>
  <c r="FZ426" i="2"/>
  <c r="FZ418" i="2"/>
  <c r="FZ416" i="2"/>
  <c r="FZ448" i="2"/>
  <c r="FZ437" i="2"/>
  <c r="FZ427" i="2"/>
  <c r="FZ451" i="2"/>
  <c r="FZ446" i="2"/>
  <c r="FZ440" i="2"/>
  <c r="FZ428" i="2"/>
  <c r="FZ469" i="2"/>
  <c r="FZ433" i="2"/>
  <c r="FZ431" i="2"/>
  <c r="FZ429" i="2"/>
  <c r="FZ423" i="2"/>
  <c r="FZ421" i="2"/>
  <c r="FZ445" i="2"/>
  <c r="FZ443" i="2"/>
  <c r="FZ434" i="2"/>
  <c r="FZ406" i="2"/>
  <c r="FZ396" i="2"/>
  <c r="FZ394" i="2"/>
  <c r="FZ387" i="2"/>
  <c r="FZ411" i="2"/>
  <c r="FZ409" i="2"/>
  <c r="FZ397" i="2"/>
  <c r="FZ420" i="2"/>
  <c r="FZ414" i="2"/>
  <c r="FZ412" i="2"/>
  <c r="FZ390" i="2"/>
  <c r="FZ382" i="2"/>
  <c r="FZ391" i="2"/>
  <c r="FZ404" i="2"/>
  <c r="FZ402" i="2"/>
  <c r="FZ400" i="2"/>
  <c r="FZ392" i="2"/>
  <c r="FZ413" i="2"/>
  <c r="FZ407" i="2"/>
  <c r="FZ405" i="2"/>
  <c r="FZ395" i="2"/>
  <c r="FZ393" i="2"/>
  <c r="FZ388" i="2"/>
  <c r="FZ386" i="2"/>
  <c r="FZ454" i="2"/>
  <c r="FZ438" i="2"/>
  <c r="FZ410" i="2"/>
  <c r="FZ408" i="2"/>
  <c r="FZ447" i="2"/>
  <c r="FZ378" i="2"/>
  <c r="FZ364" i="2"/>
  <c r="FZ417" i="2"/>
  <c r="FZ385" i="2"/>
  <c r="FZ379" i="2"/>
  <c r="FZ367" i="2"/>
  <c r="FZ363" i="2"/>
  <c r="FZ358" i="2"/>
  <c r="FZ399" i="2"/>
  <c r="FZ380" i="2"/>
  <c r="FZ373" i="2"/>
  <c r="FZ360" i="2"/>
  <c r="FZ357" i="2"/>
  <c r="FZ435" i="2"/>
  <c r="FZ375" i="2"/>
  <c r="FZ370" i="2"/>
  <c r="FZ365" i="2"/>
  <c r="FZ376" i="2"/>
  <c r="FZ355" i="2"/>
  <c r="FZ377" i="2"/>
  <c r="FZ361" i="2"/>
  <c r="FZ403" i="2"/>
  <c r="FZ389" i="2"/>
  <c r="FZ383" i="2"/>
  <c r="FZ381" i="2"/>
  <c r="FZ371" i="2"/>
  <c r="FZ368" i="2"/>
  <c r="FZ366" i="2"/>
  <c r="FZ419" i="2"/>
  <c r="FZ369" i="2"/>
  <c r="FZ362" i="2"/>
  <c r="FZ348" i="2"/>
  <c r="FZ332" i="2"/>
  <c r="FZ347" i="2"/>
  <c r="FZ329" i="2"/>
  <c r="FZ327" i="2"/>
  <c r="FZ354" i="2"/>
  <c r="FZ346" i="2"/>
  <c r="FZ339" i="2"/>
  <c r="FZ334" i="2"/>
  <c r="FZ401" i="2"/>
  <c r="FZ337" i="2"/>
  <c r="FZ335" i="2"/>
  <c r="FZ343" i="2"/>
  <c r="FZ356" i="2"/>
  <c r="FZ384" i="2"/>
  <c r="FZ353" i="2"/>
  <c r="FZ352" i="2"/>
  <c r="FZ374" i="2"/>
  <c r="FZ349" i="2"/>
  <c r="FZ342" i="2"/>
  <c r="FZ344" i="2"/>
  <c r="FZ319" i="2"/>
  <c r="FZ333" i="2"/>
  <c r="FZ316" i="2"/>
  <c r="FZ314" i="2"/>
  <c r="FZ312" i="2"/>
  <c r="FZ331" i="2"/>
  <c r="FZ317" i="2"/>
  <c r="FZ350" i="2"/>
  <c r="FZ338" i="2"/>
  <c r="FZ336" i="2"/>
  <c r="FZ330" i="2"/>
  <c r="FZ326" i="2"/>
  <c r="FZ325" i="2"/>
  <c r="FZ310" i="2"/>
  <c r="FZ306" i="2"/>
  <c r="FZ324" i="2"/>
  <c r="FZ345" i="2"/>
  <c r="FZ340" i="2"/>
  <c r="FZ323" i="2"/>
  <c r="FZ308" i="2"/>
  <c r="FZ328" i="2"/>
  <c r="FZ322" i="2"/>
  <c r="FZ315" i="2"/>
  <c r="FZ351" i="2"/>
  <c r="FZ320" i="2"/>
  <c r="FZ307" i="2"/>
  <c r="FZ294" i="2"/>
  <c r="FZ292" i="2"/>
  <c r="FZ290" i="2"/>
  <c r="FZ288" i="2"/>
  <c r="FZ318" i="2"/>
  <c r="FZ311" i="2"/>
  <c r="FZ305" i="2"/>
  <c r="FZ295" i="2"/>
  <c r="FZ289" i="2"/>
  <c r="FZ300" i="2"/>
  <c r="FZ271" i="2"/>
  <c r="FZ269" i="2"/>
  <c r="FZ267" i="2"/>
  <c r="FZ265" i="2"/>
  <c r="FZ285" i="2"/>
  <c r="FZ283" i="2"/>
  <c r="FZ281" i="2"/>
  <c r="FZ279" i="2"/>
  <c r="FZ341" i="2"/>
  <c r="FZ309" i="2"/>
  <c r="FZ313" i="2"/>
  <c r="FZ297" i="2"/>
  <c r="FZ293" i="2"/>
  <c r="FZ291" i="2"/>
  <c r="FZ303" i="2"/>
  <c r="FZ296" i="2"/>
  <c r="FZ321" i="2"/>
  <c r="FZ302" i="2"/>
  <c r="FZ298" i="2"/>
  <c r="FZ284" i="2"/>
  <c r="FZ282" i="2"/>
  <c r="FZ280" i="2"/>
  <c r="FZ278" i="2"/>
  <c r="FZ372" i="2"/>
  <c r="FZ262" i="2"/>
  <c r="FZ260" i="2"/>
  <c r="FZ234" i="2"/>
  <c r="FZ258" i="2"/>
  <c r="FZ256" i="2"/>
  <c r="FZ301" i="2"/>
  <c r="FZ270" i="2"/>
  <c r="FZ266" i="2"/>
  <c r="FZ254" i="2"/>
  <c r="FZ252" i="2"/>
  <c r="FZ250" i="2"/>
  <c r="FZ248" i="2"/>
  <c r="FZ246" i="2"/>
  <c r="FZ244" i="2"/>
  <c r="FZ225" i="2"/>
  <c r="FZ264" i="2"/>
  <c r="FZ276" i="2"/>
  <c r="FZ242" i="2"/>
  <c r="FZ240" i="2"/>
  <c r="FZ238" i="2"/>
  <c r="FZ275" i="2"/>
  <c r="FZ268" i="2"/>
  <c r="FZ263" i="2"/>
  <c r="FZ261" i="2"/>
  <c r="FZ304" i="2"/>
  <c r="FZ259" i="2"/>
  <c r="FZ257" i="2"/>
  <c r="FZ299" i="2"/>
  <c r="FZ277" i="2"/>
  <c r="FZ274" i="2"/>
  <c r="FZ273" i="2"/>
  <c r="FZ272" i="2"/>
  <c r="FZ239" i="2"/>
  <c r="FZ228" i="2"/>
  <c r="FZ226" i="2"/>
  <c r="FZ221" i="2"/>
  <c r="FZ216" i="2"/>
  <c r="FZ207" i="2"/>
  <c r="FZ255" i="2"/>
  <c r="FZ251" i="2"/>
  <c r="FZ247" i="2"/>
  <c r="FZ237" i="2"/>
  <c r="FZ232" i="2"/>
  <c r="FZ215" i="2"/>
  <c r="FZ241" i="2"/>
  <c r="FZ235" i="2"/>
  <c r="FZ214" i="2"/>
  <c r="FZ212" i="2"/>
  <c r="FZ203" i="2"/>
  <c r="FZ201" i="2"/>
  <c r="FZ199" i="2"/>
  <c r="FZ197" i="2"/>
  <c r="FZ195" i="2"/>
  <c r="FZ193" i="2"/>
  <c r="FZ191" i="2"/>
  <c r="FZ189" i="2"/>
  <c r="FZ233" i="2"/>
  <c r="FZ222" i="2"/>
  <c r="FZ219" i="2"/>
  <c r="FZ218" i="2"/>
  <c r="FZ253" i="2"/>
  <c r="FZ249" i="2"/>
  <c r="FZ236" i="2"/>
  <c r="FZ217" i="2"/>
  <c r="FZ243" i="2"/>
  <c r="FZ245" i="2"/>
  <c r="FZ231" i="2"/>
  <c r="FZ227" i="2"/>
  <c r="FZ220" i="2"/>
  <c r="FZ211" i="2"/>
  <c r="FZ206" i="2"/>
  <c r="FZ223" i="2"/>
  <c r="FZ204" i="2"/>
  <c r="FZ187" i="2"/>
  <c r="FZ185" i="2"/>
  <c r="FZ183" i="2"/>
  <c r="FZ181" i="2"/>
  <c r="FZ179" i="2"/>
  <c r="FZ177" i="2"/>
  <c r="FZ169" i="2"/>
  <c r="FZ163" i="2"/>
  <c r="FZ161" i="2"/>
  <c r="FZ154" i="2"/>
  <c r="FZ198" i="2"/>
  <c r="FZ168" i="2"/>
  <c r="FZ166" i="2"/>
  <c r="FZ155" i="2"/>
  <c r="FZ142" i="2"/>
  <c r="FZ140" i="2"/>
  <c r="FZ158" i="2"/>
  <c r="FZ151" i="2"/>
  <c r="FZ149" i="2"/>
  <c r="FZ147" i="2"/>
  <c r="FZ145" i="2"/>
  <c r="FZ138" i="2"/>
  <c r="FZ136" i="2"/>
  <c r="FZ190" i="2"/>
  <c r="FZ159" i="2"/>
  <c r="FZ213" i="2"/>
  <c r="FZ175" i="2"/>
  <c r="FZ173" i="2"/>
  <c r="FZ171" i="2"/>
  <c r="FZ134" i="2"/>
  <c r="FZ132" i="2"/>
  <c r="FZ186" i="2"/>
  <c r="FZ184" i="2"/>
  <c r="FZ182" i="2"/>
  <c r="FZ180" i="2"/>
  <c r="FZ178" i="2"/>
  <c r="FZ164" i="2"/>
  <c r="FZ162" i="2"/>
  <c r="FZ160" i="2"/>
  <c r="FZ205" i="2"/>
  <c r="FZ202" i="2"/>
  <c r="FZ167" i="2"/>
  <c r="FZ165" i="2"/>
  <c r="FZ156" i="2"/>
  <c r="FZ143" i="2"/>
  <c r="FZ141" i="2"/>
  <c r="FZ139" i="2"/>
  <c r="FZ200" i="2"/>
  <c r="FZ196" i="2"/>
  <c r="FZ194" i="2"/>
  <c r="FZ224" i="2"/>
  <c r="FZ192" i="2"/>
  <c r="FZ188" i="2"/>
  <c r="FZ176" i="2"/>
  <c r="FZ174" i="2"/>
  <c r="FZ172" i="2"/>
  <c r="FZ170" i="2"/>
  <c r="FZ153" i="2"/>
  <c r="FZ107" i="2"/>
  <c r="FZ99" i="2"/>
  <c r="FZ97" i="2"/>
  <c r="FZ93" i="2"/>
  <c r="FZ137" i="2"/>
  <c r="FZ128" i="2"/>
  <c r="FZ126" i="2"/>
  <c r="FZ102" i="2"/>
  <c r="FZ100" i="2"/>
  <c r="FZ94" i="2"/>
  <c r="FZ92" i="2"/>
  <c r="FZ90" i="2"/>
  <c r="FZ88" i="2"/>
  <c r="FZ86" i="2"/>
  <c r="FZ75" i="2"/>
  <c r="FZ157" i="2"/>
  <c r="FZ135" i="2"/>
  <c r="FZ114" i="2"/>
  <c r="FZ103" i="2"/>
  <c r="FZ84" i="2"/>
  <c r="FZ82" i="2"/>
  <c r="FZ80" i="2"/>
  <c r="FZ78" i="2"/>
  <c r="FZ76" i="2"/>
  <c r="FZ124" i="2"/>
  <c r="FZ122" i="2"/>
  <c r="FZ120" i="2"/>
  <c r="FZ111" i="2"/>
  <c r="FZ104" i="2"/>
  <c r="FZ150" i="2"/>
  <c r="FZ131" i="2"/>
  <c r="FZ118" i="2"/>
  <c r="FZ109" i="2"/>
  <c r="FZ105" i="2"/>
  <c r="FZ152" i="2"/>
  <c r="FZ148" i="2"/>
  <c r="FZ133" i="2"/>
  <c r="FZ119" i="2"/>
  <c r="FZ106" i="2"/>
  <c r="FZ98" i="2"/>
  <c r="FZ146" i="2"/>
  <c r="FZ130" i="2"/>
  <c r="FZ127" i="2"/>
  <c r="FZ112" i="2"/>
  <c r="FZ101" i="2"/>
  <c r="FZ95" i="2"/>
  <c r="FZ91" i="2"/>
  <c r="FZ89" i="2"/>
  <c r="FZ87" i="2"/>
  <c r="FZ74" i="2"/>
  <c r="FZ58" i="2"/>
  <c r="FZ125" i="2"/>
  <c r="FZ115" i="2"/>
  <c r="FZ110" i="2"/>
  <c r="FZ68" i="2"/>
  <c r="FZ67" i="2"/>
  <c r="FZ56" i="2"/>
  <c r="FZ52" i="2"/>
  <c r="FZ123" i="2"/>
  <c r="FZ121" i="2"/>
  <c r="FZ81" i="2"/>
  <c r="FZ71" i="2"/>
  <c r="FZ66" i="2"/>
  <c r="FZ65" i="2"/>
  <c r="FZ34" i="2"/>
  <c r="FZ31" i="2"/>
  <c r="FZ144" i="2"/>
  <c r="FZ129" i="2"/>
  <c r="FZ64" i="2"/>
  <c r="FZ63" i="2"/>
  <c r="FZ54" i="2"/>
  <c r="FZ40" i="2"/>
  <c r="FZ39" i="2"/>
  <c r="FZ83" i="2"/>
  <c r="FZ62" i="2"/>
  <c r="FZ61" i="2"/>
  <c r="FZ53" i="2"/>
  <c r="FZ85" i="2"/>
  <c r="FZ60" i="2"/>
  <c r="FZ59" i="2"/>
  <c r="FZ47" i="2"/>
  <c r="FZ46" i="2"/>
  <c r="FZ96" i="2"/>
  <c r="FZ77" i="2"/>
  <c r="FZ57" i="2"/>
  <c r="FZ55" i="2"/>
  <c r="FZ37" i="2"/>
  <c r="FZ35" i="2"/>
  <c r="FZ70" i="2"/>
  <c r="FZ50" i="2"/>
  <c r="FZ48" i="2"/>
  <c r="FZ45" i="2"/>
  <c r="FZ5" i="2"/>
  <c r="ER6" i="2"/>
  <c r="GF7" i="2"/>
  <c r="EV9" i="2"/>
  <c r="FZ10" i="2"/>
  <c r="FZ11" i="2"/>
  <c r="ER12" i="2"/>
  <c r="FV13" i="2"/>
  <c r="GF13" i="2"/>
  <c r="EN14" i="2"/>
  <c r="DP15" i="2"/>
  <c r="EI15" i="2" s="1"/>
  <c r="DZ15" i="2"/>
  <c r="GA15" i="2"/>
  <c r="FZ16" i="2"/>
  <c r="FZ17" i="2"/>
  <c r="EN18" i="2"/>
  <c r="GD18" i="2"/>
  <c r="EN19" i="2"/>
  <c r="GD19" i="2"/>
  <c r="EO20" i="2"/>
  <c r="GE20" i="2"/>
  <c r="EN21" i="2"/>
  <c r="GD21" i="2"/>
  <c r="EN22" i="2"/>
  <c r="GD22" i="2"/>
  <c r="EN23" i="2"/>
  <c r="GD23" i="2"/>
  <c r="EV24" i="2"/>
  <c r="GM24" i="2"/>
  <c r="GF26" i="2"/>
  <c r="DR27" i="2"/>
  <c r="EK27" i="2" s="1"/>
  <c r="EC27" i="2"/>
  <c r="EV27" i="2" s="1"/>
  <c r="FV27" i="2"/>
  <c r="ET28" i="2"/>
  <c r="GD28" i="2"/>
  <c r="ES29" i="2"/>
  <c r="GA29" i="2"/>
  <c r="GM31" i="2"/>
  <c r="EC32" i="2"/>
  <c r="GO32" i="2"/>
  <c r="EB32" i="2"/>
  <c r="DR32" i="2"/>
  <c r="EK32" i="2" s="1"/>
  <c r="AL32" i="2"/>
  <c r="EA32" i="2"/>
  <c r="GF33" i="2"/>
  <c r="GM34" i="2"/>
  <c r="EQ35" i="2"/>
  <c r="GM35" i="2"/>
  <c r="FZ36" i="2"/>
  <c r="EQ37" i="2"/>
  <c r="EO39" i="2"/>
  <c r="GC40" i="2"/>
  <c r="EU41" i="2"/>
  <c r="EV44" i="2"/>
  <c r="FZ44" i="2"/>
  <c r="ER45" i="2"/>
  <c r="GE47" i="2"/>
  <c r="FW48" i="2"/>
  <c r="ET49" i="2"/>
  <c r="GQ50" i="2"/>
  <c r="FZ51" i="2"/>
  <c r="EO53" i="2"/>
  <c r="ER55" i="2"/>
  <c r="FV55" i="2"/>
  <c r="EN57" i="2"/>
  <c r="EI58" i="2"/>
  <c r="GC58" i="2"/>
  <c r="GD63" i="2"/>
  <c r="EV64" i="2"/>
  <c r="EI66" i="2"/>
  <c r="EI68" i="2"/>
  <c r="GM68" i="2"/>
  <c r="GM69" i="2"/>
  <c r="FZ72" i="2"/>
  <c r="FW74" i="2"/>
  <c r="GD80" i="2"/>
  <c r="EO84" i="2"/>
  <c r="EN90" i="2"/>
  <c r="GQ94" i="2"/>
  <c r="GP94" i="2"/>
  <c r="FV104" i="2"/>
  <c r="GE111" i="2"/>
  <c r="EO118" i="2"/>
  <c r="EU140" i="2"/>
  <c r="GD158" i="2"/>
  <c r="ES385" i="1"/>
  <c r="DR422" i="1"/>
  <c r="BL449" i="1"/>
  <c r="ER630" i="2"/>
  <c r="ER628" i="2"/>
  <c r="ER626" i="2"/>
  <c r="ER620" i="2"/>
  <c r="ER631" i="2"/>
  <c r="ER623" i="2"/>
  <c r="ER621" i="2"/>
  <c r="ER618" i="2"/>
  <c r="ER622" i="2"/>
  <c r="ER615" i="2"/>
  <c r="ER629" i="2"/>
  <c r="ER627" i="2"/>
  <c r="ER599" i="2"/>
  <c r="ER611" i="2"/>
  <c r="ER610" i="2"/>
  <c r="ER605" i="2"/>
  <c r="ER603" i="2"/>
  <c r="ER616" i="2"/>
  <c r="ER609" i="2"/>
  <c r="ER600" i="2"/>
  <c r="ER614" i="2"/>
  <c r="ER608" i="2"/>
  <c r="ER617" i="2"/>
  <c r="ER613" i="2"/>
  <c r="ER588" i="2"/>
  <c r="ER612" i="2"/>
  <c r="ER604" i="2"/>
  <c r="ER595" i="2"/>
  <c r="ER587" i="2"/>
  <c r="ER607" i="2"/>
  <c r="ER598" i="2"/>
  <c r="ER586" i="2"/>
  <c r="ER585" i="2"/>
  <c r="ER594" i="2"/>
  <c r="ER597" i="2"/>
  <c r="ER606" i="2"/>
  <c r="ER602" i="2"/>
  <c r="ER592" i="2"/>
  <c r="ER596" i="2"/>
  <c r="ER593" i="2"/>
  <c r="ER590" i="2"/>
  <c r="ER575" i="2"/>
  <c r="ER578" i="2"/>
  <c r="ER577" i="2"/>
  <c r="ER573" i="2"/>
  <c r="ER571" i="2"/>
  <c r="ER569" i="2"/>
  <c r="ER589" i="2"/>
  <c r="ER583" i="2"/>
  <c r="ER581" i="2"/>
  <c r="ER579" i="2"/>
  <c r="ER584" i="2"/>
  <c r="ER591" i="2"/>
  <c r="ER580" i="2"/>
  <c r="ER582" i="2"/>
  <c r="ER555" i="2"/>
  <c r="ER559" i="2"/>
  <c r="ER572" i="2"/>
  <c r="ER564" i="2"/>
  <c r="ER556" i="2"/>
  <c r="ER554" i="2"/>
  <c r="ER553" i="2"/>
  <c r="ER548" i="2"/>
  <c r="ER546" i="2"/>
  <c r="ER552" i="2"/>
  <c r="ER551" i="2"/>
  <c r="ER540" i="2"/>
  <c r="ER538" i="2"/>
  <c r="ER536" i="2"/>
  <c r="ER563" i="2"/>
  <c r="ER557" i="2"/>
  <c r="ER550" i="2"/>
  <c r="ER570" i="2"/>
  <c r="ER565" i="2"/>
  <c r="ER542" i="2"/>
  <c r="ER574" i="2"/>
  <c r="ER544" i="2"/>
  <c r="ER558" i="2"/>
  <c r="ER549" i="2"/>
  <c r="ER533" i="2"/>
  <c r="ER543" i="2"/>
  <c r="ER532" i="2"/>
  <c r="ER537" i="2"/>
  <c r="ER534" i="2"/>
  <c r="ER561" i="2"/>
  <c r="ER541" i="2"/>
  <c r="ER530" i="2"/>
  <c r="ER539" i="2"/>
  <c r="ER545" i="2"/>
  <c r="ER535" i="2"/>
  <c r="ER521" i="2"/>
  <c r="ER513" i="2"/>
  <c r="ER547" i="2"/>
  <c r="ER527" i="2"/>
  <c r="ER523" i="2"/>
  <c r="ER531" i="2"/>
  <c r="ER520" i="2"/>
  <c r="ER516" i="2"/>
  <c r="ER528" i="2"/>
  <c r="ER524" i="2"/>
  <c r="ER511" i="2"/>
  <c r="ER509" i="2"/>
  <c r="ER507" i="2"/>
  <c r="ER525" i="2"/>
  <c r="ER529" i="2"/>
  <c r="ER526" i="2"/>
  <c r="ER522" i="2"/>
  <c r="ER506" i="2"/>
  <c r="ER503" i="2"/>
  <c r="ER489" i="2"/>
  <c r="ER487" i="2"/>
  <c r="ER500" i="2"/>
  <c r="ER484" i="2"/>
  <c r="ER482" i="2"/>
  <c r="ER480" i="2"/>
  <c r="ER485" i="2"/>
  <c r="ER483" i="2"/>
  <c r="ER512" i="2"/>
  <c r="ER496" i="2"/>
  <c r="ER495" i="2"/>
  <c r="ER493" i="2"/>
  <c r="ER515" i="2"/>
  <c r="ER510" i="2"/>
  <c r="ER504" i="2"/>
  <c r="ER498" i="2"/>
  <c r="ER490" i="2"/>
  <c r="ER488" i="2"/>
  <c r="ER519" i="2"/>
  <c r="ER494" i="2"/>
  <c r="ER481" i="2"/>
  <c r="ER479" i="2"/>
  <c r="ER477" i="2"/>
  <c r="ER501" i="2"/>
  <c r="ER474" i="2"/>
  <c r="ER456" i="2"/>
  <c r="ER518" i="2"/>
  <c r="ER508" i="2"/>
  <c r="ER476" i="2"/>
  <c r="ER463" i="2"/>
  <c r="ER478" i="2"/>
  <c r="ER467" i="2"/>
  <c r="ER468" i="2"/>
  <c r="ER466" i="2"/>
  <c r="ER460" i="2"/>
  <c r="ER473" i="2"/>
  <c r="ER462" i="2"/>
  <c r="ER492" i="2"/>
  <c r="ER457" i="2"/>
  <c r="ER502" i="2"/>
  <c r="ER486" i="2"/>
  <c r="ER469" i="2"/>
  <c r="ER464" i="2"/>
  <c r="ER451" i="2"/>
  <c r="ER449" i="2"/>
  <c r="ER445" i="2"/>
  <c r="ER435" i="2"/>
  <c r="ER475" i="2"/>
  <c r="ER448" i="2"/>
  <c r="ER438" i="2"/>
  <c r="ER465" i="2"/>
  <c r="ER442" i="2"/>
  <c r="ER441" i="2"/>
  <c r="ER439" i="2"/>
  <c r="ER472" i="2"/>
  <c r="ER455" i="2"/>
  <c r="ER432" i="2"/>
  <c r="ER430" i="2"/>
  <c r="ER424" i="2"/>
  <c r="ER422" i="2"/>
  <c r="ER425" i="2"/>
  <c r="ER459" i="2"/>
  <c r="ER446" i="2"/>
  <c r="ER436" i="2"/>
  <c r="ER426" i="2"/>
  <c r="ER447" i="2"/>
  <c r="ER437" i="2"/>
  <c r="ER427" i="2"/>
  <c r="ER440" i="2"/>
  <c r="ER461" i="2"/>
  <c r="ER452" i="2"/>
  <c r="ER431" i="2"/>
  <c r="ER416" i="2"/>
  <c r="ER403" i="2"/>
  <c r="ER401" i="2"/>
  <c r="ER399" i="2"/>
  <c r="ER415" i="2"/>
  <c r="ER414" i="2"/>
  <c r="ER406" i="2"/>
  <c r="ER396" i="2"/>
  <c r="ER394" i="2"/>
  <c r="ER387" i="2"/>
  <c r="ER411" i="2"/>
  <c r="ER409" i="2"/>
  <c r="ER397" i="2"/>
  <c r="ER434" i="2"/>
  <c r="ER412" i="2"/>
  <c r="ER390" i="2"/>
  <c r="ER433" i="2"/>
  <c r="ER423" i="2"/>
  <c r="ER418" i="2"/>
  <c r="ER391" i="2"/>
  <c r="ER450" i="2"/>
  <c r="ER413" i="2"/>
  <c r="ER404" i="2"/>
  <c r="ER402" i="2"/>
  <c r="ER400" i="2"/>
  <c r="ER392" i="2"/>
  <c r="ER369" i="2"/>
  <c r="ER362" i="2"/>
  <c r="ER443" i="2"/>
  <c r="ER388" i="2"/>
  <c r="ER356" i="2"/>
  <c r="ER354" i="2"/>
  <c r="ER421" i="2"/>
  <c r="ER420" i="2"/>
  <c r="ER378" i="2"/>
  <c r="ER364" i="2"/>
  <c r="ER428" i="2"/>
  <c r="ER417" i="2"/>
  <c r="ER407" i="2"/>
  <c r="ER386" i="2"/>
  <c r="ER379" i="2"/>
  <c r="ER367" i="2"/>
  <c r="ER363" i="2"/>
  <c r="ER358" i="2"/>
  <c r="ER405" i="2"/>
  <c r="ER380" i="2"/>
  <c r="ER373" i="2"/>
  <c r="ER360" i="2"/>
  <c r="ER357" i="2"/>
  <c r="ER429" i="2"/>
  <c r="ER385" i="2"/>
  <c r="ER383" i="2"/>
  <c r="ER370" i="2"/>
  <c r="ER365" i="2"/>
  <c r="ER359" i="2"/>
  <c r="ER393" i="2"/>
  <c r="ER382" i="2"/>
  <c r="ER381" i="2"/>
  <c r="ER376" i="2"/>
  <c r="ER355" i="2"/>
  <c r="ER395" i="2"/>
  <c r="ER419" i="2"/>
  <c r="ER410" i="2"/>
  <c r="ER408" i="2"/>
  <c r="ER349" i="2"/>
  <c r="ER341" i="2"/>
  <c r="ER338" i="2"/>
  <c r="ER336" i="2"/>
  <c r="ER389" i="2"/>
  <c r="ER372" i="2"/>
  <c r="ER368" i="2"/>
  <c r="ER348" i="2"/>
  <c r="ER342" i="2"/>
  <c r="ER366" i="2"/>
  <c r="ER347" i="2"/>
  <c r="ER332" i="2"/>
  <c r="ER374" i="2"/>
  <c r="ER346" i="2"/>
  <c r="ER339" i="2"/>
  <c r="ER353" i="2"/>
  <c r="ER343" i="2"/>
  <c r="ER350" i="2"/>
  <c r="ER344" i="2"/>
  <c r="ER340" i="2"/>
  <c r="ER351" i="2"/>
  <c r="ER337" i="2"/>
  <c r="ER329" i="2"/>
  <c r="ER320" i="2"/>
  <c r="ER318" i="2"/>
  <c r="ER335" i="2"/>
  <c r="ER334" i="2"/>
  <c r="ER361" i="2"/>
  <c r="ER330" i="2"/>
  <c r="ER319" i="2"/>
  <c r="ER327" i="2"/>
  <c r="ER316" i="2"/>
  <c r="ER314" i="2"/>
  <c r="ER312" i="2"/>
  <c r="ER352" i="2"/>
  <c r="ER325" i="2"/>
  <c r="ER377" i="2"/>
  <c r="ER328" i="2"/>
  <c r="ER324" i="2"/>
  <c r="ER323" i="2"/>
  <c r="ER305" i="2"/>
  <c r="ER302" i="2"/>
  <c r="ER298" i="2"/>
  <c r="ER284" i="2"/>
  <c r="ER282" i="2"/>
  <c r="ER280" i="2"/>
  <c r="ER276" i="2"/>
  <c r="ER274" i="2"/>
  <c r="ER321" i="2"/>
  <c r="ER309" i="2"/>
  <c r="ER304" i="2"/>
  <c r="ER299" i="2"/>
  <c r="ER294" i="2"/>
  <c r="ER292" i="2"/>
  <c r="ER290" i="2"/>
  <c r="ER288" i="2"/>
  <c r="ER313" i="2"/>
  <c r="ER295" i="2"/>
  <c r="ER289" i="2"/>
  <c r="ER322" i="2"/>
  <c r="ER287" i="2"/>
  <c r="ER285" i="2"/>
  <c r="ER283" i="2"/>
  <c r="ER281" i="2"/>
  <c r="ER279" i="2"/>
  <c r="ER345" i="2"/>
  <c r="ER303" i="2"/>
  <c r="ER296" i="2"/>
  <c r="ER243" i="2"/>
  <c r="ER301" i="2"/>
  <c r="ER297" i="2"/>
  <c r="ER270" i="2"/>
  <c r="ER267" i="2"/>
  <c r="ER266" i="2"/>
  <c r="ER262" i="2"/>
  <c r="ER260" i="2"/>
  <c r="ER265" i="2"/>
  <c r="ER264" i="2"/>
  <c r="ER258" i="2"/>
  <c r="ER256" i="2"/>
  <c r="ER307" i="2"/>
  <c r="ER275" i="2"/>
  <c r="ER268" i="2"/>
  <c r="ER254" i="2"/>
  <c r="ER252" i="2"/>
  <c r="ER250" i="2"/>
  <c r="ER248" i="2"/>
  <c r="ER246" i="2"/>
  <c r="ER315" i="2"/>
  <c r="ER311" i="2"/>
  <c r="ER271" i="2"/>
  <c r="ER291" i="2"/>
  <c r="ER293" i="2"/>
  <c r="ER255" i="2"/>
  <c r="ER253" i="2"/>
  <c r="ER251" i="2"/>
  <c r="ER249" i="2"/>
  <c r="ER247" i="2"/>
  <c r="ER242" i="2"/>
  <c r="ER228" i="2"/>
  <c r="ER227" i="2"/>
  <c r="ER223" i="2"/>
  <c r="ER205" i="2"/>
  <c r="ER232" i="2"/>
  <c r="ER226" i="2"/>
  <c r="ER220" i="2"/>
  <c r="ER206" i="2"/>
  <c r="ER257" i="2"/>
  <c r="ER233" i="2"/>
  <c r="ER221" i="2"/>
  <c r="ER216" i="2"/>
  <c r="ER207" i="2"/>
  <c r="ER269" i="2"/>
  <c r="ER263" i="2"/>
  <c r="ER259" i="2"/>
  <c r="ER236" i="2"/>
  <c r="ER229" i="2"/>
  <c r="ER214" i="2"/>
  <c r="ER212" i="2"/>
  <c r="ER203" i="2"/>
  <c r="ER201" i="2"/>
  <c r="ER199" i="2"/>
  <c r="ER197" i="2"/>
  <c r="ER195" i="2"/>
  <c r="ER225" i="2"/>
  <c r="ER261" i="2"/>
  <c r="ER245" i="2"/>
  <c r="ER239" i="2"/>
  <c r="ER238" i="2"/>
  <c r="ER241" i="2"/>
  <c r="ER240" i="2"/>
  <c r="ER272" i="2"/>
  <c r="ER237" i="2"/>
  <c r="ER224" i="2"/>
  <c r="ER213" i="2"/>
  <c r="ER210" i="2"/>
  <c r="ER204" i="2"/>
  <c r="ER219" i="2"/>
  <c r="ER202" i="2"/>
  <c r="ER176" i="2"/>
  <c r="ER174" i="2"/>
  <c r="ER172" i="2"/>
  <c r="ER170" i="2"/>
  <c r="ER144" i="2"/>
  <c r="ER200" i="2"/>
  <c r="ER187" i="2"/>
  <c r="ER185" i="2"/>
  <c r="ER183" i="2"/>
  <c r="ER181" i="2"/>
  <c r="ER179" i="2"/>
  <c r="ER177" i="2"/>
  <c r="ER169" i="2"/>
  <c r="ER163" i="2"/>
  <c r="ER161" i="2"/>
  <c r="ER154" i="2"/>
  <c r="ER231" i="2"/>
  <c r="ER190" i="2"/>
  <c r="ER168" i="2"/>
  <c r="ER166" i="2"/>
  <c r="ER155" i="2"/>
  <c r="ER158" i="2"/>
  <c r="ER151" i="2"/>
  <c r="ER149" i="2"/>
  <c r="ER147" i="2"/>
  <c r="ER138" i="2"/>
  <c r="ER136" i="2"/>
  <c r="ER196" i="2"/>
  <c r="ER222" i="2"/>
  <c r="ER175" i="2"/>
  <c r="ER173" i="2"/>
  <c r="ER171" i="2"/>
  <c r="ER134" i="2"/>
  <c r="ER132" i="2"/>
  <c r="ER130" i="2"/>
  <c r="ER198" i="2"/>
  <c r="ER194" i="2"/>
  <c r="ER186" i="2"/>
  <c r="ER184" i="2"/>
  <c r="ER182" i="2"/>
  <c r="ER180" i="2"/>
  <c r="ER193" i="2"/>
  <c r="ER192" i="2"/>
  <c r="ER189" i="2"/>
  <c r="ER188" i="2"/>
  <c r="ER191" i="2"/>
  <c r="ER157" i="2"/>
  <c r="ER152" i="2"/>
  <c r="ER146" i="2"/>
  <c r="ER140" i="2"/>
  <c r="ER125" i="2"/>
  <c r="ER123" i="2"/>
  <c r="ER121" i="2"/>
  <c r="ER110" i="2"/>
  <c r="ER96" i="2"/>
  <c r="ER178" i="2"/>
  <c r="ER167" i="2"/>
  <c r="ER165" i="2"/>
  <c r="ER141" i="2"/>
  <c r="ER107" i="2"/>
  <c r="ER99" i="2"/>
  <c r="ER97" i="2"/>
  <c r="ER162" i="2"/>
  <c r="ER128" i="2"/>
  <c r="ER126" i="2"/>
  <c r="ER102" i="2"/>
  <c r="ER100" i="2"/>
  <c r="ER94" i="2"/>
  <c r="ER92" i="2"/>
  <c r="ER90" i="2"/>
  <c r="ER88" i="2"/>
  <c r="ER75" i="2"/>
  <c r="ER142" i="2"/>
  <c r="ER133" i="2"/>
  <c r="ER114" i="2"/>
  <c r="ER103" i="2"/>
  <c r="ER84" i="2"/>
  <c r="ER82" i="2"/>
  <c r="ER80" i="2"/>
  <c r="ER78" i="2"/>
  <c r="ER131" i="2"/>
  <c r="ER124" i="2"/>
  <c r="ER122" i="2"/>
  <c r="ER117" i="2"/>
  <c r="ER111" i="2"/>
  <c r="ER108" i="2"/>
  <c r="ER104" i="2"/>
  <c r="ER73" i="2"/>
  <c r="ER143" i="2"/>
  <c r="ER118" i="2"/>
  <c r="ER109" i="2"/>
  <c r="ER105" i="2"/>
  <c r="ER56" i="2"/>
  <c r="ER71" i="2"/>
  <c r="ER68" i="2"/>
  <c r="ER58" i="2"/>
  <c r="ER156" i="2"/>
  <c r="ER106" i="2"/>
  <c r="ER67" i="2"/>
  <c r="ER66" i="2"/>
  <c r="ER49" i="2"/>
  <c r="ER44" i="2"/>
  <c r="ER43" i="2"/>
  <c r="ER42" i="2"/>
  <c r="ER41" i="2"/>
  <c r="ER119" i="2"/>
  <c r="ER98" i="2"/>
  <c r="ER79" i="2"/>
  <c r="ER65" i="2"/>
  <c r="ER64" i="2"/>
  <c r="ER52" i="2"/>
  <c r="ER27" i="2"/>
  <c r="ER26" i="2"/>
  <c r="ER25" i="2"/>
  <c r="ER164" i="2"/>
  <c r="ER127" i="2"/>
  <c r="ER74" i="2"/>
  <c r="ER63" i="2"/>
  <c r="ER62" i="2"/>
  <c r="ER113" i="2"/>
  <c r="ER101" i="2"/>
  <c r="ER87" i="2"/>
  <c r="ER61" i="2"/>
  <c r="ER60" i="2"/>
  <c r="ER54" i="2"/>
  <c r="ER40" i="2"/>
  <c r="ER39" i="2"/>
  <c r="ER129" i="2"/>
  <c r="ER115" i="2"/>
  <c r="ER81" i="2"/>
  <c r="ER59" i="2"/>
  <c r="ER57" i="2"/>
  <c r="ER53" i="2"/>
  <c r="ER148" i="2"/>
  <c r="ER137" i="2"/>
  <c r="ER95" i="2"/>
  <c r="ER89" i="2"/>
  <c r="ER47" i="2"/>
  <c r="ER46" i="2"/>
  <c r="GA631" i="2"/>
  <c r="GA623" i="2"/>
  <c r="GA621" i="2"/>
  <c r="GA618" i="2"/>
  <c r="GA629" i="2"/>
  <c r="GA627" i="2"/>
  <c r="GA625" i="2"/>
  <c r="GA615" i="2"/>
  <c r="GA611" i="2"/>
  <c r="GA609" i="2"/>
  <c r="GA607" i="2"/>
  <c r="GA622" i="2"/>
  <c r="GA614" i="2"/>
  <c r="GA630" i="2"/>
  <c r="GA626" i="2"/>
  <c r="GA624" i="2"/>
  <c r="GA620" i="2"/>
  <c r="GA613" i="2"/>
  <c r="GA628" i="2"/>
  <c r="GA612" i="2"/>
  <c r="GA617" i="2"/>
  <c r="GA605" i="2"/>
  <c r="GA603" i="2"/>
  <c r="GA610" i="2"/>
  <c r="GA606" i="2"/>
  <c r="GA604" i="2"/>
  <c r="GA602" i="2"/>
  <c r="GA599" i="2"/>
  <c r="GA616" i="2"/>
  <c r="GA586" i="2"/>
  <c r="GA595" i="2"/>
  <c r="GA585" i="2"/>
  <c r="GA600" i="2"/>
  <c r="GA584" i="2"/>
  <c r="GA598" i="2"/>
  <c r="GA583" i="2"/>
  <c r="GA592" i="2"/>
  <c r="GA597" i="2"/>
  <c r="GA594" i="2"/>
  <c r="GA591" i="2"/>
  <c r="GA619" i="2"/>
  <c r="GA590" i="2"/>
  <c r="GA608" i="2"/>
  <c r="GA589" i="2"/>
  <c r="GA582" i="2"/>
  <c r="GA573" i="2"/>
  <c r="GA571" i="2"/>
  <c r="GA569" i="2"/>
  <c r="GA561" i="2"/>
  <c r="GA567" i="2"/>
  <c r="GA578" i="2"/>
  <c r="GA577" i="2"/>
  <c r="GA576" i="2"/>
  <c r="GA564" i="2"/>
  <c r="GA579" i="2"/>
  <c r="GA596" i="2"/>
  <c r="GA565" i="2"/>
  <c r="GA593" i="2"/>
  <c r="GA581" i="2"/>
  <c r="GA574" i="2"/>
  <c r="GA572" i="2"/>
  <c r="GA570" i="2"/>
  <c r="GA568" i="2"/>
  <c r="GA588" i="2"/>
  <c r="GA587" i="2"/>
  <c r="GA580" i="2"/>
  <c r="GA560" i="2"/>
  <c r="GA553" i="2"/>
  <c r="GA548" i="2"/>
  <c r="GA546" i="2"/>
  <c r="GA544" i="2"/>
  <c r="GA559" i="2"/>
  <c r="GA556" i="2"/>
  <c r="GA540" i="2"/>
  <c r="GA538" i="2"/>
  <c r="GA536" i="2"/>
  <c r="GA534" i="2"/>
  <c r="GA554" i="2"/>
  <c r="GA552" i="2"/>
  <c r="GA551" i="2"/>
  <c r="GA550" i="2"/>
  <c r="GA557" i="2"/>
  <c r="GA549" i="2"/>
  <c r="GA547" i="2"/>
  <c r="GA545" i="2"/>
  <c r="GA539" i="2"/>
  <c r="GA537" i="2"/>
  <c r="GA575" i="2"/>
  <c r="GA533" i="2"/>
  <c r="GA532" i="2"/>
  <c r="GA563" i="2"/>
  <c r="GA555" i="2"/>
  <c r="GA543" i="2"/>
  <c r="GA531" i="2"/>
  <c r="GA542" i="2"/>
  <c r="GA566" i="2"/>
  <c r="GA562" i="2"/>
  <c r="GA527" i="2"/>
  <c r="GA523" i="2"/>
  <c r="GA520" i="2"/>
  <c r="GA516" i="2"/>
  <c r="GA511" i="2"/>
  <c r="GA509" i="2"/>
  <c r="GA507" i="2"/>
  <c r="GA530" i="2"/>
  <c r="GA497" i="2"/>
  <c r="GA558" i="2"/>
  <c r="GA528" i="2"/>
  <c r="GA524" i="2"/>
  <c r="GA518" i="2"/>
  <c r="GA514" i="2"/>
  <c r="GA525" i="2"/>
  <c r="GA519" i="2"/>
  <c r="GA515" i="2"/>
  <c r="GA505" i="2"/>
  <c r="GA541" i="2"/>
  <c r="GA529" i="2"/>
  <c r="GA512" i="2"/>
  <c r="GA510" i="2"/>
  <c r="GA508" i="2"/>
  <c r="GA535" i="2"/>
  <c r="GA526" i="2"/>
  <c r="GA522" i="2"/>
  <c r="GA517" i="2"/>
  <c r="GA521" i="2"/>
  <c r="GA504" i="2"/>
  <c r="GA502" i="2"/>
  <c r="GA501" i="2"/>
  <c r="GA500" i="2"/>
  <c r="GA493" i="2"/>
  <c r="GA491" i="2"/>
  <c r="GA496" i="2"/>
  <c r="GA495" i="2"/>
  <c r="GA490" i="2"/>
  <c r="GA488" i="2"/>
  <c r="GA468" i="2"/>
  <c r="GA466" i="2"/>
  <c r="GA513" i="2"/>
  <c r="GA498" i="2"/>
  <c r="GA494" i="2"/>
  <c r="GA506" i="2"/>
  <c r="GA503" i="2"/>
  <c r="GA492" i="2"/>
  <c r="GA486" i="2"/>
  <c r="GA499" i="2"/>
  <c r="GA479" i="2"/>
  <c r="GA460" i="2"/>
  <c r="GA458" i="2"/>
  <c r="GA449" i="2"/>
  <c r="GA489" i="2"/>
  <c r="GA485" i="2"/>
  <c r="GA483" i="2"/>
  <c r="GA476" i="2"/>
  <c r="GA471" i="2"/>
  <c r="GA467" i="2"/>
  <c r="GA487" i="2"/>
  <c r="GA478" i="2"/>
  <c r="GA474" i="2"/>
  <c r="GA457" i="2"/>
  <c r="GA455" i="2"/>
  <c r="GA445" i="2"/>
  <c r="GA482" i="2"/>
  <c r="GA481" i="2"/>
  <c r="GA462" i="2"/>
  <c r="GA464" i="2"/>
  <c r="GA473" i="2"/>
  <c r="GA461" i="2"/>
  <c r="GA459" i="2"/>
  <c r="GA469" i="2"/>
  <c r="GA484" i="2"/>
  <c r="GA480" i="2"/>
  <c r="GA472" i="2"/>
  <c r="GA470" i="2"/>
  <c r="GA463" i="2"/>
  <c r="GA432" i="2"/>
  <c r="GA430" i="2"/>
  <c r="GA424" i="2"/>
  <c r="GA422" i="2"/>
  <c r="GA475" i="2"/>
  <c r="GA465" i="2"/>
  <c r="GA456" i="2"/>
  <c r="GA425" i="2"/>
  <c r="GA415" i="2"/>
  <c r="GA477" i="2"/>
  <c r="GA436" i="2"/>
  <c r="GA426" i="2"/>
  <c r="GA418" i="2"/>
  <c r="GA416" i="2"/>
  <c r="GA450" i="2"/>
  <c r="GA448" i="2"/>
  <c r="GA444" i="2"/>
  <c r="GA437" i="2"/>
  <c r="GA427" i="2"/>
  <c r="GA419" i="2"/>
  <c r="GA452" i="2"/>
  <c r="GA451" i="2"/>
  <c r="GA446" i="2"/>
  <c r="GA440" i="2"/>
  <c r="GA428" i="2"/>
  <c r="GA433" i="2"/>
  <c r="GA431" i="2"/>
  <c r="GA429" i="2"/>
  <c r="GA423" i="2"/>
  <c r="GA434" i="2"/>
  <c r="GA454" i="2"/>
  <c r="GA447" i="2"/>
  <c r="GA443" i="2"/>
  <c r="GA442" i="2"/>
  <c r="GA411" i="2"/>
  <c r="GA409" i="2"/>
  <c r="GA397" i="2"/>
  <c r="GA385" i="2"/>
  <c r="GA420" i="2"/>
  <c r="GA414" i="2"/>
  <c r="GA412" i="2"/>
  <c r="GA390" i="2"/>
  <c r="GA421" i="2"/>
  <c r="GA391" i="2"/>
  <c r="GA404" i="2"/>
  <c r="GA402" i="2"/>
  <c r="GA400" i="2"/>
  <c r="GA392" i="2"/>
  <c r="GA413" i="2"/>
  <c r="GA407" i="2"/>
  <c r="GA405" i="2"/>
  <c r="GA395" i="2"/>
  <c r="GA393" i="2"/>
  <c r="GA388" i="2"/>
  <c r="GA386" i="2"/>
  <c r="GA438" i="2"/>
  <c r="GA410" i="2"/>
  <c r="GA408" i="2"/>
  <c r="GA439" i="2"/>
  <c r="GA389" i="2"/>
  <c r="GA383" i="2"/>
  <c r="GA417" i="2"/>
  <c r="GA379" i="2"/>
  <c r="GA367" i="2"/>
  <c r="GA363" i="2"/>
  <c r="GA399" i="2"/>
  <c r="GA380" i="2"/>
  <c r="GA373" i="2"/>
  <c r="GA360" i="2"/>
  <c r="GA357" i="2"/>
  <c r="GA435" i="2"/>
  <c r="GA375" i="2"/>
  <c r="GA370" i="2"/>
  <c r="GA365" i="2"/>
  <c r="GA344" i="2"/>
  <c r="GA394" i="2"/>
  <c r="GA376" i="2"/>
  <c r="GA355" i="2"/>
  <c r="GA353" i="2"/>
  <c r="GA441" i="2"/>
  <c r="GA396" i="2"/>
  <c r="GA377" i="2"/>
  <c r="GA361" i="2"/>
  <c r="GA403" i="2"/>
  <c r="GA387" i="2"/>
  <c r="GA382" i="2"/>
  <c r="GA381" i="2"/>
  <c r="GA371" i="2"/>
  <c r="GA368" i="2"/>
  <c r="GA366" i="2"/>
  <c r="GA384" i="2"/>
  <c r="GA374" i="2"/>
  <c r="GA372" i="2"/>
  <c r="GA401" i="2"/>
  <c r="GA406" i="2"/>
  <c r="GA358" i="2"/>
  <c r="GA347" i="2"/>
  <c r="GA354" i="2"/>
  <c r="GA346" i="2"/>
  <c r="GA339" i="2"/>
  <c r="GA334" i="2"/>
  <c r="GA337" i="2"/>
  <c r="GA335" i="2"/>
  <c r="GA343" i="2"/>
  <c r="GA356" i="2"/>
  <c r="GA378" i="2"/>
  <c r="GA364" i="2"/>
  <c r="GA352" i="2"/>
  <c r="GA351" i="2"/>
  <c r="GA345" i="2"/>
  <c r="GA340" i="2"/>
  <c r="GA369" i="2"/>
  <c r="GA362" i="2"/>
  <c r="GA348" i="2"/>
  <c r="GA319" i="2"/>
  <c r="GA309" i="2"/>
  <c r="GA333" i="2"/>
  <c r="GA329" i="2"/>
  <c r="GA342" i="2"/>
  <c r="GA331" i="2"/>
  <c r="GA317" i="2"/>
  <c r="GA350" i="2"/>
  <c r="GA349" i="2"/>
  <c r="GA338" i="2"/>
  <c r="GA336" i="2"/>
  <c r="GA330" i="2"/>
  <c r="GA326" i="2"/>
  <c r="GA325" i="2"/>
  <c r="GA332" i="2"/>
  <c r="GA327" i="2"/>
  <c r="GA324" i="2"/>
  <c r="GA307" i="2"/>
  <c r="GA323" i="2"/>
  <c r="GA328" i="2"/>
  <c r="GA322" i="2"/>
  <c r="GA315" i="2"/>
  <c r="GA313" i="2"/>
  <c r="GA341" i="2"/>
  <c r="GA321" i="2"/>
  <c r="GA318" i="2"/>
  <c r="GA311" i="2"/>
  <c r="GA310" i="2"/>
  <c r="GA305" i="2"/>
  <c r="GA295" i="2"/>
  <c r="GA289" i="2"/>
  <c r="GA316" i="2"/>
  <c r="GA306" i="2"/>
  <c r="GA300" i="2"/>
  <c r="GA285" i="2"/>
  <c r="GA283" i="2"/>
  <c r="GA281" i="2"/>
  <c r="GA279" i="2"/>
  <c r="GA275" i="2"/>
  <c r="GA308" i="2"/>
  <c r="GA312" i="2"/>
  <c r="GA297" i="2"/>
  <c r="GA293" i="2"/>
  <c r="GA291" i="2"/>
  <c r="GA303" i="2"/>
  <c r="GA296" i="2"/>
  <c r="GA301" i="2"/>
  <c r="GA304" i="2"/>
  <c r="GA299" i="2"/>
  <c r="GA258" i="2"/>
  <c r="GA256" i="2"/>
  <c r="GA298" i="2"/>
  <c r="GA270" i="2"/>
  <c r="GA267" i="2"/>
  <c r="GA266" i="2"/>
  <c r="GA254" i="2"/>
  <c r="GA252" i="2"/>
  <c r="GA250" i="2"/>
  <c r="GA248" i="2"/>
  <c r="GA246" i="2"/>
  <c r="GA294" i="2"/>
  <c r="GA292" i="2"/>
  <c r="GA282" i="2"/>
  <c r="GA265" i="2"/>
  <c r="GA264" i="2"/>
  <c r="GA235" i="2"/>
  <c r="GA302" i="2"/>
  <c r="GA276" i="2"/>
  <c r="GA242" i="2"/>
  <c r="GA240" i="2"/>
  <c r="GA238" i="2"/>
  <c r="GA320" i="2"/>
  <c r="GA288" i="2"/>
  <c r="GA278" i="2"/>
  <c r="GA268" i="2"/>
  <c r="GA263" i="2"/>
  <c r="GA261" i="2"/>
  <c r="GA284" i="2"/>
  <c r="GA271" i="2"/>
  <c r="GA259" i="2"/>
  <c r="GA257" i="2"/>
  <c r="GA286" i="2"/>
  <c r="GA255" i="2"/>
  <c r="GA253" i="2"/>
  <c r="GA251" i="2"/>
  <c r="GA249" i="2"/>
  <c r="GA247" i="2"/>
  <c r="GA245" i="2"/>
  <c r="GA277" i="2"/>
  <c r="GA290" i="2"/>
  <c r="GA314" i="2"/>
  <c r="GA280" i="2"/>
  <c r="GA262" i="2"/>
  <c r="GA260" i="2"/>
  <c r="GA272" i="2"/>
  <c r="GA237" i="2"/>
  <c r="GA232" i="2"/>
  <c r="GA215" i="2"/>
  <c r="GA241" i="2"/>
  <c r="GA214" i="2"/>
  <c r="GA212" i="2"/>
  <c r="GA203" i="2"/>
  <c r="GA201" i="2"/>
  <c r="GA199" i="2"/>
  <c r="GA197" i="2"/>
  <c r="GA195" i="2"/>
  <c r="GA269" i="2"/>
  <c r="GA234" i="2"/>
  <c r="GA233" i="2"/>
  <c r="GA273" i="2"/>
  <c r="GA225" i="2"/>
  <c r="GA222" i="2"/>
  <c r="GA219" i="2"/>
  <c r="GA208" i="2"/>
  <c r="GA236" i="2"/>
  <c r="GA217" i="2"/>
  <c r="GA274" i="2"/>
  <c r="GA244" i="2"/>
  <c r="GA243" i="2"/>
  <c r="GA224" i="2"/>
  <c r="GA213" i="2"/>
  <c r="GA204" i="2"/>
  <c r="GA202" i="2"/>
  <c r="GA200" i="2"/>
  <c r="GA198" i="2"/>
  <c r="GA239" i="2"/>
  <c r="GA228" i="2"/>
  <c r="GA226" i="2"/>
  <c r="GA221" i="2"/>
  <c r="GA216" i="2"/>
  <c r="GA207" i="2"/>
  <c r="GA168" i="2"/>
  <c r="GA166" i="2"/>
  <c r="GA155" i="2"/>
  <c r="GA227" i="2"/>
  <c r="GA158" i="2"/>
  <c r="GA151" i="2"/>
  <c r="GA149" i="2"/>
  <c r="GA147" i="2"/>
  <c r="GA145" i="2"/>
  <c r="GA138" i="2"/>
  <c r="GA190" i="2"/>
  <c r="GA159" i="2"/>
  <c r="GA231" i="2"/>
  <c r="GA175" i="2"/>
  <c r="GA173" i="2"/>
  <c r="GA171" i="2"/>
  <c r="GA186" i="2"/>
  <c r="GA184" i="2"/>
  <c r="GA182" i="2"/>
  <c r="GA180" i="2"/>
  <c r="GA178" i="2"/>
  <c r="GA164" i="2"/>
  <c r="GA162" i="2"/>
  <c r="GA160" i="2"/>
  <c r="GA229" i="2"/>
  <c r="GA220" i="2"/>
  <c r="GA205" i="2"/>
  <c r="GA167" i="2"/>
  <c r="GA165" i="2"/>
  <c r="GA156" i="2"/>
  <c r="GA211" i="2"/>
  <c r="GA196" i="2"/>
  <c r="GA194" i="2"/>
  <c r="GA157" i="2"/>
  <c r="GA152" i="2"/>
  <c r="GA150" i="2"/>
  <c r="GA148" i="2"/>
  <c r="GA146" i="2"/>
  <c r="GA137" i="2"/>
  <c r="GA193" i="2"/>
  <c r="GA192" i="2"/>
  <c r="GA189" i="2"/>
  <c r="GA188" i="2"/>
  <c r="GA206" i="2"/>
  <c r="GA191" i="2"/>
  <c r="GA223" i="2"/>
  <c r="GA187" i="2"/>
  <c r="GA185" i="2"/>
  <c r="GA183" i="2"/>
  <c r="GA181" i="2"/>
  <c r="GA179" i="2"/>
  <c r="GA177" i="2"/>
  <c r="GA169" i="2"/>
  <c r="GA163" i="2"/>
  <c r="GA161" i="2"/>
  <c r="GA154" i="2"/>
  <c r="GA139" i="2"/>
  <c r="GA128" i="2"/>
  <c r="GA126" i="2"/>
  <c r="GA102" i="2"/>
  <c r="GA100" i="2"/>
  <c r="GA94" i="2"/>
  <c r="GA92" i="2"/>
  <c r="GA90" i="2"/>
  <c r="GA88" i="2"/>
  <c r="GA86" i="2"/>
  <c r="GA75" i="2"/>
  <c r="GA136" i="2"/>
  <c r="GA135" i="2"/>
  <c r="GA114" i="2"/>
  <c r="GA103" i="2"/>
  <c r="GA84" i="2"/>
  <c r="GA82" i="2"/>
  <c r="GA80" i="2"/>
  <c r="GA78" i="2"/>
  <c r="GA76" i="2"/>
  <c r="GA172" i="2"/>
  <c r="GA132" i="2"/>
  <c r="GA124" i="2"/>
  <c r="GA122" i="2"/>
  <c r="GA120" i="2"/>
  <c r="GA111" i="2"/>
  <c r="GA108" i="2"/>
  <c r="GA104" i="2"/>
  <c r="GA131" i="2"/>
  <c r="GA118" i="2"/>
  <c r="GA109" i="2"/>
  <c r="GA105" i="2"/>
  <c r="GA176" i="2"/>
  <c r="GA140" i="2"/>
  <c r="GA133" i="2"/>
  <c r="GA119" i="2"/>
  <c r="GA106" i="2"/>
  <c r="GA98" i="2"/>
  <c r="GA141" i="2"/>
  <c r="GA130" i="2"/>
  <c r="GA127" i="2"/>
  <c r="GA112" i="2"/>
  <c r="GA101" i="2"/>
  <c r="GA95" i="2"/>
  <c r="GA91" i="2"/>
  <c r="GA89" i="2"/>
  <c r="GA87" i="2"/>
  <c r="GA74" i="2"/>
  <c r="GA144" i="2"/>
  <c r="GA115" i="2"/>
  <c r="GA113" i="2"/>
  <c r="GA85" i="2"/>
  <c r="GA83" i="2"/>
  <c r="GA81" i="2"/>
  <c r="GA79" i="2"/>
  <c r="GA77" i="2"/>
  <c r="GA71" i="2"/>
  <c r="GA67" i="2"/>
  <c r="GA65" i="2"/>
  <c r="GA63" i="2"/>
  <c r="GA61" i="2"/>
  <c r="GA59" i="2"/>
  <c r="GA123" i="2"/>
  <c r="GA121" i="2"/>
  <c r="GA99" i="2"/>
  <c r="GA66" i="2"/>
  <c r="GA34" i="2"/>
  <c r="GA153" i="2"/>
  <c r="GA129" i="2"/>
  <c r="GA64" i="2"/>
  <c r="GA54" i="2"/>
  <c r="GA40" i="2"/>
  <c r="GA39" i="2"/>
  <c r="GA62" i="2"/>
  <c r="GA53" i="2"/>
  <c r="GA33" i="2"/>
  <c r="GA30" i="2"/>
  <c r="GA174" i="2"/>
  <c r="GA143" i="2"/>
  <c r="GA60" i="2"/>
  <c r="GA47" i="2"/>
  <c r="GA46" i="2"/>
  <c r="GA96" i="2"/>
  <c r="GA57" i="2"/>
  <c r="GA55" i="2"/>
  <c r="GA37" i="2"/>
  <c r="GA35" i="2"/>
  <c r="GA70" i="2"/>
  <c r="GA50" i="2"/>
  <c r="GA48" i="2"/>
  <c r="GA45" i="2"/>
  <c r="GA72" i="2"/>
  <c r="GA51" i="2"/>
  <c r="GA38" i="2"/>
  <c r="GA36" i="2"/>
  <c r="EU5" i="2"/>
  <c r="GA5" i="2"/>
  <c r="EI6" i="2"/>
  <c r="EQ7" i="2"/>
  <c r="EO8" i="2"/>
  <c r="GE8" i="2"/>
  <c r="EU10" i="2"/>
  <c r="GA10" i="2"/>
  <c r="EU11" i="2"/>
  <c r="GA11" i="2"/>
  <c r="EI12" i="2"/>
  <c r="GR12" i="2" s="1"/>
  <c r="GS12" i="2" s="1"/>
  <c r="EQ13" i="2"/>
  <c r="FW13" i="2"/>
  <c r="EO14" i="2"/>
  <c r="GE14" i="2"/>
  <c r="DQ15" i="2"/>
  <c r="EJ15" i="2" s="1"/>
  <c r="EA15" i="2"/>
  <c r="ET15" i="2" s="1"/>
  <c r="GM15" i="2"/>
  <c r="EU16" i="2"/>
  <c r="GA16" i="2"/>
  <c r="EU17" i="2"/>
  <c r="GA17" i="2"/>
  <c r="HU17" i="2"/>
  <c r="HR17" i="2" s="1"/>
  <c r="EO18" i="2"/>
  <c r="GE18" i="2"/>
  <c r="EO19" i="2"/>
  <c r="GE19" i="2"/>
  <c r="FV20" i="2"/>
  <c r="GF20" i="2"/>
  <c r="EO21" i="2"/>
  <c r="GE21" i="2"/>
  <c r="EO22" i="2"/>
  <c r="GE22" i="2"/>
  <c r="EO23" i="2"/>
  <c r="GE23" i="2"/>
  <c r="ES25" i="2"/>
  <c r="FZ25" i="2"/>
  <c r="EO26" i="2"/>
  <c r="FV26" i="2"/>
  <c r="DS27" i="2"/>
  <c r="EL27" i="2" s="1"/>
  <c r="ED27" i="2"/>
  <c r="EW27" i="2" s="1"/>
  <c r="FW27" i="2"/>
  <c r="GU27" i="2"/>
  <c r="HO12" i="2" s="1"/>
  <c r="EI28" i="2"/>
  <c r="EU28" i="2"/>
  <c r="ET29" i="2"/>
  <c r="EQ30" i="2"/>
  <c r="GU31" i="2"/>
  <c r="DL31" i="2"/>
  <c r="GA31" i="2"/>
  <c r="ED32" i="2"/>
  <c r="EW32" i="2" s="1"/>
  <c r="EI33" i="2"/>
  <c r="ER35" i="2"/>
  <c r="EI36" i="2"/>
  <c r="ER37" i="2"/>
  <c r="FV37" i="2"/>
  <c r="ER38" i="2"/>
  <c r="GD40" i="2"/>
  <c r="EV41" i="2"/>
  <c r="FZ41" i="2"/>
  <c r="GA44" i="2"/>
  <c r="ES45" i="2"/>
  <c r="FW45" i="2"/>
  <c r="EQ46" i="2"/>
  <c r="GF47" i="2"/>
  <c r="EU49" i="2"/>
  <c r="EQ50" i="2"/>
  <c r="GM52" i="2"/>
  <c r="FW55" i="2"/>
  <c r="EO57" i="2"/>
  <c r="GM58" i="2"/>
  <c r="GF59" i="2"/>
  <c r="GE60" i="2"/>
  <c r="GE63" i="2"/>
  <c r="EQ70" i="2"/>
  <c r="FW70" i="2"/>
  <c r="GE80" i="2"/>
  <c r="EI81" i="2"/>
  <c r="EV90" i="2"/>
  <c r="GM102" i="2"/>
  <c r="FW106" i="2"/>
  <c r="EO109" i="2"/>
  <c r="GF111" i="2"/>
  <c r="EI123" i="2"/>
  <c r="EN133" i="2"/>
  <c r="FV133" i="2"/>
  <c r="EV140" i="2"/>
  <c r="EI144" i="2"/>
  <c r="EO159" i="2"/>
  <c r="GA170" i="2"/>
  <c r="DW355" i="1"/>
  <c r="DX355" i="1" s="1"/>
  <c r="BI363" i="1"/>
  <c r="DW384" i="1"/>
  <c r="DX384" i="1" s="1"/>
  <c r="AN391" i="1"/>
  <c r="DN391" i="1" s="1"/>
  <c r="DS394" i="1"/>
  <c r="DT394" i="1" s="1"/>
  <c r="CM396" i="1"/>
  <c r="AN397" i="1"/>
  <c r="CD397" i="1"/>
  <c r="DS398" i="1"/>
  <c r="DT398" i="1" s="1"/>
  <c r="DN402" i="1"/>
  <c r="L422" i="1"/>
  <c r="DW436" i="1"/>
  <c r="DX436" i="1" s="1"/>
  <c r="DS439" i="1"/>
  <c r="DT439" i="1" s="1"/>
  <c r="DS445" i="1"/>
  <c r="DT445" i="1" s="1"/>
  <c r="AO449" i="1"/>
  <c r="DW451" i="1"/>
  <c r="DX451" i="1" s="1"/>
  <c r="DS458" i="1"/>
  <c r="DT458" i="1" s="1"/>
  <c r="DS464" i="1"/>
  <c r="DT464" i="1" s="1"/>
  <c r="DS469" i="1"/>
  <c r="DT469" i="1" s="1"/>
  <c r="DR470" i="1"/>
  <c r="L487" i="1"/>
  <c r="AN490" i="1"/>
  <c r="DO493" i="1"/>
  <c r="DS499" i="1"/>
  <c r="DT499" i="1" s="1"/>
  <c r="BI504" i="1"/>
  <c r="DN504" i="1" s="1"/>
  <c r="DW504" i="1"/>
  <c r="DX504" i="1" s="1"/>
  <c r="DS507" i="1"/>
  <c r="DT507" i="1" s="1"/>
  <c r="DR529" i="1"/>
  <c r="DS530" i="1"/>
  <c r="DT530" i="1" s="1"/>
  <c r="DR531" i="1"/>
  <c r="DW533" i="1"/>
  <c r="DX533" i="1" s="1"/>
  <c r="DW534" i="1"/>
  <c r="DX534" i="1" s="1"/>
  <c r="DS557" i="1"/>
  <c r="DT557" i="1" s="1"/>
  <c r="DV561" i="1"/>
  <c r="AQ562" i="1"/>
  <c r="DS565" i="1"/>
  <c r="DT565" i="1" s="1"/>
  <c r="DR570" i="1"/>
  <c r="DS594" i="1"/>
  <c r="DT594" i="1" s="1"/>
  <c r="DS601" i="1"/>
  <c r="DT601" i="1" s="1"/>
  <c r="DO602" i="1"/>
  <c r="DR608" i="1"/>
  <c r="DS618" i="1"/>
  <c r="DT618" i="1" s="1"/>
  <c r="DW627" i="1"/>
  <c r="DX627" i="1" s="1"/>
  <c r="ES631" i="2"/>
  <c r="ES623" i="2"/>
  <c r="ES621" i="2"/>
  <c r="ES616" i="2"/>
  <c r="ES629" i="2"/>
  <c r="ES622" i="2"/>
  <c r="ES615" i="2"/>
  <c r="ES628" i="2"/>
  <c r="ES618" i="2"/>
  <c r="ES614" i="2"/>
  <c r="ES611" i="2"/>
  <c r="ES609" i="2"/>
  <c r="ES607" i="2"/>
  <c r="ES627" i="2"/>
  <c r="ES630" i="2"/>
  <c r="ES626" i="2"/>
  <c r="ES610" i="2"/>
  <c r="ES620" i="2"/>
  <c r="ES605" i="2"/>
  <c r="ES603" i="2"/>
  <c r="ES600" i="2"/>
  <c r="ES598" i="2"/>
  <c r="ES596" i="2"/>
  <c r="ES594" i="2"/>
  <c r="ES608" i="2"/>
  <c r="ES617" i="2"/>
  <c r="ES613" i="2"/>
  <c r="ES612" i="2"/>
  <c r="ES604" i="2"/>
  <c r="ES595" i="2"/>
  <c r="ES587" i="2"/>
  <c r="ES586" i="2"/>
  <c r="ES585" i="2"/>
  <c r="ES599" i="2"/>
  <c r="ES584" i="2"/>
  <c r="ES597" i="2"/>
  <c r="ES606" i="2"/>
  <c r="ES602" i="2"/>
  <c r="ES592" i="2"/>
  <c r="ES591" i="2"/>
  <c r="ES589" i="2"/>
  <c r="ES563" i="2"/>
  <c r="ES559" i="2"/>
  <c r="ES557" i="2"/>
  <c r="ES575" i="2"/>
  <c r="ES578" i="2"/>
  <c r="ES577" i="2"/>
  <c r="ES573" i="2"/>
  <c r="ES571" i="2"/>
  <c r="ES569" i="2"/>
  <c r="ES561" i="2"/>
  <c r="ES588" i="2"/>
  <c r="ES583" i="2"/>
  <c r="ES581" i="2"/>
  <c r="ES579" i="2"/>
  <c r="ES567" i="2"/>
  <c r="ES590" i="2"/>
  <c r="ES593" i="2"/>
  <c r="ES582" i="2"/>
  <c r="ES566" i="2"/>
  <c r="ES572" i="2"/>
  <c r="ES556" i="2"/>
  <c r="ES554" i="2"/>
  <c r="ES553" i="2"/>
  <c r="ES548" i="2"/>
  <c r="ES546" i="2"/>
  <c r="ES552" i="2"/>
  <c r="ES551" i="2"/>
  <c r="ES580" i="2"/>
  <c r="ES562" i="2"/>
  <c r="ES550" i="2"/>
  <c r="ES541" i="2"/>
  <c r="ES570" i="2"/>
  <c r="ES574" i="2"/>
  <c r="ES558" i="2"/>
  <c r="ES549" i="2"/>
  <c r="ES533" i="2"/>
  <c r="ES532" i="2"/>
  <c r="ES542" i="2"/>
  <c r="ES536" i="2"/>
  <c r="ES537" i="2"/>
  <c r="ES534" i="2"/>
  <c r="ES538" i="2"/>
  <c r="ES555" i="2"/>
  <c r="ES539" i="2"/>
  <c r="ES531" i="2"/>
  <c r="ES545" i="2"/>
  <c r="ES540" i="2"/>
  <c r="ES535" i="2"/>
  <c r="ES547" i="2"/>
  <c r="ES527" i="2"/>
  <c r="ES523" i="2"/>
  <c r="ES530" i="2"/>
  <c r="ES544" i="2"/>
  <c r="ES520" i="2"/>
  <c r="ES516" i="2"/>
  <c r="ES506" i="2"/>
  <c r="ES504" i="2"/>
  <c r="ES503" i="2"/>
  <c r="ES501" i="2"/>
  <c r="ES499" i="2"/>
  <c r="ES528" i="2"/>
  <c r="ES524" i="2"/>
  <c r="ES525" i="2"/>
  <c r="ES529" i="2"/>
  <c r="ES518" i="2"/>
  <c r="ES521" i="2"/>
  <c r="ES513" i="2"/>
  <c r="ES500" i="2"/>
  <c r="ES484" i="2"/>
  <c r="ES509" i="2"/>
  <c r="ES485" i="2"/>
  <c r="ES483" i="2"/>
  <c r="ES512" i="2"/>
  <c r="ES496" i="2"/>
  <c r="ES495" i="2"/>
  <c r="ES474" i="2"/>
  <c r="ES472" i="2"/>
  <c r="ES462" i="2"/>
  <c r="ES507" i="2"/>
  <c r="ES493" i="2"/>
  <c r="ES515" i="2"/>
  <c r="ES510" i="2"/>
  <c r="ES498" i="2"/>
  <c r="ES490" i="2"/>
  <c r="ES488" i="2"/>
  <c r="ES519" i="2"/>
  <c r="ES494" i="2"/>
  <c r="ES481" i="2"/>
  <c r="ES508" i="2"/>
  <c r="ES482" i="2"/>
  <c r="ES476" i="2"/>
  <c r="ES463" i="2"/>
  <c r="ES478" i="2"/>
  <c r="ES467" i="2"/>
  <c r="ES522" i="2"/>
  <c r="ES468" i="2"/>
  <c r="ES466" i="2"/>
  <c r="ES460" i="2"/>
  <c r="ES449" i="2"/>
  <c r="ES473" i="2"/>
  <c r="ES526" i="2"/>
  <c r="ES511" i="2"/>
  <c r="ES492" i="2"/>
  <c r="ES457" i="2"/>
  <c r="ES455" i="2"/>
  <c r="ES502" i="2"/>
  <c r="ES486" i="2"/>
  <c r="ES469" i="2"/>
  <c r="ES464" i="2"/>
  <c r="ES489" i="2"/>
  <c r="ES480" i="2"/>
  <c r="ES477" i="2"/>
  <c r="ES475" i="2"/>
  <c r="ES451" i="2"/>
  <c r="ES487" i="2"/>
  <c r="ES479" i="2"/>
  <c r="ES448" i="2"/>
  <c r="ES438" i="2"/>
  <c r="ES465" i="2"/>
  <c r="ES444" i="2"/>
  <c r="ES442" i="2"/>
  <c r="ES441" i="2"/>
  <c r="ES439" i="2"/>
  <c r="ES432" i="2"/>
  <c r="ES430" i="2"/>
  <c r="ES424" i="2"/>
  <c r="ES422" i="2"/>
  <c r="ES425" i="2"/>
  <c r="ES459" i="2"/>
  <c r="ES446" i="2"/>
  <c r="ES436" i="2"/>
  <c r="ES426" i="2"/>
  <c r="ES447" i="2"/>
  <c r="ES437" i="2"/>
  <c r="ES427" i="2"/>
  <c r="ES440" i="2"/>
  <c r="ES428" i="2"/>
  <c r="ES456" i="2"/>
  <c r="ES470" i="2"/>
  <c r="ES431" i="2"/>
  <c r="ES416" i="2"/>
  <c r="ES403" i="2"/>
  <c r="ES401" i="2"/>
  <c r="ES399" i="2"/>
  <c r="ES415" i="2"/>
  <c r="ES414" i="2"/>
  <c r="ES406" i="2"/>
  <c r="ES396" i="2"/>
  <c r="ES394" i="2"/>
  <c r="ES435" i="2"/>
  <c r="ES411" i="2"/>
  <c r="ES409" i="2"/>
  <c r="ES397" i="2"/>
  <c r="ES385" i="2"/>
  <c r="ES434" i="2"/>
  <c r="ES412" i="2"/>
  <c r="ES390" i="2"/>
  <c r="ES445" i="2"/>
  <c r="ES433" i="2"/>
  <c r="ES423" i="2"/>
  <c r="ES418" i="2"/>
  <c r="ES391" i="2"/>
  <c r="ES450" i="2"/>
  <c r="ES413" i="2"/>
  <c r="ES404" i="2"/>
  <c r="ES402" i="2"/>
  <c r="ES400" i="2"/>
  <c r="ES392" i="2"/>
  <c r="ES429" i="2"/>
  <c r="ES419" i="2"/>
  <c r="ES417" i="2"/>
  <c r="ES407" i="2"/>
  <c r="ES405" i="2"/>
  <c r="ES395" i="2"/>
  <c r="ES393" i="2"/>
  <c r="ES388" i="2"/>
  <c r="ES386" i="2"/>
  <c r="ES443" i="2"/>
  <c r="ES398" i="2"/>
  <c r="ES452" i="2"/>
  <c r="ES421" i="2"/>
  <c r="ES420" i="2"/>
  <c r="ES378" i="2"/>
  <c r="ES364" i="2"/>
  <c r="ES379" i="2"/>
  <c r="ES367" i="2"/>
  <c r="ES363" i="2"/>
  <c r="ES358" i="2"/>
  <c r="ES380" i="2"/>
  <c r="ES373" i="2"/>
  <c r="ES360" i="2"/>
  <c r="ES357" i="2"/>
  <c r="ES383" i="2"/>
  <c r="ES375" i="2"/>
  <c r="ES370" i="2"/>
  <c r="ES365" i="2"/>
  <c r="ES382" i="2"/>
  <c r="ES381" i="2"/>
  <c r="ES376" i="2"/>
  <c r="ES377" i="2"/>
  <c r="ES361" i="2"/>
  <c r="ES410" i="2"/>
  <c r="ES408" i="2"/>
  <c r="ES389" i="2"/>
  <c r="ES374" i="2"/>
  <c r="ES372" i="2"/>
  <c r="ES461" i="2"/>
  <c r="ES368" i="2"/>
  <c r="ES356" i="2"/>
  <c r="ES355" i="2"/>
  <c r="ES348" i="2"/>
  <c r="ES342" i="2"/>
  <c r="ES387" i="2"/>
  <c r="ES369" i="2"/>
  <c r="ES366" i="2"/>
  <c r="ES347" i="2"/>
  <c r="ES332" i="2"/>
  <c r="ES346" i="2"/>
  <c r="ES329" i="2"/>
  <c r="ES339" i="2"/>
  <c r="ES334" i="2"/>
  <c r="ES337" i="2"/>
  <c r="ES362" i="2"/>
  <c r="ES353" i="2"/>
  <c r="ES343" i="2"/>
  <c r="ES352" i="2"/>
  <c r="ES345" i="2"/>
  <c r="ES354" i="2"/>
  <c r="ES349" i="2"/>
  <c r="ES341" i="2"/>
  <c r="ES338" i="2"/>
  <c r="ES336" i="2"/>
  <c r="ES311" i="2"/>
  <c r="ES335" i="2"/>
  <c r="ES344" i="2"/>
  <c r="ES330" i="2"/>
  <c r="ES319" i="2"/>
  <c r="ES309" i="2"/>
  <c r="ES327" i="2"/>
  <c r="ES326" i="2"/>
  <c r="ES316" i="2"/>
  <c r="ES314" i="2"/>
  <c r="ES312" i="2"/>
  <c r="ES325" i="2"/>
  <c r="ES328" i="2"/>
  <c r="ES324" i="2"/>
  <c r="ES323" i="2"/>
  <c r="ES307" i="2"/>
  <c r="ES322" i="2"/>
  <c r="ES340" i="2"/>
  <c r="ES321" i="2"/>
  <c r="ES299" i="2"/>
  <c r="ES351" i="2"/>
  <c r="ES294" i="2"/>
  <c r="ES292" i="2"/>
  <c r="ES290" i="2"/>
  <c r="ES288" i="2"/>
  <c r="ES313" i="2"/>
  <c r="ES295" i="2"/>
  <c r="ES289" i="2"/>
  <c r="ES318" i="2"/>
  <c r="ES285" i="2"/>
  <c r="ES283" i="2"/>
  <c r="ES281" i="2"/>
  <c r="ES279" i="2"/>
  <c r="ES350" i="2"/>
  <c r="ES315" i="2"/>
  <c r="ES293" i="2"/>
  <c r="ES291" i="2"/>
  <c r="ES310" i="2"/>
  <c r="ES301" i="2"/>
  <c r="ES276" i="2"/>
  <c r="ES270" i="2"/>
  <c r="ES241" i="2"/>
  <c r="ES239" i="2"/>
  <c r="ES237" i="2"/>
  <c r="ES231" i="2"/>
  <c r="ES296" i="2"/>
  <c r="ES267" i="2"/>
  <c r="ES266" i="2"/>
  <c r="ES262" i="2"/>
  <c r="ES260" i="2"/>
  <c r="ES265" i="2"/>
  <c r="ES264" i="2"/>
  <c r="ES258" i="2"/>
  <c r="ES256" i="2"/>
  <c r="ES303" i="2"/>
  <c r="ES280" i="2"/>
  <c r="ES275" i="2"/>
  <c r="ES268" i="2"/>
  <c r="ES254" i="2"/>
  <c r="ES252" i="2"/>
  <c r="ES250" i="2"/>
  <c r="ES248" i="2"/>
  <c r="ES246" i="2"/>
  <c r="ES244" i="2"/>
  <c r="ES277" i="2"/>
  <c r="ES271" i="2"/>
  <c r="ES305" i="2"/>
  <c r="ES286" i="2"/>
  <c r="ES278" i="2"/>
  <c r="ES273" i="2"/>
  <c r="ES298" i="2"/>
  <c r="ES282" i="2"/>
  <c r="ES274" i="2"/>
  <c r="ES272" i="2"/>
  <c r="ES263" i="2"/>
  <c r="ES261" i="2"/>
  <c r="ES302" i="2"/>
  <c r="ES284" i="2"/>
  <c r="ES232" i="2"/>
  <c r="ES226" i="2"/>
  <c r="ES220" i="2"/>
  <c r="ES211" i="2"/>
  <c r="ES206" i="2"/>
  <c r="ES257" i="2"/>
  <c r="ES233" i="2"/>
  <c r="ES221" i="2"/>
  <c r="ES216" i="2"/>
  <c r="ES207" i="2"/>
  <c r="ES269" i="2"/>
  <c r="ES243" i="2"/>
  <c r="ES230" i="2"/>
  <c r="ES215" i="2"/>
  <c r="ES190" i="2"/>
  <c r="ES259" i="2"/>
  <c r="ES255" i="2"/>
  <c r="ES251" i="2"/>
  <c r="ES247" i="2"/>
  <c r="ES236" i="2"/>
  <c r="ES229" i="2"/>
  <c r="ES214" i="2"/>
  <c r="ES212" i="2"/>
  <c r="ES203" i="2"/>
  <c r="ES201" i="2"/>
  <c r="ES199" i="2"/>
  <c r="ES225" i="2"/>
  <c r="ES245" i="2"/>
  <c r="ES238" i="2"/>
  <c r="ES222" i="2"/>
  <c r="ES219" i="2"/>
  <c r="ES240" i="2"/>
  <c r="ES253" i="2"/>
  <c r="ES249" i="2"/>
  <c r="ES242" i="2"/>
  <c r="ES228" i="2"/>
  <c r="ES227" i="2"/>
  <c r="ES223" i="2"/>
  <c r="ES205" i="2"/>
  <c r="ES195" i="2"/>
  <c r="ES176" i="2"/>
  <c r="ES174" i="2"/>
  <c r="ES172" i="2"/>
  <c r="ES170" i="2"/>
  <c r="ES153" i="2"/>
  <c r="ES200" i="2"/>
  <c r="ES197" i="2"/>
  <c r="ES187" i="2"/>
  <c r="ES185" i="2"/>
  <c r="ES183" i="2"/>
  <c r="ES181" i="2"/>
  <c r="ES179" i="2"/>
  <c r="ES177" i="2"/>
  <c r="ES163" i="2"/>
  <c r="ES161" i="2"/>
  <c r="ES154" i="2"/>
  <c r="ES224" i="2"/>
  <c r="ES168" i="2"/>
  <c r="ES166" i="2"/>
  <c r="ES155" i="2"/>
  <c r="ES142" i="2"/>
  <c r="ES140" i="2"/>
  <c r="ES204" i="2"/>
  <c r="ES158" i="2"/>
  <c r="ES196" i="2"/>
  <c r="ES175" i="2"/>
  <c r="ES173" i="2"/>
  <c r="ES171" i="2"/>
  <c r="ES209" i="2"/>
  <c r="ES198" i="2"/>
  <c r="ES194" i="2"/>
  <c r="ES186" i="2"/>
  <c r="ES184" i="2"/>
  <c r="ES182" i="2"/>
  <c r="ES180" i="2"/>
  <c r="ES178" i="2"/>
  <c r="ES164" i="2"/>
  <c r="ES162" i="2"/>
  <c r="ES160" i="2"/>
  <c r="ES213" i="2"/>
  <c r="ES193" i="2"/>
  <c r="ES192" i="2"/>
  <c r="ES189" i="2"/>
  <c r="ES188" i="2"/>
  <c r="ES191" i="2"/>
  <c r="ES202" i="2"/>
  <c r="ES110" i="2"/>
  <c r="ES96" i="2"/>
  <c r="ES167" i="2"/>
  <c r="ES165" i="2"/>
  <c r="ES141" i="2"/>
  <c r="ES135" i="2"/>
  <c r="ES107" i="2"/>
  <c r="ES99" i="2"/>
  <c r="ES97" i="2"/>
  <c r="ES93" i="2"/>
  <c r="ES144" i="2"/>
  <c r="ES132" i="2"/>
  <c r="ES128" i="2"/>
  <c r="ES126" i="2"/>
  <c r="ES102" i="2"/>
  <c r="ES100" i="2"/>
  <c r="ES94" i="2"/>
  <c r="ES92" i="2"/>
  <c r="ES90" i="2"/>
  <c r="ES88" i="2"/>
  <c r="ES86" i="2"/>
  <c r="ES75" i="2"/>
  <c r="ES133" i="2"/>
  <c r="ES114" i="2"/>
  <c r="ES103" i="2"/>
  <c r="ES84" i="2"/>
  <c r="ES82" i="2"/>
  <c r="ES80" i="2"/>
  <c r="ES78" i="2"/>
  <c r="ES157" i="2"/>
  <c r="ES131" i="2"/>
  <c r="ES124" i="2"/>
  <c r="ES122" i="2"/>
  <c r="ES117" i="2"/>
  <c r="ES111" i="2"/>
  <c r="ES108" i="2"/>
  <c r="ES104" i="2"/>
  <c r="ES143" i="2"/>
  <c r="ES118" i="2"/>
  <c r="ES109" i="2"/>
  <c r="ES105" i="2"/>
  <c r="ES139" i="2"/>
  <c r="ES137" i="2"/>
  <c r="ES134" i="2"/>
  <c r="ES130" i="2"/>
  <c r="ES119" i="2"/>
  <c r="ES106" i="2"/>
  <c r="ES98" i="2"/>
  <c r="ES69" i="2"/>
  <c r="ES57" i="2"/>
  <c r="ES156" i="2"/>
  <c r="ES67" i="2"/>
  <c r="ES66" i="2"/>
  <c r="ES56" i="2"/>
  <c r="ES49" i="2"/>
  <c r="ES44" i="2"/>
  <c r="ES43" i="2"/>
  <c r="ES42" i="2"/>
  <c r="ES41" i="2"/>
  <c r="ES149" i="2"/>
  <c r="ES136" i="2"/>
  <c r="ES79" i="2"/>
  <c r="ES65" i="2"/>
  <c r="ES64" i="2"/>
  <c r="ES52" i="2"/>
  <c r="ES151" i="2"/>
  <c r="ES146" i="2"/>
  <c r="ES138" i="2"/>
  <c r="ES127" i="2"/>
  <c r="ES74" i="2"/>
  <c r="ES63" i="2"/>
  <c r="ES62" i="2"/>
  <c r="ES31" i="2"/>
  <c r="ES113" i="2"/>
  <c r="ES101" i="2"/>
  <c r="ES87" i="2"/>
  <c r="ES61" i="2"/>
  <c r="ES60" i="2"/>
  <c r="ES54" i="2"/>
  <c r="ES40" i="2"/>
  <c r="ES39" i="2"/>
  <c r="ES129" i="2"/>
  <c r="ES125" i="2"/>
  <c r="ES123" i="2"/>
  <c r="ES121" i="2"/>
  <c r="ES115" i="2"/>
  <c r="ES81" i="2"/>
  <c r="ES59" i="2"/>
  <c r="ES53" i="2"/>
  <c r="ES148" i="2"/>
  <c r="ES95" i="2"/>
  <c r="ES89" i="2"/>
  <c r="ES47" i="2"/>
  <c r="ES46" i="2"/>
  <c r="ES150" i="2"/>
  <c r="ES83" i="2"/>
  <c r="ES70" i="2"/>
  <c r="ES55" i="2"/>
  <c r="ES37" i="2"/>
  <c r="ES35" i="2"/>
  <c r="ES32" i="2"/>
  <c r="GC629" i="2"/>
  <c r="GC627" i="2"/>
  <c r="GC619" i="2"/>
  <c r="GC622" i="2"/>
  <c r="GC630" i="2"/>
  <c r="GC626" i="2"/>
  <c r="GC624" i="2"/>
  <c r="GC620" i="2"/>
  <c r="GC614" i="2"/>
  <c r="GC613" i="2"/>
  <c r="GC618" i="2"/>
  <c r="GC625" i="2"/>
  <c r="GC628" i="2"/>
  <c r="GC623" i="2"/>
  <c r="GC621" i="2"/>
  <c r="GC631" i="2"/>
  <c r="GC607" i="2"/>
  <c r="GC600" i="2"/>
  <c r="GC611" i="2"/>
  <c r="GC610" i="2"/>
  <c r="GC606" i="2"/>
  <c r="GC604" i="2"/>
  <c r="GC602" i="2"/>
  <c r="GC615" i="2"/>
  <c r="GC599" i="2"/>
  <c r="GC609" i="2"/>
  <c r="GC608" i="2"/>
  <c r="GC616" i="2"/>
  <c r="GC612" i="2"/>
  <c r="GC595" i="2"/>
  <c r="GC617" i="2"/>
  <c r="GC584" i="2"/>
  <c r="GC583" i="2"/>
  <c r="GC598" i="2"/>
  <c r="GC592" i="2"/>
  <c r="GC591" i="2"/>
  <c r="GC582" i="2"/>
  <c r="GC581" i="2"/>
  <c r="GC603" i="2"/>
  <c r="GC597" i="2"/>
  <c r="GC594" i="2"/>
  <c r="GC590" i="2"/>
  <c r="GC589" i="2"/>
  <c r="GC593" i="2"/>
  <c r="GC596" i="2"/>
  <c r="GC605" i="2"/>
  <c r="GC578" i="2"/>
  <c r="GC577" i="2"/>
  <c r="GC576" i="2"/>
  <c r="GC564" i="2"/>
  <c r="GC579" i="2"/>
  <c r="GC586" i="2"/>
  <c r="GC565" i="2"/>
  <c r="GC585" i="2"/>
  <c r="GC574" i="2"/>
  <c r="GC572" i="2"/>
  <c r="GC570" i="2"/>
  <c r="GC568" i="2"/>
  <c r="GC566" i="2"/>
  <c r="GC587" i="2"/>
  <c r="GC563" i="2"/>
  <c r="GC580" i="2"/>
  <c r="GC569" i="2"/>
  <c r="GC556" i="2"/>
  <c r="GC541" i="2"/>
  <c r="GC552" i="2"/>
  <c r="GC551" i="2"/>
  <c r="GC542" i="2"/>
  <c r="GC573" i="2"/>
  <c r="GC550" i="2"/>
  <c r="GC557" i="2"/>
  <c r="GC549" i="2"/>
  <c r="GC547" i="2"/>
  <c r="GC545" i="2"/>
  <c r="GC539" i="2"/>
  <c r="GC537" i="2"/>
  <c r="GC575" i="2"/>
  <c r="GC571" i="2"/>
  <c r="GC562" i="2"/>
  <c r="GC558" i="2"/>
  <c r="GC588" i="2"/>
  <c r="GC567" i="2"/>
  <c r="GC555" i="2"/>
  <c r="GC543" i="2"/>
  <c r="GC531" i="2"/>
  <c r="GC559" i="2"/>
  <c r="GC561" i="2"/>
  <c r="GC534" i="2"/>
  <c r="GC546" i="2"/>
  <c r="GC544" i="2"/>
  <c r="GC553" i="2"/>
  <c r="GC536" i="2"/>
  <c r="GC535" i="2"/>
  <c r="GC529" i="2"/>
  <c r="GC548" i="2"/>
  <c r="GC530" i="2"/>
  <c r="GC498" i="2"/>
  <c r="GC518" i="2"/>
  <c r="GC514" i="2"/>
  <c r="GC533" i="2"/>
  <c r="GC528" i="2"/>
  <c r="GC525" i="2"/>
  <c r="GC524" i="2"/>
  <c r="GC519" i="2"/>
  <c r="GC515" i="2"/>
  <c r="GC512" i="2"/>
  <c r="GC510" i="2"/>
  <c r="GC508" i="2"/>
  <c r="GC540" i="2"/>
  <c r="GC513" i="2"/>
  <c r="GC532" i="2"/>
  <c r="GC521" i="2"/>
  <c r="GC538" i="2"/>
  <c r="GC496" i="2"/>
  <c r="GC495" i="2"/>
  <c r="GC490" i="2"/>
  <c r="GC488" i="2"/>
  <c r="GC494" i="2"/>
  <c r="GC481" i="2"/>
  <c r="GC479" i="2"/>
  <c r="GC511" i="2"/>
  <c r="GC464" i="2"/>
  <c r="GC509" i="2"/>
  <c r="GC506" i="2"/>
  <c r="GC503" i="2"/>
  <c r="GC492" i="2"/>
  <c r="GC486" i="2"/>
  <c r="GC523" i="2"/>
  <c r="GC522" i="2"/>
  <c r="GC499" i="2"/>
  <c r="GC489" i="2"/>
  <c r="GC487" i="2"/>
  <c r="GC527" i="2"/>
  <c r="GC526" i="2"/>
  <c r="GC517" i="2"/>
  <c r="GC507" i="2"/>
  <c r="GC484" i="2"/>
  <c r="GC482" i="2"/>
  <c r="GC480" i="2"/>
  <c r="GC478" i="2"/>
  <c r="GC476" i="2"/>
  <c r="GC474" i="2"/>
  <c r="GC466" i="2"/>
  <c r="GC457" i="2"/>
  <c r="GC455" i="2"/>
  <c r="GC516" i="2"/>
  <c r="GC493" i="2"/>
  <c r="GC468" i="2"/>
  <c r="GC462" i="2"/>
  <c r="GC497" i="2"/>
  <c r="GC453" i="2"/>
  <c r="GC451" i="2"/>
  <c r="GC447" i="2"/>
  <c r="GC505" i="2"/>
  <c r="GC502" i="2"/>
  <c r="GC473" i="2"/>
  <c r="GC461" i="2"/>
  <c r="GC459" i="2"/>
  <c r="GC452" i="2"/>
  <c r="GC450" i="2"/>
  <c r="GC500" i="2"/>
  <c r="GC469" i="2"/>
  <c r="GC465" i="2"/>
  <c r="GC504" i="2"/>
  <c r="GC475" i="2"/>
  <c r="GC520" i="2"/>
  <c r="GC501" i="2"/>
  <c r="GC491" i="2"/>
  <c r="GC485" i="2"/>
  <c r="GC483" i="2"/>
  <c r="GC471" i="2"/>
  <c r="GC467" i="2"/>
  <c r="GC456" i="2"/>
  <c r="GC436" i="2"/>
  <c r="GC426" i="2"/>
  <c r="GC477" i="2"/>
  <c r="GC449" i="2"/>
  <c r="GC448" i="2"/>
  <c r="GC444" i="2"/>
  <c r="GC437" i="2"/>
  <c r="GC427" i="2"/>
  <c r="GC419" i="2"/>
  <c r="GC472" i="2"/>
  <c r="GC460" i="2"/>
  <c r="GC440" i="2"/>
  <c r="GC428" i="2"/>
  <c r="GC420" i="2"/>
  <c r="GC446" i="2"/>
  <c r="GC433" i="2"/>
  <c r="GC431" i="2"/>
  <c r="GC429" i="2"/>
  <c r="GC423" i="2"/>
  <c r="GC421" i="2"/>
  <c r="GC434" i="2"/>
  <c r="GC463" i="2"/>
  <c r="GC443" i="2"/>
  <c r="GC435" i="2"/>
  <c r="GC454" i="2"/>
  <c r="GC438" i="2"/>
  <c r="GC470" i="2"/>
  <c r="GC445" i="2"/>
  <c r="GC442" i="2"/>
  <c r="GC441" i="2"/>
  <c r="GC439" i="2"/>
  <c r="GC425" i="2"/>
  <c r="GC422" i="2"/>
  <c r="GC415" i="2"/>
  <c r="GC391" i="2"/>
  <c r="GC458" i="2"/>
  <c r="GC424" i="2"/>
  <c r="GC404" i="2"/>
  <c r="GC402" i="2"/>
  <c r="GC400" i="2"/>
  <c r="GC392" i="2"/>
  <c r="GC416" i="2"/>
  <c r="GC413" i="2"/>
  <c r="GC407" i="2"/>
  <c r="GC405" i="2"/>
  <c r="GC395" i="2"/>
  <c r="GC393" i="2"/>
  <c r="GC388" i="2"/>
  <c r="GC386" i="2"/>
  <c r="GC410" i="2"/>
  <c r="GC408" i="2"/>
  <c r="GC389" i="2"/>
  <c r="GC383" i="2"/>
  <c r="GC430" i="2"/>
  <c r="GC418" i="2"/>
  <c r="GC417" i="2"/>
  <c r="GC403" i="2"/>
  <c r="GC401" i="2"/>
  <c r="GC399" i="2"/>
  <c r="GC384" i="2"/>
  <c r="GC414" i="2"/>
  <c r="GC375" i="2"/>
  <c r="GC370" i="2"/>
  <c r="GC365" i="2"/>
  <c r="GC359" i="2"/>
  <c r="GC394" i="2"/>
  <c r="GC376" i="2"/>
  <c r="GC355" i="2"/>
  <c r="GC396" i="2"/>
  <c r="GC377" i="2"/>
  <c r="GC361" i="2"/>
  <c r="GC412" i="2"/>
  <c r="GC387" i="2"/>
  <c r="GC382" i="2"/>
  <c r="GC381" i="2"/>
  <c r="GC371" i="2"/>
  <c r="GC368" i="2"/>
  <c r="GC366" i="2"/>
  <c r="GC397" i="2"/>
  <c r="GC374" i="2"/>
  <c r="GC372" i="2"/>
  <c r="GC411" i="2"/>
  <c r="GC409" i="2"/>
  <c r="GC369" i="2"/>
  <c r="GC362" i="2"/>
  <c r="GC432" i="2"/>
  <c r="GC356" i="2"/>
  <c r="GC354" i="2"/>
  <c r="GC406" i="2"/>
  <c r="GC390" i="2"/>
  <c r="GC379" i="2"/>
  <c r="GC360" i="2"/>
  <c r="GC337" i="2"/>
  <c r="GC335" i="2"/>
  <c r="GC343" i="2"/>
  <c r="GC331" i="2"/>
  <c r="GC385" i="2"/>
  <c r="GC378" i="2"/>
  <c r="GC364" i="2"/>
  <c r="GC352" i="2"/>
  <c r="GC330" i="2"/>
  <c r="GC345" i="2"/>
  <c r="GC340" i="2"/>
  <c r="GC353" i="2"/>
  <c r="GC351" i="2"/>
  <c r="GC350" i="2"/>
  <c r="GC344" i="2"/>
  <c r="GC341" i="2"/>
  <c r="GC367" i="2"/>
  <c r="GC342" i="2"/>
  <c r="GC363" i="2"/>
  <c r="GC347" i="2"/>
  <c r="GC346" i="2"/>
  <c r="GC339" i="2"/>
  <c r="GC317" i="2"/>
  <c r="GC326" i="2"/>
  <c r="GC349" i="2"/>
  <c r="GC338" i="2"/>
  <c r="GC336" i="2"/>
  <c r="GC332" i="2"/>
  <c r="GC327" i="2"/>
  <c r="GC325" i="2"/>
  <c r="GC324" i="2"/>
  <c r="GC307" i="2"/>
  <c r="GC373" i="2"/>
  <c r="GC328" i="2"/>
  <c r="GC323" i="2"/>
  <c r="GC322" i="2"/>
  <c r="GC315" i="2"/>
  <c r="GC313" i="2"/>
  <c r="GC318" i="2"/>
  <c r="GC380" i="2"/>
  <c r="GC334" i="2"/>
  <c r="GC321" i="2"/>
  <c r="GC320" i="2"/>
  <c r="GC311" i="2"/>
  <c r="GC358" i="2"/>
  <c r="GC357" i="2"/>
  <c r="GC319" i="2"/>
  <c r="GC316" i="2"/>
  <c r="GC306" i="2"/>
  <c r="GC285" i="2"/>
  <c r="GC283" i="2"/>
  <c r="GC281" i="2"/>
  <c r="GC279" i="2"/>
  <c r="GC275" i="2"/>
  <c r="GC308" i="2"/>
  <c r="GC329" i="2"/>
  <c r="GC309" i="2"/>
  <c r="GC297" i="2"/>
  <c r="GC293" i="2"/>
  <c r="GC291" i="2"/>
  <c r="GC272" i="2"/>
  <c r="GC312" i="2"/>
  <c r="GC303" i="2"/>
  <c r="GC296" i="2"/>
  <c r="GC301" i="2"/>
  <c r="GC302" i="2"/>
  <c r="GC298" i="2"/>
  <c r="GC284" i="2"/>
  <c r="GC282" i="2"/>
  <c r="GC280" i="2"/>
  <c r="GC278" i="2"/>
  <c r="GC314" i="2"/>
  <c r="GC304" i="2"/>
  <c r="GC299" i="2"/>
  <c r="GC333" i="2"/>
  <c r="GC305" i="2"/>
  <c r="GC295" i="2"/>
  <c r="GC289" i="2"/>
  <c r="GC348" i="2"/>
  <c r="GC294" i="2"/>
  <c r="GC292" i="2"/>
  <c r="GC267" i="2"/>
  <c r="GC265" i="2"/>
  <c r="GC264" i="2"/>
  <c r="GC235" i="2"/>
  <c r="GC276" i="2"/>
  <c r="GC268" i="2"/>
  <c r="GC263" i="2"/>
  <c r="GC261" i="2"/>
  <c r="GC233" i="2"/>
  <c r="GC288" i="2"/>
  <c r="GC259" i="2"/>
  <c r="GC257" i="2"/>
  <c r="GC300" i="2"/>
  <c r="GC271" i="2"/>
  <c r="GC255" i="2"/>
  <c r="GC253" i="2"/>
  <c r="GC251" i="2"/>
  <c r="GC249" i="2"/>
  <c r="GC247" i="2"/>
  <c r="GC245" i="2"/>
  <c r="GC310" i="2"/>
  <c r="GC290" i="2"/>
  <c r="GC277" i="2"/>
  <c r="GC274" i="2"/>
  <c r="GC273" i="2"/>
  <c r="GC270" i="2"/>
  <c r="GC266" i="2"/>
  <c r="GC254" i="2"/>
  <c r="GC252" i="2"/>
  <c r="GC250" i="2"/>
  <c r="GC248" i="2"/>
  <c r="GC246" i="2"/>
  <c r="GC240" i="2"/>
  <c r="GC234" i="2"/>
  <c r="GC269" i="2"/>
  <c r="GC242" i="2"/>
  <c r="GC225" i="2"/>
  <c r="GC222" i="2"/>
  <c r="GC219" i="2"/>
  <c r="GC218" i="2"/>
  <c r="GC256" i="2"/>
  <c r="GC236" i="2"/>
  <c r="GC262" i="2"/>
  <c r="GC243" i="2"/>
  <c r="GC224" i="2"/>
  <c r="GC213" i="2"/>
  <c r="GC210" i="2"/>
  <c r="GC204" i="2"/>
  <c r="GC202" i="2"/>
  <c r="GC200" i="2"/>
  <c r="GC198" i="2"/>
  <c r="GC196" i="2"/>
  <c r="GC194" i="2"/>
  <c r="GC244" i="2"/>
  <c r="GC223" i="2"/>
  <c r="GC205" i="2"/>
  <c r="GC260" i="2"/>
  <c r="GC258" i="2"/>
  <c r="GC231" i="2"/>
  <c r="GC227" i="2"/>
  <c r="GC220" i="2"/>
  <c r="GC211" i="2"/>
  <c r="GC206" i="2"/>
  <c r="GC239" i="2"/>
  <c r="GC238" i="2"/>
  <c r="GC237" i="2"/>
  <c r="GC241" i="2"/>
  <c r="GC232" i="2"/>
  <c r="GC214" i="2"/>
  <c r="GC212" i="2"/>
  <c r="GC203" i="2"/>
  <c r="GC226" i="2"/>
  <c r="GC195" i="2"/>
  <c r="GC190" i="2"/>
  <c r="GC159" i="2"/>
  <c r="GC197" i="2"/>
  <c r="GC175" i="2"/>
  <c r="GC173" i="2"/>
  <c r="GC171" i="2"/>
  <c r="GC186" i="2"/>
  <c r="GC184" i="2"/>
  <c r="GC182" i="2"/>
  <c r="GC180" i="2"/>
  <c r="GC178" i="2"/>
  <c r="GC164" i="2"/>
  <c r="GC162" i="2"/>
  <c r="GC160" i="2"/>
  <c r="GC215" i="2"/>
  <c r="GC167" i="2"/>
  <c r="GC165" i="2"/>
  <c r="GC156" i="2"/>
  <c r="GC207" i="2"/>
  <c r="GC157" i="2"/>
  <c r="GC152" i="2"/>
  <c r="GC150" i="2"/>
  <c r="GC148" i="2"/>
  <c r="GC146" i="2"/>
  <c r="GC137" i="2"/>
  <c r="GC193" i="2"/>
  <c r="GC192" i="2"/>
  <c r="GC189" i="2"/>
  <c r="GC188" i="2"/>
  <c r="GC228" i="2"/>
  <c r="GC201" i="2"/>
  <c r="GC191" i="2"/>
  <c r="GC176" i="2"/>
  <c r="GC174" i="2"/>
  <c r="GC172" i="2"/>
  <c r="GC170" i="2"/>
  <c r="GC153" i="2"/>
  <c r="GC144" i="2"/>
  <c r="GC133" i="2"/>
  <c r="GC131" i="2"/>
  <c r="GC129" i="2"/>
  <c r="GC221" i="2"/>
  <c r="GC187" i="2"/>
  <c r="GC185" i="2"/>
  <c r="GC183" i="2"/>
  <c r="GC181" i="2"/>
  <c r="GC216" i="2"/>
  <c r="GC199" i="2"/>
  <c r="GC158" i="2"/>
  <c r="GC155" i="2"/>
  <c r="GC135" i="2"/>
  <c r="GC132" i="2"/>
  <c r="GC124" i="2"/>
  <c r="GC122" i="2"/>
  <c r="GC120" i="2"/>
  <c r="GC117" i="2"/>
  <c r="GC111" i="2"/>
  <c r="GC108" i="2"/>
  <c r="GC104" i="2"/>
  <c r="GC138" i="2"/>
  <c r="GC118" i="2"/>
  <c r="GC109" i="2"/>
  <c r="GC105" i="2"/>
  <c r="GC177" i="2"/>
  <c r="GC140" i="2"/>
  <c r="GC119" i="2"/>
  <c r="GC106" i="2"/>
  <c r="GC98" i="2"/>
  <c r="GC151" i="2"/>
  <c r="GC130" i="2"/>
  <c r="GC127" i="2"/>
  <c r="GC101" i="2"/>
  <c r="GC95" i="2"/>
  <c r="GC91" i="2"/>
  <c r="GC89" i="2"/>
  <c r="GC87" i="2"/>
  <c r="GC74" i="2"/>
  <c r="GC161" i="2"/>
  <c r="GC154" i="2"/>
  <c r="GC149" i="2"/>
  <c r="GC141" i="2"/>
  <c r="GC115" i="2"/>
  <c r="GC113" i="2"/>
  <c r="GC85" i="2"/>
  <c r="GC83" i="2"/>
  <c r="GC81" i="2"/>
  <c r="GC79" i="2"/>
  <c r="GC77" i="2"/>
  <c r="GC179" i="2"/>
  <c r="GC168" i="2"/>
  <c r="GC166" i="2"/>
  <c r="GC147" i="2"/>
  <c r="GC145" i="2"/>
  <c r="GC134" i="2"/>
  <c r="GC125" i="2"/>
  <c r="GC123" i="2"/>
  <c r="GC121" i="2"/>
  <c r="GC142" i="2"/>
  <c r="GC110" i="2"/>
  <c r="GC96" i="2"/>
  <c r="GC136" i="2"/>
  <c r="GC103" i="2"/>
  <c r="GC80" i="2"/>
  <c r="GC63" i="2"/>
  <c r="GC62" i="2"/>
  <c r="GC53" i="2"/>
  <c r="GC139" i="2"/>
  <c r="GC114" i="2"/>
  <c r="GC102" i="2"/>
  <c r="GC94" i="2"/>
  <c r="GC88" i="2"/>
  <c r="GC61" i="2"/>
  <c r="GC60" i="2"/>
  <c r="GC47" i="2"/>
  <c r="GC46" i="2"/>
  <c r="GC143" i="2"/>
  <c r="GC82" i="2"/>
  <c r="GC59" i="2"/>
  <c r="GC57" i="2"/>
  <c r="GC55" i="2"/>
  <c r="GC37" i="2"/>
  <c r="GC35" i="2"/>
  <c r="GC32" i="2"/>
  <c r="GC29" i="2"/>
  <c r="GC90" i="2"/>
  <c r="GC76" i="2"/>
  <c r="GC70" i="2"/>
  <c r="GC50" i="2"/>
  <c r="GC48" i="2"/>
  <c r="GC45" i="2"/>
  <c r="GC163" i="2"/>
  <c r="GC51" i="2"/>
  <c r="GC38" i="2"/>
  <c r="GC36" i="2"/>
  <c r="GC92" i="2"/>
  <c r="GC84" i="2"/>
  <c r="GC72" i="2"/>
  <c r="GC69" i="2"/>
  <c r="GC97" i="2"/>
  <c r="GC73" i="2"/>
  <c r="GC49" i="2"/>
  <c r="GC44" i="2"/>
  <c r="GC43" i="2"/>
  <c r="GC42" i="2"/>
  <c r="GC41" i="2"/>
  <c r="EV5" i="2"/>
  <c r="GM5" i="2"/>
  <c r="FZ6" i="2"/>
  <c r="ER7" i="2"/>
  <c r="FV8" i="2"/>
  <c r="GF8" i="2"/>
  <c r="EN9" i="2"/>
  <c r="GP9" i="2"/>
  <c r="GQ9" i="2" s="1"/>
  <c r="EV10" i="2"/>
  <c r="GM10" i="2"/>
  <c r="EV11" i="2"/>
  <c r="GM11" i="2"/>
  <c r="ET12" i="2"/>
  <c r="FZ12" i="2"/>
  <c r="ER13" i="2"/>
  <c r="FV14" i="2"/>
  <c r="GF14" i="2"/>
  <c r="DR15" i="2"/>
  <c r="EK15" i="2" s="1"/>
  <c r="EB15" i="2"/>
  <c r="EU15" i="2" s="1"/>
  <c r="GC15" i="2"/>
  <c r="GO15" i="2"/>
  <c r="GO1" i="2" s="1"/>
  <c r="EV16" i="2"/>
  <c r="GM16" i="2"/>
  <c r="EV17" i="2"/>
  <c r="GM17" i="2"/>
  <c r="FV18" i="2"/>
  <c r="GF18" i="2"/>
  <c r="FV19" i="2"/>
  <c r="GF19" i="2"/>
  <c r="EQ20" i="2"/>
  <c r="FW20" i="2"/>
  <c r="FV21" i="2"/>
  <c r="GF21" i="2"/>
  <c r="AZ22" i="2"/>
  <c r="FV22" i="2"/>
  <c r="GF22" i="2"/>
  <c r="FV23" i="2"/>
  <c r="GF23" i="2"/>
  <c r="EN24" i="2"/>
  <c r="GP24" i="2"/>
  <c r="EI25" i="2"/>
  <c r="ET25" i="2"/>
  <c r="GA25" i="2"/>
  <c r="GM25" i="2"/>
  <c r="GX25" i="2"/>
  <c r="GY25" i="2" s="1"/>
  <c r="FW26" i="2"/>
  <c r="GU26" i="2"/>
  <c r="BC27" i="2"/>
  <c r="BC1" i="2" s="1"/>
  <c r="EE27" i="2"/>
  <c r="EX27" i="2" s="1"/>
  <c r="EQ27" i="2"/>
  <c r="EV28" i="2"/>
  <c r="EI29" i="2"/>
  <c r="EU29" i="2"/>
  <c r="GE29" i="2"/>
  <c r="ER30" i="2"/>
  <c r="FZ30" i="2"/>
  <c r="GP30" i="2"/>
  <c r="AM31" i="2"/>
  <c r="EE31" i="2"/>
  <c r="EX31" i="2" s="1"/>
  <c r="GP31" i="2"/>
  <c r="GQ31" i="2" s="1"/>
  <c r="AH32" i="2"/>
  <c r="DS32" i="2" s="1"/>
  <c r="EL32" i="2" s="1"/>
  <c r="EE32" i="2"/>
  <c r="EX32" i="2" s="1"/>
  <c r="ET32" i="2"/>
  <c r="GE32" i="2"/>
  <c r="EN34" i="2"/>
  <c r="GP34" i="2"/>
  <c r="EV35" i="2"/>
  <c r="FV35" i="2"/>
  <c r="FW37" i="2"/>
  <c r="ES38" i="2"/>
  <c r="GE40" i="2"/>
  <c r="GA41" i="2"/>
  <c r="ET42" i="2"/>
  <c r="GM43" i="2"/>
  <c r="EQ48" i="2"/>
  <c r="EV49" i="2"/>
  <c r="FZ49" i="2"/>
  <c r="ER50" i="2"/>
  <c r="EI51" i="2"/>
  <c r="GQ52" i="2"/>
  <c r="GP52" i="2"/>
  <c r="GC54" i="2"/>
  <c r="ET56" i="2"/>
  <c r="FV61" i="2"/>
  <c r="GF63" i="2"/>
  <c r="EV65" i="2"/>
  <c r="GP67" i="2"/>
  <c r="GQ67" i="2" s="1"/>
  <c r="GP68" i="2"/>
  <c r="GQ68" i="2" s="1"/>
  <c r="ER70" i="2"/>
  <c r="FL71" i="2"/>
  <c r="GE71" i="2" s="1"/>
  <c r="FK71" i="2"/>
  <c r="GD71" i="2" s="1"/>
  <c r="FJ71" i="2"/>
  <c r="GC71" i="2" s="1"/>
  <c r="ES71" i="2"/>
  <c r="FT71" i="2"/>
  <c r="GM71" i="2" s="1"/>
  <c r="EO73" i="2"/>
  <c r="EV97" i="2"/>
  <c r="GC100" i="2"/>
  <c r="EI101" i="2"/>
  <c r="GR101" i="2" s="1"/>
  <c r="GS101" i="2" s="1"/>
  <c r="GQ102" i="2"/>
  <c r="GP102" i="2"/>
  <c r="EQ118" i="2"/>
  <c r="FV131" i="2"/>
  <c r="AO490" i="1"/>
  <c r="EO510" i="1"/>
  <c r="AG529" i="1"/>
  <c r="ET629" i="2"/>
  <c r="ET627" i="2"/>
  <c r="ET619" i="2"/>
  <c r="ET615" i="2"/>
  <c r="ET628" i="2"/>
  <c r="ET618" i="2"/>
  <c r="ET614" i="2"/>
  <c r="ET611" i="2"/>
  <c r="ET609" i="2"/>
  <c r="ET607" i="2"/>
  <c r="ET613" i="2"/>
  <c r="ET623" i="2"/>
  <c r="ET631" i="2"/>
  <c r="ET621" i="2"/>
  <c r="ET630" i="2"/>
  <c r="ET610" i="2"/>
  <c r="ET620" i="2"/>
  <c r="ET605" i="2"/>
  <c r="ET603" i="2"/>
  <c r="ET600" i="2"/>
  <c r="ET616" i="2"/>
  <c r="ET608" i="2"/>
  <c r="ET617" i="2"/>
  <c r="ET612" i="2"/>
  <c r="ET626" i="2"/>
  <c r="ET606" i="2"/>
  <c r="ET604" i="2"/>
  <c r="ET602" i="2"/>
  <c r="ET622" i="2"/>
  <c r="ET586" i="2"/>
  <c r="ET578" i="2"/>
  <c r="ET598" i="2"/>
  <c r="ET585" i="2"/>
  <c r="ET599" i="2"/>
  <c r="ET584" i="2"/>
  <c r="ET597" i="2"/>
  <c r="ET594" i="2"/>
  <c r="ET583" i="2"/>
  <c r="ET592" i="2"/>
  <c r="ET591" i="2"/>
  <c r="ET593" i="2"/>
  <c r="ET590" i="2"/>
  <c r="ET575" i="2"/>
  <c r="ET560" i="2"/>
  <c r="ET577" i="2"/>
  <c r="ET573" i="2"/>
  <c r="ET571" i="2"/>
  <c r="ET569" i="2"/>
  <c r="ET588" i="2"/>
  <c r="ET587" i="2"/>
  <c r="ET581" i="2"/>
  <c r="ET579" i="2"/>
  <c r="ET567" i="2"/>
  <c r="ET552" i="2"/>
  <c r="ET550" i="2"/>
  <c r="ET589" i="2"/>
  <c r="ET596" i="2"/>
  <c r="ET582" i="2"/>
  <c r="ET580" i="2"/>
  <c r="ET574" i="2"/>
  <c r="ET572" i="2"/>
  <c r="ET570" i="2"/>
  <c r="ET595" i="2"/>
  <c r="ET559" i="2"/>
  <c r="ET556" i="2"/>
  <c r="ET564" i="2"/>
  <c r="ET548" i="2"/>
  <c r="ET546" i="2"/>
  <c r="ET544" i="2"/>
  <c r="ET551" i="2"/>
  <c r="ET563" i="2"/>
  <c r="ET557" i="2"/>
  <c r="ET542" i="2"/>
  <c r="ET565" i="2"/>
  <c r="ET558" i="2"/>
  <c r="ET549" i="2"/>
  <c r="ET547" i="2"/>
  <c r="ET545" i="2"/>
  <c r="ET532" i="2"/>
  <c r="ET536" i="2"/>
  <c r="ET537" i="2"/>
  <c r="ET534" i="2"/>
  <c r="ET538" i="2"/>
  <c r="ET530" i="2"/>
  <c r="ET528" i="2"/>
  <c r="ET526" i="2"/>
  <c r="ET524" i="2"/>
  <c r="ET522" i="2"/>
  <c r="ET561" i="2"/>
  <c r="ET555" i="2"/>
  <c r="ET541" i="2"/>
  <c r="ET539" i="2"/>
  <c r="ET540" i="2"/>
  <c r="ET535" i="2"/>
  <c r="ET520" i="2"/>
  <c r="ET516" i="2"/>
  <c r="ET506" i="2"/>
  <c r="ET504" i="2"/>
  <c r="ET503" i="2"/>
  <c r="ET501" i="2"/>
  <c r="ET531" i="2"/>
  <c r="ET511" i="2"/>
  <c r="ET509" i="2"/>
  <c r="ET507" i="2"/>
  <c r="ET496" i="2"/>
  <c r="ET525" i="2"/>
  <c r="ET529" i="2"/>
  <c r="ET518" i="2"/>
  <c r="ET519" i="2"/>
  <c r="ET515" i="2"/>
  <c r="ET505" i="2"/>
  <c r="ET502" i="2"/>
  <c r="ET533" i="2"/>
  <c r="ET527" i="2"/>
  <c r="ET523" i="2"/>
  <c r="ET485" i="2"/>
  <c r="ET483" i="2"/>
  <c r="ET512" i="2"/>
  <c r="ET495" i="2"/>
  <c r="ET493" i="2"/>
  <c r="ET470" i="2"/>
  <c r="ET465" i="2"/>
  <c r="ET510" i="2"/>
  <c r="ET498" i="2"/>
  <c r="ET490" i="2"/>
  <c r="ET488" i="2"/>
  <c r="ET521" i="2"/>
  <c r="ET494" i="2"/>
  <c r="ET481" i="2"/>
  <c r="ET479" i="2"/>
  <c r="ET477" i="2"/>
  <c r="ET513" i="2"/>
  <c r="ET508" i="2"/>
  <c r="ET475" i="2"/>
  <c r="ET473" i="2"/>
  <c r="ET478" i="2"/>
  <c r="ET467" i="2"/>
  <c r="ET484" i="2"/>
  <c r="ET468" i="2"/>
  <c r="ET466" i="2"/>
  <c r="ET460" i="2"/>
  <c r="ET458" i="2"/>
  <c r="ET449" i="2"/>
  <c r="ET444" i="2"/>
  <c r="ET492" i="2"/>
  <c r="ET462" i="2"/>
  <c r="ET457" i="2"/>
  <c r="ET455" i="2"/>
  <c r="ET486" i="2"/>
  <c r="ET469" i="2"/>
  <c r="ET464" i="2"/>
  <c r="ET497" i="2"/>
  <c r="ET489" i="2"/>
  <c r="ET480" i="2"/>
  <c r="ET487" i="2"/>
  <c r="ET472" i="2"/>
  <c r="ET461" i="2"/>
  <c r="ET459" i="2"/>
  <c r="ET452" i="2"/>
  <c r="ET450" i="2"/>
  <c r="ET500" i="2"/>
  <c r="ET482" i="2"/>
  <c r="ET476" i="2"/>
  <c r="ET474" i="2"/>
  <c r="ET463" i="2"/>
  <c r="ET442" i="2"/>
  <c r="ET441" i="2"/>
  <c r="ET439" i="2"/>
  <c r="ET432" i="2"/>
  <c r="ET430" i="2"/>
  <c r="ET424" i="2"/>
  <c r="ET422" i="2"/>
  <c r="ET425" i="2"/>
  <c r="ET415" i="2"/>
  <c r="ET446" i="2"/>
  <c r="ET436" i="2"/>
  <c r="ET426" i="2"/>
  <c r="ET418" i="2"/>
  <c r="ET416" i="2"/>
  <c r="ET447" i="2"/>
  <c r="ET437" i="2"/>
  <c r="ET427" i="2"/>
  <c r="ET440" i="2"/>
  <c r="ET428" i="2"/>
  <c r="ET456" i="2"/>
  <c r="ET433" i="2"/>
  <c r="ET431" i="2"/>
  <c r="ET429" i="2"/>
  <c r="ET423" i="2"/>
  <c r="ET421" i="2"/>
  <c r="ET443" i="2"/>
  <c r="ET414" i="2"/>
  <c r="ET406" i="2"/>
  <c r="ET396" i="2"/>
  <c r="ET394" i="2"/>
  <c r="ET387" i="2"/>
  <c r="ET435" i="2"/>
  <c r="ET411" i="2"/>
  <c r="ET409" i="2"/>
  <c r="ET397" i="2"/>
  <c r="ET451" i="2"/>
  <c r="ET434" i="2"/>
  <c r="ET412" i="2"/>
  <c r="ET390" i="2"/>
  <c r="ET382" i="2"/>
  <c r="ET445" i="2"/>
  <c r="ET391" i="2"/>
  <c r="ET448" i="2"/>
  <c r="ET413" i="2"/>
  <c r="ET404" i="2"/>
  <c r="ET402" i="2"/>
  <c r="ET400" i="2"/>
  <c r="ET392" i="2"/>
  <c r="ET419" i="2"/>
  <c r="ET417" i="2"/>
  <c r="ET407" i="2"/>
  <c r="ET405" i="2"/>
  <c r="ET395" i="2"/>
  <c r="ET393" i="2"/>
  <c r="ET388" i="2"/>
  <c r="ET386" i="2"/>
  <c r="ET410" i="2"/>
  <c r="ET408" i="2"/>
  <c r="ET420" i="2"/>
  <c r="ET378" i="2"/>
  <c r="ET364" i="2"/>
  <c r="ET438" i="2"/>
  <c r="ET401" i="2"/>
  <c r="ET379" i="2"/>
  <c r="ET367" i="2"/>
  <c r="ET363" i="2"/>
  <c r="ET358" i="2"/>
  <c r="ET380" i="2"/>
  <c r="ET373" i="2"/>
  <c r="ET360" i="2"/>
  <c r="ET357" i="2"/>
  <c r="ET383" i="2"/>
  <c r="ET375" i="2"/>
  <c r="ET370" i="2"/>
  <c r="ET365" i="2"/>
  <c r="ET359" i="2"/>
  <c r="ET399" i="2"/>
  <c r="ET385" i="2"/>
  <c r="ET381" i="2"/>
  <c r="ET376" i="2"/>
  <c r="ET355" i="2"/>
  <c r="ET377" i="2"/>
  <c r="ET371" i="2"/>
  <c r="ET368" i="2"/>
  <c r="ET366" i="2"/>
  <c r="ET403" i="2"/>
  <c r="ET389" i="2"/>
  <c r="ET372" i="2"/>
  <c r="ET369" i="2"/>
  <c r="ET347" i="2"/>
  <c r="ET332" i="2"/>
  <c r="ET346" i="2"/>
  <c r="ET329" i="2"/>
  <c r="ET327" i="2"/>
  <c r="ET374" i="2"/>
  <c r="ET339" i="2"/>
  <c r="ET334" i="2"/>
  <c r="ET337" i="2"/>
  <c r="ET335" i="2"/>
  <c r="ET362" i="2"/>
  <c r="ET353" i="2"/>
  <c r="ET343" i="2"/>
  <c r="ET352" i="2"/>
  <c r="ET345" i="2"/>
  <c r="ET351" i="2"/>
  <c r="ET356" i="2"/>
  <c r="ET348" i="2"/>
  <c r="ET342" i="2"/>
  <c r="ET354" i="2"/>
  <c r="ET344" i="2"/>
  <c r="ET341" i="2"/>
  <c r="ET330" i="2"/>
  <c r="ET319" i="2"/>
  <c r="ET326" i="2"/>
  <c r="ET316" i="2"/>
  <c r="ET314" i="2"/>
  <c r="ET325" i="2"/>
  <c r="ET328" i="2"/>
  <c r="ET324" i="2"/>
  <c r="ET323" i="2"/>
  <c r="ET349" i="2"/>
  <c r="ET322" i="2"/>
  <c r="ET350" i="2"/>
  <c r="ET338" i="2"/>
  <c r="ET336" i="2"/>
  <c r="ET321" i="2"/>
  <c r="ET315" i="2"/>
  <c r="ET309" i="2"/>
  <c r="ET294" i="2"/>
  <c r="ET292" i="2"/>
  <c r="ET313" i="2"/>
  <c r="ET295" i="2"/>
  <c r="ET289" i="2"/>
  <c r="ET331" i="2"/>
  <c r="ET300" i="2"/>
  <c r="ET271" i="2"/>
  <c r="ET269" i="2"/>
  <c r="ET267" i="2"/>
  <c r="ET265" i="2"/>
  <c r="ET318" i="2"/>
  <c r="ET287" i="2"/>
  <c r="ET285" i="2"/>
  <c r="ET283" i="2"/>
  <c r="ET281" i="2"/>
  <c r="ET279" i="2"/>
  <c r="ET293" i="2"/>
  <c r="ET291" i="2"/>
  <c r="ET311" i="2"/>
  <c r="ET307" i="2"/>
  <c r="ET303" i="2"/>
  <c r="ET296" i="2"/>
  <c r="ET305" i="2"/>
  <c r="ET302" i="2"/>
  <c r="ET286" i="2"/>
  <c r="ET284" i="2"/>
  <c r="ET282" i="2"/>
  <c r="ET280" i="2"/>
  <c r="ET278" i="2"/>
  <c r="ET301" i="2"/>
  <c r="ET299" i="2"/>
  <c r="ET266" i="2"/>
  <c r="ET262" i="2"/>
  <c r="ET260" i="2"/>
  <c r="ET340" i="2"/>
  <c r="ET264" i="2"/>
  <c r="ET258" i="2"/>
  <c r="ET256" i="2"/>
  <c r="ET275" i="2"/>
  <c r="ET268" i="2"/>
  <c r="ET254" i="2"/>
  <c r="ET252" i="2"/>
  <c r="ET250" i="2"/>
  <c r="ET248" i="2"/>
  <c r="ET246" i="2"/>
  <c r="ET244" i="2"/>
  <c r="ET225" i="2"/>
  <c r="ET273" i="2"/>
  <c r="ET242" i="2"/>
  <c r="ET240" i="2"/>
  <c r="ET238" i="2"/>
  <c r="ET274" i="2"/>
  <c r="ET272" i="2"/>
  <c r="ET263" i="2"/>
  <c r="ET261" i="2"/>
  <c r="ET304" i="2"/>
  <c r="ET259" i="2"/>
  <c r="ET257" i="2"/>
  <c r="ET276" i="2"/>
  <c r="ET270" i="2"/>
  <c r="ET233" i="2"/>
  <c r="ET221" i="2"/>
  <c r="ET216" i="2"/>
  <c r="ET207" i="2"/>
  <c r="ET243" i="2"/>
  <c r="ET255" i="2"/>
  <c r="ET251" i="2"/>
  <c r="ET247" i="2"/>
  <c r="ET236" i="2"/>
  <c r="ET214" i="2"/>
  <c r="ET212" i="2"/>
  <c r="ET203" i="2"/>
  <c r="ET201" i="2"/>
  <c r="ET199" i="2"/>
  <c r="ET197" i="2"/>
  <c r="ET195" i="2"/>
  <c r="ET193" i="2"/>
  <c r="ET191" i="2"/>
  <c r="ET189" i="2"/>
  <c r="ET245" i="2"/>
  <c r="ET239" i="2"/>
  <c r="ET222" i="2"/>
  <c r="ET219" i="2"/>
  <c r="ET218" i="2"/>
  <c r="ET208" i="2"/>
  <c r="ET253" i="2"/>
  <c r="ET249" i="2"/>
  <c r="ET241" i="2"/>
  <c r="ET237" i="2"/>
  <c r="ET232" i="2"/>
  <c r="ET226" i="2"/>
  <c r="ET220" i="2"/>
  <c r="ET211" i="2"/>
  <c r="ET206" i="2"/>
  <c r="ET200" i="2"/>
  <c r="ET187" i="2"/>
  <c r="ET185" i="2"/>
  <c r="ET183" i="2"/>
  <c r="ET181" i="2"/>
  <c r="ET179" i="2"/>
  <c r="ET177" i="2"/>
  <c r="ET169" i="2"/>
  <c r="ET163" i="2"/>
  <c r="ET161" i="2"/>
  <c r="ET154" i="2"/>
  <c r="ET224" i="2"/>
  <c r="ET168" i="2"/>
  <c r="ET166" i="2"/>
  <c r="ET155" i="2"/>
  <c r="ET142" i="2"/>
  <c r="ET140" i="2"/>
  <c r="ET231" i="2"/>
  <c r="ET204" i="2"/>
  <c r="ET190" i="2"/>
  <c r="ET158" i="2"/>
  <c r="ET151" i="2"/>
  <c r="ET149" i="2"/>
  <c r="ET147" i="2"/>
  <c r="ET145" i="2"/>
  <c r="ET138" i="2"/>
  <c r="ET136" i="2"/>
  <c r="ET223" i="2"/>
  <c r="ET196" i="2"/>
  <c r="ET227" i="2"/>
  <c r="ET175" i="2"/>
  <c r="ET173" i="2"/>
  <c r="ET171" i="2"/>
  <c r="ET134" i="2"/>
  <c r="ET198" i="2"/>
  <c r="ET194" i="2"/>
  <c r="ET186" i="2"/>
  <c r="ET184" i="2"/>
  <c r="ET182" i="2"/>
  <c r="ET180" i="2"/>
  <c r="ET178" i="2"/>
  <c r="ET164" i="2"/>
  <c r="ET162" i="2"/>
  <c r="ET160" i="2"/>
  <c r="ET213" i="2"/>
  <c r="ET205" i="2"/>
  <c r="ET192" i="2"/>
  <c r="ET188" i="2"/>
  <c r="ET167" i="2"/>
  <c r="ET165" i="2"/>
  <c r="ET156" i="2"/>
  <c r="ET143" i="2"/>
  <c r="ET141" i="2"/>
  <c r="ET139" i="2"/>
  <c r="ET228" i="2"/>
  <c r="ET202" i="2"/>
  <c r="ET176" i="2"/>
  <c r="ET174" i="2"/>
  <c r="ET172" i="2"/>
  <c r="ET170" i="2"/>
  <c r="ET153" i="2"/>
  <c r="ET107" i="2"/>
  <c r="ET99" i="2"/>
  <c r="ET97" i="2"/>
  <c r="ET144" i="2"/>
  <c r="ET132" i="2"/>
  <c r="ET128" i="2"/>
  <c r="ET126" i="2"/>
  <c r="ET102" i="2"/>
  <c r="ET100" i="2"/>
  <c r="ET94" i="2"/>
  <c r="ET92" i="2"/>
  <c r="ET90" i="2"/>
  <c r="ET88" i="2"/>
  <c r="ET86" i="2"/>
  <c r="ET75" i="2"/>
  <c r="ET133" i="2"/>
  <c r="ET114" i="2"/>
  <c r="ET103" i="2"/>
  <c r="ET84" i="2"/>
  <c r="ET82" i="2"/>
  <c r="ET80" i="2"/>
  <c r="ET78" i="2"/>
  <c r="ET76" i="2"/>
  <c r="ET157" i="2"/>
  <c r="ET131" i="2"/>
  <c r="ET124" i="2"/>
  <c r="ET122" i="2"/>
  <c r="ET111" i="2"/>
  <c r="ET108" i="2"/>
  <c r="ET104" i="2"/>
  <c r="ET118" i="2"/>
  <c r="ET109" i="2"/>
  <c r="ET105" i="2"/>
  <c r="ET137" i="2"/>
  <c r="ET130" i="2"/>
  <c r="ET119" i="2"/>
  <c r="ET106" i="2"/>
  <c r="ET98" i="2"/>
  <c r="ET152" i="2"/>
  <c r="ET150" i="2"/>
  <c r="ET127" i="2"/>
  <c r="ET101" i="2"/>
  <c r="ET95" i="2"/>
  <c r="ET91" i="2"/>
  <c r="ET89" i="2"/>
  <c r="ET87" i="2"/>
  <c r="ET74" i="2"/>
  <c r="ET58" i="2"/>
  <c r="ET79" i="2"/>
  <c r="ET65" i="2"/>
  <c r="ET64" i="2"/>
  <c r="ET52" i="2"/>
  <c r="ET146" i="2"/>
  <c r="ET110" i="2"/>
  <c r="ET63" i="2"/>
  <c r="ET62" i="2"/>
  <c r="ET34" i="2"/>
  <c r="ET31" i="2"/>
  <c r="ET113" i="2"/>
  <c r="ET61" i="2"/>
  <c r="ET60" i="2"/>
  <c r="ET54" i="2"/>
  <c r="ET40" i="2"/>
  <c r="ET39" i="2"/>
  <c r="ET129" i="2"/>
  <c r="ET125" i="2"/>
  <c r="ET123" i="2"/>
  <c r="ET121" i="2"/>
  <c r="ET115" i="2"/>
  <c r="ET81" i="2"/>
  <c r="ET59" i="2"/>
  <c r="ET53" i="2"/>
  <c r="ET148" i="2"/>
  <c r="ET57" i="2"/>
  <c r="ET47" i="2"/>
  <c r="ET46" i="2"/>
  <c r="ET83" i="2"/>
  <c r="ET70" i="2"/>
  <c r="ET55" i="2"/>
  <c r="ET37" i="2"/>
  <c r="ET35" i="2"/>
  <c r="ET96" i="2"/>
  <c r="ET73" i="2"/>
  <c r="ET72" i="2"/>
  <c r="ET50" i="2"/>
  <c r="ET48" i="2"/>
  <c r="ET45" i="2"/>
  <c r="GD625" i="2"/>
  <c r="GD622" i="2"/>
  <c r="GD617" i="2"/>
  <c r="GD615" i="2"/>
  <c r="GD630" i="2"/>
  <c r="GD628" i="2"/>
  <c r="GD631" i="2"/>
  <c r="GD618" i="2"/>
  <c r="GD616" i="2"/>
  <c r="GD612" i="2"/>
  <c r="GD610" i="2"/>
  <c r="GD608" i="2"/>
  <c r="GD623" i="2"/>
  <c r="GD619" i="2"/>
  <c r="GD629" i="2"/>
  <c r="GD621" i="2"/>
  <c r="GD627" i="2"/>
  <c r="GD626" i="2"/>
  <c r="GD620" i="2"/>
  <c r="GD611" i="2"/>
  <c r="GD606" i="2"/>
  <c r="GD604" i="2"/>
  <c r="GD602" i="2"/>
  <c r="GD599" i="2"/>
  <c r="GD597" i="2"/>
  <c r="GD595" i="2"/>
  <c r="GD593" i="2"/>
  <c r="GD609" i="2"/>
  <c r="GD624" i="2"/>
  <c r="GD614" i="2"/>
  <c r="GD613" i="2"/>
  <c r="GD584" i="2"/>
  <c r="GD583" i="2"/>
  <c r="GD607" i="2"/>
  <c r="GD600" i="2"/>
  <c r="GD598" i="2"/>
  <c r="GD592" i="2"/>
  <c r="GD591" i="2"/>
  <c r="GD582" i="2"/>
  <c r="GD581" i="2"/>
  <c r="GD603" i="2"/>
  <c r="GD594" i="2"/>
  <c r="GD590" i="2"/>
  <c r="GD589" i="2"/>
  <c r="GD588" i="2"/>
  <c r="GD587" i="2"/>
  <c r="GD605" i="2"/>
  <c r="GD579" i="2"/>
  <c r="GD562" i="2"/>
  <c r="GD558" i="2"/>
  <c r="GD556" i="2"/>
  <c r="GD586" i="2"/>
  <c r="GD585" i="2"/>
  <c r="GD574" i="2"/>
  <c r="GD572" i="2"/>
  <c r="GD570" i="2"/>
  <c r="GD568" i="2"/>
  <c r="GD596" i="2"/>
  <c r="GD566" i="2"/>
  <c r="GD575" i="2"/>
  <c r="GD578" i="2"/>
  <c r="GD552" i="2"/>
  <c r="GD551" i="2"/>
  <c r="GD542" i="2"/>
  <c r="GD573" i="2"/>
  <c r="GD550" i="2"/>
  <c r="GD564" i="2"/>
  <c r="GD557" i="2"/>
  <c r="GD549" i="2"/>
  <c r="GD547" i="2"/>
  <c r="GD545" i="2"/>
  <c r="GD580" i="2"/>
  <c r="GD571" i="2"/>
  <c r="GD563" i="2"/>
  <c r="GD555" i="2"/>
  <c r="GD577" i="2"/>
  <c r="GD576" i="2"/>
  <c r="GD559" i="2"/>
  <c r="GD565" i="2"/>
  <c r="GD561" i="2"/>
  <c r="GD534" i="2"/>
  <c r="GD546" i="2"/>
  <c r="GD544" i="2"/>
  <c r="GD553" i="2"/>
  <c r="GD536" i="2"/>
  <c r="GD535" i="2"/>
  <c r="GD548" i="2"/>
  <c r="GD537" i="2"/>
  <c r="GD541" i="2"/>
  <c r="GD538" i="2"/>
  <c r="GD567" i="2"/>
  <c r="GD569" i="2"/>
  <c r="GD539" i="2"/>
  <c r="GD530" i="2"/>
  <c r="GD518" i="2"/>
  <c r="GD514" i="2"/>
  <c r="GD533" i="2"/>
  <c r="GD531" i="2"/>
  <c r="GD528" i="2"/>
  <c r="GD525" i="2"/>
  <c r="GD524" i="2"/>
  <c r="GD519" i="2"/>
  <c r="GD515" i="2"/>
  <c r="GD505" i="2"/>
  <c r="GD502" i="2"/>
  <c r="GD500" i="2"/>
  <c r="GD540" i="2"/>
  <c r="GD529" i="2"/>
  <c r="GD513" i="2"/>
  <c r="GD532" i="2"/>
  <c r="GD521" i="2"/>
  <c r="GD517" i="2"/>
  <c r="GD508" i="2"/>
  <c r="GD494" i="2"/>
  <c r="GD511" i="2"/>
  <c r="GD498" i="2"/>
  <c r="GD475" i="2"/>
  <c r="GD473" i="2"/>
  <c r="GD471" i="2"/>
  <c r="GD509" i="2"/>
  <c r="GD506" i="2"/>
  <c r="GD503" i="2"/>
  <c r="GD492" i="2"/>
  <c r="GD486" i="2"/>
  <c r="GD523" i="2"/>
  <c r="GD522" i="2"/>
  <c r="GD499" i="2"/>
  <c r="GD489" i="2"/>
  <c r="GD487" i="2"/>
  <c r="GD469" i="2"/>
  <c r="GD527" i="2"/>
  <c r="GD526" i="2"/>
  <c r="GD507" i="2"/>
  <c r="GD484" i="2"/>
  <c r="GD482" i="2"/>
  <c r="GD480" i="2"/>
  <c r="GD516" i="2"/>
  <c r="GD512" i="2"/>
  <c r="GD497" i="2"/>
  <c r="GD483" i="2"/>
  <c r="GD496" i="2"/>
  <c r="GD493" i="2"/>
  <c r="GD478" i="2"/>
  <c r="GD468" i="2"/>
  <c r="GD462" i="2"/>
  <c r="GD446" i="2"/>
  <c r="GD453" i="2"/>
  <c r="GD451" i="2"/>
  <c r="GD447" i="2"/>
  <c r="GD495" i="2"/>
  <c r="GD481" i="2"/>
  <c r="GD464" i="2"/>
  <c r="GD461" i="2"/>
  <c r="GD459" i="2"/>
  <c r="GD452" i="2"/>
  <c r="GD450" i="2"/>
  <c r="GD448" i="2"/>
  <c r="GD443" i="2"/>
  <c r="GD490" i="2"/>
  <c r="GD488" i="2"/>
  <c r="GD465" i="2"/>
  <c r="GD456" i="2"/>
  <c r="GD454" i="2"/>
  <c r="GD504" i="2"/>
  <c r="GD510" i="2"/>
  <c r="GD477" i="2"/>
  <c r="GD472" i="2"/>
  <c r="GD470" i="2"/>
  <c r="GD520" i="2"/>
  <c r="GD501" i="2"/>
  <c r="GD491" i="2"/>
  <c r="GD479" i="2"/>
  <c r="GD476" i="2"/>
  <c r="GD474" i="2"/>
  <c r="GD466" i="2"/>
  <c r="GD467" i="2"/>
  <c r="GD449" i="2"/>
  <c r="GD437" i="2"/>
  <c r="GD427" i="2"/>
  <c r="GD460" i="2"/>
  <c r="GD457" i="2"/>
  <c r="GD440" i="2"/>
  <c r="GD428" i="2"/>
  <c r="GD420" i="2"/>
  <c r="GD433" i="2"/>
  <c r="GD431" i="2"/>
  <c r="GD429" i="2"/>
  <c r="GD423" i="2"/>
  <c r="GD421" i="2"/>
  <c r="GD413" i="2"/>
  <c r="GD434" i="2"/>
  <c r="GD463" i="2"/>
  <c r="GD435" i="2"/>
  <c r="GD438" i="2"/>
  <c r="GD445" i="2"/>
  <c r="GD442" i="2"/>
  <c r="GD441" i="2"/>
  <c r="GD439" i="2"/>
  <c r="GD458" i="2"/>
  <c r="GD455" i="2"/>
  <c r="GD424" i="2"/>
  <c r="GD404" i="2"/>
  <c r="GD402" i="2"/>
  <c r="GD400" i="2"/>
  <c r="GD392" i="2"/>
  <c r="GD416" i="2"/>
  <c r="GD407" i="2"/>
  <c r="GD405" i="2"/>
  <c r="GD395" i="2"/>
  <c r="GD393" i="2"/>
  <c r="GD388" i="2"/>
  <c r="GD410" i="2"/>
  <c r="GD408" i="2"/>
  <c r="GD389" i="2"/>
  <c r="GD430" i="2"/>
  <c r="GD426" i="2"/>
  <c r="GD418" i="2"/>
  <c r="GD417" i="2"/>
  <c r="GD403" i="2"/>
  <c r="GD401" i="2"/>
  <c r="GD399" i="2"/>
  <c r="GD384" i="2"/>
  <c r="GD406" i="2"/>
  <c r="GD396" i="2"/>
  <c r="GD394" i="2"/>
  <c r="GD387" i="2"/>
  <c r="GD376" i="2"/>
  <c r="GD377" i="2"/>
  <c r="GD361" i="2"/>
  <c r="GD412" i="2"/>
  <c r="GD382" i="2"/>
  <c r="GD381" i="2"/>
  <c r="GD371" i="2"/>
  <c r="GD368" i="2"/>
  <c r="GD366" i="2"/>
  <c r="GD425" i="2"/>
  <c r="GD397" i="2"/>
  <c r="GD374" i="2"/>
  <c r="GD372" i="2"/>
  <c r="GD411" i="2"/>
  <c r="GD409" i="2"/>
  <c r="GD383" i="2"/>
  <c r="GD369" i="2"/>
  <c r="GD362" i="2"/>
  <c r="GD432" i="2"/>
  <c r="GD422" i="2"/>
  <c r="GD356" i="2"/>
  <c r="GD391" i="2"/>
  <c r="GD378" i="2"/>
  <c r="GD364" i="2"/>
  <c r="GD419" i="2"/>
  <c r="GD415" i="2"/>
  <c r="GD385" i="2"/>
  <c r="GD380" i="2"/>
  <c r="GD373" i="2"/>
  <c r="GD436" i="2"/>
  <c r="GD414" i="2"/>
  <c r="GD375" i="2"/>
  <c r="GD343" i="2"/>
  <c r="GD331" i="2"/>
  <c r="GD370" i="2"/>
  <c r="GD352" i="2"/>
  <c r="GD330" i="2"/>
  <c r="GD328" i="2"/>
  <c r="GD365" i="2"/>
  <c r="GD345" i="2"/>
  <c r="GD340" i="2"/>
  <c r="GD333" i="2"/>
  <c r="GD355" i="2"/>
  <c r="GD353" i="2"/>
  <c r="GD351" i="2"/>
  <c r="GD350" i="2"/>
  <c r="GD344" i="2"/>
  <c r="GD341" i="2"/>
  <c r="GD338" i="2"/>
  <c r="GD336" i="2"/>
  <c r="GD386" i="2"/>
  <c r="GD367" i="2"/>
  <c r="GD342" i="2"/>
  <c r="GD379" i="2"/>
  <c r="GD349" i="2"/>
  <c r="GD348" i="2"/>
  <c r="GD390" i="2"/>
  <c r="GD360" i="2"/>
  <c r="GD354" i="2"/>
  <c r="GD337" i="2"/>
  <c r="GD335" i="2"/>
  <c r="GD363" i="2"/>
  <c r="GD347" i="2"/>
  <c r="GD326" i="2"/>
  <c r="GD310" i="2"/>
  <c r="GD306" i="2"/>
  <c r="GD332" i="2"/>
  <c r="GD327" i="2"/>
  <c r="GD325" i="2"/>
  <c r="GD324" i="2"/>
  <c r="GD308" i="2"/>
  <c r="GD323" i="2"/>
  <c r="GD322" i="2"/>
  <c r="GD315" i="2"/>
  <c r="GD313" i="2"/>
  <c r="GD318" i="2"/>
  <c r="GD334" i="2"/>
  <c r="GD321" i="2"/>
  <c r="GD320" i="2"/>
  <c r="GD358" i="2"/>
  <c r="GD357" i="2"/>
  <c r="GD339" i="2"/>
  <c r="GD319" i="2"/>
  <c r="GD346" i="2"/>
  <c r="GD329" i="2"/>
  <c r="GD317" i="2"/>
  <c r="GD309" i="2"/>
  <c r="GD297" i="2"/>
  <c r="GD293" i="2"/>
  <c r="GD291" i="2"/>
  <c r="GD272" i="2"/>
  <c r="GD312" i="2"/>
  <c r="GD303" i="2"/>
  <c r="GD296" i="2"/>
  <c r="GD301" i="2"/>
  <c r="GD302" i="2"/>
  <c r="GD286" i="2"/>
  <c r="GD284" i="2"/>
  <c r="GD282" i="2"/>
  <c r="GD280" i="2"/>
  <c r="GD278" i="2"/>
  <c r="GD314" i="2"/>
  <c r="GD304" i="2"/>
  <c r="GD299" i="2"/>
  <c r="GD294" i="2"/>
  <c r="GD292" i="2"/>
  <c r="GD290" i="2"/>
  <c r="GD288" i="2"/>
  <c r="GD311" i="2"/>
  <c r="GD307" i="2"/>
  <c r="GD300" i="2"/>
  <c r="GD287" i="2"/>
  <c r="GD242" i="2"/>
  <c r="GD240" i="2"/>
  <c r="GD238" i="2"/>
  <c r="GD232" i="2"/>
  <c r="GD229" i="2"/>
  <c r="GD228" i="2"/>
  <c r="GD276" i="2"/>
  <c r="GD268" i="2"/>
  <c r="GD263" i="2"/>
  <c r="GD261" i="2"/>
  <c r="GD305" i="2"/>
  <c r="GD281" i="2"/>
  <c r="GD259" i="2"/>
  <c r="GD257" i="2"/>
  <c r="GD236" i="2"/>
  <c r="GD271" i="2"/>
  <c r="GD255" i="2"/>
  <c r="GD253" i="2"/>
  <c r="GD251" i="2"/>
  <c r="GD249" i="2"/>
  <c r="GD247" i="2"/>
  <c r="GD245" i="2"/>
  <c r="GD295" i="2"/>
  <c r="GD275" i="2"/>
  <c r="GD243" i="2"/>
  <c r="GD283" i="2"/>
  <c r="GD277" i="2"/>
  <c r="GD274" i="2"/>
  <c r="GD273" i="2"/>
  <c r="GD316" i="2"/>
  <c r="GD269" i="2"/>
  <c r="GD262" i="2"/>
  <c r="GD260" i="2"/>
  <c r="GD289" i="2"/>
  <c r="GD285" i="2"/>
  <c r="GD279" i="2"/>
  <c r="GD267" i="2"/>
  <c r="GD265" i="2"/>
  <c r="GD264" i="2"/>
  <c r="GD235" i="2"/>
  <c r="GD233" i="2"/>
  <c r="GD225" i="2"/>
  <c r="GD222" i="2"/>
  <c r="GD219" i="2"/>
  <c r="GD218" i="2"/>
  <c r="GD208" i="2"/>
  <c r="GD256" i="2"/>
  <c r="GD217" i="2"/>
  <c r="GD209" i="2"/>
  <c r="GD252" i="2"/>
  <c r="GD248" i="2"/>
  <c r="GD224" i="2"/>
  <c r="GD213" i="2"/>
  <c r="GD210" i="2"/>
  <c r="GD204" i="2"/>
  <c r="GD202" i="2"/>
  <c r="GD200" i="2"/>
  <c r="GD198" i="2"/>
  <c r="GD270" i="2"/>
  <c r="GD244" i="2"/>
  <c r="GD230" i="2"/>
  <c r="GD223" i="2"/>
  <c r="GD205" i="2"/>
  <c r="GD258" i="2"/>
  <c r="GD231" i="2"/>
  <c r="GD227" i="2"/>
  <c r="GD220" i="2"/>
  <c r="GD211" i="2"/>
  <c r="GD206" i="2"/>
  <c r="GD239" i="2"/>
  <c r="GD221" i="2"/>
  <c r="GD216" i="2"/>
  <c r="GD207" i="2"/>
  <c r="GD237" i="2"/>
  <c r="GD254" i="2"/>
  <c r="GD250" i="2"/>
  <c r="GD246" i="2"/>
  <c r="GD241" i="2"/>
  <c r="GD266" i="2"/>
  <c r="GD234" i="2"/>
  <c r="GD197" i="2"/>
  <c r="GD175" i="2"/>
  <c r="GD173" i="2"/>
  <c r="GD171" i="2"/>
  <c r="GD186" i="2"/>
  <c r="GD184" i="2"/>
  <c r="GD182" i="2"/>
  <c r="GD180" i="2"/>
  <c r="GD178" i="2"/>
  <c r="GD164" i="2"/>
  <c r="GD162" i="2"/>
  <c r="GD160" i="2"/>
  <c r="GD215" i="2"/>
  <c r="GD167" i="2"/>
  <c r="GD165" i="2"/>
  <c r="GD156" i="2"/>
  <c r="GD143" i="2"/>
  <c r="GD141" i="2"/>
  <c r="GD139" i="2"/>
  <c r="GD212" i="2"/>
  <c r="GD157" i="2"/>
  <c r="GD152" i="2"/>
  <c r="GD196" i="2"/>
  <c r="GD194" i="2"/>
  <c r="GD193" i="2"/>
  <c r="GD192" i="2"/>
  <c r="GD189" i="2"/>
  <c r="GD188" i="2"/>
  <c r="GD135" i="2"/>
  <c r="GD214" i="2"/>
  <c r="GD201" i="2"/>
  <c r="GD191" i="2"/>
  <c r="GD176" i="2"/>
  <c r="GD174" i="2"/>
  <c r="GD172" i="2"/>
  <c r="GD170" i="2"/>
  <c r="GD153" i="2"/>
  <c r="GD144" i="2"/>
  <c r="GD187" i="2"/>
  <c r="GD185" i="2"/>
  <c r="GD183" i="2"/>
  <c r="GD181" i="2"/>
  <c r="GD179" i="2"/>
  <c r="GD177" i="2"/>
  <c r="GD169" i="2"/>
  <c r="GD163" i="2"/>
  <c r="GD161" i="2"/>
  <c r="GD154" i="2"/>
  <c r="GD199" i="2"/>
  <c r="GD203" i="2"/>
  <c r="GD226" i="2"/>
  <c r="GD195" i="2"/>
  <c r="GD190" i="2"/>
  <c r="GD159" i="2"/>
  <c r="GD138" i="2"/>
  <c r="GD118" i="2"/>
  <c r="GD109" i="2"/>
  <c r="GD105" i="2"/>
  <c r="GD140" i="2"/>
  <c r="GD131" i="2"/>
  <c r="GD119" i="2"/>
  <c r="GD106" i="2"/>
  <c r="GD98" i="2"/>
  <c r="GD151" i="2"/>
  <c r="GD133" i="2"/>
  <c r="GD130" i="2"/>
  <c r="GD127" i="2"/>
  <c r="GD112" i="2"/>
  <c r="GD101" i="2"/>
  <c r="GD95" i="2"/>
  <c r="GD91" i="2"/>
  <c r="GD89" i="2"/>
  <c r="GD87" i="2"/>
  <c r="GD74" i="2"/>
  <c r="GD150" i="2"/>
  <c r="GD149" i="2"/>
  <c r="GD116" i="2"/>
  <c r="GD115" i="2"/>
  <c r="GD113" i="2"/>
  <c r="GD85" i="2"/>
  <c r="GD83" i="2"/>
  <c r="GD81" i="2"/>
  <c r="GD79" i="2"/>
  <c r="GD77" i="2"/>
  <c r="GD168" i="2"/>
  <c r="GD166" i="2"/>
  <c r="GD148" i="2"/>
  <c r="GD147" i="2"/>
  <c r="GD145" i="2"/>
  <c r="GD134" i="2"/>
  <c r="GD125" i="2"/>
  <c r="GD123" i="2"/>
  <c r="GD121" i="2"/>
  <c r="GD146" i="2"/>
  <c r="GD142" i="2"/>
  <c r="GD129" i="2"/>
  <c r="GD110" i="2"/>
  <c r="GD96" i="2"/>
  <c r="GD107" i="2"/>
  <c r="GD99" i="2"/>
  <c r="GD97" i="2"/>
  <c r="GD93" i="2"/>
  <c r="GD70" i="2"/>
  <c r="GD114" i="2"/>
  <c r="GD102" i="2"/>
  <c r="GD94" i="2"/>
  <c r="GD88" i="2"/>
  <c r="GD61" i="2"/>
  <c r="GD60" i="2"/>
  <c r="GD47" i="2"/>
  <c r="GD46" i="2"/>
  <c r="GD155" i="2"/>
  <c r="GD120" i="2"/>
  <c r="GD82" i="2"/>
  <c r="GD59" i="2"/>
  <c r="GD57" i="2"/>
  <c r="GD55" i="2"/>
  <c r="GD37" i="2"/>
  <c r="GD35" i="2"/>
  <c r="GD32" i="2"/>
  <c r="GD29" i="2"/>
  <c r="GD90" i="2"/>
  <c r="GD76" i="2"/>
  <c r="GD50" i="2"/>
  <c r="GD48" i="2"/>
  <c r="GD45" i="2"/>
  <c r="GD132" i="2"/>
  <c r="GD124" i="2"/>
  <c r="GD122" i="2"/>
  <c r="GD51" i="2"/>
  <c r="GD38" i="2"/>
  <c r="GD36" i="2"/>
  <c r="GD92" i="2"/>
  <c r="GD84" i="2"/>
  <c r="GD72" i="2"/>
  <c r="GD69" i="2"/>
  <c r="GD137" i="2"/>
  <c r="GD73" i="2"/>
  <c r="GD49" i="2"/>
  <c r="GD44" i="2"/>
  <c r="GD43" i="2"/>
  <c r="GD42" i="2"/>
  <c r="GD41" i="2"/>
  <c r="GD104" i="2"/>
  <c r="GD78" i="2"/>
  <c r="GD75" i="2"/>
  <c r="GD68" i="2"/>
  <c r="GD58" i="2"/>
  <c r="GD56" i="2"/>
  <c r="GD52" i="2"/>
  <c r="GC5" i="2"/>
  <c r="EU6" i="2"/>
  <c r="GA6" i="2"/>
  <c r="EI7" i="2"/>
  <c r="ES7" i="2"/>
  <c r="EQ8" i="2"/>
  <c r="FW8" i="2"/>
  <c r="EO9" i="2"/>
  <c r="GE9" i="2"/>
  <c r="GC10" i="2"/>
  <c r="GC11" i="2"/>
  <c r="EU12" i="2"/>
  <c r="GA12" i="2"/>
  <c r="EI13" i="2"/>
  <c r="ES13" i="2"/>
  <c r="EQ14" i="2"/>
  <c r="FW14" i="2"/>
  <c r="DS15" i="2"/>
  <c r="EL15" i="2" s="1"/>
  <c r="EC15" i="2"/>
  <c r="EV15" i="2" s="1"/>
  <c r="EN15" i="2"/>
  <c r="GD15" i="2"/>
  <c r="GC16" i="2"/>
  <c r="GC17" i="2"/>
  <c r="EQ18" i="2"/>
  <c r="FW18" i="2"/>
  <c r="EQ19" i="2"/>
  <c r="FW19" i="2"/>
  <c r="DW20" i="2"/>
  <c r="EP20" i="2" s="1"/>
  <c r="ER20" i="2"/>
  <c r="EQ21" i="2"/>
  <c r="FW21" i="2"/>
  <c r="BG22" i="2"/>
  <c r="FW22" i="2"/>
  <c r="EQ23" i="2"/>
  <c r="FW23" i="2"/>
  <c r="EO24" i="2"/>
  <c r="GE24" i="2"/>
  <c r="EH25" i="2"/>
  <c r="FA25" i="2" s="1"/>
  <c r="AL25" i="2"/>
  <c r="DX25" i="2"/>
  <c r="EQ25" i="2" s="1"/>
  <c r="EU25" i="2"/>
  <c r="GO25" i="2"/>
  <c r="DT26" i="2"/>
  <c r="EM26" i="2" s="1"/>
  <c r="BD27" i="2"/>
  <c r="DU27" i="2"/>
  <c r="EN27" i="2" s="1"/>
  <c r="EG27" i="2"/>
  <c r="EZ27" i="2" s="1"/>
  <c r="ES27" i="2"/>
  <c r="FZ27" i="2"/>
  <c r="FW28" i="2"/>
  <c r="EV29" i="2"/>
  <c r="GF29" i="2"/>
  <c r="ES30" i="2"/>
  <c r="GC30" i="2"/>
  <c r="EG31" i="2"/>
  <c r="EZ31" i="2" s="1"/>
  <c r="EU31" i="2"/>
  <c r="GC31" i="2"/>
  <c r="AK32" i="2"/>
  <c r="DQ32" i="2"/>
  <c r="EJ32" i="2" s="1"/>
  <c r="EU32" i="2"/>
  <c r="GF32" i="2"/>
  <c r="FV33" i="2"/>
  <c r="DR34" i="2"/>
  <c r="EK34" i="2" s="1"/>
  <c r="ER34" i="2"/>
  <c r="FW35" i="2"/>
  <c r="ET38" i="2"/>
  <c r="EU42" i="2"/>
  <c r="FV46" i="2"/>
  <c r="ER48" i="2"/>
  <c r="HC48" i="2"/>
  <c r="GA49" i="2"/>
  <c r="ES50" i="2"/>
  <c r="FW50" i="2"/>
  <c r="GD54" i="2"/>
  <c r="ES58" i="2"/>
  <c r="GP58" i="2"/>
  <c r="GQ58" i="2" s="1"/>
  <c r="EN59" i="2"/>
  <c r="EV62" i="2"/>
  <c r="ET66" i="2"/>
  <c r="ET67" i="2"/>
  <c r="ES68" i="2"/>
  <c r="EQ69" i="2"/>
  <c r="CW71" i="2"/>
  <c r="FI71" i="2" s="1"/>
  <c r="GB71" i="2" s="1"/>
  <c r="ET71" i="2"/>
  <c r="HB71" i="2"/>
  <c r="EN82" i="2"/>
  <c r="GA97" i="2"/>
  <c r="GD100" i="2"/>
  <c r="GA107" i="2"/>
  <c r="GF109" i="2"/>
  <c r="EI115" i="2"/>
  <c r="GR115" i="2" s="1"/>
  <c r="GS115" i="2" s="1"/>
  <c r="EN124" i="2"/>
  <c r="GD136" i="2"/>
  <c r="EN137" i="2"/>
  <c r="EN150" i="2"/>
  <c r="EU631" i="2"/>
  <c r="EU623" i="2"/>
  <c r="EU621" i="2"/>
  <c r="EU618" i="2"/>
  <c r="EU629" i="2"/>
  <c r="EU627" i="2"/>
  <c r="EU628" i="2"/>
  <c r="EU614" i="2"/>
  <c r="EU611" i="2"/>
  <c r="EU609" i="2"/>
  <c r="EU607" i="2"/>
  <c r="EU613" i="2"/>
  <c r="EU616" i="2"/>
  <c r="EU619" i="2"/>
  <c r="EU630" i="2"/>
  <c r="EU626" i="2"/>
  <c r="EU620" i="2"/>
  <c r="EU605" i="2"/>
  <c r="EU603" i="2"/>
  <c r="EU615" i="2"/>
  <c r="EU608" i="2"/>
  <c r="EU617" i="2"/>
  <c r="EU612" i="2"/>
  <c r="EU601" i="2"/>
  <c r="EU606" i="2"/>
  <c r="EU604" i="2"/>
  <c r="EU602" i="2"/>
  <c r="EU622" i="2"/>
  <c r="EU599" i="2"/>
  <c r="EU610" i="2"/>
  <c r="EU598" i="2"/>
  <c r="EU585" i="2"/>
  <c r="EU584" i="2"/>
  <c r="EU597" i="2"/>
  <c r="EU594" i="2"/>
  <c r="EU583" i="2"/>
  <c r="EU592" i="2"/>
  <c r="EU582" i="2"/>
  <c r="EU600" i="2"/>
  <c r="EU591" i="2"/>
  <c r="EU593" i="2"/>
  <c r="EU590" i="2"/>
  <c r="EU596" i="2"/>
  <c r="EU589" i="2"/>
  <c r="EU595" i="2"/>
  <c r="EU577" i="2"/>
  <c r="EU573" i="2"/>
  <c r="EU571" i="2"/>
  <c r="EU569" i="2"/>
  <c r="EU561" i="2"/>
  <c r="EU588" i="2"/>
  <c r="EU587" i="2"/>
  <c r="EU581" i="2"/>
  <c r="EU579" i="2"/>
  <c r="EU578" i="2"/>
  <c r="EU576" i="2"/>
  <c r="EU567" i="2"/>
  <c r="EU586" i="2"/>
  <c r="EU580" i="2"/>
  <c r="EU574" i="2"/>
  <c r="EU572" i="2"/>
  <c r="EU570" i="2"/>
  <c r="EU575" i="2"/>
  <c r="EU548" i="2"/>
  <c r="EU546" i="2"/>
  <c r="EU544" i="2"/>
  <c r="EU551" i="2"/>
  <c r="EU540" i="2"/>
  <c r="EU538" i="2"/>
  <c r="EU536" i="2"/>
  <c r="EU534" i="2"/>
  <c r="EU552" i="2"/>
  <c r="EU563" i="2"/>
  <c r="EU557" i="2"/>
  <c r="EU550" i="2"/>
  <c r="EU560" i="2"/>
  <c r="EU558" i="2"/>
  <c r="EU549" i="2"/>
  <c r="EU547" i="2"/>
  <c r="EU545" i="2"/>
  <c r="EU539" i="2"/>
  <c r="EU537" i="2"/>
  <c r="EU542" i="2"/>
  <c r="EU555" i="2"/>
  <c r="EU541" i="2"/>
  <c r="EU531" i="2"/>
  <c r="EU535" i="2"/>
  <c r="EU556" i="2"/>
  <c r="EU559" i="2"/>
  <c r="EU530" i="2"/>
  <c r="EU520" i="2"/>
  <c r="EU516" i="2"/>
  <c r="EU511" i="2"/>
  <c r="EU509" i="2"/>
  <c r="EU507" i="2"/>
  <c r="EU528" i="2"/>
  <c r="EU524" i="2"/>
  <c r="EU553" i="2"/>
  <c r="EU525" i="2"/>
  <c r="EU529" i="2"/>
  <c r="EU518" i="2"/>
  <c r="EU514" i="2"/>
  <c r="EU519" i="2"/>
  <c r="EU515" i="2"/>
  <c r="EU505" i="2"/>
  <c r="EU533" i="2"/>
  <c r="EU512" i="2"/>
  <c r="EU510" i="2"/>
  <c r="EU508" i="2"/>
  <c r="EU532" i="2"/>
  <c r="EU527" i="2"/>
  <c r="EU495" i="2"/>
  <c r="EU496" i="2"/>
  <c r="EU493" i="2"/>
  <c r="EU491" i="2"/>
  <c r="EU498" i="2"/>
  <c r="EU490" i="2"/>
  <c r="EU488" i="2"/>
  <c r="EU468" i="2"/>
  <c r="EU466" i="2"/>
  <c r="EU521" i="2"/>
  <c r="EU494" i="2"/>
  <c r="EU513" i="2"/>
  <c r="EU504" i="2"/>
  <c r="EU499" i="2"/>
  <c r="EU526" i="2"/>
  <c r="EU522" i="2"/>
  <c r="EU502" i="2"/>
  <c r="EU501" i="2"/>
  <c r="EU492" i="2"/>
  <c r="EU486" i="2"/>
  <c r="EU485" i="2"/>
  <c r="EU484" i="2"/>
  <c r="EU460" i="2"/>
  <c r="EU449" i="2"/>
  <c r="EU483" i="2"/>
  <c r="EU506" i="2"/>
  <c r="EU503" i="2"/>
  <c r="EU473" i="2"/>
  <c r="EU462" i="2"/>
  <c r="EU457" i="2"/>
  <c r="EU455" i="2"/>
  <c r="EU445" i="2"/>
  <c r="EU469" i="2"/>
  <c r="EU464" i="2"/>
  <c r="EU489" i="2"/>
  <c r="EU480" i="2"/>
  <c r="EU487" i="2"/>
  <c r="EU477" i="2"/>
  <c r="EU475" i="2"/>
  <c r="EU472" i="2"/>
  <c r="EU461" i="2"/>
  <c r="EU459" i="2"/>
  <c r="EU500" i="2"/>
  <c r="EU479" i="2"/>
  <c r="EU470" i="2"/>
  <c r="EU465" i="2"/>
  <c r="EU482" i="2"/>
  <c r="EU523" i="2"/>
  <c r="EU478" i="2"/>
  <c r="EU467" i="2"/>
  <c r="EU444" i="2"/>
  <c r="EU432" i="2"/>
  <c r="EU430" i="2"/>
  <c r="EU424" i="2"/>
  <c r="EU422" i="2"/>
  <c r="EU425" i="2"/>
  <c r="EU446" i="2"/>
  <c r="EU436" i="2"/>
  <c r="EU426" i="2"/>
  <c r="EU418" i="2"/>
  <c r="EU416" i="2"/>
  <c r="EU447" i="2"/>
  <c r="EU437" i="2"/>
  <c r="EU427" i="2"/>
  <c r="EU419" i="2"/>
  <c r="EU440" i="2"/>
  <c r="EU428" i="2"/>
  <c r="EU474" i="2"/>
  <c r="EU456" i="2"/>
  <c r="EU433" i="2"/>
  <c r="EU431" i="2"/>
  <c r="EU429" i="2"/>
  <c r="EU423" i="2"/>
  <c r="EU443" i="2"/>
  <c r="EU434" i="2"/>
  <c r="EU476" i="2"/>
  <c r="EU452" i="2"/>
  <c r="EU450" i="2"/>
  <c r="EU481" i="2"/>
  <c r="EU463" i="2"/>
  <c r="EU441" i="2"/>
  <c r="EU435" i="2"/>
  <c r="EU415" i="2"/>
  <c r="EU411" i="2"/>
  <c r="EU409" i="2"/>
  <c r="EU397" i="2"/>
  <c r="EU385" i="2"/>
  <c r="EU412" i="2"/>
  <c r="EU390" i="2"/>
  <c r="EU442" i="2"/>
  <c r="EU391" i="2"/>
  <c r="EU448" i="2"/>
  <c r="EU413" i="2"/>
  <c r="EU404" i="2"/>
  <c r="EU402" i="2"/>
  <c r="EU400" i="2"/>
  <c r="EU392" i="2"/>
  <c r="EU417" i="2"/>
  <c r="EU407" i="2"/>
  <c r="EU405" i="2"/>
  <c r="EU395" i="2"/>
  <c r="EU393" i="2"/>
  <c r="EU388" i="2"/>
  <c r="EU386" i="2"/>
  <c r="EU410" i="2"/>
  <c r="EU408" i="2"/>
  <c r="EU421" i="2"/>
  <c r="EU420" i="2"/>
  <c r="EU389" i="2"/>
  <c r="EU383" i="2"/>
  <c r="EU438" i="2"/>
  <c r="EU401" i="2"/>
  <c r="EU379" i="2"/>
  <c r="EU367" i="2"/>
  <c r="EU363" i="2"/>
  <c r="EU406" i="2"/>
  <c r="EU384" i="2"/>
  <c r="EU380" i="2"/>
  <c r="EU373" i="2"/>
  <c r="EU360" i="2"/>
  <c r="EU357" i="2"/>
  <c r="EU454" i="2"/>
  <c r="EU375" i="2"/>
  <c r="EU370" i="2"/>
  <c r="EU365" i="2"/>
  <c r="EU359" i="2"/>
  <c r="EU414" i="2"/>
  <c r="EU399" i="2"/>
  <c r="EU381" i="2"/>
  <c r="EU376" i="2"/>
  <c r="EU355" i="2"/>
  <c r="EU353" i="2"/>
  <c r="EU439" i="2"/>
  <c r="EU382" i="2"/>
  <c r="EU377" i="2"/>
  <c r="EU361" i="2"/>
  <c r="EU394" i="2"/>
  <c r="EU368" i="2"/>
  <c r="EU366" i="2"/>
  <c r="EU396" i="2"/>
  <c r="EU387" i="2"/>
  <c r="EU374" i="2"/>
  <c r="EU372" i="2"/>
  <c r="EU403" i="2"/>
  <c r="EU398" i="2"/>
  <c r="EU346" i="2"/>
  <c r="EU339" i="2"/>
  <c r="EU334" i="2"/>
  <c r="EU337" i="2"/>
  <c r="EU335" i="2"/>
  <c r="EU362" i="2"/>
  <c r="EU358" i="2"/>
  <c r="EU343" i="2"/>
  <c r="EU352" i="2"/>
  <c r="EU345" i="2"/>
  <c r="EU351" i="2"/>
  <c r="EU378" i="2"/>
  <c r="EU350" i="2"/>
  <c r="EU344" i="2"/>
  <c r="EU340" i="2"/>
  <c r="EU369" i="2"/>
  <c r="EU347" i="2"/>
  <c r="EU341" i="2"/>
  <c r="EU332" i="2"/>
  <c r="EU330" i="2"/>
  <c r="EU319" i="2"/>
  <c r="EU309" i="2"/>
  <c r="EU364" i="2"/>
  <c r="EU326" i="2"/>
  <c r="EU348" i="2"/>
  <c r="EU327" i="2"/>
  <c r="EU325" i="2"/>
  <c r="EU328" i="2"/>
  <c r="EU324" i="2"/>
  <c r="EU342" i="2"/>
  <c r="EU323" i="2"/>
  <c r="EU307" i="2"/>
  <c r="EU349" i="2"/>
  <c r="EU322" i="2"/>
  <c r="EU338" i="2"/>
  <c r="EU336" i="2"/>
  <c r="EU321" i="2"/>
  <c r="EU315" i="2"/>
  <c r="EU313" i="2"/>
  <c r="EU331" i="2"/>
  <c r="EU320" i="2"/>
  <c r="EU318" i="2"/>
  <c r="EU295" i="2"/>
  <c r="EU289" i="2"/>
  <c r="EU300" i="2"/>
  <c r="EU314" i="2"/>
  <c r="EU285" i="2"/>
  <c r="EU283" i="2"/>
  <c r="EU281" i="2"/>
  <c r="EU279" i="2"/>
  <c r="EU275" i="2"/>
  <c r="EU316" i="2"/>
  <c r="EU354" i="2"/>
  <c r="EU293" i="2"/>
  <c r="EU291" i="2"/>
  <c r="EU329" i="2"/>
  <c r="EU311" i="2"/>
  <c r="EU303" i="2"/>
  <c r="EU296" i="2"/>
  <c r="EU301" i="2"/>
  <c r="EU356" i="2"/>
  <c r="EU308" i="2"/>
  <c r="EU299" i="2"/>
  <c r="EU267" i="2"/>
  <c r="EU264" i="2"/>
  <c r="EU258" i="2"/>
  <c r="EU256" i="2"/>
  <c r="EU268" i="2"/>
  <c r="EU265" i="2"/>
  <c r="EU254" i="2"/>
  <c r="EU252" i="2"/>
  <c r="EU250" i="2"/>
  <c r="EU248" i="2"/>
  <c r="EU246" i="2"/>
  <c r="EU280" i="2"/>
  <c r="EU277" i="2"/>
  <c r="EU235" i="2"/>
  <c r="EU271" i="2"/>
  <c r="EU242" i="2"/>
  <c r="EU240" i="2"/>
  <c r="EU238" i="2"/>
  <c r="EU305" i="2"/>
  <c r="EU292" i="2"/>
  <c r="EU288" i="2"/>
  <c r="EU286" i="2"/>
  <c r="EU274" i="2"/>
  <c r="EU272" i="2"/>
  <c r="EU263" i="2"/>
  <c r="EU261" i="2"/>
  <c r="EU294" i="2"/>
  <c r="EU282" i="2"/>
  <c r="EU259" i="2"/>
  <c r="EU257" i="2"/>
  <c r="EU310" i="2"/>
  <c r="EU302" i="2"/>
  <c r="EU269" i="2"/>
  <c r="EU255" i="2"/>
  <c r="EU253" i="2"/>
  <c r="EU251" i="2"/>
  <c r="EU249" i="2"/>
  <c r="EU247" i="2"/>
  <c r="EU245" i="2"/>
  <c r="EU290" i="2"/>
  <c r="EU284" i="2"/>
  <c r="EU276" i="2"/>
  <c r="EU266" i="2"/>
  <c r="EU262" i="2"/>
  <c r="EU260" i="2"/>
  <c r="EU243" i="2"/>
  <c r="EU234" i="2"/>
  <c r="EU215" i="2"/>
  <c r="EU244" i="2"/>
  <c r="EU236" i="2"/>
  <c r="EU229" i="2"/>
  <c r="EU214" i="2"/>
  <c r="EU212" i="2"/>
  <c r="EU203" i="2"/>
  <c r="EU201" i="2"/>
  <c r="EU199" i="2"/>
  <c r="EU197" i="2"/>
  <c r="EU195" i="2"/>
  <c r="EU225" i="2"/>
  <c r="EU239" i="2"/>
  <c r="EU222" i="2"/>
  <c r="EU219" i="2"/>
  <c r="EU209" i="2"/>
  <c r="EU241" i="2"/>
  <c r="EU231" i="2"/>
  <c r="EU224" i="2"/>
  <c r="EU213" i="2"/>
  <c r="EU204" i="2"/>
  <c r="EU202" i="2"/>
  <c r="EU200" i="2"/>
  <c r="EU198" i="2"/>
  <c r="EU270" i="2"/>
  <c r="EU237" i="2"/>
  <c r="EU233" i="2"/>
  <c r="EU221" i="2"/>
  <c r="EU216" i="2"/>
  <c r="EU207" i="2"/>
  <c r="EU168" i="2"/>
  <c r="EU166" i="2"/>
  <c r="EU155" i="2"/>
  <c r="EU232" i="2"/>
  <c r="EU190" i="2"/>
  <c r="EU158" i="2"/>
  <c r="EU151" i="2"/>
  <c r="EU149" i="2"/>
  <c r="EU147" i="2"/>
  <c r="EU145" i="2"/>
  <c r="EU138" i="2"/>
  <c r="EU226" i="2"/>
  <c r="EU223" i="2"/>
  <c r="EU196" i="2"/>
  <c r="EU159" i="2"/>
  <c r="EU227" i="2"/>
  <c r="EU175" i="2"/>
  <c r="EU173" i="2"/>
  <c r="EU194" i="2"/>
  <c r="EU186" i="2"/>
  <c r="EU184" i="2"/>
  <c r="EU182" i="2"/>
  <c r="EU180" i="2"/>
  <c r="EU178" i="2"/>
  <c r="EU164" i="2"/>
  <c r="EU162" i="2"/>
  <c r="EU160" i="2"/>
  <c r="EU205" i="2"/>
  <c r="EU192" i="2"/>
  <c r="EU188" i="2"/>
  <c r="EU167" i="2"/>
  <c r="EU165" i="2"/>
  <c r="EU156" i="2"/>
  <c r="EU193" i="2"/>
  <c r="EU189" i="2"/>
  <c r="EU157" i="2"/>
  <c r="EU152" i="2"/>
  <c r="EU150" i="2"/>
  <c r="EU148" i="2"/>
  <c r="EU146" i="2"/>
  <c r="EU137" i="2"/>
  <c r="EU228" i="2"/>
  <c r="EU191" i="2"/>
  <c r="EU220" i="2"/>
  <c r="EU206" i="2"/>
  <c r="EU187" i="2"/>
  <c r="EU185" i="2"/>
  <c r="EU183" i="2"/>
  <c r="EU181" i="2"/>
  <c r="EU179" i="2"/>
  <c r="EU177" i="2"/>
  <c r="EU169" i="2"/>
  <c r="EU163" i="2"/>
  <c r="EU161" i="2"/>
  <c r="EU154" i="2"/>
  <c r="EU141" i="2"/>
  <c r="EU132" i="2"/>
  <c r="EU128" i="2"/>
  <c r="EU126" i="2"/>
  <c r="EU102" i="2"/>
  <c r="EU100" i="2"/>
  <c r="EU94" i="2"/>
  <c r="EU92" i="2"/>
  <c r="EU90" i="2"/>
  <c r="EU88" i="2"/>
  <c r="EU86" i="2"/>
  <c r="EU75" i="2"/>
  <c r="EU133" i="2"/>
  <c r="EU114" i="2"/>
  <c r="EU103" i="2"/>
  <c r="EU84" i="2"/>
  <c r="EU82" i="2"/>
  <c r="EU80" i="2"/>
  <c r="EU78" i="2"/>
  <c r="EU76" i="2"/>
  <c r="EU172" i="2"/>
  <c r="EU131" i="2"/>
  <c r="EU124" i="2"/>
  <c r="EU122" i="2"/>
  <c r="EU111" i="2"/>
  <c r="EU104" i="2"/>
  <c r="EU142" i="2"/>
  <c r="EU118" i="2"/>
  <c r="EU109" i="2"/>
  <c r="EU105" i="2"/>
  <c r="EU176" i="2"/>
  <c r="EU143" i="2"/>
  <c r="EU130" i="2"/>
  <c r="EU119" i="2"/>
  <c r="EU106" i="2"/>
  <c r="EU98" i="2"/>
  <c r="EU139" i="2"/>
  <c r="EU134" i="2"/>
  <c r="EU127" i="2"/>
  <c r="EU112" i="2"/>
  <c r="EU101" i="2"/>
  <c r="EU95" i="2"/>
  <c r="EU91" i="2"/>
  <c r="EU89" i="2"/>
  <c r="EU87" i="2"/>
  <c r="EU74" i="2"/>
  <c r="EU129" i="2"/>
  <c r="EU115" i="2"/>
  <c r="EU113" i="2"/>
  <c r="EU85" i="2"/>
  <c r="EU83" i="2"/>
  <c r="EU81" i="2"/>
  <c r="EU79" i="2"/>
  <c r="EU77" i="2"/>
  <c r="EU71" i="2"/>
  <c r="EU67" i="2"/>
  <c r="EU65" i="2"/>
  <c r="EU63" i="2"/>
  <c r="EU61" i="2"/>
  <c r="EU59" i="2"/>
  <c r="EU136" i="2"/>
  <c r="EU110" i="2"/>
  <c r="EU97" i="2"/>
  <c r="EU62" i="2"/>
  <c r="EU34" i="2"/>
  <c r="EU107" i="2"/>
  <c r="EU60" i="2"/>
  <c r="EU54" i="2"/>
  <c r="EU40" i="2"/>
  <c r="EU39" i="2"/>
  <c r="EU125" i="2"/>
  <c r="EU123" i="2"/>
  <c r="EU121" i="2"/>
  <c r="EU99" i="2"/>
  <c r="EU53" i="2"/>
  <c r="EU33" i="2"/>
  <c r="EU30" i="2"/>
  <c r="EU174" i="2"/>
  <c r="EU57" i="2"/>
  <c r="EU47" i="2"/>
  <c r="EU46" i="2"/>
  <c r="EU70" i="2"/>
  <c r="EU55" i="2"/>
  <c r="EU37" i="2"/>
  <c r="EU35" i="2"/>
  <c r="EU135" i="2"/>
  <c r="EU96" i="2"/>
  <c r="EU73" i="2"/>
  <c r="EU72" i="2"/>
  <c r="EU50" i="2"/>
  <c r="EU48" i="2"/>
  <c r="EU45" i="2"/>
  <c r="EU170" i="2"/>
  <c r="EU69" i="2"/>
  <c r="EU51" i="2"/>
  <c r="EU38" i="2"/>
  <c r="EU36" i="2"/>
  <c r="GE630" i="2"/>
  <c r="GE628" i="2"/>
  <c r="GE626" i="2"/>
  <c r="GE620" i="2"/>
  <c r="GE631" i="2"/>
  <c r="GE625" i="2"/>
  <c r="GE616" i="2"/>
  <c r="GE612" i="2"/>
  <c r="GE610" i="2"/>
  <c r="GE608" i="2"/>
  <c r="GE606" i="2"/>
  <c r="GE623" i="2"/>
  <c r="GE629" i="2"/>
  <c r="GE621" i="2"/>
  <c r="GE627" i="2"/>
  <c r="GE611" i="2"/>
  <c r="GE601" i="2"/>
  <c r="GE604" i="2"/>
  <c r="GE602" i="2"/>
  <c r="GE599" i="2"/>
  <c r="GE622" i="2"/>
  <c r="GE618" i="2"/>
  <c r="GE615" i="2"/>
  <c r="GE609" i="2"/>
  <c r="GE624" i="2"/>
  <c r="GE619" i="2"/>
  <c r="GE614" i="2"/>
  <c r="GE605" i="2"/>
  <c r="GE603" i="2"/>
  <c r="GE617" i="2"/>
  <c r="GE613" i="2"/>
  <c r="GE607" i="2"/>
  <c r="GE600" i="2"/>
  <c r="GE598" i="2"/>
  <c r="GE577" i="2"/>
  <c r="GE592" i="2"/>
  <c r="GE591" i="2"/>
  <c r="GE582" i="2"/>
  <c r="GE581" i="2"/>
  <c r="GE594" i="2"/>
  <c r="GE597" i="2"/>
  <c r="GE590" i="2"/>
  <c r="GE589" i="2"/>
  <c r="GE593" i="2"/>
  <c r="GE588" i="2"/>
  <c r="GE587" i="2"/>
  <c r="GE596" i="2"/>
  <c r="GE586" i="2"/>
  <c r="GE584" i="2"/>
  <c r="GE565" i="2"/>
  <c r="GE585" i="2"/>
  <c r="GE574" i="2"/>
  <c r="GE572" i="2"/>
  <c r="GE570" i="2"/>
  <c r="GE568" i="2"/>
  <c r="GE551" i="2"/>
  <c r="GE566" i="2"/>
  <c r="GE563" i="2"/>
  <c r="GE575" i="2"/>
  <c r="GE595" i="2"/>
  <c r="GE583" i="2"/>
  <c r="GE580" i="2"/>
  <c r="GE573" i="2"/>
  <c r="GE571" i="2"/>
  <c r="GE569" i="2"/>
  <c r="GE561" i="2"/>
  <c r="GE578" i="2"/>
  <c r="GE579" i="2"/>
  <c r="GE550" i="2"/>
  <c r="GE564" i="2"/>
  <c r="GE557" i="2"/>
  <c r="GE549" i="2"/>
  <c r="GE547" i="2"/>
  <c r="GE545" i="2"/>
  <c r="GE562" i="2"/>
  <c r="GE558" i="2"/>
  <c r="GE555" i="2"/>
  <c r="GE567" i="2"/>
  <c r="GE548" i="2"/>
  <c r="GE546" i="2"/>
  <c r="GE544" i="2"/>
  <c r="GE576" i="2"/>
  <c r="GE559" i="2"/>
  <c r="GE552" i="2"/>
  <c r="GE543" i="2"/>
  <c r="GE534" i="2"/>
  <c r="GE556" i="2"/>
  <c r="GE553" i="2"/>
  <c r="GE542" i="2"/>
  <c r="GE536" i="2"/>
  <c r="GE535" i="2"/>
  <c r="GE529" i="2"/>
  <c r="GE527" i="2"/>
  <c r="GE525" i="2"/>
  <c r="GE523" i="2"/>
  <c r="GE537" i="2"/>
  <c r="GE554" i="2"/>
  <c r="GE541" i="2"/>
  <c r="GE538" i="2"/>
  <c r="GE539" i="2"/>
  <c r="GE533" i="2"/>
  <c r="GE518" i="2"/>
  <c r="GE514" i="2"/>
  <c r="GE531" i="2"/>
  <c r="GE528" i="2"/>
  <c r="GE524" i="2"/>
  <c r="GE519" i="2"/>
  <c r="GE515" i="2"/>
  <c r="GE505" i="2"/>
  <c r="GE502" i="2"/>
  <c r="GE500" i="2"/>
  <c r="GE512" i="2"/>
  <c r="GE510" i="2"/>
  <c r="GE508" i="2"/>
  <c r="GE495" i="2"/>
  <c r="GE540" i="2"/>
  <c r="GE513" i="2"/>
  <c r="GE532" i="2"/>
  <c r="GE521" i="2"/>
  <c r="GE517" i="2"/>
  <c r="GE526" i="2"/>
  <c r="GE522" i="2"/>
  <c r="GE520" i="2"/>
  <c r="GE516" i="2"/>
  <c r="GE506" i="2"/>
  <c r="GE504" i="2"/>
  <c r="GE503" i="2"/>
  <c r="GE501" i="2"/>
  <c r="GE530" i="2"/>
  <c r="GE511" i="2"/>
  <c r="GE498" i="2"/>
  <c r="GE509" i="2"/>
  <c r="GE492" i="2"/>
  <c r="GE486" i="2"/>
  <c r="GE499" i="2"/>
  <c r="GE489" i="2"/>
  <c r="GE487" i="2"/>
  <c r="GE507" i="2"/>
  <c r="GE484" i="2"/>
  <c r="GE482" i="2"/>
  <c r="GE480" i="2"/>
  <c r="GE478" i="2"/>
  <c r="GE476" i="2"/>
  <c r="GE497" i="2"/>
  <c r="GE483" i="2"/>
  <c r="GE474" i="2"/>
  <c r="GE472" i="2"/>
  <c r="GE453" i="2"/>
  <c r="GE451" i="2"/>
  <c r="GE447" i="2"/>
  <c r="GE494" i="2"/>
  <c r="GE481" i="2"/>
  <c r="GE464" i="2"/>
  <c r="GE461" i="2"/>
  <c r="GE459" i="2"/>
  <c r="GE452" i="2"/>
  <c r="GE450" i="2"/>
  <c r="GE448" i="2"/>
  <c r="GE490" i="2"/>
  <c r="GE473" i="2"/>
  <c r="GE488" i="2"/>
  <c r="GE465" i="2"/>
  <c r="GE456" i="2"/>
  <c r="GE454" i="2"/>
  <c r="GE469" i="2"/>
  <c r="GE477" i="2"/>
  <c r="GE475" i="2"/>
  <c r="GE470" i="2"/>
  <c r="GE463" i="2"/>
  <c r="GE460" i="2"/>
  <c r="GE458" i="2"/>
  <c r="GE491" i="2"/>
  <c r="GE496" i="2"/>
  <c r="GE493" i="2"/>
  <c r="GE468" i="2"/>
  <c r="GE462" i="2"/>
  <c r="GE457" i="2"/>
  <c r="GE440" i="2"/>
  <c r="GE428" i="2"/>
  <c r="GE420" i="2"/>
  <c r="GE433" i="2"/>
  <c r="GE431" i="2"/>
  <c r="GE429" i="2"/>
  <c r="GE423" i="2"/>
  <c r="GE421" i="2"/>
  <c r="GE479" i="2"/>
  <c r="GE446" i="2"/>
  <c r="GE434" i="2"/>
  <c r="GE414" i="2"/>
  <c r="GE471" i="2"/>
  <c r="GE435" i="2"/>
  <c r="GE417" i="2"/>
  <c r="GE443" i="2"/>
  <c r="GE438" i="2"/>
  <c r="GE445" i="2"/>
  <c r="GE442" i="2"/>
  <c r="GE441" i="2"/>
  <c r="GE439" i="2"/>
  <c r="GE455" i="2"/>
  <c r="GE432" i="2"/>
  <c r="GE430" i="2"/>
  <c r="GE424" i="2"/>
  <c r="GE422" i="2"/>
  <c r="GE467" i="2"/>
  <c r="GE466" i="2"/>
  <c r="GE416" i="2"/>
  <c r="GE407" i="2"/>
  <c r="GE405" i="2"/>
  <c r="GE395" i="2"/>
  <c r="GE393" i="2"/>
  <c r="GE388" i="2"/>
  <c r="GE386" i="2"/>
  <c r="GE413" i="2"/>
  <c r="GE410" i="2"/>
  <c r="GE408" i="2"/>
  <c r="GE389" i="2"/>
  <c r="GE383" i="2"/>
  <c r="GE381" i="2"/>
  <c r="GE426" i="2"/>
  <c r="GE418" i="2"/>
  <c r="GE403" i="2"/>
  <c r="GE401" i="2"/>
  <c r="GE399" i="2"/>
  <c r="GE384" i="2"/>
  <c r="GE437" i="2"/>
  <c r="GE406" i="2"/>
  <c r="GE396" i="2"/>
  <c r="GE394" i="2"/>
  <c r="GE387" i="2"/>
  <c r="GE436" i="2"/>
  <c r="GE419" i="2"/>
  <c r="GE411" i="2"/>
  <c r="GE409" i="2"/>
  <c r="GE397" i="2"/>
  <c r="GE385" i="2"/>
  <c r="GE400" i="2"/>
  <c r="GE377" i="2"/>
  <c r="GE361" i="2"/>
  <c r="GE412" i="2"/>
  <c r="GE382" i="2"/>
  <c r="GE371" i="2"/>
  <c r="GE368" i="2"/>
  <c r="GE366" i="2"/>
  <c r="GE449" i="2"/>
  <c r="GE425" i="2"/>
  <c r="GE374" i="2"/>
  <c r="GE372" i="2"/>
  <c r="GE392" i="2"/>
  <c r="GE369" i="2"/>
  <c r="GE362" i="2"/>
  <c r="GE404" i="2"/>
  <c r="GE356" i="2"/>
  <c r="GE391" i="2"/>
  <c r="GE378" i="2"/>
  <c r="GE364" i="2"/>
  <c r="GE390" i="2"/>
  <c r="GE379" i="2"/>
  <c r="GE367" i="2"/>
  <c r="GE363" i="2"/>
  <c r="GE358" i="2"/>
  <c r="GE415" i="2"/>
  <c r="GE402" i="2"/>
  <c r="GE375" i="2"/>
  <c r="GE370" i="2"/>
  <c r="GE427" i="2"/>
  <c r="GE331" i="2"/>
  <c r="GE352" i="2"/>
  <c r="GE330" i="2"/>
  <c r="GE328" i="2"/>
  <c r="GE326" i="2"/>
  <c r="GE365" i="2"/>
  <c r="GE345" i="2"/>
  <c r="GE340" i="2"/>
  <c r="GE333" i="2"/>
  <c r="GE355" i="2"/>
  <c r="GE353" i="2"/>
  <c r="GE351" i="2"/>
  <c r="GE350" i="2"/>
  <c r="GE344" i="2"/>
  <c r="GE341" i="2"/>
  <c r="GE338" i="2"/>
  <c r="GE336" i="2"/>
  <c r="GE342" i="2"/>
  <c r="GE376" i="2"/>
  <c r="GE349" i="2"/>
  <c r="GE348" i="2"/>
  <c r="GE373" i="2"/>
  <c r="GE357" i="2"/>
  <c r="GE380" i="2"/>
  <c r="GE343" i="2"/>
  <c r="GE332" i="2"/>
  <c r="GE327" i="2"/>
  <c r="GE325" i="2"/>
  <c r="GE324" i="2"/>
  <c r="GE307" i="2"/>
  <c r="GE360" i="2"/>
  <c r="GE323" i="2"/>
  <c r="GE322" i="2"/>
  <c r="GE315" i="2"/>
  <c r="GE313" i="2"/>
  <c r="GE305" i="2"/>
  <c r="GE318" i="2"/>
  <c r="GE334" i="2"/>
  <c r="GE321" i="2"/>
  <c r="GE320" i="2"/>
  <c r="GE311" i="2"/>
  <c r="GE339" i="2"/>
  <c r="GE337" i="2"/>
  <c r="GE335" i="2"/>
  <c r="GE319" i="2"/>
  <c r="GE309" i="2"/>
  <c r="GE354" i="2"/>
  <c r="GE346" i="2"/>
  <c r="GE329" i="2"/>
  <c r="GE316" i="2"/>
  <c r="GE317" i="2"/>
  <c r="GE308" i="2"/>
  <c r="GE297" i="2"/>
  <c r="GE293" i="2"/>
  <c r="GE291" i="2"/>
  <c r="GE272" i="2"/>
  <c r="GE312" i="2"/>
  <c r="GE303" i="2"/>
  <c r="GE296" i="2"/>
  <c r="GE301" i="2"/>
  <c r="GE273" i="2"/>
  <c r="GE270" i="2"/>
  <c r="GE268" i="2"/>
  <c r="GE266" i="2"/>
  <c r="GE264" i="2"/>
  <c r="GE302" i="2"/>
  <c r="GE298" i="2"/>
  <c r="GE284" i="2"/>
  <c r="GE282" i="2"/>
  <c r="GE280" i="2"/>
  <c r="GE278" i="2"/>
  <c r="GE314" i="2"/>
  <c r="GE304" i="2"/>
  <c r="GE299" i="2"/>
  <c r="GE347" i="2"/>
  <c r="GE294" i="2"/>
  <c r="GE292" i="2"/>
  <c r="GE290" i="2"/>
  <c r="GE288" i="2"/>
  <c r="GE295" i="2"/>
  <c r="GE289" i="2"/>
  <c r="GE310" i="2"/>
  <c r="GE285" i="2"/>
  <c r="GE283" i="2"/>
  <c r="GE281" i="2"/>
  <c r="GE279" i="2"/>
  <c r="GE276" i="2"/>
  <c r="GE263" i="2"/>
  <c r="GE261" i="2"/>
  <c r="GE233" i="2"/>
  <c r="GE259" i="2"/>
  <c r="GE257" i="2"/>
  <c r="GE306" i="2"/>
  <c r="GE271" i="2"/>
  <c r="GE255" i="2"/>
  <c r="GE253" i="2"/>
  <c r="GE251" i="2"/>
  <c r="GE249" i="2"/>
  <c r="GE247" i="2"/>
  <c r="GE245" i="2"/>
  <c r="GE300" i="2"/>
  <c r="GE275" i="2"/>
  <c r="GE243" i="2"/>
  <c r="GE277" i="2"/>
  <c r="GE274" i="2"/>
  <c r="GE241" i="2"/>
  <c r="GE239" i="2"/>
  <c r="GE237" i="2"/>
  <c r="GE269" i="2"/>
  <c r="GE262" i="2"/>
  <c r="GE260" i="2"/>
  <c r="GE258" i="2"/>
  <c r="GE256" i="2"/>
  <c r="GE225" i="2"/>
  <c r="GE222" i="2"/>
  <c r="GE219" i="2"/>
  <c r="GE218" i="2"/>
  <c r="GE208" i="2"/>
  <c r="GE242" i="2"/>
  <c r="GE217" i="2"/>
  <c r="GE209" i="2"/>
  <c r="GE267" i="2"/>
  <c r="GE252" i="2"/>
  <c r="GE248" i="2"/>
  <c r="GE236" i="2"/>
  <c r="GE224" i="2"/>
  <c r="GE213" i="2"/>
  <c r="GE210" i="2"/>
  <c r="GE204" i="2"/>
  <c r="GE202" i="2"/>
  <c r="GE200" i="2"/>
  <c r="GE198" i="2"/>
  <c r="GE196" i="2"/>
  <c r="GE194" i="2"/>
  <c r="GE192" i="2"/>
  <c r="GE188" i="2"/>
  <c r="GE244" i="2"/>
  <c r="GE230" i="2"/>
  <c r="GE223" i="2"/>
  <c r="GE205" i="2"/>
  <c r="GE231" i="2"/>
  <c r="GE227" i="2"/>
  <c r="GE220" i="2"/>
  <c r="GE211" i="2"/>
  <c r="GE206" i="2"/>
  <c r="GE265" i="2"/>
  <c r="GE229" i="2"/>
  <c r="GE221" i="2"/>
  <c r="GE216" i="2"/>
  <c r="GE207" i="2"/>
  <c r="GE226" i="2"/>
  <c r="GE215" i="2"/>
  <c r="GE254" i="2"/>
  <c r="GE250" i="2"/>
  <c r="GE246" i="2"/>
  <c r="GE238" i="2"/>
  <c r="GE234" i="2"/>
  <c r="GE240" i="2"/>
  <c r="GE235" i="2"/>
  <c r="GE186" i="2"/>
  <c r="GE184" i="2"/>
  <c r="GE182" i="2"/>
  <c r="GE180" i="2"/>
  <c r="GE178" i="2"/>
  <c r="GE164" i="2"/>
  <c r="GE162" i="2"/>
  <c r="GE160" i="2"/>
  <c r="GE167" i="2"/>
  <c r="GE165" i="2"/>
  <c r="GE156" i="2"/>
  <c r="GE143" i="2"/>
  <c r="GE141" i="2"/>
  <c r="GE139" i="2"/>
  <c r="GE212" i="2"/>
  <c r="GE157" i="2"/>
  <c r="GE152" i="2"/>
  <c r="GE150" i="2"/>
  <c r="GE148" i="2"/>
  <c r="GE146" i="2"/>
  <c r="GE137" i="2"/>
  <c r="GE193" i="2"/>
  <c r="GE189" i="2"/>
  <c r="GE214" i="2"/>
  <c r="GE201" i="2"/>
  <c r="GE191" i="2"/>
  <c r="GE176" i="2"/>
  <c r="GE174" i="2"/>
  <c r="GE172" i="2"/>
  <c r="GE170" i="2"/>
  <c r="GE153" i="2"/>
  <c r="GE144" i="2"/>
  <c r="GE133" i="2"/>
  <c r="GE228" i="2"/>
  <c r="GE187" i="2"/>
  <c r="GE185" i="2"/>
  <c r="GE183" i="2"/>
  <c r="GE181" i="2"/>
  <c r="GE179" i="2"/>
  <c r="GE177" i="2"/>
  <c r="GE169" i="2"/>
  <c r="GE163" i="2"/>
  <c r="GE161" i="2"/>
  <c r="GE154" i="2"/>
  <c r="GE199" i="2"/>
  <c r="GE168" i="2"/>
  <c r="GE166" i="2"/>
  <c r="GE155" i="2"/>
  <c r="GE142" i="2"/>
  <c r="GE140" i="2"/>
  <c r="GE203" i="2"/>
  <c r="GE232" i="2"/>
  <c r="GE195" i="2"/>
  <c r="GE190" i="2"/>
  <c r="GE197" i="2"/>
  <c r="GE175" i="2"/>
  <c r="GE173" i="2"/>
  <c r="GE171" i="2"/>
  <c r="GE131" i="2"/>
  <c r="GE119" i="2"/>
  <c r="GE106" i="2"/>
  <c r="GE98" i="2"/>
  <c r="GE151" i="2"/>
  <c r="GE130" i="2"/>
  <c r="GE127" i="2"/>
  <c r="GE112" i="2"/>
  <c r="GE101" i="2"/>
  <c r="GE95" i="2"/>
  <c r="GE91" i="2"/>
  <c r="GE89" i="2"/>
  <c r="GE87" i="2"/>
  <c r="GE149" i="2"/>
  <c r="GE116" i="2"/>
  <c r="GE115" i="2"/>
  <c r="GE113" i="2"/>
  <c r="GE85" i="2"/>
  <c r="GE83" i="2"/>
  <c r="GE81" i="2"/>
  <c r="GE79" i="2"/>
  <c r="GE77" i="2"/>
  <c r="GE147" i="2"/>
  <c r="GE145" i="2"/>
  <c r="GE134" i="2"/>
  <c r="GE125" i="2"/>
  <c r="GE123" i="2"/>
  <c r="GE121" i="2"/>
  <c r="GE129" i="2"/>
  <c r="GE110" i="2"/>
  <c r="GE96" i="2"/>
  <c r="GE159" i="2"/>
  <c r="GE107" i="2"/>
  <c r="GE99" i="2"/>
  <c r="GE97" i="2"/>
  <c r="GE93" i="2"/>
  <c r="GE158" i="2"/>
  <c r="GE128" i="2"/>
  <c r="GE126" i="2"/>
  <c r="GE102" i="2"/>
  <c r="GE100" i="2"/>
  <c r="GE94" i="2"/>
  <c r="GE92" i="2"/>
  <c r="GE90" i="2"/>
  <c r="GE88" i="2"/>
  <c r="GE86" i="2"/>
  <c r="GE75" i="2"/>
  <c r="GE120" i="2"/>
  <c r="GE109" i="2"/>
  <c r="GE82" i="2"/>
  <c r="GE59" i="2"/>
  <c r="GE57" i="2"/>
  <c r="GE55" i="2"/>
  <c r="GE37" i="2"/>
  <c r="GE35" i="2"/>
  <c r="GE135" i="2"/>
  <c r="GE105" i="2"/>
  <c r="GE76" i="2"/>
  <c r="GE50" i="2"/>
  <c r="GE48" i="2"/>
  <c r="GE45" i="2"/>
  <c r="GE132" i="2"/>
  <c r="GE124" i="2"/>
  <c r="GE122" i="2"/>
  <c r="GE118" i="2"/>
  <c r="GE70" i="2"/>
  <c r="GE51" i="2"/>
  <c r="GE38" i="2"/>
  <c r="GE36" i="2"/>
  <c r="GE28" i="2"/>
  <c r="GE84" i="2"/>
  <c r="GE72" i="2"/>
  <c r="GE69" i="2"/>
  <c r="GE73" i="2"/>
  <c r="GE49" i="2"/>
  <c r="GE44" i="2"/>
  <c r="GE43" i="2"/>
  <c r="GE42" i="2"/>
  <c r="GE41" i="2"/>
  <c r="GE104" i="2"/>
  <c r="GE78" i="2"/>
  <c r="GE74" i="2"/>
  <c r="GE68" i="2"/>
  <c r="GE58" i="2"/>
  <c r="GE56" i="2"/>
  <c r="GE52" i="2"/>
  <c r="GE67" i="2"/>
  <c r="GE66" i="2"/>
  <c r="GE34" i="2"/>
  <c r="HN43" i="2"/>
  <c r="EV6" i="2"/>
  <c r="FZ7" i="2"/>
  <c r="ER8" i="2"/>
  <c r="GF9" i="2"/>
  <c r="EN11" i="2"/>
  <c r="EV12" i="2"/>
  <c r="GM12" i="2"/>
  <c r="FZ13" i="2"/>
  <c r="ER14" i="2"/>
  <c r="DT15" i="2"/>
  <c r="EM15" i="2" s="1"/>
  <c r="EO15" i="2"/>
  <c r="IL8" i="2" s="1"/>
  <c r="GE15" i="2"/>
  <c r="EN16" i="2"/>
  <c r="EN17" i="2"/>
  <c r="GD17" i="2"/>
  <c r="ER18" i="2"/>
  <c r="ER19" i="2"/>
  <c r="EI20" i="2"/>
  <c r="ES20" i="2"/>
  <c r="ER21" i="2"/>
  <c r="ER22" i="2"/>
  <c r="ER23" i="2"/>
  <c r="FV24" i="2"/>
  <c r="GF24" i="2"/>
  <c r="EV25" i="2"/>
  <c r="GC25" i="2"/>
  <c r="EH26" i="2"/>
  <c r="FA26" i="2" s="1"/>
  <c r="AM26" i="2"/>
  <c r="DU26" i="2"/>
  <c r="EN26" i="2" s="1"/>
  <c r="EG26" i="2"/>
  <c r="EZ26" i="2" s="1"/>
  <c r="ES26" i="2"/>
  <c r="FZ26" i="2"/>
  <c r="BF27" i="2"/>
  <c r="BF1" i="2" s="1"/>
  <c r="EI27" i="2"/>
  <c r="ET27" i="2"/>
  <c r="GA27" i="2"/>
  <c r="GM27" i="2"/>
  <c r="ET30" i="2"/>
  <c r="GD30" i="2"/>
  <c r="DU31" i="2"/>
  <c r="EN31" i="2" s="1"/>
  <c r="EH31" i="2"/>
  <c r="FA31" i="2" s="1"/>
  <c r="EV31" i="2"/>
  <c r="GD31" i="2"/>
  <c r="AM32" i="2"/>
  <c r="DT32" i="2"/>
  <c r="EM32" i="2" s="1"/>
  <c r="EH32" i="2"/>
  <c r="FA32" i="2" s="1"/>
  <c r="EV32" i="2"/>
  <c r="EN33" i="2"/>
  <c r="DS34" i="2"/>
  <c r="EL34" i="2" s="1"/>
  <c r="EV34" i="2"/>
  <c r="EN36" i="2"/>
  <c r="EN40" i="2"/>
  <c r="EV42" i="2"/>
  <c r="FZ42" i="2"/>
  <c r="FW46" i="2"/>
  <c r="EO47" i="2"/>
  <c r="ES48" i="2"/>
  <c r="FV53" i="2"/>
  <c r="GE54" i="2"/>
  <c r="GF55" i="2"/>
  <c r="EV56" i="2"/>
  <c r="FV57" i="2"/>
  <c r="EU58" i="2"/>
  <c r="EO59" i="2"/>
  <c r="GE61" i="2"/>
  <c r="EN63" i="2"/>
  <c r="GC64" i="2"/>
  <c r="EU66" i="2"/>
  <c r="EV67" i="2"/>
  <c r="ET68" i="2"/>
  <c r="ER69" i="2"/>
  <c r="EV71" i="2"/>
  <c r="ES73" i="2"/>
  <c r="FZ73" i="2"/>
  <c r="EV75" i="2"/>
  <c r="EO82" i="2"/>
  <c r="EQ91" i="2"/>
  <c r="GD103" i="2"/>
  <c r="EO105" i="2"/>
  <c r="EO124" i="2"/>
  <c r="GE136" i="2"/>
  <c r="EQ137" i="2"/>
  <c r="ER150" i="2"/>
  <c r="FW173" i="2"/>
  <c r="DT34" i="2"/>
  <c r="EM34" i="2" s="1"/>
  <c r="ED34" i="2"/>
  <c r="EW34" i="2" s="1"/>
  <c r="DL71" i="2"/>
  <c r="EA76" i="2"/>
  <c r="DQ76" i="2"/>
  <c r="EJ76" i="2" s="1"/>
  <c r="DZ76" i="2"/>
  <c r="ES76" i="2" s="1"/>
  <c r="DP76" i="2"/>
  <c r="EI76" i="2" s="1"/>
  <c r="DY76" i="2"/>
  <c r="ER76" i="2" s="1"/>
  <c r="EH76" i="2"/>
  <c r="FA76" i="2" s="1"/>
  <c r="BO76" i="2"/>
  <c r="EG76" i="2"/>
  <c r="EZ76" i="2" s="1"/>
  <c r="DV76" i="2"/>
  <c r="EO76" i="2" s="1"/>
  <c r="BH76" i="2"/>
  <c r="DU76" i="2"/>
  <c r="EN76" i="2" s="1"/>
  <c r="BG76" i="2"/>
  <c r="GQ87" i="2"/>
  <c r="EA93" i="2"/>
  <c r="ET93" i="2" s="1"/>
  <c r="AU116" i="2"/>
  <c r="AU1" i="2" s="1"/>
  <c r="AT116" i="2"/>
  <c r="AM116" i="2"/>
  <c r="BP117" i="2"/>
  <c r="BO117" i="2"/>
  <c r="DT117" i="2"/>
  <c r="EM117" i="2" s="1"/>
  <c r="GQ136" i="2"/>
  <c r="EB93" i="2"/>
  <c r="EU93" i="2" s="1"/>
  <c r="GP99" i="2"/>
  <c r="GQ99" i="2" s="1"/>
  <c r="GQ100" i="2"/>
  <c r="GP114" i="2"/>
  <c r="GQ114" i="2" s="1"/>
  <c r="AL116" i="2"/>
  <c r="GU116" i="2" s="1"/>
  <c r="BG117" i="2"/>
  <c r="GV117" i="2" s="1"/>
  <c r="DU117" i="2"/>
  <c r="EN117" i="2" s="1"/>
  <c r="GQ128" i="2"/>
  <c r="GQ134" i="2"/>
  <c r="GP134" i="2"/>
  <c r="EG34" i="2"/>
  <c r="EZ34" i="2" s="1"/>
  <c r="GQ75" i="2"/>
  <c r="GQ86" i="2"/>
  <c r="GP100" i="2"/>
  <c r="GP107" i="2"/>
  <c r="GQ107" i="2" s="1"/>
  <c r="DU112" i="2"/>
  <c r="EN112" i="2" s="1"/>
  <c r="ED112" i="2"/>
  <c r="EW112" i="2" s="1"/>
  <c r="DT112" i="2"/>
  <c r="EM112" i="2" s="1"/>
  <c r="GP112" i="2"/>
  <c r="EC112" i="2"/>
  <c r="EV112" i="2" s="1"/>
  <c r="DS112" i="2"/>
  <c r="EL112" i="2" s="1"/>
  <c r="GO112" i="2"/>
  <c r="EB112" i="2"/>
  <c r="DR112" i="2"/>
  <c r="EK112" i="2" s="1"/>
  <c r="EA112" i="2"/>
  <c r="ET112" i="2" s="1"/>
  <c r="DQ112" i="2"/>
  <c r="EJ112" i="2" s="1"/>
  <c r="DZ112" i="2"/>
  <c r="ES112" i="2" s="1"/>
  <c r="DP112" i="2"/>
  <c r="EI112" i="2" s="1"/>
  <c r="DY112" i="2"/>
  <c r="ER112" i="2" s="1"/>
  <c r="DM112" i="2"/>
  <c r="DY116" i="2"/>
  <c r="ER116" i="2" s="1"/>
  <c r="BH117" i="2"/>
  <c r="EC117" i="2"/>
  <c r="EV117" i="2" s="1"/>
  <c r="GO120" i="2"/>
  <c r="EB120" i="2"/>
  <c r="EU120" i="2" s="1"/>
  <c r="DR120" i="2"/>
  <c r="EK120" i="2" s="1"/>
  <c r="EA120" i="2"/>
  <c r="ET120" i="2" s="1"/>
  <c r="DQ120" i="2"/>
  <c r="EJ120" i="2" s="1"/>
  <c r="DZ120" i="2"/>
  <c r="ES120" i="2" s="1"/>
  <c r="DP120" i="2"/>
  <c r="EI120" i="2" s="1"/>
  <c r="DY120" i="2"/>
  <c r="ER120" i="2" s="1"/>
  <c r="DM120" i="2"/>
  <c r="DX120" i="2"/>
  <c r="EQ120" i="2" s="1"/>
  <c r="EH120" i="2"/>
  <c r="FA120" i="2" s="1"/>
  <c r="BO120" i="2"/>
  <c r="EE120" i="2" s="1"/>
  <c r="EX120" i="2" s="1"/>
  <c r="EG120" i="2"/>
  <c r="EZ120" i="2" s="1"/>
  <c r="DV120" i="2"/>
  <c r="EO120" i="2" s="1"/>
  <c r="BG120" i="2"/>
  <c r="GP126" i="2"/>
  <c r="GP128" i="2"/>
  <c r="DY93" i="2"/>
  <c r="ER93" i="2" s="1"/>
  <c r="DM93" i="2"/>
  <c r="DX93" i="2"/>
  <c r="EQ93" i="2" s="1"/>
  <c r="EH93" i="2"/>
  <c r="FA93" i="2" s="1"/>
  <c r="EG93" i="2"/>
  <c r="EZ93" i="2" s="1"/>
  <c r="DV93" i="2"/>
  <c r="EO93" i="2" s="1"/>
  <c r="EE93" i="2"/>
  <c r="EX93" i="2" s="1"/>
  <c r="DU93" i="2"/>
  <c r="EN93" i="2" s="1"/>
  <c r="ED93" i="2"/>
  <c r="EW93" i="2" s="1"/>
  <c r="DT93" i="2"/>
  <c r="EM93" i="2" s="1"/>
  <c r="EC93" i="2"/>
  <c r="EV93" i="2" s="1"/>
  <c r="DS93" i="2"/>
  <c r="EL93" i="2" s="1"/>
  <c r="Q93" i="2"/>
  <c r="GQ97" i="2"/>
  <c r="GP97" i="2"/>
  <c r="AL112" i="2"/>
  <c r="EH116" i="2"/>
  <c r="FA116" i="2" s="1"/>
  <c r="ED117" i="2"/>
  <c r="EW117" i="2" s="1"/>
  <c r="DS120" i="2"/>
  <c r="EL120" i="2" s="1"/>
  <c r="K34" i="2"/>
  <c r="GP45" i="2"/>
  <c r="FT48" i="2"/>
  <c r="GM48" i="2" s="1"/>
  <c r="JG16" i="2" s="1"/>
  <c r="GP48" i="2"/>
  <c r="GQ48" i="2" s="1"/>
  <c r="GP50" i="2"/>
  <c r="GP57" i="2"/>
  <c r="GQ57" i="2" s="1"/>
  <c r="GP59" i="2"/>
  <c r="GQ59" i="2" s="1"/>
  <c r="DS71" i="2"/>
  <c r="EL71" i="2" s="1"/>
  <c r="FB71" i="2"/>
  <c r="FU71" i="2" s="1"/>
  <c r="FM71" i="2"/>
  <c r="GF71" i="2" s="1"/>
  <c r="EB76" i="2"/>
  <c r="GP78" i="2"/>
  <c r="GQ78" i="2" s="1"/>
  <c r="GX93" i="2"/>
  <c r="GY93" i="2" s="1"/>
  <c r="AT112" i="2"/>
  <c r="DV112" i="2"/>
  <c r="EO112" i="2" s="1"/>
  <c r="FL116" i="2"/>
  <c r="FB116" i="2"/>
  <c r="FU116" i="2" s="1"/>
  <c r="FK116" i="2"/>
  <c r="FT116" i="2"/>
  <c r="GM116" i="2" s="1"/>
  <c r="FS116" i="2"/>
  <c r="GL116" i="2" s="1"/>
  <c r="FH116" i="2"/>
  <c r="GA116" i="2" s="1"/>
  <c r="CK116" i="2"/>
  <c r="CK1" i="2" s="1"/>
  <c r="GX116" i="2"/>
  <c r="FG116" i="2"/>
  <c r="FZ116" i="2" s="1"/>
  <c r="CJ116" i="2"/>
  <c r="GW116" i="2"/>
  <c r="FP116" i="2"/>
  <c r="GI116" i="2" s="1"/>
  <c r="FF116" i="2"/>
  <c r="FY116" i="2" s="1"/>
  <c r="CC116" i="2"/>
  <c r="FO116" i="2"/>
  <c r="GH116" i="2" s="1"/>
  <c r="GO117" i="2"/>
  <c r="EB117" i="2"/>
  <c r="EU117" i="2" s="1"/>
  <c r="DR117" i="2"/>
  <c r="EK117" i="2" s="1"/>
  <c r="EA117" i="2"/>
  <c r="ET117" i="2" s="1"/>
  <c r="DQ117" i="2"/>
  <c r="EJ117" i="2" s="1"/>
  <c r="DZ117" i="2"/>
  <c r="DP117" i="2"/>
  <c r="EI117" i="2" s="1"/>
  <c r="DY117" i="2"/>
  <c r="EH117" i="2"/>
  <c r="FA117" i="2" s="1"/>
  <c r="Z117" i="2"/>
  <c r="Z1" i="2" s="1"/>
  <c r="EG117" i="2"/>
  <c r="EZ117" i="2" s="1"/>
  <c r="DV117" i="2"/>
  <c r="EO117" i="2" s="1"/>
  <c r="Y117" i="2"/>
  <c r="EE117" i="2" s="1"/>
  <c r="EX117" i="2" s="1"/>
  <c r="DT120" i="2"/>
  <c r="EM120" i="2" s="1"/>
  <c r="P34" i="2"/>
  <c r="FJ48" i="2"/>
  <c r="FC71" i="2"/>
  <c r="FV71" i="2" s="1"/>
  <c r="EC76" i="2"/>
  <c r="EV76" i="2" s="1"/>
  <c r="GQ92" i="2"/>
  <c r="FS108" i="2"/>
  <c r="GL108" i="2" s="1"/>
  <c r="FH108" i="2"/>
  <c r="GX108" i="2"/>
  <c r="FG108" i="2"/>
  <c r="FZ108" i="2" s="1"/>
  <c r="GW108" i="2"/>
  <c r="FP108" i="2"/>
  <c r="GI108" i="2" s="1"/>
  <c r="FF108" i="2"/>
  <c r="FY108" i="2" s="1"/>
  <c r="FO108" i="2"/>
  <c r="GH108" i="2" s="1"/>
  <c r="FE108" i="2"/>
  <c r="FX108" i="2" s="1"/>
  <c r="FN108" i="2"/>
  <c r="GG108" i="2" s="1"/>
  <c r="FD108" i="2"/>
  <c r="FW108" i="2" s="1"/>
  <c r="FM108" i="2"/>
  <c r="GF108" i="2" s="1"/>
  <c r="FC108" i="2"/>
  <c r="FV108" i="2" s="1"/>
  <c r="FL108" i="2"/>
  <c r="GE108" i="2" s="1"/>
  <c r="FB108" i="2"/>
  <c r="FU108" i="2" s="1"/>
  <c r="DE108" i="2"/>
  <c r="FT108" i="2"/>
  <c r="GM108" i="2" s="1"/>
  <c r="HB116" i="2"/>
  <c r="HX20" i="2" s="1"/>
  <c r="DL117" i="2"/>
  <c r="GT117" i="2"/>
  <c r="DW117" i="2"/>
  <c r="EP117" i="2" s="1"/>
  <c r="DU120" i="2"/>
  <c r="EN120" i="2" s="1"/>
  <c r="GW71" i="2"/>
  <c r="FP71" i="2"/>
  <c r="GI71" i="2" s="1"/>
  <c r="FF71" i="2"/>
  <c r="FY71" i="2" s="1"/>
  <c r="FD71" i="2"/>
  <c r="FO71" i="2"/>
  <c r="GH71" i="2" s="1"/>
  <c r="ED76" i="2"/>
  <c r="EW76" i="2" s="1"/>
  <c r="GQ91" i="2"/>
  <c r="DP93" i="2"/>
  <c r="EI93" i="2" s="1"/>
  <c r="DX112" i="2"/>
  <c r="EQ112" i="2" s="1"/>
  <c r="DM117" i="2"/>
  <c r="DX117" i="2"/>
  <c r="EQ117" i="2" s="1"/>
  <c r="FP117" i="2"/>
  <c r="GI117" i="2" s="1"/>
  <c r="FF117" i="2"/>
  <c r="FY117" i="2" s="1"/>
  <c r="FE117" i="2"/>
  <c r="FX117" i="2" s="1"/>
  <c r="DF117" i="2"/>
  <c r="DF1" i="2" s="1"/>
  <c r="DE117" i="2"/>
  <c r="GY118" i="2"/>
  <c r="EC120" i="2"/>
  <c r="EV120" i="2" s="1"/>
  <c r="GP141" i="2"/>
  <c r="GQ141" i="2" s="1"/>
  <c r="GQ155" i="2"/>
  <c r="DP71" i="2"/>
  <c r="EI71" i="2" s="1"/>
  <c r="GR71" i="2" s="1"/>
  <c r="GS71" i="2" s="1"/>
  <c r="DT86" i="2"/>
  <c r="EM86" i="2" s="1"/>
  <c r="ED86" i="2"/>
  <c r="EW86" i="2" s="1"/>
  <c r="DR96" i="2"/>
  <c r="EK96" i="2" s="1"/>
  <c r="EB96" i="2"/>
  <c r="GO96" i="2"/>
  <c r="DV108" i="2"/>
  <c r="EO108" i="2" s="1"/>
  <c r="EG108" i="2"/>
  <c r="EZ108" i="2" s="1"/>
  <c r="DP116" i="2"/>
  <c r="EI116" i="2" s="1"/>
  <c r="DZ116" i="2"/>
  <c r="ES116" i="2" s="1"/>
  <c r="FB117" i="2"/>
  <c r="FU117" i="2" s="1"/>
  <c r="FL117" i="2"/>
  <c r="GE117" i="2" s="1"/>
  <c r="EC135" i="2"/>
  <c r="EV135" i="2" s="1"/>
  <c r="DS135" i="2"/>
  <c r="EL135" i="2" s="1"/>
  <c r="EA135" i="2"/>
  <c r="ET135" i="2" s="1"/>
  <c r="DQ135" i="2"/>
  <c r="EJ135" i="2" s="1"/>
  <c r="DY135" i="2"/>
  <c r="ER135" i="2" s="1"/>
  <c r="GV135" i="2"/>
  <c r="HP21" i="2" s="1"/>
  <c r="GQ140" i="2"/>
  <c r="GP163" i="2"/>
  <c r="GQ163" i="2" s="1"/>
  <c r="DU86" i="2"/>
  <c r="EN86" i="2" s="1"/>
  <c r="EE86" i="2"/>
  <c r="EX86" i="2" s="1"/>
  <c r="DW108" i="2"/>
  <c r="EP108" i="2" s="1"/>
  <c r="EH108" i="2"/>
  <c r="FA108" i="2" s="1"/>
  <c r="DQ116" i="2"/>
  <c r="EJ116" i="2" s="1"/>
  <c r="EA116" i="2"/>
  <c r="ET116" i="2" s="1"/>
  <c r="FC117" i="2"/>
  <c r="FV117" i="2" s="1"/>
  <c r="FM117" i="2"/>
  <c r="GF117" i="2" s="1"/>
  <c r="ED139" i="2"/>
  <c r="EW139" i="2" s="1"/>
  <c r="DT139" i="2"/>
  <c r="EM139" i="2" s="1"/>
  <c r="GP139" i="2"/>
  <c r="EC139" i="2"/>
  <c r="EV139" i="2" s="1"/>
  <c r="DS139" i="2"/>
  <c r="EL139" i="2" s="1"/>
  <c r="EA139" i="2"/>
  <c r="DQ139" i="2"/>
  <c r="EJ139" i="2" s="1"/>
  <c r="GV139" i="2"/>
  <c r="DY139" i="2"/>
  <c r="ER139" i="2" s="1"/>
  <c r="DM139" i="2"/>
  <c r="EE139" i="2"/>
  <c r="EX139" i="2" s="1"/>
  <c r="GO159" i="2"/>
  <c r="EB159" i="2"/>
  <c r="DR159" i="2"/>
  <c r="EK159" i="2" s="1"/>
  <c r="EA159" i="2"/>
  <c r="ET159" i="2" s="1"/>
  <c r="DQ159" i="2"/>
  <c r="EJ159" i="2" s="1"/>
  <c r="DZ159" i="2"/>
  <c r="ES159" i="2" s="1"/>
  <c r="DP159" i="2"/>
  <c r="EI159" i="2" s="1"/>
  <c r="DY159" i="2"/>
  <c r="ER159" i="2" s="1"/>
  <c r="EH159" i="2"/>
  <c r="FA159" i="2" s="1"/>
  <c r="BO159" i="2"/>
  <c r="EE159" i="2" s="1"/>
  <c r="EX159" i="2" s="1"/>
  <c r="EG159" i="2"/>
  <c r="EZ159" i="2" s="1"/>
  <c r="DV159" i="2"/>
  <c r="BH159" i="2"/>
  <c r="GP159" i="2"/>
  <c r="EC159" i="2"/>
  <c r="EV159" i="2" s="1"/>
  <c r="DS159" i="2"/>
  <c r="EL159" i="2" s="1"/>
  <c r="DV86" i="2"/>
  <c r="EO86" i="2" s="1"/>
  <c r="EG86" i="2"/>
  <c r="EZ86" i="2" s="1"/>
  <c r="DT96" i="2"/>
  <c r="EM96" i="2" s="1"/>
  <c r="ED96" i="2"/>
  <c r="EW96" i="2" s="1"/>
  <c r="DL108" i="2"/>
  <c r="DX108" i="2"/>
  <c r="EQ108" i="2" s="1"/>
  <c r="DR116" i="2"/>
  <c r="EK116" i="2" s="1"/>
  <c r="EB116" i="2"/>
  <c r="EU116" i="2" s="1"/>
  <c r="GO116" i="2"/>
  <c r="FD117" i="2"/>
  <c r="FW117" i="2" s="1"/>
  <c r="FN117" i="2"/>
  <c r="GG117" i="2" s="1"/>
  <c r="DL139" i="2"/>
  <c r="EG139" i="2"/>
  <c r="EZ139" i="2" s="1"/>
  <c r="BG159" i="2"/>
  <c r="GU160" i="2"/>
  <c r="DL160" i="2"/>
  <c r="DW86" i="2"/>
  <c r="EP86" i="2" s="1"/>
  <c r="EH86" i="2"/>
  <c r="FA86" i="2" s="1"/>
  <c r="DS116" i="2"/>
  <c r="EL116" i="2" s="1"/>
  <c r="EC116" i="2"/>
  <c r="EV116" i="2" s="1"/>
  <c r="FO117" i="2"/>
  <c r="GH117" i="2" s="1"/>
  <c r="GQ139" i="2"/>
  <c r="DT159" i="2"/>
  <c r="EM159" i="2" s="1"/>
  <c r="DM160" i="2"/>
  <c r="DX160" i="2"/>
  <c r="EQ160" i="2" s="1"/>
  <c r="GQ164" i="2"/>
  <c r="GQ179" i="2"/>
  <c r="GP179" i="2"/>
  <c r="GQ181" i="2"/>
  <c r="GQ184" i="2"/>
  <c r="GQ186" i="2"/>
  <c r="GQ187" i="2"/>
  <c r="DL86" i="2"/>
  <c r="DX86" i="2"/>
  <c r="EQ86" i="2" s="1"/>
  <c r="GP87" i="2"/>
  <c r="GP89" i="2"/>
  <c r="GQ89" i="2" s="1"/>
  <c r="GP91" i="2"/>
  <c r="GP95" i="2"/>
  <c r="GQ95" i="2" s="1"/>
  <c r="DV96" i="2"/>
  <c r="EO96" i="2" s="1"/>
  <c r="EG96" i="2"/>
  <c r="EZ96" i="2" s="1"/>
  <c r="GP101" i="2"/>
  <c r="GQ101" i="2" s="1"/>
  <c r="GX105" i="2"/>
  <c r="GY105" i="2" s="1"/>
  <c r="DP108" i="2"/>
  <c r="EI108" i="2" s="1"/>
  <c r="DZ108" i="2"/>
  <c r="Q116" i="2"/>
  <c r="BG116" i="2"/>
  <c r="GV116" i="2" s="1"/>
  <c r="CW116" i="2"/>
  <c r="HC116" i="2" s="1"/>
  <c r="HY20" i="2" s="1"/>
  <c r="DT116" i="2"/>
  <c r="EM116" i="2" s="1"/>
  <c r="ED116" i="2"/>
  <c r="EW116" i="2" s="1"/>
  <c r="GW117" i="2"/>
  <c r="GX118" i="2"/>
  <c r="GP127" i="2"/>
  <c r="GQ127" i="2" s="1"/>
  <c r="DR135" i="2"/>
  <c r="EK135" i="2" s="1"/>
  <c r="EE135" i="2"/>
  <c r="EX135" i="2" s="1"/>
  <c r="GO135" i="2"/>
  <c r="DR139" i="2"/>
  <c r="EK139" i="2" s="1"/>
  <c r="GQ143" i="2"/>
  <c r="GP143" i="2"/>
  <c r="GQ154" i="2"/>
  <c r="GP154" i="2"/>
  <c r="DU159" i="2"/>
  <c r="EN159" i="2" s="1"/>
  <c r="GQ161" i="2"/>
  <c r="GP161" i="2"/>
  <c r="GQ168" i="2"/>
  <c r="DM86" i="2"/>
  <c r="DY86" i="2"/>
  <c r="ER86" i="2" s="1"/>
  <c r="GV86" i="2"/>
  <c r="HP19" i="2" s="1"/>
  <c r="AL96" i="2"/>
  <c r="EH96" i="2"/>
  <c r="FA96" i="2" s="1"/>
  <c r="GP98" i="2"/>
  <c r="GQ98" i="2" s="1"/>
  <c r="GX104" i="2"/>
  <c r="GY104" i="2" s="1"/>
  <c r="GP106" i="2"/>
  <c r="GQ106" i="2" s="1"/>
  <c r="BG108" i="2"/>
  <c r="DQ108" i="2"/>
  <c r="EJ108" i="2" s="1"/>
  <c r="EA108" i="2"/>
  <c r="FJ112" i="2"/>
  <c r="GC112" i="2" s="1"/>
  <c r="R116" i="2"/>
  <c r="BH116" i="2"/>
  <c r="CX116" i="2"/>
  <c r="CX1" i="2" s="1"/>
  <c r="DU116" i="2"/>
  <c r="EN116" i="2" s="1"/>
  <c r="AT117" i="2"/>
  <c r="CJ117" i="2"/>
  <c r="FQ117" i="2" s="1"/>
  <c r="GJ117" i="2" s="1"/>
  <c r="FG117" i="2"/>
  <c r="FZ117" i="2" s="1"/>
  <c r="GP119" i="2"/>
  <c r="GQ119" i="2" s="1"/>
  <c r="GP132" i="2"/>
  <c r="GQ132" i="2" s="1"/>
  <c r="DT135" i="2"/>
  <c r="EM135" i="2" s="1"/>
  <c r="EG135" i="2"/>
  <c r="EZ135" i="2" s="1"/>
  <c r="GP136" i="2"/>
  <c r="DU139" i="2"/>
  <c r="EN139" i="2" s="1"/>
  <c r="ED159" i="2"/>
  <c r="EW159" i="2" s="1"/>
  <c r="DW160" i="2"/>
  <c r="EP160" i="2" s="1"/>
  <c r="GP166" i="2"/>
  <c r="GQ166" i="2" s="1"/>
  <c r="GP168" i="2"/>
  <c r="DP86" i="2"/>
  <c r="EI86" i="2" s="1"/>
  <c r="DR108" i="2"/>
  <c r="EK108" i="2" s="1"/>
  <c r="EB108" i="2"/>
  <c r="EU108" i="2" s="1"/>
  <c r="Y116" i="2"/>
  <c r="DV116" i="2"/>
  <c r="EO116" i="2" s="1"/>
  <c r="CK117" i="2"/>
  <c r="FH117" i="2"/>
  <c r="GA117" i="2" s="1"/>
  <c r="DU135" i="2"/>
  <c r="EN135" i="2" s="1"/>
  <c r="EH135" i="2"/>
  <c r="FA135" i="2" s="1"/>
  <c r="DV139" i="2"/>
  <c r="EO139" i="2" s="1"/>
  <c r="GQ142" i="2"/>
  <c r="GX153" i="2"/>
  <c r="GY153" i="2" s="1"/>
  <c r="DY153" i="2"/>
  <c r="ER153" i="2" s="1"/>
  <c r="DU160" i="2"/>
  <c r="EN160" i="2" s="1"/>
  <c r="EE160" i="2"/>
  <c r="EX160" i="2" s="1"/>
  <c r="DP169" i="2"/>
  <c r="EI169" i="2" s="1"/>
  <c r="DZ169" i="2"/>
  <c r="ES169" i="2" s="1"/>
  <c r="DP177" i="2"/>
  <c r="EI177" i="2" s="1"/>
  <c r="DZ177" i="2"/>
  <c r="GT210" i="2"/>
  <c r="DW210" i="2"/>
  <c r="EP210" i="2" s="1"/>
  <c r="GU218" i="2"/>
  <c r="DL218" i="2"/>
  <c r="DW205" i="2"/>
  <c r="EP205" i="2" s="1"/>
  <c r="GU205" i="2"/>
  <c r="DL205" i="2"/>
  <c r="GQ227" i="2"/>
  <c r="GP227" i="2"/>
  <c r="DU136" i="2"/>
  <c r="EN136" i="2" s="1"/>
  <c r="EE136" i="2"/>
  <c r="EX136" i="2" s="1"/>
  <c r="DR144" i="2"/>
  <c r="EK144" i="2" s="1"/>
  <c r="EB144" i="2"/>
  <c r="EU144" i="2" s="1"/>
  <c r="GO144" i="2"/>
  <c r="DU145" i="2"/>
  <c r="EN145" i="2" s="1"/>
  <c r="EE145" i="2"/>
  <c r="EX145" i="2" s="1"/>
  <c r="DR153" i="2"/>
  <c r="EK153" i="2" s="1"/>
  <c r="EB153" i="2"/>
  <c r="EU153" i="2" s="1"/>
  <c r="GO153" i="2"/>
  <c r="DS169" i="2"/>
  <c r="EL169" i="2" s="1"/>
  <c r="EC169" i="2"/>
  <c r="EV169" i="2" s="1"/>
  <c r="FT169" i="2"/>
  <c r="GM169" i="2" s="1"/>
  <c r="GP169" i="2"/>
  <c r="GQ169" i="2" s="1"/>
  <c r="BP171" i="2"/>
  <c r="EH171" i="2"/>
  <c r="FA171" i="2" s="1"/>
  <c r="DS177" i="2"/>
  <c r="EL177" i="2" s="1"/>
  <c r="EC177" i="2"/>
  <c r="EV177" i="2" s="1"/>
  <c r="GP181" i="2"/>
  <c r="GP183" i="2"/>
  <c r="GQ183" i="2" s="1"/>
  <c r="GP185" i="2"/>
  <c r="GQ185" i="2" s="1"/>
  <c r="GP187" i="2"/>
  <c r="GQ188" i="2"/>
  <c r="DR190" i="2"/>
  <c r="EK190" i="2" s="1"/>
  <c r="EC190" i="2"/>
  <c r="EV190" i="2" s="1"/>
  <c r="GP191" i="2"/>
  <c r="GQ191" i="2" s="1"/>
  <c r="GQ192" i="2"/>
  <c r="GQ194" i="2"/>
  <c r="BH207" i="2"/>
  <c r="BG207" i="2"/>
  <c r="GV207" i="2" s="1"/>
  <c r="EC207" i="2"/>
  <c r="EV207" i="2" s="1"/>
  <c r="DS207" i="2"/>
  <c r="EL207" i="2" s="1"/>
  <c r="DL211" i="2"/>
  <c r="GT211" i="2"/>
  <c r="DW211" i="2"/>
  <c r="EP211" i="2" s="1"/>
  <c r="GX220" i="2"/>
  <c r="GY220" i="2" s="1"/>
  <c r="BP230" i="2"/>
  <c r="BO230" i="2"/>
  <c r="BH230" i="2"/>
  <c r="GO230" i="2"/>
  <c r="DV145" i="2"/>
  <c r="EO145" i="2" s="1"/>
  <c r="EG145" i="2"/>
  <c r="EZ145" i="2" s="1"/>
  <c r="DS153" i="2"/>
  <c r="EL153" i="2" s="1"/>
  <c r="EC153" i="2"/>
  <c r="EV153" i="2" s="1"/>
  <c r="GP153" i="2"/>
  <c r="DY160" i="2"/>
  <c r="ER160" i="2" s="1"/>
  <c r="DT169" i="2"/>
  <c r="EM169" i="2" s="1"/>
  <c r="ED169" i="2"/>
  <c r="EW169" i="2" s="1"/>
  <c r="FJ169" i="2"/>
  <c r="GC169" i="2" s="1"/>
  <c r="DX171" i="2"/>
  <c r="EQ171" i="2" s="1"/>
  <c r="DT177" i="2"/>
  <c r="EM177" i="2" s="1"/>
  <c r="ED177" i="2"/>
  <c r="EW177" i="2" s="1"/>
  <c r="DS190" i="2"/>
  <c r="EL190" i="2" s="1"/>
  <c r="ED190" i="2"/>
  <c r="EW190" i="2" s="1"/>
  <c r="DX211" i="2"/>
  <c r="EQ211" i="2" s="1"/>
  <c r="DM211" i="2"/>
  <c r="GQ221" i="2"/>
  <c r="GP221" i="2"/>
  <c r="BG230" i="2"/>
  <c r="GV230" i="2" s="1"/>
  <c r="DW136" i="2"/>
  <c r="EP136" i="2" s="1"/>
  <c r="DT144" i="2"/>
  <c r="EM144" i="2" s="1"/>
  <c r="ED144" i="2"/>
  <c r="EW144" i="2" s="1"/>
  <c r="EH145" i="2"/>
  <c r="FA145" i="2" s="1"/>
  <c r="DT153" i="2"/>
  <c r="EM153" i="2" s="1"/>
  <c r="ED153" i="2"/>
  <c r="EW153" i="2" s="1"/>
  <c r="DP160" i="2"/>
  <c r="EI160" i="2" s="1"/>
  <c r="DZ160" i="2"/>
  <c r="CW169" i="2"/>
  <c r="DU169" i="2"/>
  <c r="EN169" i="2" s="1"/>
  <c r="FK169" i="2"/>
  <c r="AL171" i="2"/>
  <c r="DY171" i="2"/>
  <c r="AL177" i="2"/>
  <c r="DU177" i="2"/>
  <c r="EN177" i="2" s="1"/>
  <c r="EE177" i="2"/>
  <c r="EX177" i="2" s="1"/>
  <c r="AL190" i="2"/>
  <c r="DT190" i="2"/>
  <c r="EM190" i="2" s="1"/>
  <c r="EE190" i="2"/>
  <c r="EX190" i="2" s="1"/>
  <c r="EE234" i="2"/>
  <c r="EX234" i="2" s="1"/>
  <c r="DS234" i="2"/>
  <c r="EL234" i="2" s="1"/>
  <c r="GO234" i="2"/>
  <c r="ED234" i="2"/>
  <c r="EW234" i="2" s="1"/>
  <c r="DR234" i="2"/>
  <c r="EK234" i="2" s="1"/>
  <c r="EC234" i="2"/>
  <c r="EV234" i="2" s="1"/>
  <c r="DQ234" i="2"/>
  <c r="EJ234" i="2" s="1"/>
  <c r="EB234" i="2"/>
  <c r="DP234" i="2"/>
  <c r="EI234" i="2" s="1"/>
  <c r="EA234" i="2"/>
  <c r="ET234" i="2" s="1"/>
  <c r="DZ234" i="2"/>
  <c r="ES234" i="2" s="1"/>
  <c r="DX234" i="2"/>
  <c r="EQ234" i="2" s="1"/>
  <c r="DU234" i="2"/>
  <c r="EN234" i="2" s="1"/>
  <c r="DU153" i="2"/>
  <c r="EN153" i="2" s="1"/>
  <c r="EE153" i="2"/>
  <c r="EX153" i="2" s="1"/>
  <c r="DQ160" i="2"/>
  <c r="EJ160" i="2" s="1"/>
  <c r="EA160" i="2"/>
  <c r="DV169" i="2"/>
  <c r="EO169" i="2" s="1"/>
  <c r="EG169" i="2"/>
  <c r="EZ169" i="2" s="1"/>
  <c r="DV177" i="2"/>
  <c r="EO177" i="2" s="1"/>
  <c r="EG177" i="2"/>
  <c r="EZ177" i="2" s="1"/>
  <c r="DX190" i="2"/>
  <c r="EQ190" i="2" s="1"/>
  <c r="DU190" i="2"/>
  <c r="EN190" i="2" s="1"/>
  <c r="EG190" i="2"/>
  <c r="EZ190" i="2" s="1"/>
  <c r="DZ215" i="2"/>
  <c r="DP215" i="2"/>
  <c r="EI215" i="2" s="1"/>
  <c r="DY215" i="2"/>
  <c r="ER215" i="2" s="1"/>
  <c r="EH215" i="2"/>
  <c r="FA215" i="2" s="1"/>
  <c r="EG215" i="2"/>
  <c r="EZ215" i="2" s="1"/>
  <c r="DV215" i="2"/>
  <c r="EO215" i="2" s="1"/>
  <c r="EE215" i="2"/>
  <c r="EX215" i="2" s="1"/>
  <c r="DU215" i="2"/>
  <c r="EN215" i="2" s="1"/>
  <c r="ED215" i="2"/>
  <c r="EW215" i="2" s="1"/>
  <c r="DT215" i="2"/>
  <c r="EM215" i="2" s="1"/>
  <c r="R215" i="2"/>
  <c r="EA215" i="2"/>
  <c r="ET215" i="2" s="1"/>
  <c r="DQ215" i="2"/>
  <c r="EJ215" i="2" s="1"/>
  <c r="GY217" i="2"/>
  <c r="GQ224" i="2"/>
  <c r="AL234" i="2"/>
  <c r="GU234" i="2" s="1"/>
  <c r="DV144" i="2"/>
  <c r="EO144" i="2" s="1"/>
  <c r="DM145" i="2"/>
  <c r="DY145" i="2"/>
  <c r="ER145" i="2" s="1"/>
  <c r="GV145" i="2"/>
  <c r="Q153" i="2"/>
  <c r="DV153" i="2"/>
  <c r="EO153" i="2" s="1"/>
  <c r="EG153" i="2"/>
  <c r="EZ153" i="2" s="1"/>
  <c r="GP156" i="2"/>
  <c r="GQ156" i="2" s="1"/>
  <c r="DR160" i="2"/>
  <c r="EK160" i="2" s="1"/>
  <c r="EB160" i="2"/>
  <c r="GO160" i="2"/>
  <c r="GP165" i="2"/>
  <c r="GQ165" i="2" s="1"/>
  <c r="GP167" i="2"/>
  <c r="GQ167" i="2" s="1"/>
  <c r="AL169" i="2"/>
  <c r="EH169" i="2"/>
  <c r="FA169" i="2" s="1"/>
  <c r="BG177" i="2"/>
  <c r="GV177" i="2" s="1"/>
  <c r="EH177" i="2"/>
  <c r="FA177" i="2" s="1"/>
  <c r="DV190" i="2"/>
  <c r="EO190" i="2" s="1"/>
  <c r="EH190" i="2"/>
  <c r="FA190" i="2" s="1"/>
  <c r="BO208" i="2"/>
  <c r="BH208" i="2"/>
  <c r="DU208" i="2"/>
  <c r="EN208" i="2" s="1"/>
  <c r="EG208" i="2"/>
  <c r="EZ208" i="2" s="1"/>
  <c r="DU209" i="2"/>
  <c r="EN209" i="2" s="1"/>
  <c r="ED209" i="2"/>
  <c r="EW209" i="2" s="1"/>
  <c r="DT209" i="2"/>
  <c r="EM209" i="2" s="1"/>
  <c r="GP209" i="2"/>
  <c r="EC209" i="2"/>
  <c r="EV209" i="2" s="1"/>
  <c r="DS209" i="2"/>
  <c r="EL209" i="2" s="1"/>
  <c r="GO209" i="2"/>
  <c r="EB209" i="2"/>
  <c r="DR209" i="2"/>
  <c r="EK209" i="2" s="1"/>
  <c r="EA209" i="2"/>
  <c r="ET209" i="2" s="1"/>
  <c r="DQ209" i="2"/>
  <c r="EJ209" i="2" s="1"/>
  <c r="Y209" i="2"/>
  <c r="EE209" i="2" s="1"/>
  <c r="EX209" i="2" s="1"/>
  <c r="DZ209" i="2"/>
  <c r="DP209" i="2"/>
  <c r="EI209" i="2" s="1"/>
  <c r="R209" i="2"/>
  <c r="DY209" i="2"/>
  <c r="ER209" i="2" s="1"/>
  <c r="Q209" i="2"/>
  <c r="EG209" i="2"/>
  <c r="EZ209" i="2" s="1"/>
  <c r="DV209" i="2"/>
  <c r="EO209" i="2" s="1"/>
  <c r="DL215" i="2"/>
  <c r="GT215" i="2"/>
  <c r="DW215" i="2"/>
  <c r="EP215" i="2" s="1"/>
  <c r="DW229" i="2"/>
  <c r="EP229" i="2" s="1"/>
  <c r="DP145" i="2"/>
  <c r="EI145" i="2" s="1"/>
  <c r="DZ145" i="2"/>
  <c r="ES145" i="2" s="1"/>
  <c r="R153" i="2"/>
  <c r="DS160" i="2"/>
  <c r="EL160" i="2" s="1"/>
  <c r="EC160" i="2"/>
  <c r="EV160" i="2" s="1"/>
  <c r="GP164" i="2"/>
  <c r="AT169" i="2"/>
  <c r="EE169" i="2" s="1"/>
  <c r="EX169" i="2" s="1"/>
  <c r="DX169" i="2"/>
  <c r="EQ169" i="2" s="1"/>
  <c r="FD169" i="2"/>
  <c r="FW169" i="2" s="1"/>
  <c r="AU171" i="2"/>
  <c r="DR171" i="2"/>
  <c r="EK171" i="2" s="1"/>
  <c r="EB171" i="2"/>
  <c r="EU171" i="2" s="1"/>
  <c r="GP178" i="2"/>
  <c r="GQ178" i="2" s="1"/>
  <c r="GP180" i="2"/>
  <c r="GQ180" i="2" s="1"/>
  <c r="GP182" i="2"/>
  <c r="GQ182" i="2" s="1"/>
  <c r="GP184" i="2"/>
  <c r="GP186" i="2"/>
  <c r="BG190" i="2"/>
  <c r="GV190" i="2" s="1"/>
  <c r="GP201" i="2"/>
  <c r="GQ201" i="2" s="1"/>
  <c r="GY204" i="2"/>
  <c r="BG208" i="2"/>
  <c r="GV208" i="2" s="1"/>
  <c r="EH208" i="2"/>
  <c r="FA208" i="2" s="1"/>
  <c r="GO215" i="2"/>
  <c r="GQ220" i="2"/>
  <c r="GX223" i="2"/>
  <c r="GY223" i="2" s="1"/>
  <c r="DX229" i="2"/>
  <c r="EQ229" i="2" s="1"/>
  <c r="GQ231" i="2"/>
  <c r="DV234" i="2"/>
  <c r="EO234" i="2" s="1"/>
  <c r="DQ145" i="2"/>
  <c r="EJ145" i="2" s="1"/>
  <c r="DT160" i="2"/>
  <c r="EM160" i="2" s="1"/>
  <c r="DM169" i="2"/>
  <c r="DS171" i="2"/>
  <c r="EL171" i="2" s="1"/>
  <c r="DM177" i="2"/>
  <c r="BH190" i="2"/>
  <c r="DM190" i="2" s="1"/>
  <c r="DR207" i="2"/>
  <c r="EK207" i="2" s="1"/>
  <c r="EG210" i="2"/>
  <c r="EZ210" i="2" s="1"/>
  <c r="DV210" i="2"/>
  <c r="EO210" i="2" s="1"/>
  <c r="DU210" i="2"/>
  <c r="EN210" i="2" s="1"/>
  <c r="ED210" i="2"/>
  <c r="EW210" i="2" s="1"/>
  <c r="DT210" i="2"/>
  <c r="EM210" i="2" s="1"/>
  <c r="EC210" i="2"/>
  <c r="EV210" i="2" s="1"/>
  <c r="DS210" i="2"/>
  <c r="EL210" i="2" s="1"/>
  <c r="GO210" i="2"/>
  <c r="GP210" i="2" s="1"/>
  <c r="EB210" i="2"/>
  <c r="EU210" i="2" s="1"/>
  <c r="DR210" i="2"/>
  <c r="EK210" i="2" s="1"/>
  <c r="EA210" i="2"/>
  <c r="ET210" i="2" s="1"/>
  <c r="DQ210" i="2"/>
  <c r="EJ210" i="2" s="1"/>
  <c r="Y210" i="2"/>
  <c r="EE210" i="2" s="1"/>
  <c r="EX210" i="2" s="1"/>
  <c r="DZ210" i="2"/>
  <c r="ES210" i="2" s="1"/>
  <c r="DP210" i="2"/>
  <c r="EI210" i="2" s="1"/>
  <c r="R210" i="2"/>
  <c r="EH210" i="2"/>
  <c r="FA210" i="2" s="1"/>
  <c r="DR215" i="2"/>
  <c r="EK215" i="2" s="1"/>
  <c r="ED218" i="2"/>
  <c r="EW218" i="2" s="1"/>
  <c r="DT218" i="2"/>
  <c r="EM218" i="2" s="1"/>
  <c r="EC218" i="2"/>
  <c r="EV218" i="2" s="1"/>
  <c r="DS218" i="2"/>
  <c r="EL218" i="2" s="1"/>
  <c r="GO218" i="2"/>
  <c r="EB218" i="2"/>
  <c r="EU218" i="2" s="1"/>
  <c r="DR218" i="2"/>
  <c r="EK218" i="2" s="1"/>
  <c r="EA218" i="2"/>
  <c r="DQ218" i="2"/>
  <c r="EJ218" i="2" s="1"/>
  <c r="DZ218" i="2"/>
  <c r="ES218" i="2" s="1"/>
  <c r="DP218" i="2"/>
  <c r="EI218" i="2" s="1"/>
  <c r="DY218" i="2"/>
  <c r="ER218" i="2" s="1"/>
  <c r="DM218" i="2"/>
  <c r="DX218" i="2"/>
  <c r="EQ218" i="2" s="1"/>
  <c r="AT218" i="2"/>
  <c r="EE218" i="2" s="1"/>
  <c r="EX218" i="2" s="1"/>
  <c r="DU218" i="2"/>
  <c r="EN218" i="2" s="1"/>
  <c r="EE229" i="2"/>
  <c r="EX229" i="2" s="1"/>
  <c r="DY211" i="2"/>
  <c r="ER211" i="2" s="1"/>
  <c r="GT234" i="2"/>
  <c r="GP243" i="2"/>
  <c r="GQ243" i="2" s="1"/>
  <c r="GQ259" i="2"/>
  <c r="AT205" i="2"/>
  <c r="EE205" i="2" s="1"/>
  <c r="EX205" i="2" s="1"/>
  <c r="DQ205" i="2"/>
  <c r="EJ205" i="2" s="1"/>
  <c r="EA205" i="2"/>
  <c r="FF210" i="2"/>
  <c r="FY210" i="2" s="1"/>
  <c r="FP210" i="2"/>
  <c r="GI210" i="2" s="1"/>
  <c r="GW210" i="2"/>
  <c r="DR211" i="2"/>
  <c r="EK211" i="2" s="1"/>
  <c r="EB211" i="2"/>
  <c r="EU211" i="2" s="1"/>
  <c r="GO211" i="2"/>
  <c r="DM217" i="2"/>
  <c r="DY217" i="2"/>
  <c r="ER217" i="2" s="1"/>
  <c r="FT229" i="2"/>
  <c r="GM229" i="2" s="1"/>
  <c r="FG229" i="2"/>
  <c r="FZ229" i="2" s="1"/>
  <c r="CJ229" i="2"/>
  <c r="FQ229" i="2" s="1"/>
  <c r="GJ229" i="2" s="1"/>
  <c r="FC229" i="2"/>
  <c r="FV229" i="2" s="1"/>
  <c r="FO229" i="2"/>
  <c r="GH229" i="2" s="1"/>
  <c r="DY230" i="2"/>
  <c r="ER230" i="2" s="1"/>
  <c r="EH230" i="2"/>
  <c r="FA230" i="2" s="1"/>
  <c r="Z230" i="2"/>
  <c r="EA230" i="2"/>
  <c r="ET230" i="2" s="1"/>
  <c r="EG273" i="2"/>
  <c r="EZ273" i="2" s="1"/>
  <c r="DV273" i="2"/>
  <c r="EO273" i="2" s="1"/>
  <c r="EE273" i="2"/>
  <c r="EX273" i="2" s="1"/>
  <c r="DU273" i="2"/>
  <c r="EN273" i="2" s="1"/>
  <c r="ED273" i="2"/>
  <c r="EW273" i="2" s="1"/>
  <c r="DT273" i="2"/>
  <c r="EM273" i="2" s="1"/>
  <c r="DW273" i="2"/>
  <c r="EP273" i="2" s="1"/>
  <c r="DS273" i="2"/>
  <c r="EL273" i="2" s="1"/>
  <c r="DR273" i="2"/>
  <c r="EK273" i="2" s="1"/>
  <c r="EH273" i="2"/>
  <c r="FA273" i="2" s="1"/>
  <c r="DQ273" i="2"/>
  <c r="EJ273" i="2" s="1"/>
  <c r="EC273" i="2"/>
  <c r="EV273" i="2" s="1"/>
  <c r="DP273" i="2"/>
  <c r="EI273" i="2" s="1"/>
  <c r="GV273" i="2"/>
  <c r="EB273" i="2"/>
  <c r="EU273" i="2" s="1"/>
  <c r="DM273" i="2"/>
  <c r="EA273" i="2"/>
  <c r="DL273" i="2"/>
  <c r="GO273" i="2"/>
  <c r="DX273" i="2"/>
  <c r="EQ273" i="2" s="1"/>
  <c r="GX204" i="2"/>
  <c r="AV205" i="2"/>
  <c r="DR205" i="2"/>
  <c r="EK205" i="2" s="1"/>
  <c r="EB205" i="2"/>
  <c r="GO205" i="2"/>
  <c r="GP206" i="2"/>
  <c r="GQ206" i="2" s="1"/>
  <c r="DT207" i="2"/>
  <c r="EM207" i="2" s="1"/>
  <c r="ED207" i="2"/>
  <c r="EW207" i="2" s="1"/>
  <c r="Q208" i="2"/>
  <c r="DY208" i="2"/>
  <c r="ER208" i="2" s="1"/>
  <c r="FE208" i="2"/>
  <c r="FX208" i="2" s="1"/>
  <c r="FO208" i="2"/>
  <c r="GH208" i="2" s="1"/>
  <c r="FF209" i="2"/>
  <c r="FY209" i="2" s="1"/>
  <c r="FP209" i="2"/>
  <c r="GI209" i="2" s="1"/>
  <c r="GW209" i="2"/>
  <c r="CB210" i="2"/>
  <c r="FG210" i="2"/>
  <c r="FZ210" i="2" s="1"/>
  <c r="GX210" i="2"/>
  <c r="AL211" i="2"/>
  <c r="GU211" i="2" s="1"/>
  <c r="DS211" i="2"/>
  <c r="EL211" i="2" s="1"/>
  <c r="EC211" i="2"/>
  <c r="EV211" i="2" s="1"/>
  <c r="GP211" i="2"/>
  <c r="AL217" i="2"/>
  <c r="DP217" i="2"/>
  <c r="EI217" i="2" s="1"/>
  <c r="DZ217" i="2"/>
  <c r="ES217" i="2" s="1"/>
  <c r="GP220" i="2"/>
  <c r="CB229" i="2"/>
  <c r="DP229" i="2"/>
  <c r="EI229" i="2" s="1"/>
  <c r="ED229" i="2"/>
  <c r="EW229" i="2" s="1"/>
  <c r="FD229" i="2"/>
  <c r="FW229" i="2" s="1"/>
  <c r="FP229" i="2"/>
  <c r="GI229" i="2" s="1"/>
  <c r="Q230" i="2"/>
  <c r="DP230" i="2"/>
  <c r="EI230" i="2" s="1"/>
  <c r="EB230" i="2"/>
  <c r="EU230" i="2" s="1"/>
  <c r="GY233" i="2"/>
  <c r="DL234" i="2"/>
  <c r="GQ236" i="2"/>
  <c r="DY273" i="2"/>
  <c r="ER273" i="2" s="1"/>
  <c r="DS205" i="2"/>
  <c r="EL205" i="2" s="1"/>
  <c r="EC205" i="2"/>
  <c r="EV205" i="2" s="1"/>
  <c r="DT206" i="2"/>
  <c r="EM206" i="2" s="1"/>
  <c r="ED206" i="2"/>
  <c r="EW206" i="2" s="1"/>
  <c r="AE207" i="2"/>
  <c r="DP207" i="2" s="1"/>
  <c r="EI207" i="2" s="1"/>
  <c r="DU207" i="2"/>
  <c r="EN207" i="2" s="1"/>
  <c r="EE207" i="2"/>
  <c r="EX207" i="2" s="1"/>
  <c r="R208" i="2"/>
  <c r="DP208" i="2"/>
  <c r="EI208" i="2" s="1"/>
  <c r="DZ208" i="2"/>
  <c r="ES208" i="2" s="1"/>
  <c r="FF208" i="2"/>
  <c r="FY208" i="2" s="1"/>
  <c r="FP208" i="2"/>
  <c r="GI208" i="2" s="1"/>
  <c r="GW208" i="2"/>
  <c r="GX208" i="2" s="1"/>
  <c r="CB209" i="2"/>
  <c r="FG209" i="2"/>
  <c r="FZ209" i="2" s="1"/>
  <c r="GX209" i="2"/>
  <c r="CC210" i="2"/>
  <c r="FJ210" i="2" s="1"/>
  <c r="FH210" i="2"/>
  <c r="GA210" i="2" s="1"/>
  <c r="FS210" i="2"/>
  <c r="GL210" i="2" s="1"/>
  <c r="DT211" i="2"/>
  <c r="EM211" i="2" s="1"/>
  <c r="ED211" i="2"/>
  <c r="EW211" i="2" s="1"/>
  <c r="AL215" i="2"/>
  <c r="GU215" i="2" s="1"/>
  <c r="DU216" i="2"/>
  <c r="EN216" i="2" s="1"/>
  <c r="EE216" i="2"/>
  <c r="EX216" i="2" s="1"/>
  <c r="AT217" i="2"/>
  <c r="EE217" i="2" s="1"/>
  <c r="EX217" i="2" s="1"/>
  <c r="DQ217" i="2"/>
  <c r="EJ217" i="2" s="1"/>
  <c r="EA217" i="2"/>
  <c r="ET217" i="2" s="1"/>
  <c r="GX217" i="2"/>
  <c r="GP223" i="2"/>
  <c r="GQ223" i="2" s="1"/>
  <c r="AL229" i="2"/>
  <c r="CC229" i="2"/>
  <c r="FJ229" i="2" s="1"/>
  <c r="GC229" i="2" s="1"/>
  <c r="DR229" i="2"/>
  <c r="EK229" i="2" s="1"/>
  <c r="FE229" i="2"/>
  <c r="FX229" i="2" s="1"/>
  <c r="FS229" i="2"/>
  <c r="GL229" i="2" s="1"/>
  <c r="GT229" i="2"/>
  <c r="R230" i="2"/>
  <c r="FO230" i="2"/>
  <c r="GH230" i="2" s="1"/>
  <c r="FE230" i="2"/>
  <c r="FX230" i="2" s="1"/>
  <c r="CB230" i="2"/>
  <c r="FM230" i="2"/>
  <c r="GF230" i="2" s="1"/>
  <c r="FC230" i="2"/>
  <c r="FV230" i="2" s="1"/>
  <c r="DQ230" i="2"/>
  <c r="EJ230" i="2" s="1"/>
  <c r="EC230" i="2"/>
  <c r="EV230" i="2" s="1"/>
  <c r="FD230" i="2"/>
  <c r="FW230" i="2" s="1"/>
  <c r="GX233" i="2"/>
  <c r="BG235" i="2"/>
  <c r="GV235" i="2" s="1"/>
  <c r="DY235" i="2"/>
  <c r="ER235" i="2" s="1"/>
  <c r="GQ260" i="2"/>
  <c r="GP260" i="2"/>
  <c r="DZ273" i="2"/>
  <c r="DT205" i="2"/>
  <c r="EM205" i="2" s="1"/>
  <c r="ED205" i="2"/>
  <c r="EW205" i="2" s="1"/>
  <c r="AF207" i="2"/>
  <c r="DQ207" i="2" s="1"/>
  <c r="EJ207" i="2" s="1"/>
  <c r="DV207" i="2"/>
  <c r="EO207" i="2" s="1"/>
  <c r="EG207" i="2"/>
  <c r="EZ207" i="2" s="1"/>
  <c r="Y208" i="2"/>
  <c r="EE208" i="2" s="1"/>
  <c r="EX208" i="2" s="1"/>
  <c r="DQ208" i="2"/>
  <c r="EJ208" i="2" s="1"/>
  <c r="EA208" i="2"/>
  <c r="FG208" i="2"/>
  <c r="FZ208" i="2" s="1"/>
  <c r="CC209" i="2"/>
  <c r="FJ209" i="2" s="1"/>
  <c r="GC209" i="2" s="1"/>
  <c r="FH209" i="2"/>
  <c r="GA209" i="2" s="1"/>
  <c r="FS209" i="2"/>
  <c r="GL209" i="2" s="1"/>
  <c r="CJ210" i="2"/>
  <c r="FQ210" i="2" s="1"/>
  <c r="GJ210" i="2" s="1"/>
  <c r="FT210" i="2"/>
  <c r="GM210" i="2" s="1"/>
  <c r="DU211" i="2"/>
  <c r="EN211" i="2" s="1"/>
  <c r="EE211" i="2"/>
  <c r="EX211" i="2" s="1"/>
  <c r="DX212" i="2"/>
  <c r="EQ212" i="2" s="1"/>
  <c r="DV216" i="2"/>
  <c r="EO216" i="2" s="1"/>
  <c r="EG216" i="2"/>
  <c r="EZ216" i="2" s="1"/>
  <c r="DR217" i="2"/>
  <c r="EK217" i="2" s="1"/>
  <c r="EB217" i="2"/>
  <c r="EU217" i="2" s="1"/>
  <c r="GO217" i="2"/>
  <c r="BG218" i="2"/>
  <c r="GV218" i="2" s="1"/>
  <c r="GX218" i="2"/>
  <c r="GY218" i="2" s="1"/>
  <c r="GP224" i="2"/>
  <c r="AM229" i="2"/>
  <c r="DM229" i="2" s="1"/>
  <c r="CK229" i="2"/>
  <c r="DT229" i="2"/>
  <c r="EM229" i="2" s="1"/>
  <c r="EG229" i="2"/>
  <c r="EZ229" i="2" s="1"/>
  <c r="FF229" i="2"/>
  <c r="FY229" i="2" s="1"/>
  <c r="Y230" i="2"/>
  <c r="EE230" i="2" s="1"/>
  <c r="EX230" i="2" s="1"/>
  <c r="CC230" i="2"/>
  <c r="FJ230" i="2" s="1"/>
  <c r="GC230" i="2" s="1"/>
  <c r="DR230" i="2"/>
  <c r="EK230" i="2" s="1"/>
  <c r="ED230" i="2"/>
  <c r="EW230" i="2" s="1"/>
  <c r="FF230" i="2"/>
  <c r="FY230" i="2" s="1"/>
  <c r="FS230" i="2"/>
  <c r="GL230" i="2" s="1"/>
  <c r="GY232" i="2"/>
  <c r="GO235" i="2"/>
  <c r="EB235" i="2"/>
  <c r="DR235" i="2"/>
  <c r="EK235" i="2" s="1"/>
  <c r="DZ235" i="2"/>
  <c r="ES235" i="2" s="1"/>
  <c r="DP235" i="2"/>
  <c r="EI235" i="2" s="1"/>
  <c r="BH235" i="2"/>
  <c r="EA235" i="2"/>
  <c r="ET235" i="2" s="1"/>
  <c r="GQ241" i="2"/>
  <c r="GP258" i="2"/>
  <c r="GQ258" i="2" s="1"/>
  <c r="BH205" i="2"/>
  <c r="DM205" i="2" s="1"/>
  <c r="DU205" i="2"/>
  <c r="EN205" i="2" s="1"/>
  <c r="DV206" i="2"/>
  <c r="EO206" i="2" s="1"/>
  <c r="EG206" i="2"/>
  <c r="EZ206" i="2" s="1"/>
  <c r="AL207" i="2"/>
  <c r="EH207" i="2"/>
  <c r="FA207" i="2" s="1"/>
  <c r="CC208" i="2"/>
  <c r="FJ208" i="2" s="1"/>
  <c r="GC208" i="2" s="1"/>
  <c r="DR208" i="2"/>
  <c r="EK208" i="2" s="1"/>
  <c r="EB208" i="2"/>
  <c r="EU208" i="2" s="1"/>
  <c r="FH208" i="2"/>
  <c r="FS208" i="2"/>
  <c r="GL208" i="2" s="1"/>
  <c r="GO208" i="2"/>
  <c r="AL209" i="2"/>
  <c r="GU209" i="2" s="1"/>
  <c r="CJ209" i="2"/>
  <c r="FQ209" i="2" s="1"/>
  <c r="GJ209" i="2" s="1"/>
  <c r="FT209" i="2"/>
  <c r="GM209" i="2" s="1"/>
  <c r="AM210" i="2"/>
  <c r="BG211" i="2"/>
  <c r="GV211" i="2" s="1"/>
  <c r="DV211" i="2"/>
  <c r="EO211" i="2" s="1"/>
  <c r="EG211" i="2"/>
  <c r="EZ211" i="2" s="1"/>
  <c r="BG216" i="2"/>
  <c r="EH216" i="2"/>
  <c r="FA216" i="2" s="1"/>
  <c r="DS217" i="2"/>
  <c r="EL217" i="2" s="1"/>
  <c r="EC217" i="2"/>
  <c r="EV217" i="2" s="1"/>
  <c r="FT217" i="2"/>
  <c r="GM217" i="2" s="1"/>
  <c r="GP217" i="2"/>
  <c r="FH218" i="2"/>
  <c r="GA218" i="2" s="1"/>
  <c r="FS218" i="2"/>
  <c r="GL218" i="2" s="1"/>
  <c r="GP225" i="2"/>
  <c r="GQ225" i="2" s="1"/>
  <c r="AU229" i="2"/>
  <c r="DU229" i="2"/>
  <c r="EN229" i="2" s="1"/>
  <c r="EH229" i="2"/>
  <c r="FA229" i="2" s="1"/>
  <c r="FH229" i="2"/>
  <c r="CJ230" i="2"/>
  <c r="FQ230" i="2" s="1"/>
  <c r="GJ230" i="2" s="1"/>
  <c r="DS230" i="2"/>
  <c r="EL230" i="2" s="1"/>
  <c r="FG230" i="2"/>
  <c r="FZ230" i="2" s="1"/>
  <c r="FT230" i="2"/>
  <c r="GM230" i="2" s="1"/>
  <c r="GV231" i="2"/>
  <c r="Q235" i="2"/>
  <c r="EC235" i="2"/>
  <c r="EV235" i="2" s="1"/>
  <c r="GQ240" i="2"/>
  <c r="GP241" i="2"/>
  <c r="GQ262" i="2"/>
  <c r="GP262" i="2"/>
  <c r="DV205" i="2"/>
  <c r="EO205" i="2" s="1"/>
  <c r="DW206" i="2"/>
  <c r="EP206" i="2" s="1"/>
  <c r="EH206" i="2"/>
  <c r="FA206" i="2" s="1"/>
  <c r="AM207" i="2"/>
  <c r="CJ208" i="2"/>
  <c r="FQ208" i="2" s="1"/>
  <c r="GJ208" i="2" s="1"/>
  <c r="DS208" i="2"/>
  <c r="EL208" i="2" s="1"/>
  <c r="EC208" i="2"/>
  <c r="EV208" i="2" s="1"/>
  <c r="AM209" i="2"/>
  <c r="FK210" i="2"/>
  <c r="DX216" i="2"/>
  <c r="EQ216" i="2" s="1"/>
  <c r="DT217" i="2"/>
  <c r="EM217" i="2" s="1"/>
  <c r="ED217" i="2"/>
  <c r="EW217" i="2" s="1"/>
  <c r="FJ217" i="2"/>
  <c r="GC217" i="2" s="1"/>
  <c r="FT218" i="2"/>
  <c r="GM218" i="2" s="1"/>
  <c r="DV229" i="2"/>
  <c r="EO229" i="2" s="1"/>
  <c r="GW229" i="2"/>
  <c r="AM230" i="2"/>
  <c r="CK230" i="2"/>
  <c r="DT230" i="2"/>
  <c r="EM230" i="2" s="1"/>
  <c r="EG230" i="2"/>
  <c r="EZ230" i="2" s="1"/>
  <c r="FH230" i="2"/>
  <c r="GA230" i="2" s="1"/>
  <c r="GW230" i="2"/>
  <c r="GP234" i="2"/>
  <c r="R235" i="2"/>
  <c r="ED235" i="2"/>
  <c r="EW235" i="2" s="1"/>
  <c r="GQ237" i="2"/>
  <c r="GQ239" i="2"/>
  <c r="GP273" i="2"/>
  <c r="DL206" i="2"/>
  <c r="DT208" i="2"/>
  <c r="EM208" i="2" s="1"/>
  <c r="FB210" i="2"/>
  <c r="FU210" i="2" s="1"/>
  <c r="DM216" i="2"/>
  <c r="GP229" i="2"/>
  <c r="GQ229" i="2" s="1"/>
  <c r="FK229" i="2"/>
  <c r="AT230" i="2"/>
  <c r="DU230" i="2"/>
  <c r="EN230" i="2" s="1"/>
  <c r="GQ232" i="2"/>
  <c r="DY234" i="2"/>
  <c r="ER234" i="2" s="1"/>
  <c r="DM234" i="2"/>
  <c r="EH234" i="2"/>
  <c r="FA234" i="2" s="1"/>
  <c r="DT234" i="2"/>
  <c r="EM234" i="2" s="1"/>
  <c r="EG234" i="2"/>
  <c r="EZ234" i="2" s="1"/>
  <c r="Y235" i="2"/>
  <c r="EE235" i="2" s="1"/>
  <c r="EX235" i="2" s="1"/>
  <c r="DQ235" i="2"/>
  <c r="EJ235" i="2" s="1"/>
  <c r="GP237" i="2"/>
  <c r="GQ238" i="2"/>
  <c r="GP239" i="2"/>
  <c r="GP256" i="2"/>
  <c r="GQ256" i="2" s="1"/>
  <c r="DR277" i="2"/>
  <c r="EK277" i="2" s="1"/>
  <c r="GP277" i="2"/>
  <c r="GO306" i="2"/>
  <c r="DZ306" i="2"/>
  <c r="ES306" i="2" s="1"/>
  <c r="DY306" i="2"/>
  <c r="ER306" i="2" s="1"/>
  <c r="DX306" i="2"/>
  <c r="EQ306" i="2" s="1"/>
  <c r="BG306" i="2"/>
  <c r="GV306" i="2" s="1"/>
  <c r="EH306" i="2"/>
  <c r="FA306" i="2" s="1"/>
  <c r="DU306" i="2"/>
  <c r="EN306" i="2" s="1"/>
  <c r="GQ292" i="2"/>
  <c r="GP292" i="2"/>
  <c r="GP294" i="2"/>
  <c r="GQ294" i="2" s="1"/>
  <c r="GV303" i="2"/>
  <c r="DW303" i="2"/>
  <c r="EP303" i="2" s="1"/>
  <c r="GX306" i="2"/>
  <c r="GY306" i="2" s="1"/>
  <c r="EH277" i="2"/>
  <c r="FA277" i="2" s="1"/>
  <c r="EG277" i="2"/>
  <c r="EZ277" i="2" s="1"/>
  <c r="DV277" i="2"/>
  <c r="EO277" i="2" s="1"/>
  <c r="DU277" i="2"/>
  <c r="EN277" i="2" s="1"/>
  <c r="EA277" i="2"/>
  <c r="ET277" i="2" s="1"/>
  <c r="DQ277" i="2"/>
  <c r="EJ277" i="2" s="1"/>
  <c r="DT277" i="2"/>
  <c r="EM277" i="2" s="1"/>
  <c r="DW277" i="2"/>
  <c r="EP277" i="2" s="1"/>
  <c r="DX277" i="2"/>
  <c r="EQ277" i="2" s="1"/>
  <c r="EH286" i="2"/>
  <c r="FA286" i="2" s="1"/>
  <c r="EG286" i="2"/>
  <c r="EZ286" i="2" s="1"/>
  <c r="DV286" i="2"/>
  <c r="EO286" i="2" s="1"/>
  <c r="EE286" i="2"/>
  <c r="EX286" i="2" s="1"/>
  <c r="DU286" i="2"/>
  <c r="EN286" i="2" s="1"/>
  <c r="ED286" i="2"/>
  <c r="EW286" i="2" s="1"/>
  <c r="DT286" i="2"/>
  <c r="EM286" i="2" s="1"/>
  <c r="EC286" i="2"/>
  <c r="EV286" i="2" s="1"/>
  <c r="DS286" i="2"/>
  <c r="EL286" i="2" s="1"/>
  <c r="GO286" i="2"/>
  <c r="EB286" i="2"/>
  <c r="DR286" i="2"/>
  <c r="EK286" i="2" s="1"/>
  <c r="EA286" i="2"/>
  <c r="DQ286" i="2"/>
  <c r="EJ286" i="2" s="1"/>
  <c r="DY286" i="2"/>
  <c r="ER286" i="2" s="1"/>
  <c r="DM286" i="2"/>
  <c r="Q286" i="2"/>
  <c r="DW297" i="2"/>
  <c r="EP297" i="2" s="1"/>
  <c r="EH298" i="2"/>
  <c r="FA298" i="2" s="1"/>
  <c r="EG298" i="2"/>
  <c r="EZ298" i="2" s="1"/>
  <c r="DV298" i="2"/>
  <c r="EO298" i="2" s="1"/>
  <c r="EE298" i="2"/>
  <c r="EX298" i="2" s="1"/>
  <c r="DU298" i="2"/>
  <c r="EN298" i="2" s="1"/>
  <c r="ED298" i="2"/>
  <c r="EW298" i="2" s="1"/>
  <c r="DT298" i="2"/>
  <c r="EM298" i="2" s="1"/>
  <c r="EC298" i="2"/>
  <c r="EV298" i="2" s="1"/>
  <c r="DS298" i="2"/>
  <c r="EL298" i="2" s="1"/>
  <c r="GO298" i="2"/>
  <c r="EB298" i="2"/>
  <c r="EU298" i="2" s="1"/>
  <c r="DR298" i="2"/>
  <c r="EK298" i="2" s="1"/>
  <c r="EA298" i="2"/>
  <c r="ET298" i="2" s="1"/>
  <c r="DQ298" i="2"/>
  <c r="EJ298" i="2" s="1"/>
  <c r="Q298" i="2"/>
  <c r="DY298" i="2"/>
  <c r="DM298" i="2"/>
  <c r="HC301" i="2"/>
  <c r="FI301" i="2"/>
  <c r="GB301" i="2" s="1"/>
  <c r="GX301" i="2"/>
  <c r="GY301" i="2" s="1"/>
  <c r="DT306" i="2"/>
  <c r="EM306" i="2" s="1"/>
  <c r="GP271" i="2"/>
  <c r="GQ271" i="2" s="1"/>
  <c r="GP276" i="2"/>
  <c r="GQ276" i="2" s="1"/>
  <c r="DY277" i="2"/>
  <c r="ER277" i="2" s="1"/>
  <c r="GV277" i="2"/>
  <c r="GQ280" i="2"/>
  <c r="FI287" i="2"/>
  <c r="GB287" i="2" s="1"/>
  <c r="DL303" i="2"/>
  <c r="DV306" i="2"/>
  <c r="EO306" i="2" s="1"/>
  <c r="DW244" i="2"/>
  <c r="EP244" i="2" s="1"/>
  <c r="EH244" i="2"/>
  <c r="FA244" i="2" s="1"/>
  <c r="DV256" i="2"/>
  <c r="EO256" i="2" s="1"/>
  <c r="EG256" i="2"/>
  <c r="EZ256" i="2" s="1"/>
  <c r="DZ277" i="2"/>
  <c r="GQ290" i="2"/>
  <c r="EG306" i="2"/>
  <c r="EZ306" i="2" s="1"/>
  <c r="GQ318" i="2"/>
  <c r="DW256" i="2"/>
  <c r="EP256" i="2" s="1"/>
  <c r="EH256" i="2"/>
  <c r="FA256" i="2" s="1"/>
  <c r="GP268" i="2"/>
  <c r="GQ268" i="2" s="1"/>
  <c r="EE277" i="2"/>
  <c r="EX277" i="2" s="1"/>
  <c r="EB277" i="2"/>
  <c r="GY303" i="2"/>
  <c r="EB306" i="2"/>
  <c r="EU306" i="2" s="1"/>
  <c r="DQ229" i="2"/>
  <c r="EJ229" i="2" s="1"/>
  <c r="EA229" i="2"/>
  <c r="ET229" i="2" s="1"/>
  <c r="DV231" i="2"/>
  <c r="EO231" i="2" s="1"/>
  <c r="DU243" i="2"/>
  <c r="EN243" i="2" s="1"/>
  <c r="EE243" i="2"/>
  <c r="EX243" i="2" s="1"/>
  <c r="DM244" i="2"/>
  <c r="DY244" i="2"/>
  <c r="ER244" i="2" s="1"/>
  <c r="GV244" i="2"/>
  <c r="DL256" i="2"/>
  <c r="DX256" i="2"/>
  <c r="EQ256" i="2" s="1"/>
  <c r="GP257" i="2"/>
  <c r="GQ257" i="2" s="1"/>
  <c r="GP259" i="2"/>
  <c r="DW260" i="2"/>
  <c r="EP260" i="2" s="1"/>
  <c r="DL277" i="2"/>
  <c r="EC277" i="2"/>
  <c r="EV277" i="2" s="1"/>
  <c r="GQ296" i="2"/>
  <c r="GV256" i="2"/>
  <c r="GQ264" i="2"/>
  <c r="DM277" i="2"/>
  <c r="ED277" i="2"/>
  <c r="EW277" i="2" s="1"/>
  <c r="EH278" i="2"/>
  <c r="FA278" i="2" s="1"/>
  <c r="EG278" i="2"/>
  <c r="EZ278" i="2" s="1"/>
  <c r="DV278" i="2"/>
  <c r="EO278" i="2" s="1"/>
  <c r="DU278" i="2"/>
  <c r="EN278" i="2" s="1"/>
  <c r="ED278" i="2"/>
  <c r="EW278" i="2" s="1"/>
  <c r="GP278" i="2"/>
  <c r="EC278" i="2"/>
  <c r="EV278" i="2" s="1"/>
  <c r="DS278" i="2"/>
  <c r="EL278" i="2" s="1"/>
  <c r="GO278" i="2"/>
  <c r="EB278" i="2"/>
  <c r="EU278" i="2" s="1"/>
  <c r="EA278" i="2"/>
  <c r="DQ278" i="2"/>
  <c r="EJ278" i="2" s="1"/>
  <c r="DX278" i="2"/>
  <c r="EQ278" i="2" s="1"/>
  <c r="GQ287" i="2"/>
  <c r="GU297" i="2"/>
  <c r="DL297" i="2"/>
  <c r="DP298" i="2"/>
  <c r="EI298" i="2" s="1"/>
  <c r="DX303" i="2"/>
  <c r="EQ303" i="2" s="1"/>
  <c r="DL306" i="2"/>
  <c r="DW306" i="2"/>
  <c r="EP306" i="2" s="1"/>
  <c r="GU306" i="2"/>
  <c r="DS229" i="2"/>
  <c r="EL229" i="2" s="1"/>
  <c r="EC229" i="2"/>
  <c r="EV229" i="2" s="1"/>
  <c r="DW243" i="2"/>
  <c r="EP243" i="2" s="1"/>
  <c r="DQ244" i="2"/>
  <c r="EJ244" i="2" s="1"/>
  <c r="DP256" i="2"/>
  <c r="EI256" i="2" s="1"/>
  <c r="GP264" i="2"/>
  <c r="GQ266" i="2"/>
  <c r="GP270" i="2"/>
  <c r="GQ270" i="2" s="1"/>
  <c r="DP277" i="2"/>
  <c r="EI277" i="2" s="1"/>
  <c r="GO277" i="2"/>
  <c r="DW278" i="2"/>
  <c r="EP278" i="2" s="1"/>
  <c r="GV278" i="2"/>
  <c r="DY278" i="2"/>
  <c r="ER278" i="2" s="1"/>
  <c r="DP286" i="2"/>
  <c r="EI286" i="2" s="1"/>
  <c r="DL287" i="2"/>
  <c r="GT287" i="2"/>
  <c r="DW287" i="2"/>
  <c r="EP287" i="2" s="1"/>
  <c r="DX298" i="2"/>
  <c r="EQ298" i="2" s="1"/>
  <c r="DX308" i="2"/>
  <c r="EQ308" i="2" s="1"/>
  <c r="DV308" i="2"/>
  <c r="EO308" i="2" s="1"/>
  <c r="GO308" i="2"/>
  <c r="DT308" i="2"/>
  <c r="EM308" i="2" s="1"/>
  <c r="DR308" i="2"/>
  <c r="EK308" i="2" s="1"/>
  <c r="EH308" i="2"/>
  <c r="FA308" i="2" s="1"/>
  <c r="DP308" i="2"/>
  <c r="EI308" i="2" s="1"/>
  <c r="ED308" i="2"/>
  <c r="EW308" i="2" s="1"/>
  <c r="BG308" i="2"/>
  <c r="GV308" i="2" s="1"/>
  <c r="EC310" i="2"/>
  <c r="EV310" i="2" s="1"/>
  <c r="DS310" i="2"/>
  <c r="EL310" i="2" s="1"/>
  <c r="EA310" i="2"/>
  <c r="ET310" i="2" s="1"/>
  <c r="DQ310" i="2"/>
  <c r="EJ310" i="2" s="1"/>
  <c r="DY310" i="2"/>
  <c r="ER310" i="2" s="1"/>
  <c r="DM310" i="2"/>
  <c r="EH310" i="2"/>
  <c r="FA310" i="2" s="1"/>
  <c r="AL310" i="2"/>
  <c r="DX310" i="2"/>
  <c r="EQ310" i="2" s="1"/>
  <c r="DV310" i="2"/>
  <c r="EO310" i="2" s="1"/>
  <c r="GO310" i="2"/>
  <c r="DU310" i="2"/>
  <c r="EN310" i="2" s="1"/>
  <c r="DT310" i="2"/>
  <c r="EM310" i="2" s="1"/>
  <c r="DR310" i="2"/>
  <c r="EK310" i="2" s="1"/>
  <c r="EG310" i="2"/>
  <c r="EZ310" i="2" s="1"/>
  <c r="DP310" i="2"/>
  <c r="EI310" i="2" s="1"/>
  <c r="EE310" i="2"/>
  <c r="EX310" i="2" s="1"/>
  <c r="EB310" i="2"/>
  <c r="GY345" i="2"/>
  <c r="GX345" i="2"/>
  <c r="FE286" i="2"/>
  <c r="FX286" i="2" s="1"/>
  <c r="FO286" i="2"/>
  <c r="GH286" i="2" s="1"/>
  <c r="FJ287" i="2"/>
  <c r="GC287" i="2" s="1"/>
  <c r="DQ288" i="2"/>
  <c r="EJ288" i="2" s="1"/>
  <c r="EA288" i="2"/>
  <c r="ET288" i="2" s="1"/>
  <c r="DQ290" i="2"/>
  <c r="EJ290" i="2" s="1"/>
  <c r="EA290" i="2"/>
  <c r="ET290" i="2" s="1"/>
  <c r="DV297" i="2"/>
  <c r="EO297" i="2" s="1"/>
  <c r="EG297" i="2"/>
  <c r="EZ297" i="2" s="1"/>
  <c r="DS300" i="2"/>
  <c r="EL300" i="2" s="1"/>
  <c r="EC300" i="2"/>
  <c r="EV300" i="2" s="1"/>
  <c r="DZ304" i="2"/>
  <c r="ES304" i="2" s="1"/>
  <c r="EB312" i="2"/>
  <c r="EU312" i="2" s="1"/>
  <c r="GO317" i="2"/>
  <c r="EB317" i="2"/>
  <c r="EU317" i="2" s="1"/>
  <c r="DR317" i="2"/>
  <c r="EK317" i="2" s="1"/>
  <c r="DZ317" i="2"/>
  <c r="ES317" i="2" s="1"/>
  <c r="DP317" i="2"/>
  <c r="EI317" i="2" s="1"/>
  <c r="DY317" i="2"/>
  <c r="ER317" i="2" s="1"/>
  <c r="DM317" i="2"/>
  <c r="DX317" i="2"/>
  <c r="EQ317" i="2" s="1"/>
  <c r="EH317" i="2"/>
  <c r="FA317" i="2" s="1"/>
  <c r="EG317" i="2"/>
  <c r="EZ317" i="2" s="1"/>
  <c r="DV317" i="2"/>
  <c r="EO317" i="2" s="1"/>
  <c r="EE317" i="2"/>
  <c r="EX317" i="2" s="1"/>
  <c r="DU317" i="2"/>
  <c r="EN317" i="2" s="1"/>
  <c r="AL317" i="2"/>
  <c r="FG286" i="2"/>
  <c r="FZ286" i="2" s="1"/>
  <c r="FQ286" i="2"/>
  <c r="GJ286" i="2" s="1"/>
  <c r="FB287" i="2"/>
  <c r="FU287" i="2" s="1"/>
  <c r="FL287" i="2"/>
  <c r="GE287" i="2" s="1"/>
  <c r="DS288" i="2"/>
  <c r="EL288" i="2" s="1"/>
  <c r="EC288" i="2"/>
  <c r="EV288" i="2" s="1"/>
  <c r="GP288" i="2"/>
  <c r="GQ288" i="2" s="1"/>
  <c r="DS290" i="2"/>
  <c r="EL290" i="2" s="1"/>
  <c r="EC290" i="2"/>
  <c r="EV290" i="2" s="1"/>
  <c r="GP290" i="2"/>
  <c r="DT295" i="2"/>
  <c r="EM295" i="2" s="1"/>
  <c r="ED295" i="2"/>
  <c r="EW295" i="2" s="1"/>
  <c r="DX297" i="2"/>
  <c r="EQ297" i="2" s="1"/>
  <c r="DU300" i="2"/>
  <c r="EN300" i="2" s="1"/>
  <c r="EE300" i="2"/>
  <c r="EX300" i="2" s="1"/>
  <c r="AL304" i="2"/>
  <c r="GP304" i="2" s="1"/>
  <c r="GQ304" i="2" s="1"/>
  <c r="DR304" i="2"/>
  <c r="EK304" i="2" s="1"/>
  <c r="EB304" i="2"/>
  <c r="EU304" i="2" s="1"/>
  <c r="GQ309" i="2"/>
  <c r="ED312" i="2"/>
  <c r="EW312" i="2" s="1"/>
  <c r="GQ316" i="2"/>
  <c r="GQ332" i="2"/>
  <c r="GQ336" i="2"/>
  <c r="GP336" i="2"/>
  <c r="DT288" i="2"/>
  <c r="EM288" i="2" s="1"/>
  <c r="ED288" i="2"/>
  <c r="EW288" i="2" s="1"/>
  <c r="DV300" i="2"/>
  <c r="EO300" i="2" s="1"/>
  <c r="EG300" i="2"/>
  <c r="EZ300" i="2" s="1"/>
  <c r="EA312" i="2"/>
  <c r="ET312" i="2" s="1"/>
  <c r="DQ312" i="2"/>
  <c r="EJ312" i="2" s="1"/>
  <c r="DY312" i="2"/>
  <c r="DM312" i="2"/>
  <c r="DX312" i="2"/>
  <c r="EQ312" i="2" s="1"/>
  <c r="EH312" i="2"/>
  <c r="FA312" i="2" s="1"/>
  <c r="BG312" i="2"/>
  <c r="GP312" i="2" s="1"/>
  <c r="GQ312" i="2" s="1"/>
  <c r="EE312" i="2"/>
  <c r="EX312" i="2" s="1"/>
  <c r="DU312" i="2"/>
  <c r="EN312" i="2" s="1"/>
  <c r="EG312" i="2"/>
  <c r="EZ312" i="2" s="1"/>
  <c r="FS359" i="2"/>
  <c r="GL359" i="2" s="1"/>
  <c r="FH359" i="2"/>
  <c r="GA359" i="2" s="1"/>
  <c r="FQ359" i="2"/>
  <c r="GJ359" i="2" s="1"/>
  <c r="FG359" i="2"/>
  <c r="FZ359" i="2" s="1"/>
  <c r="GW359" i="2"/>
  <c r="FP359" i="2"/>
  <c r="GI359" i="2" s="1"/>
  <c r="FF359" i="2"/>
  <c r="FY359" i="2" s="1"/>
  <c r="FO359" i="2"/>
  <c r="GH359" i="2" s="1"/>
  <c r="FE359" i="2"/>
  <c r="FX359" i="2" s="1"/>
  <c r="FN359" i="2"/>
  <c r="GG359" i="2" s="1"/>
  <c r="FD359" i="2"/>
  <c r="FW359" i="2" s="1"/>
  <c r="FM359" i="2"/>
  <c r="GF359" i="2" s="1"/>
  <c r="FC359" i="2"/>
  <c r="FV359" i="2" s="1"/>
  <c r="CB359" i="2"/>
  <c r="FL359" i="2"/>
  <c r="GE359" i="2" s="1"/>
  <c r="BU359" i="2"/>
  <c r="FT359" i="2"/>
  <c r="GM359" i="2" s="1"/>
  <c r="FK359" i="2"/>
  <c r="GD359" i="2" s="1"/>
  <c r="FJ359" i="2"/>
  <c r="GP280" i="2"/>
  <c r="GP282" i="2"/>
  <c r="GQ282" i="2" s="1"/>
  <c r="GP284" i="2"/>
  <c r="GQ284" i="2" s="1"/>
  <c r="FT286" i="2"/>
  <c r="GM286" i="2" s="1"/>
  <c r="FD287" i="2"/>
  <c r="FW287" i="2" s="1"/>
  <c r="FN287" i="2"/>
  <c r="GG287" i="2" s="1"/>
  <c r="AL288" i="2"/>
  <c r="DU288" i="2"/>
  <c r="EN288" i="2" s="1"/>
  <c r="EE288" i="2"/>
  <c r="EX288" i="2" s="1"/>
  <c r="DU290" i="2"/>
  <c r="EN290" i="2" s="1"/>
  <c r="EE290" i="2"/>
  <c r="EX290" i="2" s="1"/>
  <c r="DV295" i="2"/>
  <c r="EO295" i="2" s="1"/>
  <c r="EG295" i="2"/>
  <c r="EZ295" i="2" s="1"/>
  <c r="DP297" i="2"/>
  <c r="EI297" i="2" s="1"/>
  <c r="DZ297" i="2"/>
  <c r="ES297" i="2" s="1"/>
  <c r="AL300" i="2"/>
  <c r="EH300" i="2"/>
  <c r="FA300" i="2" s="1"/>
  <c r="DR301" i="2"/>
  <c r="EK301" i="2" s="1"/>
  <c r="EB301" i="2"/>
  <c r="GO301" i="2"/>
  <c r="GP302" i="2"/>
  <c r="GQ302" i="2" s="1"/>
  <c r="DQ303" i="2"/>
  <c r="EJ303" i="2" s="1"/>
  <c r="EA303" i="2"/>
  <c r="GX303" i="2"/>
  <c r="DT304" i="2"/>
  <c r="EM304" i="2" s="1"/>
  <c r="ED304" i="2"/>
  <c r="EW304" i="2" s="1"/>
  <c r="DP312" i="2"/>
  <c r="EI312" i="2" s="1"/>
  <c r="DS317" i="2"/>
  <c r="EL317" i="2" s="1"/>
  <c r="GP349" i="2"/>
  <c r="GQ349" i="2" s="1"/>
  <c r="FJ286" i="2"/>
  <c r="GC286" i="2" s="1"/>
  <c r="FE287" i="2"/>
  <c r="FX287" i="2" s="1"/>
  <c r="FO287" i="2"/>
  <c r="GH287" i="2" s="1"/>
  <c r="DV288" i="2"/>
  <c r="EO288" i="2" s="1"/>
  <c r="EG288" i="2"/>
  <c r="EZ288" i="2" s="1"/>
  <c r="DV290" i="2"/>
  <c r="EO290" i="2" s="1"/>
  <c r="EG290" i="2"/>
  <c r="EZ290" i="2" s="1"/>
  <c r="DW295" i="2"/>
  <c r="EP295" i="2" s="1"/>
  <c r="EH295" i="2"/>
  <c r="FA295" i="2" s="1"/>
  <c r="DQ297" i="2"/>
  <c r="EJ297" i="2" s="1"/>
  <c r="EA297" i="2"/>
  <c r="ET297" i="2" s="1"/>
  <c r="DX300" i="2"/>
  <c r="EQ300" i="2" s="1"/>
  <c r="DU304" i="2"/>
  <c r="EN304" i="2" s="1"/>
  <c r="EE304" i="2"/>
  <c r="EX304" i="2" s="1"/>
  <c r="DR312" i="2"/>
  <c r="EK312" i="2" s="1"/>
  <c r="DT317" i="2"/>
  <c r="EM317" i="2" s="1"/>
  <c r="DU274" i="2"/>
  <c r="EN274" i="2" s="1"/>
  <c r="EE274" i="2"/>
  <c r="EX274" i="2" s="1"/>
  <c r="CB286" i="2"/>
  <c r="GX286" i="2" s="1"/>
  <c r="GY286" i="2" s="1"/>
  <c r="FK286" i="2"/>
  <c r="DP287" i="2"/>
  <c r="EI287" i="2" s="1"/>
  <c r="DZ287" i="2"/>
  <c r="ES287" i="2" s="1"/>
  <c r="FF287" i="2"/>
  <c r="FY287" i="2" s="1"/>
  <c r="FP287" i="2"/>
  <c r="GI287" i="2" s="1"/>
  <c r="GW287" i="2"/>
  <c r="GX287" i="2" s="1"/>
  <c r="EH288" i="2"/>
  <c r="FA288" i="2" s="1"/>
  <c r="BG290" i="2"/>
  <c r="EH290" i="2"/>
  <c r="FA290" i="2" s="1"/>
  <c r="DL295" i="2"/>
  <c r="DX295" i="2"/>
  <c r="EQ295" i="2" s="1"/>
  <c r="GP296" i="2"/>
  <c r="DR297" i="2"/>
  <c r="EK297" i="2" s="1"/>
  <c r="EB297" i="2"/>
  <c r="EU297" i="2" s="1"/>
  <c r="GO297" i="2"/>
  <c r="FK298" i="2"/>
  <c r="GD298" i="2" s="1"/>
  <c r="DM300" i="2"/>
  <c r="DY300" i="2"/>
  <c r="ER300" i="2" s="1"/>
  <c r="DT301" i="2"/>
  <c r="EM301" i="2" s="1"/>
  <c r="ED301" i="2"/>
  <c r="EW301" i="2" s="1"/>
  <c r="DS303" i="2"/>
  <c r="EL303" i="2" s="1"/>
  <c r="EC303" i="2"/>
  <c r="EV303" i="2" s="1"/>
  <c r="GP303" i="2"/>
  <c r="GQ303" i="2" s="1"/>
  <c r="DV304" i="2"/>
  <c r="EO304" i="2" s="1"/>
  <c r="EG304" i="2"/>
  <c r="EZ304" i="2" s="1"/>
  <c r="DM306" i="2"/>
  <c r="DS312" i="2"/>
  <c r="EL312" i="2" s="1"/>
  <c r="EA317" i="2"/>
  <c r="ET317" i="2" s="1"/>
  <c r="GQ352" i="2"/>
  <c r="GP353" i="2"/>
  <c r="GQ353" i="2" s="1"/>
  <c r="DV274" i="2"/>
  <c r="EO274" i="2" s="1"/>
  <c r="EG274" i="2"/>
  <c r="EZ274" i="2" s="1"/>
  <c r="FB286" i="2"/>
  <c r="FU286" i="2" s="1"/>
  <c r="FL286" i="2"/>
  <c r="GE286" i="2" s="1"/>
  <c r="FG287" i="2"/>
  <c r="FZ287" i="2" s="1"/>
  <c r="FQ287" i="2"/>
  <c r="GJ287" i="2" s="1"/>
  <c r="DX288" i="2"/>
  <c r="EQ288" i="2" s="1"/>
  <c r="DX290" i="2"/>
  <c r="EQ290" i="2" s="1"/>
  <c r="DM295" i="2"/>
  <c r="DY295" i="2"/>
  <c r="DS297" i="2"/>
  <c r="EL297" i="2" s="1"/>
  <c r="FB298" i="2"/>
  <c r="FU298" i="2" s="1"/>
  <c r="FL298" i="2"/>
  <c r="DP300" i="2"/>
  <c r="EI300" i="2" s="1"/>
  <c r="DZ300" i="2"/>
  <c r="ES300" i="2" s="1"/>
  <c r="DU301" i="2"/>
  <c r="EN301" i="2" s="1"/>
  <c r="EE301" i="2"/>
  <c r="EX301" i="2" s="1"/>
  <c r="DT303" i="2"/>
  <c r="EM303" i="2" s="1"/>
  <c r="ED303" i="2"/>
  <c r="EW303" i="2" s="1"/>
  <c r="EC306" i="2"/>
  <c r="EV306" i="2" s="1"/>
  <c r="DS306" i="2"/>
  <c r="EL306" i="2" s="1"/>
  <c r="EA306" i="2"/>
  <c r="ET306" i="2" s="1"/>
  <c r="DQ306" i="2"/>
  <c r="EJ306" i="2" s="1"/>
  <c r="DP306" i="2"/>
  <c r="EI306" i="2" s="1"/>
  <c r="ED306" i="2"/>
  <c r="EW306" i="2" s="1"/>
  <c r="DT312" i="2"/>
  <c r="EM312" i="2" s="1"/>
  <c r="EC317" i="2"/>
  <c r="EV317" i="2" s="1"/>
  <c r="FC286" i="2"/>
  <c r="FV286" i="2" s="1"/>
  <c r="DR287" i="2"/>
  <c r="EK287" i="2" s="1"/>
  <c r="EB287" i="2"/>
  <c r="EU287" i="2" s="1"/>
  <c r="FH287" i="2"/>
  <c r="GA287" i="2" s="1"/>
  <c r="DM288" i="2"/>
  <c r="DM290" i="2"/>
  <c r="DP295" i="2"/>
  <c r="EI295" i="2" s="1"/>
  <c r="DT297" i="2"/>
  <c r="EM297" i="2" s="1"/>
  <c r="CW298" i="2"/>
  <c r="FC298" i="2"/>
  <c r="FV298" i="2" s="1"/>
  <c r="DQ300" i="2"/>
  <c r="EJ300" i="2" s="1"/>
  <c r="DV301" i="2"/>
  <c r="EO301" i="2" s="1"/>
  <c r="FB301" i="2"/>
  <c r="FU301" i="2" s="1"/>
  <c r="DU303" i="2"/>
  <c r="EN303" i="2" s="1"/>
  <c r="GQ305" i="2"/>
  <c r="DR306" i="2"/>
  <c r="EK306" i="2" s="1"/>
  <c r="EE306" i="2"/>
  <c r="EX306" i="2" s="1"/>
  <c r="GQ307" i="2"/>
  <c r="EE308" i="2"/>
  <c r="EX308" i="2" s="1"/>
  <c r="DU308" i="2"/>
  <c r="EN308" i="2" s="1"/>
  <c r="AL308" i="2"/>
  <c r="GP308" i="2"/>
  <c r="EC308" i="2"/>
  <c r="EV308" i="2" s="1"/>
  <c r="DS308" i="2"/>
  <c r="EL308" i="2" s="1"/>
  <c r="EA308" i="2"/>
  <c r="ET308" i="2" s="1"/>
  <c r="DQ308" i="2"/>
  <c r="EJ308" i="2" s="1"/>
  <c r="DY308" i="2"/>
  <c r="ER308" i="2" s="1"/>
  <c r="DM308" i="2"/>
  <c r="DZ308" i="2"/>
  <c r="ES308" i="2" s="1"/>
  <c r="DV312" i="2"/>
  <c r="EO312" i="2" s="1"/>
  <c r="GQ314" i="2"/>
  <c r="ED317" i="2"/>
  <c r="EW317" i="2" s="1"/>
  <c r="GQ324" i="2"/>
  <c r="GP338" i="2"/>
  <c r="GQ338" i="2" s="1"/>
  <c r="GP319" i="2"/>
  <c r="GQ319" i="2" s="1"/>
  <c r="DZ320" i="2"/>
  <c r="ES320" i="2" s="1"/>
  <c r="GO320" i="2"/>
  <c r="BJ333" i="2"/>
  <c r="BI333" i="2"/>
  <c r="BH333" i="2"/>
  <c r="BG333" i="2"/>
  <c r="GV333" i="2" s="1"/>
  <c r="DQ320" i="2"/>
  <c r="EJ320" i="2" s="1"/>
  <c r="EA320" i="2"/>
  <c r="ET320" i="2" s="1"/>
  <c r="GP321" i="2"/>
  <c r="GQ321" i="2" s="1"/>
  <c r="GV326" i="2"/>
  <c r="GP328" i="2"/>
  <c r="GQ328" i="2" s="1"/>
  <c r="DU331" i="2"/>
  <c r="EN331" i="2" s="1"/>
  <c r="EG333" i="2"/>
  <c r="EZ333" i="2" s="1"/>
  <c r="DV333" i="2"/>
  <c r="EO333" i="2" s="1"/>
  <c r="DU333" i="2"/>
  <c r="EN333" i="2" s="1"/>
  <c r="Y333" i="2"/>
  <c r="EE333" i="2" s="1"/>
  <c r="EX333" i="2" s="1"/>
  <c r="ED333" i="2"/>
  <c r="EW333" i="2" s="1"/>
  <c r="DT333" i="2"/>
  <c r="EM333" i="2" s="1"/>
  <c r="T333" i="2"/>
  <c r="EC333" i="2"/>
  <c r="EV333" i="2" s="1"/>
  <c r="DS333" i="2"/>
  <c r="EL333" i="2" s="1"/>
  <c r="S333" i="2"/>
  <c r="BO333" i="2"/>
  <c r="EA333" i="2"/>
  <c r="ET333" i="2" s="1"/>
  <c r="GP348" i="2"/>
  <c r="GQ348" i="2" s="1"/>
  <c r="DR320" i="2"/>
  <c r="EK320" i="2" s="1"/>
  <c r="EB320" i="2"/>
  <c r="GP331" i="2"/>
  <c r="GP332" i="2"/>
  <c r="Q333" i="2"/>
  <c r="EB333" i="2"/>
  <c r="EU333" i="2" s="1"/>
  <c r="GY371" i="2"/>
  <c r="GP318" i="2"/>
  <c r="DV319" i="2"/>
  <c r="EO319" i="2" s="1"/>
  <c r="EG319" i="2"/>
  <c r="EZ319" i="2" s="1"/>
  <c r="DS320" i="2"/>
  <c r="EL320" i="2" s="1"/>
  <c r="EC320" i="2"/>
  <c r="EV320" i="2" s="1"/>
  <c r="GP322" i="2"/>
  <c r="GQ322" i="2" s="1"/>
  <c r="DU326" i="2"/>
  <c r="EN326" i="2" s="1"/>
  <c r="R333" i="2"/>
  <c r="EH333" i="2"/>
  <c r="FA333" i="2" s="1"/>
  <c r="GQ357" i="2"/>
  <c r="DW319" i="2"/>
  <c r="EP319" i="2" s="1"/>
  <c r="DT320" i="2"/>
  <c r="EM320" i="2" s="1"/>
  <c r="ED320" i="2"/>
  <c r="EW320" i="2" s="1"/>
  <c r="EA331" i="2"/>
  <c r="DQ331" i="2"/>
  <c r="EJ331" i="2" s="1"/>
  <c r="DX331" i="2"/>
  <c r="EQ331" i="2" s="1"/>
  <c r="DP333" i="2"/>
  <c r="EI333" i="2" s="1"/>
  <c r="GO333" i="2"/>
  <c r="DL319" i="2"/>
  <c r="DX319" i="2"/>
  <c r="EQ319" i="2" s="1"/>
  <c r="AL320" i="2"/>
  <c r="DU320" i="2"/>
  <c r="EN320" i="2" s="1"/>
  <c r="EE320" i="2"/>
  <c r="EX320" i="2" s="1"/>
  <c r="GP324" i="2"/>
  <c r="GP325" i="2"/>
  <c r="GQ325" i="2" s="1"/>
  <c r="ED326" i="2"/>
  <c r="EW326" i="2" s="1"/>
  <c r="DT326" i="2"/>
  <c r="EM326" i="2" s="1"/>
  <c r="DW326" i="2"/>
  <c r="EP326" i="2" s="1"/>
  <c r="GO326" i="2"/>
  <c r="AZ331" i="2"/>
  <c r="DY331" i="2"/>
  <c r="ER331" i="2" s="1"/>
  <c r="DQ333" i="2"/>
  <c r="EJ333" i="2" s="1"/>
  <c r="GQ340" i="2"/>
  <c r="DV320" i="2"/>
  <c r="EO320" i="2" s="1"/>
  <c r="EG320" i="2"/>
  <c r="EZ320" i="2" s="1"/>
  <c r="GP326" i="2"/>
  <c r="BG331" i="2"/>
  <c r="GV331" i="2" s="1"/>
  <c r="DZ331" i="2"/>
  <c r="ES331" i="2" s="1"/>
  <c r="GU331" i="2"/>
  <c r="DR333" i="2"/>
  <c r="EK333" i="2" s="1"/>
  <c r="DP319" i="2"/>
  <c r="EI319" i="2" s="1"/>
  <c r="DY326" i="2"/>
  <c r="ER326" i="2" s="1"/>
  <c r="ED331" i="2"/>
  <c r="EW331" i="2" s="1"/>
  <c r="GY341" i="2"/>
  <c r="GX341" i="2"/>
  <c r="DM359" i="2"/>
  <c r="DX359" i="2"/>
  <c r="EQ359" i="2" s="1"/>
  <c r="GV375" i="2"/>
  <c r="GP375" i="2"/>
  <c r="GQ375" i="2" s="1"/>
  <c r="DW344" i="2"/>
  <c r="EP344" i="2" s="1"/>
  <c r="GU359" i="2"/>
  <c r="DL359" i="2"/>
  <c r="DW359" i="2"/>
  <c r="EP359" i="2" s="1"/>
  <c r="EE371" i="2"/>
  <c r="EX371" i="2" s="1"/>
  <c r="DU371" i="2"/>
  <c r="EN371" i="2" s="1"/>
  <c r="ED371" i="2"/>
  <c r="EW371" i="2" s="1"/>
  <c r="DT371" i="2"/>
  <c r="EM371" i="2" s="1"/>
  <c r="EC371" i="2"/>
  <c r="EV371" i="2" s="1"/>
  <c r="DS371" i="2"/>
  <c r="EL371" i="2" s="1"/>
  <c r="GO371" i="2"/>
  <c r="EB371" i="2"/>
  <c r="EU371" i="2" s="1"/>
  <c r="DR371" i="2"/>
  <c r="EK371" i="2" s="1"/>
  <c r="EA371" i="2"/>
  <c r="T371" i="2"/>
  <c r="DZ371" i="2" s="1"/>
  <c r="ES371" i="2" s="1"/>
  <c r="S371" i="2"/>
  <c r="DY371" i="2" s="1"/>
  <c r="ER371" i="2" s="1"/>
  <c r="DM371" i="2"/>
  <c r="Q371" i="2"/>
  <c r="EH371" i="2"/>
  <c r="FA371" i="2" s="1"/>
  <c r="J371" i="2"/>
  <c r="DP371" i="2" s="1"/>
  <c r="EI371" i="2" s="1"/>
  <c r="GQ382" i="2"/>
  <c r="GQ363" i="2"/>
  <c r="GY378" i="2"/>
  <c r="GQ362" i="2"/>
  <c r="DL375" i="2"/>
  <c r="DW385" i="2"/>
  <c r="EP385" i="2" s="1"/>
  <c r="GV385" i="2"/>
  <c r="GP385" i="2"/>
  <c r="GQ385" i="2" s="1"/>
  <c r="DW339" i="2"/>
  <c r="EP339" i="2" s="1"/>
  <c r="GP341" i="2"/>
  <c r="GQ341" i="2" s="1"/>
  <c r="GP345" i="2"/>
  <c r="GQ345" i="2" s="1"/>
  <c r="DZ361" i="2"/>
  <c r="DM375" i="2"/>
  <c r="DX375" i="2"/>
  <c r="EQ375" i="2" s="1"/>
  <c r="GQ380" i="2"/>
  <c r="EG384" i="2"/>
  <c r="EZ384" i="2" s="1"/>
  <c r="DV384" i="2"/>
  <c r="EO384" i="2" s="1"/>
  <c r="ED384" i="2"/>
  <c r="EW384" i="2" s="1"/>
  <c r="DT384" i="2"/>
  <c r="EM384" i="2" s="1"/>
  <c r="GP384" i="2"/>
  <c r="GO384" i="2"/>
  <c r="EB384" i="2"/>
  <c r="DR384" i="2"/>
  <c r="EK384" i="2" s="1"/>
  <c r="DS384" i="2"/>
  <c r="EL384" i="2" s="1"/>
  <c r="EH384" i="2"/>
  <c r="FA384" i="2" s="1"/>
  <c r="DQ384" i="2"/>
  <c r="EJ384" i="2" s="1"/>
  <c r="EE384" i="2"/>
  <c r="EX384" i="2" s="1"/>
  <c r="DP384" i="2"/>
  <c r="EI384" i="2" s="1"/>
  <c r="EC384" i="2"/>
  <c r="EV384" i="2" s="1"/>
  <c r="DM384" i="2"/>
  <c r="EA384" i="2"/>
  <c r="ET384" i="2" s="1"/>
  <c r="DL384" i="2"/>
  <c r="DZ384" i="2"/>
  <c r="ES384" i="2" s="1"/>
  <c r="DY384" i="2"/>
  <c r="ER384" i="2" s="1"/>
  <c r="DW384" i="2"/>
  <c r="EP384" i="2" s="1"/>
  <c r="DL339" i="2"/>
  <c r="GP340" i="2"/>
  <c r="GP352" i="2"/>
  <c r="GP358" i="2"/>
  <c r="GQ358" i="2" s="1"/>
  <c r="GQ373" i="2"/>
  <c r="GQ374" i="2"/>
  <c r="GQ396" i="2"/>
  <c r="GP396" i="2"/>
  <c r="GP330" i="2"/>
  <c r="GQ330" i="2" s="1"/>
  <c r="DR331" i="2"/>
  <c r="EK331" i="2" s="1"/>
  <c r="EB331" i="2"/>
  <c r="GO331" i="2"/>
  <c r="DT344" i="2"/>
  <c r="EM344" i="2" s="1"/>
  <c r="ED344" i="2"/>
  <c r="EW344" i="2" s="1"/>
  <c r="GP357" i="2"/>
  <c r="GQ366" i="2"/>
  <c r="GP367" i="2"/>
  <c r="GQ367" i="2" s="1"/>
  <c r="DV371" i="2"/>
  <c r="EO371" i="2" s="1"/>
  <c r="GT384" i="2"/>
  <c r="AE331" i="2"/>
  <c r="DS331" i="2"/>
  <c r="EL331" i="2" s="1"/>
  <c r="EC331" i="2"/>
  <c r="EV331" i="2" s="1"/>
  <c r="DU344" i="2"/>
  <c r="EN344" i="2" s="1"/>
  <c r="EE344" i="2"/>
  <c r="EX344" i="2" s="1"/>
  <c r="GQ368" i="2"/>
  <c r="DX371" i="2"/>
  <c r="EQ371" i="2" s="1"/>
  <c r="GQ372" i="2"/>
  <c r="GP378" i="2"/>
  <c r="GQ378" i="2" s="1"/>
  <c r="DU384" i="2"/>
  <c r="EN384" i="2" s="1"/>
  <c r="DV344" i="2"/>
  <c r="EO344" i="2" s="1"/>
  <c r="GP364" i="2"/>
  <c r="GQ364" i="2" s="1"/>
  <c r="EG371" i="2"/>
  <c r="EZ371" i="2" s="1"/>
  <c r="DX384" i="2"/>
  <c r="EQ384" i="2" s="1"/>
  <c r="GQ394" i="2"/>
  <c r="GP394" i="2"/>
  <c r="DX361" i="2"/>
  <c r="EQ361" i="2" s="1"/>
  <c r="DQ369" i="2"/>
  <c r="EJ369" i="2" s="1"/>
  <c r="EA369" i="2"/>
  <c r="DV375" i="2"/>
  <c r="EO375" i="2" s="1"/>
  <c r="EG375" i="2"/>
  <c r="EZ375" i="2" s="1"/>
  <c r="HC375" i="2"/>
  <c r="GP417" i="2"/>
  <c r="GQ417" i="2" s="1"/>
  <c r="GQ424" i="2"/>
  <c r="DR369" i="2"/>
  <c r="EK369" i="2" s="1"/>
  <c r="EB369" i="2"/>
  <c r="GO369" i="2"/>
  <c r="AE375" i="2"/>
  <c r="DW375" i="2"/>
  <c r="EP375" i="2" s="1"/>
  <c r="EH375" i="2"/>
  <c r="FA375" i="2" s="1"/>
  <c r="GT375" i="2"/>
  <c r="DD398" i="2"/>
  <c r="DA398" i="2"/>
  <c r="CZ398" i="2"/>
  <c r="FJ398" i="2"/>
  <c r="GC398" i="2" s="1"/>
  <c r="CY398" i="2"/>
  <c r="FT398" i="2"/>
  <c r="GM398" i="2" s="1"/>
  <c r="CW398" i="2"/>
  <c r="FS398" i="2"/>
  <c r="GL398" i="2" s="1"/>
  <c r="FH398" i="2"/>
  <c r="GA398" i="2" s="1"/>
  <c r="CQ398" i="2"/>
  <c r="GX398" i="2"/>
  <c r="FQ398" i="2"/>
  <c r="GJ398" i="2" s="1"/>
  <c r="FG398" i="2"/>
  <c r="FZ398" i="2" s="1"/>
  <c r="CP398" i="2"/>
  <c r="FE398" i="2"/>
  <c r="FX398" i="2" s="1"/>
  <c r="GP424" i="2"/>
  <c r="GP362" i="2"/>
  <c r="DS369" i="2"/>
  <c r="EL369" i="2" s="1"/>
  <c r="EC369" i="2"/>
  <c r="EV369" i="2" s="1"/>
  <c r="GP369" i="2"/>
  <c r="GX371" i="2"/>
  <c r="AF375" i="2"/>
  <c r="GU375" i="2"/>
  <c r="GQ381" i="2"/>
  <c r="GP390" i="2"/>
  <c r="GQ390" i="2" s="1"/>
  <c r="GX396" i="2"/>
  <c r="GY396" i="2" s="1"/>
  <c r="FF398" i="2"/>
  <c r="FY398" i="2" s="1"/>
  <c r="GP406" i="2"/>
  <c r="GQ406" i="2" s="1"/>
  <c r="AE361" i="2"/>
  <c r="DP361" i="2" s="1"/>
  <c r="EI361" i="2" s="1"/>
  <c r="EA361" i="2"/>
  <c r="ET361" i="2" s="1"/>
  <c r="DT369" i="2"/>
  <c r="EM369" i="2" s="1"/>
  <c r="ED369" i="2"/>
  <c r="EW369" i="2" s="1"/>
  <c r="GP372" i="2"/>
  <c r="GP374" i="2"/>
  <c r="GP381" i="2"/>
  <c r="GP382" i="2"/>
  <c r="FN398" i="2"/>
  <c r="GG398" i="2" s="1"/>
  <c r="GP422" i="2"/>
  <c r="GQ422" i="2" s="1"/>
  <c r="DZ359" i="2"/>
  <c r="ES359" i="2" s="1"/>
  <c r="AF361" i="2"/>
  <c r="DQ361" i="2" s="1"/>
  <c r="EJ361" i="2" s="1"/>
  <c r="DR361" i="2"/>
  <c r="EK361" i="2" s="1"/>
  <c r="EB361" i="2"/>
  <c r="GO361" i="2"/>
  <c r="GP366" i="2"/>
  <c r="GP368" i="2"/>
  <c r="DU369" i="2"/>
  <c r="EN369" i="2" s="1"/>
  <c r="IK27" i="2" s="1"/>
  <c r="EE369" i="2"/>
  <c r="EX369" i="2" s="1"/>
  <c r="AE371" i="2"/>
  <c r="J375" i="2"/>
  <c r="DP375" i="2" s="1"/>
  <c r="EI375" i="2" s="1"/>
  <c r="GX376" i="2"/>
  <c r="GY376" i="2" s="1"/>
  <c r="ED398" i="2"/>
  <c r="EW398" i="2" s="1"/>
  <c r="FO398" i="2"/>
  <c r="GH398" i="2" s="1"/>
  <c r="DQ359" i="2"/>
  <c r="EJ359" i="2" s="1"/>
  <c r="AL361" i="2"/>
  <c r="DS361" i="2"/>
  <c r="EL361" i="2" s="1"/>
  <c r="EC361" i="2"/>
  <c r="EV361" i="2" s="1"/>
  <c r="DV369" i="2"/>
  <c r="EO369" i="2" s="1"/>
  <c r="EG369" i="2"/>
  <c r="EZ369" i="2" s="1"/>
  <c r="K375" i="2"/>
  <c r="AN375" i="2"/>
  <c r="DL385" i="2"/>
  <c r="GQ409" i="2"/>
  <c r="GQ411" i="2"/>
  <c r="GP418" i="2"/>
  <c r="GQ418" i="2" s="1"/>
  <c r="DW369" i="2"/>
  <c r="EP369" i="2" s="1"/>
  <c r="GP387" i="2"/>
  <c r="GQ387" i="2" s="1"/>
  <c r="GQ397" i="2"/>
  <c r="GW398" i="2"/>
  <c r="GQ408" i="2"/>
  <c r="GQ410" i="2"/>
  <c r="GX420" i="2"/>
  <c r="GY420" i="2" s="1"/>
  <c r="GQ423" i="2"/>
  <c r="GQ432" i="2"/>
  <c r="GQ442" i="2"/>
  <c r="GQ445" i="2"/>
  <c r="GP445" i="2"/>
  <c r="GQ434" i="2"/>
  <c r="GX438" i="2"/>
  <c r="GY438" i="2" s="1"/>
  <c r="AF398" i="2"/>
  <c r="DQ398" i="2" s="1"/>
  <c r="EJ398" i="2" s="1"/>
  <c r="DS398" i="2"/>
  <c r="EL398" i="2" s="1"/>
  <c r="EC398" i="2"/>
  <c r="EV398" i="2" s="1"/>
  <c r="GP398" i="2"/>
  <c r="GQ398" i="2" s="1"/>
  <c r="GX446" i="2"/>
  <c r="GY446" i="2" s="1"/>
  <c r="GQ451" i="2"/>
  <c r="AN398" i="2"/>
  <c r="DY398" i="2" s="1"/>
  <c r="ER398" i="2" s="1"/>
  <c r="DU398" i="2"/>
  <c r="EN398" i="2" s="1"/>
  <c r="EE398" i="2"/>
  <c r="EX398" i="2" s="1"/>
  <c r="GX404" i="2"/>
  <c r="GY404" i="2" s="1"/>
  <c r="GP408" i="2"/>
  <c r="GP410" i="2"/>
  <c r="GQ413" i="2"/>
  <c r="GQ439" i="2"/>
  <c r="GX443" i="2"/>
  <c r="GY443" i="2" s="1"/>
  <c r="GP415" i="2"/>
  <c r="GQ415" i="2" s="1"/>
  <c r="GP430" i="2"/>
  <c r="GQ430" i="2" s="1"/>
  <c r="GV452" i="2"/>
  <c r="DW452" i="2"/>
  <c r="EP452" i="2" s="1"/>
  <c r="DL452" i="2"/>
  <c r="AP398" i="2"/>
  <c r="GQ414" i="2"/>
  <c r="DQ443" i="2"/>
  <c r="EJ443" i="2" s="1"/>
  <c r="GY444" i="2"/>
  <c r="GQ452" i="2"/>
  <c r="GQ471" i="2"/>
  <c r="GP439" i="2"/>
  <c r="GP441" i="2"/>
  <c r="GQ441" i="2" s="1"/>
  <c r="GP442" i="2"/>
  <c r="FK444" i="2"/>
  <c r="GD444" i="2" s="1"/>
  <c r="ED453" i="2"/>
  <c r="EW453" i="2" s="1"/>
  <c r="DT453" i="2"/>
  <c r="EM453" i="2" s="1"/>
  <c r="EC453" i="2"/>
  <c r="EV453" i="2" s="1"/>
  <c r="DS453" i="2"/>
  <c r="EL453" i="2" s="1"/>
  <c r="EA453" i="2"/>
  <c r="ET453" i="2" s="1"/>
  <c r="DQ453" i="2"/>
  <c r="EJ453" i="2" s="1"/>
  <c r="AL453" i="2"/>
  <c r="DU453" i="2"/>
  <c r="EN453" i="2" s="1"/>
  <c r="GQ456" i="2"/>
  <c r="DZ458" i="2"/>
  <c r="ES458" i="2" s="1"/>
  <c r="DY458" i="2"/>
  <c r="ER458" i="2" s="1"/>
  <c r="DM458" i="2"/>
  <c r="DX458" i="2"/>
  <c r="EQ458" i="2" s="1"/>
  <c r="EH458" i="2"/>
  <c r="FA458" i="2" s="1"/>
  <c r="EG458" i="2"/>
  <c r="EZ458" i="2" s="1"/>
  <c r="DV458" i="2"/>
  <c r="EO458" i="2" s="1"/>
  <c r="EE458" i="2"/>
  <c r="EX458" i="2" s="1"/>
  <c r="DU458" i="2"/>
  <c r="EN458" i="2" s="1"/>
  <c r="ED458" i="2"/>
  <c r="EW458" i="2" s="1"/>
  <c r="DT458" i="2"/>
  <c r="EM458" i="2" s="1"/>
  <c r="EB458" i="2"/>
  <c r="EU458" i="2" s="1"/>
  <c r="GQ468" i="2"/>
  <c r="FL444" i="2"/>
  <c r="GE444" i="2" s="1"/>
  <c r="GP451" i="2"/>
  <c r="DL451" i="2"/>
  <c r="DW451" i="2"/>
  <c r="EP451" i="2" s="1"/>
  <c r="AE453" i="2"/>
  <c r="DP453" i="2" s="1"/>
  <c r="EI453" i="2" s="1"/>
  <c r="DV453" i="2"/>
  <c r="EO453" i="2" s="1"/>
  <c r="AE458" i="2"/>
  <c r="DP458" i="2" s="1"/>
  <c r="EI458" i="2" s="1"/>
  <c r="EC458" i="2"/>
  <c r="EV458" i="2" s="1"/>
  <c r="GO458" i="2"/>
  <c r="GQ493" i="2"/>
  <c r="FO444" i="2"/>
  <c r="GH444" i="2" s="1"/>
  <c r="FE444" i="2"/>
  <c r="FX444" i="2" s="1"/>
  <c r="FB444" i="2"/>
  <c r="FU444" i="2" s="1"/>
  <c r="FM444" i="2"/>
  <c r="GF444" i="2" s="1"/>
  <c r="GX444" i="2"/>
  <c r="GP448" i="2"/>
  <c r="GQ448" i="2" s="1"/>
  <c r="GQ449" i="2"/>
  <c r="BJ454" i="2"/>
  <c r="BI454" i="2"/>
  <c r="BG454" i="2"/>
  <c r="GV454" i="2" s="1"/>
  <c r="BA454" i="2"/>
  <c r="AZ454" i="2"/>
  <c r="GU458" i="2"/>
  <c r="DL458" i="2"/>
  <c r="DW458" i="2"/>
  <c r="EP458" i="2" s="1"/>
  <c r="GP458" i="2"/>
  <c r="GX428" i="2"/>
  <c r="GY428" i="2" s="1"/>
  <c r="GP434" i="2"/>
  <c r="DT444" i="2"/>
  <c r="EM444" i="2" s="1"/>
  <c r="EE444" i="2"/>
  <c r="EX444" i="2" s="1"/>
  <c r="FC444" i="2"/>
  <c r="FV444" i="2" s="1"/>
  <c r="FN444" i="2"/>
  <c r="GG444" i="2" s="1"/>
  <c r="GP449" i="2"/>
  <c r="GV451" i="2"/>
  <c r="BH453" i="2"/>
  <c r="DM453" i="2" s="1"/>
  <c r="BG453" i="2"/>
  <c r="GV453" i="2" s="1"/>
  <c r="AZ453" i="2"/>
  <c r="DY453" i="2"/>
  <c r="ER453" i="2" s="1"/>
  <c r="GX419" i="2"/>
  <c r="GY419" i="2" s="1"/>
  <c r="GP421" i="2"/>
  <c r="GQ421" i="2" s="1"/>
  <c r="GP423" i="2"/>
  <c r="GX427" i="2"/>
  <c r="GY427" i="2" s="1"/>
  <c r="GP429" i="2"/>
  <c r="GQ429" i="2" s="1"/>
  <c r="GP431" i="2"/>
  <c r="GQ431" i="2" s="1"/>
  <c r="GP433" i="2"/>
  <c r="GQ433" i="2" s="1"/>
  <c r="DW442" i="2"/>
  <c r="EP442" i="2" s="1"/>
  <c r="DT443" i="2"/>
  <c r="EM443" i="2" s="1"/>
  <c r="DY444" i="2"/>
  <c r="ER444" i="2" s="1"/>
  <c r="DU444" i="2"/>
  <c r="EN444" i="2" s="1"/>
  <c r="EG444" i="2"/>
  <c r="EZ444" i="2" s="1"/>
  <c r="FD444" i="2"/>
  <c r="FW444" i="2" s="1"/>
  <c r="FP444" i="2"/>
  <c r="GI444" i="2" s="1"/>
  <c r="GO444" i="2"/>
  <c r="DZ453" i="2"/>
  <c r="ES453" i="2" s="1"/>
  <c r="DM454" i="2"/>
  <c r="GO454" i="2"/>
  <c r="GP454" i="2" s="1"/>
  <c r="GQ469" i="2"/>
  <c r="DL442" i="2"/>
  <c r="DU443" i="2"/>
  <c r="EN443" i="2" s="1"/>
  <c r="DV444" i="2"/>
  <c r="EO444" i="2" s="1"/>
  <c r="EH444" i="2"/>
  <c r="FA444" i="2" s="1"/>
  <c r="FF444" i="2"/>
  <c r="FY444" i="2" s="1"/>
  <c r="FQ444" i="2"/>
  <c r="GJ444" i="2" s="1"/>
  <c r="GP444" i="2"/>
  <c r="GY447" i="2"/>
  <c r="EE453" i="2"/>
  <c r="EX453" i="2" s="1"/>
  <c r="EH454" i="2"/>
  <c r="FA454" i="2" s="1"/>
  <c r="EG454" i="2"/>
  <c r="EZ454" i="2" s="1"/>
  <c r="DV454" i="2"/>
  <c r="EO454" i="2" s="1"/>
  <c r="EE454" i="2"/>
  <c r="EX454" i="2" s="1"/>
  <c r="DU454" i="2"/>
  <c r="EN454" i="2" s="1"/>
  <c r="T454" i="2"/>
  <c r="ED454" i="2"/>
  <c r="EW454" i="2" s="1"/>
  <c r="DT454" i="2"/>
  <c r="EM454" i="2" s="1"/>
  <c r="S454" i="2"/>
  <c r="DY454" i="2" s="1"/>
  <c r="ER454" i="2" s="1"/>
  <c r="EC454" i="2"/>
  <c r="EV454" i="2" s="1"/>
  <c r="DS454" i="2"/>
  <c r="EL454" i="2" s="1"/>
  <c r="Q454" i="2"/>
  <c r="EA454" i="2"/>
  <c r="ET454" i="2" s="1"/>
  <c r="J454" i="2"/>
  <c r="DP454" i="2" s="1"/>
  <c r="EI454" i="2" s="1"/>
  <c r="GY465" i="2"/>
  <c r="GP443" i="2"/>
  <c r="GQ443" i="2" s="1"/>
  <c r="DV443" i="2"/>
  <c r="EO443" i="2" s="1"/>
  <c r="EG443" i="2"/>
  <c r="EZ443" i="2" s="1"/>
  <c r="DW444" i="2"/>
  <c r="EP444" i="2" s="1"/>
  <c r="FG444" i="2"/>
  <c r="FZ444" i="2" s="1"/>
  <c r="FS444" i="2"/>
  <c r="GL444" i="2" s="1"/>
  <c r="HB444" i="2"/>
  <c r="HX28" i="2" s="1"/>
  <c r="DX452" i="2"/>
  <c r="EQ452" i="2" s="1"/>
  <c r="GO453" i="2"/>
  <c r="GP453" i="2" s="1"/>
  <c r="FI453" i="2"/>
  <c r="GB453" i="2" s="1"/>
  <c r="GX453" i="2"/>
  <c r="GY453" i="2" s="1"/>
  <c r="EG453" i="2"/>
  <c r="EZ453" i="2" s="1"/>
  <c r="K454" i="2"/>
  <c r="DQ454" i="2" s="1"/>
  <c r="EJ454" i="2" s="1"/>
  <c r="DR454" i="2"/>
  <c r="EK454" i="2" s="1"/>
  <c r="DQ458" i="2"/>
  <c r="EJ458" i="2" s="1"/>
  <c r="GQ460" i="2"/>
  <c r="GX465" i="2"/>
  <c r="GQ503" i="2"/>
  <c r="GQ506" i="2"/>
  <c r="EA491" i="2"/>
  <c r="ET491" i="2" s="1"/>
  <c r="DQ491" i="2"/>
  <c r="EJ491" i="2" s="1"/>
  <c r="DZ491" i="2"/>
  <c r="ES491" i="2" s="1"/>
  <c r="DP491" i="2"/>
  <c r="EI491" i="2" s="1"/>
  <c r="DY491" i="2"/>
  <c r="ER491" i="2" s="1"/>
  <c r="EH491" i="2"/>
  <c r="FA491" i="2" s="1"/>
  <c r="EG491" i="2"/>
  <c r="EZ491" i="2" s="1"/>
  <c r="DV491" i="2"/>
  <c r="EO491" i="2" s="1"/>
  <c r="EE491" i="2"/>
  <c r="EX491" i="2" s="1"/>
  <c r="DU491" i="2"/>
  <c r="EN491" i="2" s="1"/>
  <c r="EC491" i="2"/>
  <c r="EV491" i="2" s="1"/>
  <c r="GP494" i="2"/>
  <c r="GQ494" i="2" s="1"/>
  <c r="DL494" i="2"/>
  <c r="GT494" i="2"/>
  <c r="DW494" i="2"/>
  <c r="EP494" i="2" s="1"/>
  <c r="AL491" i="2"/>
  <c r="ED491" i="2"/>
  <c r="EW491" i="2" s="1"/>
  <c r="GP511" i="2"/>
  <c r="GQ511" i="2" s="1"/>
  <c r="GQ483" i="2"/>
  <c r="GP483" i="2"/>
  <c r="AM491" i="2"/>
  <c r="GP493" i="2"/>
  <c r="EE497" i="2"/>
  <c r="EX497" i="2" s="1"/>
  <c r="GU499" i="2"/>
  <c r="DL499" i="2"/>
  <c r="DW499" i="2"/>
  <c r="EP499" i="2" s="1"/>
  <c r="GY464" i="2"/>
  <c r="GO491" i="2"/>
  <c r="GT497" i="2"/>
  <c r="GP456" i="2"/>
  <c r="GX464" i="2"/>
  <c r="GV514" i="2"/>
  <c r="DW514" i="2"/>
  <c r="EP514" i="2" s="1"/>
  <c r="GQ474" i="2"/>
  <c r="AL497" i="2"/>
  <c r="DL497" i="2" s="1"/>
  <c r="AO517" i="2"/>
  <c r="DZ517" i="2" s="1"/>
  <c r="ES517" i="2" s="1"/>
  <c r="AN517" i="2"/>
  <c r="EH517" i="2"/>
  <c r="FA517" i="2" s="1"/>
  <c r="AM517" i="2"/>
  <c r="EG517" i="2"/>
  <c r="EZ517" i="2" s="1"/>
  <c r="DV517" i="2"/>
  <c r="EO517" i="2" s="1"/>
  <c r="AL517" i="2"/>
  <c r="EE517" i="2"/>
  <c r="EX517" i="2" s="1"/>
  <c r="DU517" i="2"/>
  <c r="EN517" i="2" s="1"/>
  <c r="AG517" i="2"/>
  <c r="ED517" i="2"/>
  <c r="EW517" i="2" s="1"/>
  <c r="DT517" i="2"/>
  <c r="EM517" i="2" s="1"/>
  <c r="AF517" i="2"/>
  <c r="DQ517" i="2" s="1"/>
  <c r="EJ517" i="2" s="1"/>
  <c r="EC517" i="2"/>
  <c r="EV517" i="2" s="1"/>
  <c r="DS517" i="2"/>
  <c r="EL517" i="2" s="1"/>
  <c r="AE517" i="2"/>
  <c r="DP517" i="2" s="1"/>
  <c r="EI517" i="2" s="1"/>
  <c r="EB517" i="2"/>
  <c r="EU517" i="2" s="1"/>
  <c r="EA517" i="2"/>
  <c r="ET517" i="2" s="1"/>
  <c r="GO517" i="2"/>
  <c r="GP450" i="2"/>
  <c r="GQ450" i="2" s="1"/>
  <c r="DR451" i="2"/>
  <c r="EK451" i="2" s="1"/>
  <c r="EB451" i="2"/>
  <c r="EU451" i="2" s="1"/>
  <c r="DS452" i="2"/>
  <c r="EL452" i="2" s="1"/>
  <c r="EC452" i="2"/>
  <c r="EV452" i="2" s="1"/>
  <c r="GP452" i="2"/>
  <c r="DR453" i="2"/>
  <c r="EK453" i="2" s="1"/>
  <c r="EB453" i="2"/>
  <c r="EU453" i="2" s="1"/>
  <c r="FH453" i="2"/>
  <c r="GA453" i="2" s="1"/>
  <c r="GP459" i="2"/>
  <c r="GQ459" i="2" s="1"/>
  <c r="GP461" i="2"/>
  <c r="GQ461" i="2" s="1"/>
  <c r="GP468" i="2"/>
  <c r="DZ471" i="2"/>
  <c r="ES471" i="2" s="1"/>
  <c r="GP474" i="2"/>
  <c r="DR491" i="2"/>
  <c r="EK491" i="2" s="1"/>
  <c r="DV497" i="2"/>
  <c r="EO497" i="2" s="1"/>
  <c r="DT452" i="2"/>
  <c r="EM452" i="2" s="1"/>
  <c r="ED452" i="2"/>
  <c r="EW452" i="2" s="1"/>
  <c r="GP471" i="2"/>
  <c r="EC471" i="2"/>
  <c r="EV471" i="2" s="1"/>
  <c r="DS471" i="2"/>
  <c r="EL471" i="2" s="1"/>
  <c r="EA471" i="2"/>
  <c r="ET471" i="2" s="1"/>
  <c r="DQ471" i="2"/>
  <c r="EJ471" i="2" s="1"/>
  <c r="GV471" i="2"/>
  <c r="HP29" i="2" s="1"/>
  <c r="DY471" i="2"/>
  <c r="ER471" i="2" s="1"/>
  <c r="DM471" i="2"/>
  <c r="EB471" i="2"/>
  <c r="EU471" i="2" s="1"/>
  <c r="GX483" i="2"/>
  <c r="GY483" i="2" s="1"/>
  <c r="DS491" i="2"/>
  <c r="EL491" i="2" s="1"/>
  <c r="DW497" i="2"/>
  <c r="EP497" i="2" s="1"/>
  <c r="AZ452" i="2"/>
  <c r="DP452" i="2" s="1"/>
  <c r="EI452" i="2" s="1"/>
  <c r="DU452" i="2"/>
  <c r="EN452" i="2" s="1"/>
  <c r="DL471" i="2"/>
  <c r="ED471" i="2"/>
  <c r="EW471" i="2" s="1"/>
  <c r="GQ472" i="2"/>
  <c r="DT491" i="2"/>
  <c r="EM491" i="2" s="1"/>
  <c r="DX497" i="2"/>
  <c r="EQ497" i="2" s="1"/>
  <c r="DU470" i="2"/>
  <c r="EN470" i="2" s="1"/>
  <c r="EE470" i="2"/>
  <c r="EX470" i="2" s="1"/>
  <c r="DS485" i="2"/>
  <c r="EL485" i="2" s="1"/>
  <c r="EC485" i="2"/>
  <c r="EV485" i="2" s="1"/>
  <c r="FT485" i="2"/>
  <c r="GM485" i="2" s="1"/>
  <c r="DY497" i="2"/>
  <c r="ER497" i="2" s="1"/>
  <c r="GX498" i="2"/>
  <c r="GY498" i="2" s="1"/>
  <c r="DS499" i="2"/>
  <c r="EL499" i="2" s="1"/>
  <c r="EE499" i="2"/>
  <c r="EX499" i="2" s="1"/>
  <c r="GP499" i="2"/>
  <c r="GQ499" i="2" s="1"/>
  <c r="GQ521" i="2"/>
  <c r="GP521" i="2"/>
  <c r="DT485" i="2"/>
  <c r="EM485" i="2" s="1"/>
  <c r="ED485" i="2"/>
  <c r="EW485" i="2" s="1"/>
  <c r="FJ485" i="2"/>
  <c r="EA497" i="2"/>
  <c r="DT499" i="2"/>
  <c r="EM499" i="2" s="1"/>
  <c r="EG499" i="2"/>
  <c r="EZ499" i="2" s="1"/>
  <c r="GX513" i="2"/>
  <c r="GY513" i="2" s="1"/>
  <c r="GQ516" i="2"/>
  <c r="DW470" i="2"/>
  <c r="EP470" i="2" s="1"/>
  <c r="EH470" i="2"/>
  <c r="FA470" i="2" s="1"/>
  <c r="Q485" i="2"/>
  <c r="DU485" i="2"/>
  <c r="EN485" i="2" s="1"/>
  <c r="EE485" i="2"/>
  <c r="EX485" i="2" s="1"/>
  <c r="FK485" i="2"/>
  <c r="GD485" i="2" s="1"/>
  <c r="DQ497" i="2"/>
  <c r="EJ497" i="2" s="1"/>
  <c r="EB497" i="2"/>
  <c r="EU497" i="2" s="1"/>
  <c r="BA499" i="2"/>
  <c r="DQ499" i="2" s="1"/>
  <c r="EJ499" i="2" s="1"/>
  <c r="DU499" i="2"/>
  <c r="EN499" i="2" s="1"/>
  <c r="EH499" i="2"/>
  <c r="FA499" i="2" s="1"/>
  <c r="GQ504" i="2"/>
  <c r="DM505" i="2"/>
  <c r="GP516" i="2"/>
  <c r="FB485" i="2"/>
  <c r="FU485" i="2" s="1"/>
  <c r="FL485" i="2"/>
  <c r="GE485" i="2" s="1"/>
  <c r="DR497" i="2"/>
  <c r="EK497" i="2" s="1"/>
  <c r="EC497" i="2"/>
  <c r="EV497" i="2" s="1"/>
  <c r="GQ501" i="2"/>
  <c r="GQ502" i="2"/>
  <c r="GP502" i="2"/>
  <c r="DY505" i="2"/>
  <c r="ER505" i="2" s="1"/>
  <c r="GP505" i="2"/>
  <c r="DM470" i="2"/>
  <c r="DY470" i="2"/>
  <c r="ER470" i="2" s="1"/>
  <c r="CB485" i="2"/>
  <c r="EH485" i="2"/>
  <c r="FA485" i="2" s="1"/>
  <c r="FC485" i="2"/>
  <c r="FV485" i="2" s="1"/>
  <c r="FM485" i="2"/>
  <c r="GF485" i="2" s="1"/>
  <c r="DT486" i="2"/>
  <c r="EM486" i="2" s="1"/>
  <c r="DS497" i="2"/>
  <c r="EL497" i="2" s="1"/>
  <c r="ED497" i="2"/>
  <c r="EW497" i="2" s="1"/>
  <c r="GP501" i="2"/>
  <c r="DZ505" i="2"/>
  <c r="ES505" i="2" s="1"/>
  <c r="FD485" i="2"/>
  <c r="FW485" i="2" s="1"/>
  <c r="FN485" i="2"/>
  <c r="GG485" i="2" s="1"/>
  <c r="GQ495" i="2"/>
  <c r="DT497" i="2"/>
  <c r="EM497" i="2" s="1"/>
  <c r="AN499" i="2"/>
  <c r="DY499" i="2" s="1"/>
  <c r="ER499" i="2" s="1"/>
  <c r="AM499" i="2"/>
  <c r="GQ500" i="2"/>
  <c r="GP500" i="2"/>
  <c r="FE485" i="2"/>
  <c r="FX485" i="2" s="1"/>
  <c r="DZ497" i="2"/>
  <c r="ES497" i="2" s="1"/>
  <c r="DP497" i="2"/>
  <c r="EI497" i="2" s="1"/>
  <c r="DU497" i="2"/>
  <c r="EN497" i="2" s="1"/>
  <c r="EG497" i="2"/>
  <c r="EZ497" i="2" s="1"/>
  <c r="EA499" i="2"/>
  <c r="ET499" i="2" s="1"/>
  <c r="GQ512" i="2"/>
  <c r="GU514" i="2"/>
  <c r="DL514" i="2"/>
  <c r="AE514" i="2"/>
  <c r="BH514" i="2"/>
  <c r="DU514" i="2"/>
  <c r="EN514" i="2" s="1"/>
  <c r="EE514" i="2"/>
  <c r="EX514" i="2" s="1"/>
  <c r="GP544" i="2"/>
  <c r="GQ544" i="2" s="1"/>
  <c r="AM514" i="2"/>
  <c r="BB517" i="2"/>
  <c r="BB1" i="2" s="1"/>
  <c r="AN514" i="2"/>
  <c r="DY514" i="2" s="1"/>
  <c r="ER514" i="2" s="1"/>
  <c r="BG517" i="2"/>
  <c r="GV517" i="2" s="1"/>
  <c r="AO514" i="2"/>
  <c r="BH517" i="2"/>
  <c r="GP525" i="2"/>
  <c r="GQ525" i="2" s="1"/>
  <c r="GY530" i="2"/>
  <c r="GQ535" i="2"/>
  <c r="GP535" i="2"/>
  <c r="EA514" i="2"/>
  <c r="ET514" i="2" s="1"/>
  <c r="BI517" i="2"/>
  <c r="GP555" i="2"/>
  <c r="GQ555" i="2" s="1"/>
  <c r="DX504" i="2"/>
  <c r="EQ504" i="2" s="1"/>
  <c r="AZ514" i="2"/>
  <c r="DR514" i="2"/>
  <c r="EK514" i="2" s="1"/>
  <c r="EB514" i="2"/>
  <c r="GO514" i="2"/>
  <c r="GP515" i="2"/>
  <c r="GQ515" i="2" s="1"/>
  <c r="GP519" i="2"/>
  <c r="GQ519" i="2" s="1"/>
  <c r="GP530" i="2"/>
  <c r="GQ530" i="2" s="1"/>
  <c r="BA514" i="2"/>
  <c r="DQ514" i="2" s="1"/>
  <c r="EJ514" i="2" s="1"/>
  <c r="DS514" i="2"/>
  <c r="EL514" i="2" s="1"/>
  <c r="EC514" i="2"/>
  <c r="EV514" i="2" s="1"/>
  <c r="GP514" i="2"/>
  <c r="DT514" i="2"/>
  <c r="EM514" i="2" s="1"/>
  <c r="GQ523" i="2"/>
  <c r="GQ527" i="2"/>
  <c r="DM560" i="2"/>
  <c r="DX560" i="2"/>
  <c r="EQ560" i="2" s="1"/>
  <c r="GP569" i="2"/>
  <c r="GQ569" i="2" s="1"/>
  <c r="GQ552" i="2"/>
  <c r="DW553" i="2"/>
  <c r="EP553" i="2" s="1"/>
  <c r="GV553" i="2"/>
  <c r="DV543" i="2"/>
  <c r="EO543" i="2" s="1"/>
  <c r="HC543" i="2"/>
  <c r="DL553" i="2"/>
  <c r="GQ558" i="2"/>
  <c r="GQ570" i="2"/>
  <c r="GQ573" i="2"/>
  <c r="GP573" i="2"/>
  <c r="DX543" i="2"/>
  <c r="EQ543" i="2" s="1"/>
  <c r="EE543" i="2"/>
  <c r="EX543" i="2" s="1"/>
  <c r="DU543" i="2"/>
  <c r="EN543" i="2" s="1"/>
  <c r="EC543" i="2"/>
  <c r="EV543" i="2" s="1"/>
  <c r="DS543" i="2"/>
  <c r="EL543" i="2" s="1"/>
  <c r="AE543" i="2"/>
  <c r="DP543" i="2" s="1"/>
  <c r="EI543" i="2" s="1"/>
  <c r="GQ550" i="2"/>
  <c r="GY541" i="2"/>
  <c r="GX541" i="2"/>
  <c r="AL543" i="2"/>
  <c r="GU543" i="2" s="1"/>
  <c r="DZ543" i="2"/>
  <c r="ES543" i="2" s="1"/>
  <c r="DL554" i="2"/>
  <c r="EA543" i="2"/>
  <c r="ET543" i="2" s="1"/>
  <c r="GT543" i="2"/>
  <c r="EE554" i="2"/>
  <c r="EX554" i="2" s="1"/>
  <c r="DU554" i="2"/>
  <c r="EN554" i="2" s="1"/>
  <c r="GP554" i="2"/>
  <c r="GO554" i="2"/>
  <c r="EH554" i="2"/>
  <c r="FA554" i="2" s="1"/>
  <c r="DV554" i="2"/>
  <c r="EO554" i="2" s="1"/>
  <c r="EG554" i="2"/>
  <c r="EZ554" i="2" s="1"/>
  <c r="DT554" i="2"/>
  <c r="EM554" i="2" s="1"/>
  <c r="ED554" i="2"/>
  <c r="EW554" i="2" s="1"/>
  <c r="DS554" i="2"/>
  <c r="EL554" i="2" s="1"/>
  <c r="EC554" i="2"/>
  <c r="EV554" i="2" s="1"/>
  <c r="DR554" i="2"/>
  <c r="EK554" i="2" s="1"/>
  <c r="EB554" i="2"/>
  <c r="EU554" i="2" s="1"/>
  <c r="DQ554" i="2"/>
  <c r="EJ554" i="2" s="1"/>
  <c r="EA554" i="2"/>
  <c r="ET554" i="2" s="1"/>
  <c r="DM554" i="2"/>
  <c r="FG554" i="2"/>
  <c r="FZ554" i="2" s="1"/>
  <c r="EB543" i="2"/>
  <c r="EU543" i="2" s="1"/>
  <c r="GP548" i="2"/>
  <c r="GQ548" i="2" s="1"/>
  <c r="J554" i="2"/>
  <c r="DP554" i="2" s="1"/>
  <c r="EI554" i="2" s="1"/>
  <c r="DX554" i="2"/>
  <c r="EQ554" i="2" s="1"/>
  <c r="GT554" i="2"/>
  <c r="ED543" i="2"/>
  <c r="EW543" i="2" s="1"/>
  <c r="GQ546" i="2"/>
  <c r="GP553" i="2"/>
  <c r="FQ554" i="2"/>
  <c r="GJ554" i="2" s="1"/>
  <c r="FF554" i="2"/>
  <c r="FY554" i="2" s="1"/>
  <c r="FP554" i="2"/>
  <c r="GI554" i="2" s="1"/>
  <c r="FE554" i="2"/>
  <c r="FX554" i="2" s="1"/>
  <c r="FO554" i="2"/>
  <c r="GH554" i="2" s="1"/>
  <c r="FD554" i="2"/>
  <c r="FW554" i="2" s="1"/>
  <c r="FN554" i="2"/>
  <c r="GG554" i="2" s="1"/>
  <c r="FC554" i="2"/>
  <c r="FV554" i="2" s="1"/>
  <c r="GW554" i="2"/>
  <c r="CB554" i="2"/>
  <c r="FJ554" i="2"/>
  <c r="GC554" i="2" s="1"/>
  <c r="BU554" i="2"/>
  <c r="FB554" i="2" s="1"/>
  <c r="FU554" i="2" s="1"/>
  <c r="EE568" i="2"/>
  <c r="EX568" i="2" s="1"/>
  <c r="DU568" i="2"/>
  <c r="EN568" i="2" s="1"/>
  <c r="ED568" i="2"/>
  <c r="EW568" i="2" s="1"/>
  <c r="DT568" i="2"/>
  <c r="EM568" i="2" s="1"/>
  <c r="GP568" i="2"/>
  <c r="EC568" i="2"/>
  <c r="EV568" i="2" s="1"/>
  <c r="DS568" i="2"/>
  <c r="EL568" i="2" s="1"/>
  <c r="GO568" i="2"/>
  <c r="EB568" i="2"/>
  <c r="EU568" i="2" s="1"/>
  <c r="DR568" i="2"/>
  <c r="EK568" i="2" s="1"/>
  <c r="EA568" i="2"/>
  <c r="ET568" i="2" s="1"/>
  <c r="DQ568" i="2"/>
  <c r="EJ568" i="2" s="1"/>
  <c r="DZ568" i="2"/>
  <c r="ES568" i="2" s="1"/>
  <c r="DP568" i="2"/>
  <c r="EI568" i="2" s="1"/>
  <c r="GV568" i="2"/>
  <c r="DY568" i="2"/>
  <c r="ER568" i="2" s="1"/>
  <c r="DM568" i="2"/>
  <c r="EH568" i="2"/>
  <c r="FA568" i="2" s="1"/>
  <c r="EG568" i="2"/>
  <c r="EZ568" i="2" s="1"/>
  <c r="DX568" i="2"/>
  <c r="EQ568" i="2" s="1"/>
  <c r="DW568" i="2"/>
  <c r="EP568" i="2" s="1"/>
  <c r="DV568" i="2"/>
  <c r="EO568" i="2" s="1"/>
  <c r="DL568" i="2"/>
  <c r="FT543" i="2"/>
  <c r="GM543" i="2" s="1"/>
  <c r="FF560" i="2"/>
  <c r="FY560" i="2" s="1"/>
  <c r="FS560" i="2"/>
  <c r="GL560" i="2" s="1"/>
  <c r="ED565" i="2"/>
  <c r="EW565" i="2" s="1"/>
  <c r="DT565" i="2"/>
  <c r="EM565" i="2" s="1"/>
  <c r="GO565" i="2"/>
  <c r="EB565" i="2"/>
  <c r="EU565" i="2" s="1"/>
  <c r="DR565" i="2"/>
  <c r="EK565" i="2" s="1"/>
  <c r="DZ565" i="2"/>
  <c r="ES565" i="2" s="1"/>
  <c r="DX565" i="2"/>
  <c r="EQ565" i="2" s="1"/>
  <c r="EA565" i="2"/>
  <c r="DX566" i="2"/>
  <c r="EQ566" i="2" s="1"/>
  <c r="GP576" i="2"/>
  <c r="FG560" i="2"/>
  <c r="FZ560" i="2" s="1"/>
  <c r="FT560" i="2"/>
  <c r="GM560" i="2" s="1"/>
  <c r="AZ565" i="2"/>
  <c r="DP565" i="2" s="1"/>
  <c r="EI565" i="2" s="1"/>
  <c r="EC565" i="2"/>
  <c r="EV565" i="2" s="1"/>
  <c r="DY566" i="2"/>
  <c r="ER566" i="2" s="1"/>
  <c r="FK543" i="2"/>
  <c r="GD543" i="2" s="1"/>
  <c r="FK554" i="2"/>
  <c r="GD554" i="2" s="1"/>
  <c r="GP562" i="2"/>
  <c r="EC562" i="2"/>
  <c r="EV562" i="2" s="1"/>
  <c r="DS562" i="2"/>
  <c r="EL562" i="2" s="1"/>
  <c r="EA562" i="2"/>
  <c r="ET562" i="2" s="1"/>
  <c r="DQ562" i="2"/>
  <c r="EJ562" i="2" s="1"/>
  <c r="GV562" i="2"/>
  <c r="DY562" i="2"/>
  <c r="ER562" i="2" s="1"/>
  <c r="DM562" i="2"/>
  <c r="EH562" i="2"/>
  <c r="FA562" i="2" s="1"/>
  <c r="DW562" i="2"/>
  <c r="EP562" i="2" s="1"/>
  <c r="EB562" i="2"/>
  <c r="EU562" i="2" s="1"/>
  <c r="BG565" i="2"/>
  <c r="EE565" i="2"/>
  <c r="EX565" i="2" s="1"/>
  <c r="GQ549" i="2"/>
  <c r="FO560" i="2"/>
  <c r="GH560" i="2" s="1"/>
  <c r="FE560" i="2"/>
  <c r="FX560" i="2" s="1"/>
  <c r="FM560" i="2"/>
  <c r="GF560" i="2" s="1"/>
  <c r="CX560" i="2"/>
  <c r="FJ560" i="2" s="1"/>
  <c r="GC560" i="2" s="1"/>
  <c r="GW560" i="2"/>
  <c r="GX560" i="2" s="1"/>
  <c r="GQ561" i="2"/>
  <c r="GQ571" i="2"/>
  <c r="GQ575" i="2"/>
  <c r="GP575" i="2"/>
  <c r="GP545" i="2"/>
  <c r="GQ545" i="2" s="1"/>
  <c r="GP547" i="2"/>
  <c r="GQ547" i="2" s="1"/>
  <c r="GP549" i="2"/>
  <c r="GP550" i="2"/>
  <c r="EH566" i="2"/>
  <c r="FA566" i="2" s="1"/>
  <c r="EG566" i="2"/>
  <c r="EZ566" i="2" s="1"/>
  <c r="DV566" i="2"/>
  <c r="EO566" i="2" s="1"/>
  <c r="EE566" i="2"/>
  <c r="EX566" i="2" s="1"/>
  <c r="DU566" i="2"/>
  <c r="EN566" i="2" s="1"/>
  <c r="ED566" i="2"/>
  <c r="EW566" i="2" s="1"/>
  <c r="DT566" i="2"/>
  <c r="EM566" i="2" s="1"/>
  <c r="EC566" i="2"/>
  <c r="EV566" i="2" s="1"/>
  <c r="DS566" i="2"/>
  <c r="EL566" i="2" s="1"/>
  <c r="GO566" i="2"/>
  <c r="EB566" i="2"/>
  <c r="EU566" i="2" s="1"/>
  <c r="EA566" i="2"/>
  <c r="ET566" i="2" s="1"/>
  <c r="DQ566" i="2"/>
  <c r="EJ566" i="2" s="1"/>
  <c r="FD543" i="2"/>
  <c r="FW543" i="2" s="1"/>
  <c r="FN543" i="2"/>
  <c r="GG543" i="2" s="1"/>
  <c r="GP551" i="2"/>
  <c r="GQ551" i="2" s="1"/>
  <c r="GP552" i="2"/>
  <c r="EA553" i="2"/>
  <c r="ET553" i="2" s="1"/>
  <c r="DQ553" i="2"/>
  <c r="EJ553" i="2" s="1"/>
  <c r="DV553" i="2"/>
  <c r="EO553" i="2" s="1"/>
  <c r="EH553" i="2"/>
  <c r="FA553" i="2" s="1"/>
  <c r="GQ556" i="2"/>
  <c r="DY560" i="2"/>
  <c r="ER560" i="2" s="1"/>
  <c r="EH560" i="2"/>
  <c r="FA560" i="2" s="1"/>
  <c r="AL560" i="2"/>
  <c r="CQ560" i="2"/>
  <c r="FC560" i="2" s="1"/>
  <c r="FV560" i="2" s="1"/>
  <c r="FK560" i="2"/>
  <c r="GD560" i="2" s="1"/>
  <c r="DP562" i="2"/>
  <c r="EI562" i="2" s="1"/>
  <c r="EG562" i="2"/>
  <c r="EZ562" i="2" s="1"/>
  <c r="DS565" i="2"/>
  <c r="EL565" i="2" s="1"/>
  <c r="GP565" i="2"/>
  <c r="DW566" i="2"/>
  <c r="EP566" i="2" s="1"/>
  <c r="GV566" i="2"/>
  <c r="DM543" i="2"/>
  <c r="FE543" i="2"/>
  <c r="FX543" i="2" s="1"/>
  <c r="AZ553" i="2"/>
  <c r="DP553" i="2" s="1"/>
  <c r="EI553" i="2" s="1"/>
  <c r="GO553" i="2"/>
  <c r="AE560" i="2"/>
  <c r="DP560" i="2" s="1"/>
  <c r="EI560" i="2" s="1"/>
  <c r="CW560" i="2"/>
  <c r="DZ560" i="2"/>
  <c r="ES560" i="2" s="1"/>
  <c r="FL560" i="2"/>
  <c r="GE560" i="2" s="1"/>
  <c r="GO560" i="2"/>
  <c r="DR562" i="2"/>
  <c r="EK562" i="2" s="1"/>
  <c r="GO564" i="2"/>
  <c r="EB564" i="2"/>
  <c r="EU564" i="2" s="1"/>
  <c r="DR564" i="2"/>
  <c r="EK564" i="2" s="1"/>
  <c r="DZ564" i="2"/>
  <c r="ES564" i="2" s="1"/>
  <c r="DP564" i="2"/>
  <c r="EI564" i="2" s="1"/>
  <c r="DX564" i="2"/>
  <c r="EQ564" i="2" s="1"/>
  <c r="DL564" i="2"/>
  <c r="EG564" i="2"/>
  <c r="EZ564" i="2" s="1"/>
  <c r="DV564" i="2"/>
  <c r="EO564" i="2" s="1"/>
  <c r="ED564" i="2"/>
  <c r="EW564" i="2" s="1"/>
  <c r="GV564" i="2"/>
  <c r="DU565" i="2"/>
  <c r="EN565" i="2" s="1"/>
  <c r="DL566" i="2"/>
  <c r="GQ591" i="2"/>
  <c r="GP581" i="2"/>
  <c r="GQ581" i="2" s="1"/>
  <c r="GQ594" i="2"/>
  <c r="GP594" i="2"/>
  <c r="DU567" i="2"/>
  <c r="EN567" i="2" s="1"/>
  <c r="EE567" i="2"/>
  <c r="EX567" i="2" s="1"/>
  <c r="DU576" i="2"/>
  <c r="EN576" i="2" s="1"/>
  <c r="EE576" i="2"/>
  <c r="EX576" i="2" s="1"/>
  <c r="DW567" i="2"/>
  <c r="EP567" i="2" s="1"/>
  <c r="EH567" i="2"/>
  <c r="FA567" i="2" s="1"/>
  <c r="BG576" i="2"/>
  <c r="EH576" i="2"/>
  <c r="FA576" i="2" s="1"/>
  <c r="GQ582" i="2"/>
  <c r="GP582" i="2"/>
  <c r="GP597" i="2"/>
  <c r="GQ597" i="2" s="1"/>
  <c r="DX576" i="2"/>
  <c r="EQ576" i="2" s="1"/>
  <c r="GP579" i="2"/>
  <c r="GQ579" i="2" s="1"/>
  <c r="GP587" i="2"/>
  <c r="GQ587" i="2" s="1"/>
  <c r="GP588" i="2"/>
  <c r="GQ588" i="2" s="1"/>
  <c r="GP593" i="2"/>
  <c r="GQ593" i="2" s="1"/>
  <c r="DM567" i="2"/>
  <c r="DY567" i="2"/>
  <c r="ER567" i="2" s="1"/>
  <c r="GV567" i="2"/>
  <c r="GP570" i="2"/>
  <c r="GP572" i="2"/>
  <c r="GQ572" i="2" s="1"/>
  <c r="GP574" i="2"/>
  <c r="GQ574" i="2" s="1"/>
  <c r="DW575" i="2"/>
  <c r="EP575" i="2" s="1"/>
  <c r="DM576" i="2"/>
  <c r="DY576" i="2"/>
  <c r="ER576" i="2" s="1"/>
  <c r="DZ576" i="2"/>
  <c r="ES576" i="2" s="1"/>
  <c r="GO576" i="2"/>
  <c r="DQ567" i="2"/>
  <c r="EJ567" i="2" s="1"/>
  <c r="DQ576" i="2"/>
  <c r="EJ576" i="2" s="1"/>
  <c r="EA576" i="2"/>
  <c r="ET576" i="2" s="1"/>
  <c r="GP577" i="2"/>
  <c r="GQ577" i="2" s="1"/>
  <c r="EE601" i="2"/>
  <c r="EX601" i="2" s="1"/>
  <c r="DU601" i="2"/>
  <c r="EN601" i="2" s="1"/>
  <c r="ED601" i="2"/>
  <c r="EW601" i="2" s="1"/>
  <c r="DT601" i="2"/>
  <c r="EM601" i="2" s="1"/>
  <c r="GO601" i="2"/>
  <c r="EB601" i="2"/>
  <c r="DR601" i="2"/>
  <c r="EK601" i="2" s="1"/>
  <c r="EA601" i="2"/>
  <c r="ET601" i="2" s="1"/>
  <c r="DQ601" i="2"/>
  <c r="EJ601" i="2" s="1"/>
  <c r="DZ601" i="2"/>
  <c r="ES601" i="2" s="1"/>
  <c r="DP601" i="2"/>
  <c r="EI601" i="2" s="1"/>
  <c r="GV601" i="2"/>
  <c r="DY601" i="2"/>
  <c r="ER601" i="2" s="1"/>
  <c r="DM601" i="2"/>
  <c r="DX601" i="2"/>
  <c r="EQ601" i="2" s="1"/>
  <c r="DL601" i="2"/>
  <c r="FK601" i="2"/>
  <c r="GD601" i="2" s="1"/>
  <c r="FJ601" i="2"/>
  <c r="GC601" i="2" s="1"/>
  <c r="FS601" i="2"/>
  <c r="GL601" i="2" s="1"/>
  <c r="FH601" i="2"/>
  <c r="GA601" i="2" s="1"/>
  <c r="GX601" i="2"/>
  <c r="FQ601" i="2"/>
  <c r="GJ601" i="2" s="1"/>
  <c r="FG601" i="2"/>
  <c r="FZ601" i="2" s="1"/>
  <c r="GW601" i="2"/>
  <c r="FP601" i="2"/>
  <c r="GI601" i="2" s="1"/>
  <c r="FF601" i="2"/>
  <c r="FY601" i="2" s="1"/>
  <c r="FO601" i="2"/>
  <c r="GH601" i="2" s="1"/>
  <c r="FE601" i="2"/>
  <c r="FX601" i="2" s="1"/>
  <c r="FN601" i="2"/>
  <c r="GG601" i="2" s="1"/>
  <c r="FD601" i="2"/>
  <c r="FW601" i="2" s="1"/>
  <c r="DS601" i="2"/>
  <c r="EL601" i="2" s="1"/>
  <c r="FB601" i="2"/>
  <c r="FU601" i="2" s="1"/>
  <c r="GQ605" i="2"/>
  <c r="DV601" i="2"/>
  <c r="EO601" i="2" s="1"/>
  <c r="FC601" i="2"/>
  <c r="FV601" i="2" s="1"/>
  <c r="GP601" i="2"/>
  <c r="GP608" i="2"/>
  <c r="GQ608" i="2" s="1"/>
  <c r="GP592" i="2"/>
  <c r="GQ592" i="2" s="1"/>
  <c r="DW601" i="2"/>
  <c r="EP601" i="2" s="1"/>
  <c r="FI601" i="2"/>
  <c r="GB601" i="2" s="1"/>
  <c r="GP591" i="2"/>
  <c r="EC601" i="2"/>
  <c r="EV601" i="2" s="1"/>
  <c r="FL601" i="2"/>
  <c r="EG601" i="2"/>
  <c r="EZ601" i="2" s="1"/>
  <c r="FM601" i="2"/>
  <c r="GF601" i="2" s="1"/>
  <c r="EH601" i="2"/>
  <c r="FA601" i="2" s="1"/>
  <c r="FT601" i="2"/>
  <c r="GM601" i="2" s="1"/>
  <c r="GP603" i="2"/>
  <c r="GQ603" i="2" s="1"/>
  <c r="GP609" i="2"/>
  <c r="GQ609" i="2" s="1"/>
  <c r="GP618" i="2"/>
  <c r="GQ618" i="2" s="1"/>
  <c r="GQ621" i="2"/>
  <c r="GP621" i="2"/>
  <c r="GQ610" i="2"/>
  <c r="GP610" i="2"/>
  <c r="GP606" i="2"/>
  <c r="GQ606" i="2" s="1"/>
  <c r="GP607" i="2"/>
  <c r="GQ607" i="2" s="1"/>
  <c r="GQ612" i="2"/>
  <c r="GP612" i="2"/>
  <c r="GQ625" i="2"/>
  <c r="DW625" i="2"/>
  <c r="EP625" i="2" s="1"/>
  <c r="GQ628" i="2"/>
  <c r="GP628" i="2"/>
  <c r="DM624" i="2"/>
  <c r="EH624" i="2"/>
  <c r="FA624" i="2" s="1"/>
  <c r="BJ624" i="2"/>
  <c r="DZ624" i="2" s="1"/>
  <c r="ES624" i="2" s="1"/>
  <c r="EG624" i="2"/>
  <c r="EZ624" i="2" s="1"/>
  <c r="DV624" i="2"/>
  <c r="EO624" i="2" s="1"/>
  <c r="BI624" i="2"/>
  <c r="DY624" i="2" s="1"/>
  <c r="ER624" i="2" s="1"/>
  <c r="DU624" i="2"/>
  <c r="EN624" i="2" s="1"/>
  <c r="AZ624" i="2"/>
  <c r="DP624" i="2" s="1"/>
  <c r="EI624" i="2" s="1"/>
  <c r="DX624" i="2"/>
  <c r="EQ624" i="2" s="1"/>
  <c r="DY625" i="2"/>
  <c r="ER625" i="2" s="1"/>
  <c r="GQ631" i="2"/>
  <c r="BA624" i="2"/>
  <c r="DQ624" i="2" s="1"/>
  <c r="EJ624" i="2" s="1"/>
  <c r="GP625" i="2"/>
  <c r="EC625" i="2"/>
  <c r="EV625" i="2" s="1"/>
  <c r="DS625" i="2"/>
  <c r="EL625" i="2" s="1"/>
  <c r="EA625" i="2"/>
  <c r="ET625" i="2" s="1"/>
  <c r="DQ625" i="2"/>
  <c r="EJ625" i="2" s="1"/>
  <c r="DZ625" i="2"/>
  <c r="ES625" i="2" s="1"/>
  <c r="DP625" i="2"/>
  <c r="EI625" i="2" s="1"/>
  <c r="EB625" i="2"/>
  <c r="EU625" i="2" s="1"/>
  <c r="GQ630" i="2"/>
  <c r="GP630" i="2"/>
  <c r="BG624" i="2"/>
  <c r="GP624" i="2" s="1"/>
  <c r="EA624" i="2"/>
  <c r="ET624" i="2" s="1"/>
  <c r="GO624" i="2"/>
  <c r="GQ626" i="2"/>
  <c r="GO619" i="2"/>
  <c r="EB619" i="2"/>
  <c r="DR619" i="2"/>
  <c r="EK619" i="2" s="1"/>
  <c r="DY619" i="2"/>
  <c r="ER619" i="2" s="1"/>
  <c r="DM619" i="2"/>
  <c r="DW619" i="2"/>
  <c r="EP619" i="2" s="1"/>
  <c r="GP620" i="2"/>
  <c r="GQ620" i="2" s="1"/>
  <c r="EB624" i="2"/>
  <c r="EU624" i="2" s="1"/>
  <c r="DM625" i="2"/>
  <c r="EE625" i="2"/>
  <c r="EX625" i="2" s="1"/>
  <c r="GP626" i="2"/>
  <c r="DX619" i="2"/>
  <c r="EQ619" i="2" s="1"/>
  <c r="EC624" i="2"/>
  <c r="EV624" i="2" s="1"/>
  <c r="DR625" i="2"/>
  <c r="EK625" i="2" s="1"/>
  <c r="EG625" i="2"/>
  <c r="EZ625" i="2" s="1"/>
  <c r="GV619" i="2"/>
  <c r="DZ619" i="2"/>
  <c r="ES619" i="2" s="1"/>
  <c r="ED624" i="2"/>
  <c r="EW624" i="2" s="1"/>
  <c r="DT625" i="2"/>
  <c r="EM625" i="2" s="1"/>
  <c r="EH625" i="2"/>
  <c r="FA625" i="2" s="1"/>
  <c r="GP631" i="2"/>
  <c r="DV631" i="2"/>
  <c r="EO631" i="2" s="1"/>
  <c r="EG631" i="2"/>
  <c r="EZ631" i="2" s="1"/>
  <c r="DW618" i="2"/>
  <c r="EP618" i="2" s="1"/>
  <c r="EH618" i="2"/>
  <c r="FA618" i="2" s="1"/>
  <c r="DW631" i="2"/>
  <c r="EP631" i="2" s="1"/>
  <c r="EH631" i="2"/>
  <c r="FA631" i="2" s="1"/>
  <c r="DL631" i="2"/>
  <c r="DX631" i="2"/>
  <c r="EQ631" i="2" s="1"/>
  <c r="GV631" i="2"/>
  <c r="HP37" i="2" s="1"/>
  <c r="HP46" i="2" s="1"/>
  <c r="DP618" i="2"/>
  <c r="EI618" i="2" s="1"/>
  <c r="GR618" i="2" s="1"/>
  <c r="GS618" i="2" s="1"/>
  <c r="DW626" i="2"/>
  <c r="EP626" i="2" s="1"/>
  <c r="DP631" i="2"/>
  <c r="EI631" i="2" s="1"/>
  <c r="BR1" i="1" l="1"/>
  <c r="ES352" i="1"/>
  <c r="DS382" i="1"/>
  <c r="ET27" i="1"/>
  <c r="DN97" i="1"/>
  <c r="EK352" i="1"/>
  <c r="BW1" i="1"/>
  <c r="DO97" i="1"/>
  <c r="DS454" i="1"/>
  <c r="DW122" i="1"/>
  <c r="DX122" i="1" s="1"/>
  <c r="DO490" i="1"/>
  <c r="DW397" i="1"/>
  <c r="AA1" i="1"/>
  <c r="CS1" i="1"/>
  <c r="FH36" i="1"/>
  <c r="FH1" i="1" s="1"/>
  <c r="FG36" i="1"/>
  <c r="FG1" i="1" s="1"/>
  <c r="FF1" i="1" s="1"/>
  <c r="DO332" i="1"/>
  <c r="DS255" i="1"/>
  <c r="DT255" i="1" s="1"/>
  <c r="ER106" i="1"/>
  <c r="DS160" i="1"/>
  <c r="DT160" i="1" s="1"/>
  <c r="FC106" i="1"/>
  <c r="FB106" i="1"/>
  <c r="FA106" i="1" s="1"/>
  <c r="FK222" i="1"/>
  <c r="FL222" i="1"/>
  <c r="EU223" i="1"/>
  <c r="ET223" i="1"/>
  <c r="S1" i="1"/>
  <c r="CZ1" i="1"/>
  <c r="DW275" i="1"/>
  <c r="DX275" i="1" s="1"/>
  <c r="DS332" i="1"/>
  <c r="DT332" i="1" s="1"/>
  <c r="DW118" i="1"/>
  <c r="DX118" i="1" s="1"/>
  <c r="DN120" i="1"/>
  <c r="DS374" i="1"/>
  <c r="DT374" i="1" s="1"/>
  <c r="AV1" i="1"/>
  <c r="BQ1" i="1"/>
  <c r="DS97" i="1"/>
  <c r="DT97" i="1" s="1"/>
  <c r="DW205" i="1"/>
  <c r="DX205" i="1" s="1"/>
  <c r="DS422" i="1"/>
  <c r="DT422" i="1" s="1"/>
  <c r="DG1" i="1"/>
  <c r="DS118" i="1"/>
  <c r="DT118" i="1" s="1"/>
  <c r="EU266" i="1"/>
  <c r="ET266" i="1"/>
  <c r="EP223" i="1"/>
  <c r="EQ223" i="1"/>
  <c r="DO120" i="1"/>
  <c r="AJ1" i="1"/>
  <c r="AP1" i="1"/>
  <c r="DS120" i="1"/>
  <c r="DT120" i="1" s="1"/>
  <c r="DW159" i="1"/>
  <c r="DX159" i="1" s="1"/>
  <c r="IL27" i="2"/>
  <c r="JA18" i="2"/>
  <c r="HT35" i="2"/>
  <c r="HS35" i="2"/>
  <c r="HW16" i="2"/>
  <c r="HU16" i="2"/>
  <c r="HR16" i="2" s="1"/>
  <c r="HW34" i="2"/>
  <c r="HU34" i="2"/>
  <c r="HR34" i="2" s="1"/>
  <c r="HW25" i="2"/>
  <c r="HU25" i="2"/>
  <c r="HB359" i="2"/>
  <c r="HX26" i="2" s="1"/>
  <c r="FI359" i="2"/>
  <c r="GB359" i="2" s="1"/>
  <c r="GR256" i="2"/>
  <c r="GS256" i="2" s="1"/>
  <c r="GR631" i="2"/>
  <c r="GS631" i="2" s="1"/>
  <c r="GR562" i="2"/>
  <c r="EA398" i="2"/>
  <c r="ET398" i="2" s="1"/>
  <c r="AP1" i="2"/>
  <c r="GQ565" i="2"/>
  <c r="DM491" i="2"/>
  <c r="DX491" i="2"/>
  <c r="EQ491" i="2" s="1"/>
  <c r="AN1" i="2"/>
  <c r="GQ369" i="2"/>
  <c r="HQ27" i="2"/>
  <c r="DP331" i="2"/>
  <c r="EI331" i="2" s="1"/>
  <c r="DZ333" i="2"/>
  <c r="ES333" i="2" s="1"/>
  <c r="T1" i="2"/>
  <c r="FI230" i="2"/>
  <c r="GB230" i="2" s="1"/>
  <c r="HB230" i="2"/>
  <c r="GR229" i="2"/>
  <c r="GS229" i="2" s="1"/>
  <c r="II23" i="2"/>
  <c r="DX210" i="2"/>
  <c r="EQ210" i="2" s="1"/>
  <c r="DM210" i="2"/>
  <c r="GP171" i="2"/>
  <c r="GQ171" i="2" s="1"/>
  <c r="GU171" i="2"/>
  <c r="DL171" i="2"/>
  <c r="DW171" i="2"/>
  <c r="EP171" i="2" s="1"/>
  <c r="HQ21" i="2"/>
  <c r="GT116" i="2"/>
  <c r="DW116" i="2"/>
  <c r="EP116" i="2" s="1"/>
  <c r="DL116" i="2"/>
  <c r="HS19" i="2"/>
  <c r="HT19" i="2"/>
  <c r="GP116" i="2"/>
  <c r="IX18" i="2"/>
  <c r="FQ108" i="2"/>
  <c r="GJ108" i="2" s="1"/>
  <c r="JD20" i="2" s="1"/>
  <c r="DE1" i="2"/>
  <c r="DV34" i="2"/>
  <c r="EO34" i="2" s="1"/>
  <c r="P1" i="2"/>
  <c r="FQ116" i="2"/>
  <c r="GJ116" i="2" s="1"/>
  <c r="CJ1" i="2"/>
  <c r="BP1" i="2"/>
  <c r="HX18" i="2"/>
  <c r="JC18" i="2"/>
  <c r="HS14" i="2"/>
  <c r="HT14" i="2"/>
  <c r="GQ30" i="2"/>
  <c r="IU10" i="2"/>
  <c r="IW10" i="2"/>
  <c r="IX10" i="2"/>
  <c r="JA10" i="2"/>
  <c r="JD10" i="2"/>
  <c r="JB14" i="2"/>
  <c r="JB26" i="2"/>
  <c r="DW561" i="1"/>
  <c r="DX561" i="1" s="1"/>
  <c r="GR81" i="2"/>
  <c r="GR33" i="2"/>
  <c r="GS33" i="2" s="1"/>
  <c r="GR28" i="2"/>
  <c r="GS28" i="2" s="1"/>
  <c r="IN6" i="2"/>
  <c r="J1" i="2"/>
  <c r="GR66" i="2"/>
  <c r="GS66" i="2" s="1"/>
  <c r="HQ13" i="2"/>
  <c r="IN31" i="2"/>
  <c r="GU34" i="2"/>
  <c r="HO14" i="2" s="1"/>
  <c r="DW34" i="2"/>
  <c r="EP34" i="2" s="1"/>
  <c r="DL34" i="2"/>
  <c r="IL6" i="2"/>
  <c r="GR129" i="2"/>
  <c r="GS129" i="2" s="1"/>
  <c r="GR141" i="2"/>
  <c r="GS141" i="2" s="1"/>
  <c r="GR59" i="2"/>
  <c r="GS59" i="2" s="1"/>
  <c r="GR182" i="2"/>
  <c r="GS182" i="2" s="1"/>
  <c r="GR173" i="2"/>
  <c r="GS173" i="2" s="1"/>
  <c r="GR377" i="2"/>
  <c r="GS377" i="2" s="1"/>
  <c r="GR555" i="2"/>
  <c r="GS555" i="2" s="1"/>
  <c r="GR532" i="2"/>
  <c r="GS532" i="2" s="1"/>
  <c r="GR622" i="2"/>
  <c r="GS622" i="2" s="1"/>
  <c r="DL235" i="2"/>
  <c r="DW235" i="2"/>
  <c r="EP235" i="2" s="1"/>
  <c r="GT235" i="2"/>
  <c r="GU517" i="2"/>
  <c r="HO32" i="2" s="1"/>
  <c r="DL517" i="2"/>
  <c r="DW517" i="2"/>
  <c r="EP517" i="2" s="1"/>
  <c r="DM333" i="2"/>
  <c r="DX333" i="2"/>
  <c r="EQ333" i="2" s="1"/>
  <c r="GU207" i="2"/>
  <c r="DL207" i="2"/>
  <c r="DW207" i="2"/>
  <c r="EP207" i="2" s="1"/>
  <c r="GP207" i="2"/>
  <c r="GQ207" i="2" s="1"/>
  <c r="GQ624" i="2"/>
  <c r="HQ35" i="2"/>
  <c r="GQ568" i="2"/>
  <c r="HB554" i="2"/>
  <c r="HX32" i="2" s="1"/>
  <c r="FI554" i="2"/>
  <c r="GB554" i="2" s="1"/>
  <c r="GP543" i="2"/>
  <c r="GQ543" i="2" s="1"/>
  <c r="GQ514" i="2"/>
  <c r="HQ32" i="2"/>
  <c r="DM499" i="2"/>
  <c r="DX499" i="2"/>
  <c r="EQ499" i="2" s="1"/>
  <c r="IM29" i="2"/>
  <c r="GR452" i="2"/>
  <c r="GS452" i="2" s="1"/>
  <c r="HT29" i="2"/>
  <c r="HS29" i="2"/>
  <c r="DY517" i="2"/>
  <c r="ER517" i="2" s="1"/>
  <c r="DX453" i="2"/>
  <c r="EQ453" i="2" s="1"/>
  <c r="IN28" i="2" s="1"/>
  <c r="GY398" i="2"/>
  <c r="HZ28" i="2"/>
  <c r="DQ375" i="2"/>
  <c r="EJ375" i="2" s="1"/>
  <c r="IP27" i="2"/>
  <c r="FK398" i="2"/>
  <c r="GD398" i="2" s="1"/>
  <c r="CY1" i="2"/>
  <c r="GR384" i="2"/>
  <c r="GS384" i="2" s="1"/>
  <c r="HQ28" i="2"/>
  <c r="GR319" i="2"/>
  <c r="GS319" i="2" s="1"/>
  <c r="GR295" i="2"/>
  <c r="GS295" i="2" s="1"/>
  <c r="GV290" i="2"/>
  <c r="HP24" i="2" s="1"/>
  <c r="DL290" i="2"/>
  <c r="DW290" i="2"/>
  <c r="EP290" i="2" s="1"/>
  <c r="GU288" i="2"/>
  <c r="DL288" i="2"/>
  <c r="DW288" i="2"/>
  <c r="EP288" i="2" s="1"/>
  <c r="FB359" i="2"/>
  <c r="FU359" i="2" s="1"/>
  <c r="GZ359" i="2" s="1"/>
  <c r="HA359" i="2" s="1"/>
  <c r="BU1" i="2"/>
  <c r="JD26" i="2"/>
  <c r="GU317" i="2"/>
  <c r="DL317" i="2"/>
  <c r="DW317" i="2"/>
  <c r="EP317" i="2" s="1"/>
  <c r="GR317" i="2" s="1"/>
  <c r="GS317" i="2" s="1"/>
  <c r="DW310" i="2"/>
  <c r="EP310" i="2" s="1"/>
  <c r="GR310" i="2" s="1"/>
  <c r="GS310" i="2" s="1"/>
  <c r="DL310" i="2"/>
  <c r="GU310" i="2"/>
  <c r="GQ278" i="2"/>
  <c r="GP235" i="2"/>
  <c r="GV216" i="2"/>
  <c r="DL216" i="2"/>
  <c r="DW216" i="2"/>
  <c r="EP216" i="2" s="1"/>
  <c r="GP216" i="2"/>
  <c r="GQ216" i="2" s="1"/>
  <c r="DM208" i="2"/>
  <c r="DX208" i="2"/>
  <c r="EQ208" i="2" s="1"/>
  <c r="FI229" i="2"/>
  <c r="GB229" i="2" s="1"/>
  <c r="HB229" i="2"/>
  <c r="GR210" i="2"/>
  <c r="GS210" i="2" s="1"/>
  <c r="DW209" i="2"/>
  <c r="EP209" i="2" s="1"/>
  <c r="GR209" i="2" s="1"/>
  <c r="GS209" i="2" s="1"/>
  <c r="DL209" i="2"/>
  <c r="GT209" i="2"/>
  <c r="GQ209" i="2"/>
  <c r="IM21" i="2"/>
  <c r="IQ21" i="2"/>
  <c r="GZ117" i="2"/>
  <c r="HA117" i="2" s="1"/>
  <c r="JD18" i="2"/>
  <c r="GZ108" i="2"/>
  <c r="HA108" i="2" s="1"/>
  <c r="GY108" i="2"/>
  <c r="IB20" i="2" s="1"/>
  <c r="IA20" i="2" s="1"/>
  <c r="HZ20" i="2"/>
  <c r="EE112" i="2"/>
  <c r="EX112" i="2" s="1"/>
  <c r="IQ20" i="2" s="1"/>
  <c r="AT1" i="2"/>
  <c r="IJ8" i="2"/>
  <c r="BD1" i="2"/>
  <c r="DT27" i="2"/>
  <c r="EM27" i="2" s="1"/>
  <c r="IK12" i="2" s="1"/>
  <c r="IV10" i="2"/>
  <c r="II8" i="2"/>
  <c r="IN16" i="2"/>
  <c r="EQ26" i="1"/>
  <c r="EP26" i="1"/>
  <c r="IF7" i="2"/>
  <c r="GR6" i="2"/>
  <c r="IM7" i="2"/>
  <c r="IR7" i="2"/>
  <c r="IJ7" i="2"/>
  <c r="II7" i="2"/>
  <c r="IP7" i="2"/>
  <c r="IK7" i="2"/>
  <c r="IQ7" i="2"/>
  <c r="IN23" i="2"/>
  <c r="DS391" i="1"/>
  <c r="DT391" i="1" s="1"/>
  <c r="IL31" i="2"/>
  <c r="GR220" i="2"/>
  <c r="GS220" i="2" s="1"/>
  <c r="GR281" i="2"/>
  <c r="GS281" i="2" s="1"/>
  <c r="GR366" i="2"/>
  <c r="GS366" i="2" s="1"/>
  <c r="GR339" i="2"/>
  <c r="GS339" i="2" s="1"/>
  <c r="GR503" i="2"/>
  <c r="DS529" i="1"/>
  <c r="DT529" i="1" s="1"/>
  <c r="JA33" i="2"/>
  <c r="IQ29" i="2"/>
  <c r="DR517" i="2"/>
  <c r="EK517" i="2" s="1"/>
  <c r="AG1" i="2"/>
  <c r="HW37" i="2"/>
  <c r="HU37" i="2"/>
  <c r="GY601" i="2"/>
  <c r="HZ33" i="2"/>
  <c r="HZ42" i="2" s="1"/>
  <c r="GQ576" i="2"/>
  <c r="GQ564" i="2"/>
  <c r="GP564" i="2"/>
  <c r="HS33" i="2" s="1"/>
  <c r="HQ33" i="2"/>
  <c r="GZ601" i="2"/>
  <c r="JE33" i="2"/>
  <c r="HZ32" i="2"/>
  <c r="DL543" i="2"/>
  <c r="DM514" i="2"/>
  <c r="DX514" i="2"/>
  <c r="EQ514" i="2" s="1"/>
  <c r="IN32" i="2" s="1"/>
  <c r="II29" i="2"/>
  <c r="HQ30" i="2"/>
  <c r="GQ454" i="2"/>
  <c r="GQ458" i="2"/>
  <c r="HW29" i="2"/>
  <c r="HU29" i="2"/>
  <c r="HR29" i="2" s="1"/>
  <c r="IR27" i="2"/>
  <c r="IJ27" i="2"/>
  <c r="FB398" i="2"/>
  <c r="FU398" i="2" s="1"/>
  <c r="CP1" i="2"/>
  <c r="IH27" i="2"/>
  <c r="DW320" i="2"/>
  <c r="EP320" i="2" s="1"/>
  <c r="GU320" i="2"/>
  <c r="DL320" i="2"/>
  <c r="GP320" i="2"/>
  <c r="GQ320" i="2" s="1"/>
  <c r="GR306" i="2"/>
  <c r="GS306" i="2" s="1"/>
  <c r="GU300" i="2"/>
  <c r="DL300" i="2"/>
  <c r="DW300" i="2"/>
  <c r="EP300" i="2" s="1"/>
  <c r="GR300" i="2" s="1"/>
  <c r="GS300" i="2" s="1"/>
  <c r="GY359" i="2"/>
  <c r="HZ26" i="2"/>
  <c r="HQ24" i="2"/>
  <c r="DX235" i="2"/>
  <c r="EQ235" i="2" s="1"/>
  <c r="DM235" i="2"/>
  <c r="JE22" i="2"/>
  <c r="HB210" i="2"/>
  <c r="FI210" i="2"/>
  <c r="GB210" i="2" s="1"/>
  <c r="IJ23" i="2"/>
  <c r="GQ211" i="2"/>
  <c r="DX153" i="2"/>
  <c r="EQ153" i="2" s="1"/>
  <c r="DM153" i="2"/>
  <c r="GQ144" i="2"/>
  <c r="GP144" i="2"/>
  <c r="GR108" i="2"/>
  <c r="GS108" i="2" s="1"/>
  <c r="GQ116" i="2"/>
  <c r="HZ18" i="2"/>
  <c r="HT16" i="2"/>
  <c r="HS16" i="2"/>
  <c r="GV120" i="2"/>
  <c r="DL120" i="2"/>
  <c r="DW120" i="2"/>
  <c r="EP120" i="2" s="1"/>
  <c r="GR120" i="2" s="1"/>
  <c r="GS120" i="2" s="1"/>
  <c r="GP120" i="2"/>
  <c r="GQ120" i="2" s="1"/>
  <c r="EE76" i="2"/>
  <c r="EX76" i="2" s="1"/>
  <c r="BO1" i="2"/>
  <c r="JC26" i="2"/>
  <c r="ID10" i="2"/>
  <c r="IB10" i="2"/>
  <c r="DS490" i="1"/>
  <c r="DT490" i="1" s="1"/>
  <c r="DN490" i="1"/>
  <c r="GR123" i="2"/>
  <c r="IF21" i="2"/>
  <c r="IZ14" i="2"/>
  <c r="IV16" i="2"/>
  <c r="IO7" i="2"/>
  <c r="GQ151" i="2"/>
  <c r="IN7" i="2"/>
  <c r="IW16" i="2"/>
  <c r="GR125" i="2"/>
  <c r="GS125" i="2" s="1"/>
  <c r="GR132" i="2"/>
  <c r="GS132" i="2" s="1"/>
  <c r="GR330" i="2"/>
  <c r="GS330" i="2" s="1"/>
  <c r="GR523" i="2"/>
  <c r="GS523" i="2" s="1"/>
  <c r="GR536" i="2"/>
  <c r="GS536" i="2" s="1"/>
  <c r="GR612" i="2"/>
  <c r="GS612" i="2" s="1"/>
  <c r="IS16" i="2"/>
  <c r="FD249" i="1"/>
  <c r="EL249" i="1" s="1"/>
  <c r="ES249" i="1"/>
  <c r="EK249" i="1"/>
  <c r="AZ1" i="2"/>
  <c r="IO6" i="2"/>
  <c r="JB16" i="2"/>
  <c r="ER146" i="1"/>
  <c r="DS608" i="1"/>
  <c r="DT608" i="1" s="1"/>
  <c r="DN363" i="1"/>
  <c r="DS363" i="1"/>
  <c r="DT363" i="1" s="1"/>
  <c r="JG18" i="2"/>
  <c r="IF8" i="2"/>
  <c r="GR15" i="2"/>
  <c r="IR8" i="2"/>
  <c r="IN34" i="2"/>
  <c r="GR56" i="2"/>
  <c r="GS56" i="2" s="1"/>
  <c r="HW19" i="2"/>
  <c r="HU19" i="2"/>
  <c r="GR38" i="2"/>
  <c r="GS38" i="2" s="1"/>
  <c r="JD14" i="2"/>
  <c r="DS521" i="1"/>
  <c r="DT521" i="1" s="1"/>
  <c r="IL9" i="2"/>
  <c r="GR70" i="2"/>
  <c r="GS70" i="2" s="1"/>
  <c r="GR126" i="2"/>
  <c r="GS126" i="2" s="1"/>
  <c r="GR253" i="2"/>
  <c r="GS253" i="2" s="1"/>
  <c r="GR467" i="2"/>
  <c r="GS467" i="2" s="1"/>
  <c r="GR502" i="2"/>
  <c r="GS502" i="2" s="1"/>
  <c r="GR573" i="2"/>
  <c r="GS573" i="2" s="1"/>
  <c r="GR563" i="2"/>
  <c r="GS563" i="2" s="1"/>
  <c r="GR610" i="2"/>
  <c r="GS610" i="2" s="1"/>
  <c r="GR16" i="2"/>
  <c r="GS16" i="2" s="1"/>
  <c r="HP43" i="2"/>
  <c r="DL565" i="2"/>
  <c r="GV565" i="2"/>
  <c r="DW565" i="2"/>
  <c r="EP565" i="2" s="1"/>
  <c r="IG33" i="2" s="1"/>
  <c r="GY287" i="2"/>
  <c r="ID24" i="2" s="1"/>
  <c r="HZ24" i="2"/>
  <c r="GY209" i="2"/>
  <c r="DM209" i="2"/>
  <c r="DX209" i="2"/>
  <c r="EQ209" i="2" s="1"/>
  <c r="EE116" i="2"/>
  <c r="EX116" i="2" s="1"/>
  <c r="Y1" i="2"/>
  <c r="GR20" i="2"/>
  <c r="HC71" i="2"/>
  <c r="HY18" i="2" s="1"/>
  <c r="HY39" i="2" s="1"/>
  <c r="CW1" i="2"/>
  <c r="GQ554" i="2"/>
  <c r="GR458" i="2"/>
  <c r="GS458" i="2" s="1"/>
  <c r="FM398" i="2"/>
  <c r="GF398" i="2" s="1"/>
  <c r="DA1" i="2"/>
  <c r="GT371" i="2"/>
  <c r="DW371" i="2"/>
  <c r="EP371" i="2" s="1"/>
  <c r="IL28" i="2" s="1"/>
  <c r="DL371" i="2"/>
  <c r="GP371" i="2"/>
  <c r="HP28" i="2"/>
  <c r="GQ326" i="2"/>
  <c r="GR297" i="2"/>
  <c r="GS297" i="2" s="1"/>
  <c r="JE26" i="2"/>
  <c r="DL304" i="2"/>
  <c r="GU304" i="2"/>
  <c r="DW304" i="2"/>
  <c r="EP304" i="2" s="1"/>
  <c r="GZ210" i="2"/>
  <c r="HA210" i="2" s="1"/>
  <c r="GY230" i="2"/>
  <c r="GR207" i="2"/>
  <c r="GS207" i="2" s="1"/>
  <c r="GP218" i="2"/>
  <c r="GQ218" i="2" s="1"/>
  <c r="GR145" i="2"/>
  <c r="GS145" i="2" s="1"/>
  <c r="IR21" i="2"/>
  <c r="GU96" i="2"/>
  <c r="DL96" i="2"/>
  <c r="DW96" i="2"/>
  <c r="EP96" i="2" s="1"/>
  <c r="GP96" i="2"/>
  <c r="HT15" i="2"/>
  <c r="HS15" i="2"/>
  <c r="GQ45" i="2"/>
  <c r="IL17" i="2"/>
  <c r="HQ10" i="2"/>
  <c r="IN9" i="2"/>
  <c r="JC22" i="2"/>
  <c r="JB33" i="2"/>
  <c r="DS531" i="1"/>
  <c r="DT531" i="1" s="1"/>
  <c r="DS470" i="1"/>
  <c r="DT470" i="1" s="1"/>
  <c r="IO25" i="2"/>
  <c r="GR58" i="2"/>
  <c r="GS58" i="2" s="1"/>
  <c r="JG14" i="2"/>
  <c r="BH1" i="2"/>
  <c r="GR5" i="2"/>
  <c r="IF5" i="2"/>
  <c r="IQ5" i="2"/>
  <c r="IR5" i="2"/>
  <c r="IM5" i="2"/>
  <c r="IP5" i="2"/>
  <c r="IJ5" i="2"/>
  <c r="IN5" i="2"/>
  <c r="II5" i="2"/>
  <c r="IK5" i="2"/>
  <c r="IL5" i="2"/>
  <c r="DS562" i="1"/>
  <c r="DT562" i="1" s="1"/>
  <c r="DN562" i="1"/>
  <c r="GR146" i="2"/>
  <c r="GS146" i="2" s="1"/>
  <c r="GR201" i="2"/>
  <c r="GS201" i="2" s="1"/>
  <c r="GR260" i="2"/>
  <c r="GS260" i="2" s="1"/>
  <c r="GR267" i="2"/>
  <c r="GS267" i="2" s="1"/>
  <c r="GR325" i="2"/>
  <c r="GS325" i="2" s="1"/>
  <c r="GR465" i="2"/>
  <c r="GS465" i="2" s="1"/>
  <c r="GR522" i="2"/>
  <c r="GS522" i="2" s="1"/>
  <c r="GP22" i="2"/>
  <c r="HW31" i="2"/>
  <c r="HU31" i="2"/>
  <c r="HR31" i="2" s="1"/>
  <c r="GV312" i="2"/>
  <c r="DL312" i="2"/>
  <c r="DW312" i="2"/>
  <c r="EP312" i="2" s="1"/>
  <c r="GR312" i="2" s="1"/>
  <c r="GS312" i="2" s="1"/>
  <c r="GQ298" i="2"/>
  <c r="DM207" i="2"/>
  <c r="DX207" i="2"/>
  <c r="EQ207" i="2" s="1"/>
  <c r="DM230" i="2"/>
  <c r="DX230" i="2"/>
  <c r="EQ230" i="2" s="1"/>
  <c r="IP23" i="2"/>
  <c r="HC169" i="2"/>
  <c r="HY22" i="2" s="1"/>
  <c r="FI169" i="2"/>
  <c r="GB169" i="2" s="1"/>
  <c r="IZ22" i="2" s="1"/>
  <c r="GX169" i="2"/>
  <c r="GY169" i="2" s="1"/>
  <c r="GR116" i="2"/>
  <c r="GS116" i="2" s="1"/>
  <c r="DL93" i="2"/>
  <c r="GT93" i="2"/>
  <c r="HN20" i="2" s="1"/>
  <c r="DW93" i="2"/>
  <c r="EP93" i="2" s="1"/>
  <c r="Q1" i="2"/>
  <c r="DM26" i="2"/>
  <c r="DX26" i="2"/>
  <c r="EQ26" i="2" s="1"/>
  <c r="IN10" i="2" s="1"/>
  <c r="HT37" i="2"/>
  <c r="HS37" i="2"/>
  <c r="JF33" i="2"/>
  <c r="GV576" i="2"/>
  <c r="HP33" i="2" s="1"/>
  <c r="HP42" i="2" s="1"/>
  <c r="DL576" i="2"/>
  <c r="DW576" i="2"/>
  <c r="EP576" i="2" s="1"/>
  <c r="FI560" i="2"/>
  <c r="GB560" i="2" s="1"/>
  <c r="IZ32" i="2" s="1"/>
  <c r="HC560" i="2"/>
  <c r="GR568" i="2"/>
  <c r="GS568" i="2" s="1"/>
  <c r="GX554" i="2"/>
  <c r="GY554" i="2" s="1"/>
  <c r="GR497" i="2"/>
  <c r="GS497" i="2" s="1"/>
  <c r="HB485" i="2"/>
  <c r="HX30" i="2" s="1"/>
  <c r="FI485" i="2"/>
  <c r="GB485" i="2" s="1"/>
  <c r="JA30" i="2" s="1"/>
  <c r="GX485" i="2"/>
  <c r="GY485" i="2" s="1"/>
  <c r="IB30" i="2" s="1"/>
  <c r="IA30" i="2" s="1"/>
  <c r="DZ454" i="2"/>
  <c r="ES454" i="2" s="1"/>
  <c r="GQ444" i="2"/>
  <c r="IM27" i="2"/>
  <c r="II26" i="2"/>
  <c r="IQ27" i="2"/>
  <c r="FP398" i="2"/>
  <c r="GI398" i="2" s="1"/>
  <c r="DD1" i="2"/>
  <c r="DY375" i="2"/>
  <c r="ER375" i="2" s="1"/>
  <c r="IO28" i="2" s="1"/>
  <c r="GQ333" i="2"/>
  <c r="GZ301" i="2"/>
  <c r="HA301" i="2" s="1"/>
  <c r="GX359" i="2"/>
  <c r="IM23" i="2"/>
  <c r="HP23" i="2"/>
  <c r="HP40" i="2" s="1"/>
  <c r="HP49" i="2" s="1"/>
  <c r="GT286" i="2"/>
  <c r="HN24" i="2" s="1"/>
  <c r="DW286" i="2"/>
  <c r="EP286" i="2" s="1"/>
  <c r="DL286" i="2"/>
  <c r="GP286" i="2"/>
  <c r="GQ286" i="2" s="1"/>
  <c r="GR235" i="2"/>
  <c r="GS235" i="2" s="1"/>
  <c r="GQ217" i="2"/>
  <c r="HB209" i="2"/>
  <c r="FI209" i="2"/>
  <c r="GB209" i="2" s="1"/>
  <c r="CB1" i="2"/>
  <c r="GR230" i="2"/>
  <c r="GS230" i="2" s="1"/>
  <c r="DW217" i="2"/>
  <c r="EP217" i="2" s="1"/>
  <c r="GR217" i="2" s="1"/>
  <c r="GS217" i="2" s="1"/>
  <c r="DL217" i="2"/>
  <c r="GU217" i="2"/>
  <c r="GR273" i="2"/>
  <c r="GS273" i="2" s="1"/>
  <c r="GY210" i="2"/>
  <c r="DW234" i="2"/>
  <c r="EP234" i="2" s="1"/>
  <c r="GR234" i="2" s="1"/>
  <c r="GS234" i="2" s="1"/>
  <c r="GU190" i="2"/>
  <c r="DL190" i="2"/>
  <c r="GP190" i="2"/>
  <c r="GQ190" i="2" s="1"/>
  <c r="DW190" i="2"/>
  <c r="EP190" i="2" s="1"/>
  <c r="GR160" i="2"/>
  <c r="GS160" i="2" s="1"/>
  <c r="IJ21" i="2"/>
  <c r="DX116" i="2"/>
  <c r="EQ116" i="2" s="1"/>
  <c r="IN20" i="2" s="1"/>
  <c r="R1" i="2"/>
  <c r="DM116" i="2"/>
  <c r="GR93" i="2"/>
  <c r="GX71" i="2"/>
  <c r="GY71" i="2" s="1"/>
  <c r="DQ34" i="2"/>
  <c r="EJ34" i="2" s="1"/>
  <c r="IG14" i="2" s="1"/>
  <c r="K1" i="2"/>
  <c r="BG1" i="2"/>
  <c r="GV22" i="2"/>
  <c r="HP11" i="2" s="1"/>
  <c r="HP44" i="2" s="1"/>
  <c r="GR13" i="2"/>
  <c r="GS13" i="2" s="1"/>
  <c r="GR7" i="2"/>
  <c r="GS7" i="2" s="1"/>
  <c r="IF6" i="2"/>
  <c r="IM6" i="2"/>
  <c r="IR6" i="2"/>
  <c r="IP6" i="2"/>
  <c r="IQ6" i="2"/>
  <c r="II6" i="2"/>
  <c r="IJ6" i="2"/>
  <c r="JC16" i="2"/>
  <c r="HS18" i="2"/>
  <c r="HT18" i="2"/>
  <c r="GR29" i="2"/>
  <c r="GS29" i="2" s="1"/>
  <c r="IO23" i="2"/>
  <c r="IO26" i="2"/>
  <c r="IY16" i="2"/>
  <c r="IN36" i="2"/>
  <c r="ER222" i="1"/>
  <c r="DS500" i="1"/>
  <c r="DT500" i="1" s="1"/>
  <c r="IS14" i="2"/>
  <c r="IZ10" i="2"/>
  <c r="IF9" i="2"/>
  <c r="IR9" i="2"/>
  <c r="IQ9" i="2"/>
  <c r="GR17" i="2"/>
  <c r="IJ9" i="2"/>
  <c r="IP9" i="2"/>
  <c r="II9" i="2"/>
  <c r="IM9" i="2"/>
  <c r="GR11" i="2"/>
  <c r="GS11" i="2" s="1"/>
  <c r="IY10" i="2"/>
  <c r="IS9" i="2"/>
  <c r="BJ1" i="1"/>
  <c r="EQ36" i="1"/>
  <c r="EP36" i="1"/>
  <c r="GR25" i="2"/>
  <c r="GS25" i="2" s="1"/>
  <c r="GQ15" i="2"/>
  <c r="HQ8" i="2"/>
  <c r="EP224" i="1"/>
  <c r="EQ224" i="1"/>
  <c r="IZ33" i="2"/>
  <c r="IO34" i="2"/>
  <c r="JC10" i="2"/>
  <c r="IY22" i="2"/>
  <c r="IN21" i="2"/>
  <c r="DS488" i="1"/>
  <c r="DT488" i="1" s="1"/>
  <c r="JB18" i="2"/>
  <c r="AF1" i="2"/>
  <c r="IL16" i="2"/>
  <c r="IL36" i="2"/>
  <c r="DS487" i="1"/>
  <c r="DT487" i="1" s="1"/>
  <c r="GR21" i="2"/>
  <c r="GS21" i="2" s="1"/>
  <c r="IL7" i="2"/>
  <c r="GR167" i="2"/>
  <c r="GS167" i="2" s="1"/>
  <c r="GR251" i="2"/>
  <c r="GS251" i="2" s="1"/>
  <c r="GR424" i="2"/>
  <c r="GS424" i="2" s="1"/>
  <c r="GR478" i="2"/>
  <c r="GS478" i="2" s="1"/>
  <c r="BI1" i="1"/>
  <c r="JF32" i="2"/>
  <c r="GR375" i="2"/>
  <c r="GS375" i="2" s="1"/>
  <c r="HT25" i="2"/>
  <c r="HS25" i="2"/>
  <c r="GR564" i="2"/>
  <c r="GS564" i="2" s="1"/>
  <c r="HP32" i="2"/>
  <c r="GU361" i="2"/>
  <c r="HO26" i="2" s="1"/>
  <c r="DL361" i="2"/>
  <c r="DW361" i="2"/>
  <c r="EP361" i="2" s="1"/>
  <c r="GR361" i="2" s="1"/>
  <c r="GS361" i="2" s="1"/>
  <c r="FC398" i="2"/>
  <c r="FV398" i="2" s="1"/>
  <c r="JF28" i="2" s="1"/>
  <c r="CQ1" i="2"/>
  <c r="DY333" i="2"/>
  <c r="ER333" i="2" s="1"/>
  <c r="IO24" i="2" s="1"/>
  <c r="S1" i="2"/>
  <c r="GQ308" i="2"/>
  <c r="HT36" i="2"/>
  <c r="HS36" i="2"/>
  <c r="GQ553" i="2"/>
  <c r="GR554" i="2"/>
  <c r="GS554" i="2" s="1"/>
  <c r="DW543" i="2"/>
  <c r="EP543" i="2" s="1"/>
  <c r="IR32" i="2" s="1"/>
  <c r="GQ562" i="2"/>
  <c r="DZ514" i="2"/>
  <c r="ES514" i="2" s="1"/>
  <c r="IK32" i="2" s="1"/>
  <c r="AO1" i="2"/>
  <c r="IW30" i="2"/>
  <c r="GZ485" i="2"/>
  <c r="HA485" i="2" s="1"/>
  <c r="GP491" i="2"/>
  <c r="GQ491" i="2" s="1"/>
  <c r="GU491" i="2"/>
  <c r="DL491" i="2"/>
  <c r="DW491" i="2"/>
  <c r="EP491" i="2" s="1"/>
  <c r="GR491" i="2" s="1"/>
  <c r="GS491" i="2" s="1"/>
  <c r="BA1" i="2"/>
  <c r="GZ444" i="2"/>
  <c r="HA444" i="2" s="1"/>
  <c r="DW331" i="2"/>
  <c r="EP331" i="2" s="1"/>
  <c r="GU308" i="2"/>
  <c r="DW308" i="2"/>
  <c r="EP308" i="2" s="1"/>
  <c r="GR308" i="2" s="1"/>
  <c r="GS308" i="2" s="1"/>
  <c r="DL308" i="2"/>
  <c r="GP306" i="2"/>
  <c r="GQ306" i="2" s="1"/>
  <c r="GR287" i="2"/>
  <c r="GS287" i="2" s="1"/>
  <c r="JF26" i="2"/>
  <c r="GP317" i="2"/>
  <c r="GQ317" i="2" s="1"/>
  <c r="GZ287" i="2"/>
  <c r="HA287" i="2" s="1"/>
  <c r="GP300" i="2"/>
  <c r="GQ300" i="2" s="1"/>
  <c r="GP297" i="2"/>
  <c r="GQ297" i="2" s="1"/>
  <c r="HS23" i="2"/>
  <c r="HT23" i="2"/>
  <c r="JD22" i="2"/>
  <c r="GP205" i="2"/>
  <c r="GQ205" i="2" s="1"/>
  <c r="IW22" i="2"/>
  <c r="GP215" i="2"/>
  <c r="GQ215" i="2" s="1"/>
  <c r="DL153" i="2"/>
  <c r="GT153" i="2"/>
  <c r="DW153" i="2"/>
  <c r="EP153" i="2" s="1"/>
  <c r="II22" i="2" s="1"/>
  <c r="DM215" i="2"/>
  <c r="DX215" i="2"/>
  <c r="EQ215" i="2" s="1"/>
  <c r="GR215" i="2" s="1"/>
  <c r="GS215" i="2" s="1"/>
  <c r="DX205" i="2"/>
  <c r="EQ205" i="2" s="1"/>
  <c r="GQ153" i="2"/>
  <c r="HQ22" i="2"/>
  <c r="GV159" i="2"/>
  <c r="HP22" i="2" s="1"/>
  <c r="DL159" i="2"/>
  <c r="DW159" i="2"/>
  <c r="EP159" i="2" s="1"/>
  <c r="GR159" i="2" s="1"/>
  <c r="GS159" i="2" s="1"/>
  <c r="II21" i="2"/>
  <c r="FI116" i="2"/>
  <c r="GB116" i="2" s="1"/>
  <c r="IW20" i="2"/>
  <c r="GZ71" i="2"/>
  <c r="HA71" i="2" s="1"/>
  <c r="GQ126" i="2"/>
  <c r="GP117" i="2"/>
  <c r="GQ117" i="2" s="1"/>
  <c r="GV76" i="2"/>
  <c r="HP18" i="2" s="1"/>
  <c r="DL76" i="2"/>
  <c r="DW76" i="2"/>
  <c r="EP76" i="2" s="1"/>
  <c r="IR18" i="2" s="1"/>
  <c r="GP76" i="2"/>
  <c r="GQ76" i="2" s="1"/>
  <c r="HW18" i="2" s="1"/>
  <c r="DV27" i="2"/>
  <c r="EO27" i="2" s="1"/>
  <c r="IL12" i="2" s="1"/>
  <c r="IK9" i="2"/>
  <c r="IO16" i="2"/>
  <c r="DW25" i="2"/>
  <c r="EP25" i="2" s="1"/>
  <c r="IM10" i="2" s="1"/>
  <c r="GP25" i="2"/>
  <c r="GQ25" i="2" s="1"/>
  <c r="DL25" i="2"/>
  <c r="GU25" i="2"/>
  <c r="HO10" i="2" s="1"/>
  <c r="GP15" i="2"/>
  <c r="JC33" i="2"/>
  <c r="GR51" i="2"/>
  <c r="GS51" i="2" s="1"/>
  <c r="IN12" i="2"/>
  <c r="HT10" i="2"/>
  <c r="HS10" i="2"/>
  <c r="GQ24" i="2"/>
  <c r="DS570" i="1"/>
  <c r="DT570" i="1" s="1"/>
  <c r="GR144" i="2"/>
  <c r="GS144" i="2" s="1"/>
  <c r="IO31" i="2"/>
  <c r="IO36" i="2"/>
  <c r="GU32" i="2"/>
  <c r="HO13" i="2" s="1"/>
  <c r="DL32" i="2"/>
  <c r="DW32" i="2"/>
  <c r="EP32" i="2" s="1"/>
  <c r="IM13" i="2" s="1"/>
  <c r="GP32" i="2"/>
  <c r="GQ32" i="2" s="1"/>
  <c r="GR67" i="2"/>
  <c r="GS67" i="2" s="1"/>
  <c r="GR48" i="2"/>
  <c r="IP16" i="2"/>
  <c r="IF16" i="2"/>
  <c r="IJ16" i="2"/>
  <c r="II16" i="2"/>
  <c r="IQ16" i="2"/>
  <c r="IM16" i="2"/>
  <c r="IR16" i="2"/>
  <c r="IL21" i="2"/>
  <c r="JG22" i="2"/>
  <c r="IU33" i="2"/>
  <c r="GR174" i="2"/>
  <c r="GS174" i="2" s="1"/>
  <c r="GR254" i="2"/>
  <c r="GS254" i="2" s="1"/>
  <c r="GR290" i="2"/>
  <c r="GS290" i="2" s="1"/>
  <c r="GR322" i="2"/>
  <c r="GS322" i="2" s="1"/>
  <c r="GV624" i="2"/>
  <c r="HP35" i="2" s="1"/>
  <c r="DW624" i="2"/>
  <c r="EP624" i="2" s="1"/>
  <c r="DL624" i="2"/>
  <c r="GR601" i="2"/>
  <c r="GS601" i="2" s="1"/>
  <c r="GU497" i="2"/>
  <c r="GP497" i="2"/>
  <c r="GQ497" i="2" s="1"/>
  <c r="GR560" i="2"/>
  <c r="GS560" i="2" s="1"/>
  <c r="IS33" i="2"/>
  <c r="GR517" i="2"/>
  <c r="GS517" i="2" s="1"/>
  <c r="HT27" i="2"/>
  <c r="HS27" i="2"/>
  <c r="EG205" i="2"/>
  <c r="EZ205" i="2" s="1"/>
  <c r="IR22" i="2" s="1"/>
  <c r="AV1" i="2"/>
  <c r="GR86" i="2"/>
  <c r="GS86" i="2" s="1"/>
  <c r="DM159" i="2"/>
  <c r="DX159" i="2"/>
  <c r="EQ159" i="2" s="1"/>
  <c r="IG22" i="2" s="1"/>
  <c r="GQ96" i="2"/>
  <c r="HQ20" i="2"/>
  <c r="HQ39" i="2" s="1"/>
  <c r="FJ116" i="2"/>
  <c r="GC116" i="2" s="1"/>
  <c r="JC20" i="2" s="1"/>
  <c r="CC1" i="2"/>
  <c r="GP93" i="2"/>
  <c r="GR27" i="2"/>
  <c r="HY16" i="2"/>
  <c r="GR625" i="2"/>
  <c r="GS625" i="2" s="1"/>
  <c r="HW36" i="2"/>
  <c r="HW45" i="2" s="1"/>
  <c r="HU36" i="2"/>
  <c r="IX33" i="2"/>
  <c r="GR553" i="2"/>
  <c r="GS553" i="2" s="1"/>
  <c r="GP566" i="2"/>
  <c r="GQ566" i="2" s="1"/>
  <c r="DP514" i="2"/>
  <c r="EI514" i="2" s="1"/>
  <c r="IJ32" i="2" s="1"/>
  <c r="HT31" i="2"/>
  <c r="HS31" i="2"/>
  <c r="HS32" i="2"/>
  <c r="IP29" i="2"/>
  <c r="GT454" i="2"/>
  <c r="DW454" i="2"/>
  <c r="EP454" i="2" s="1"/>
  <c r="GR454" i="2" s="1"/>
  <c r="GS454" i="2" s="1"/>
  <c r="DL454" i="2"/>
  <c r="GU453" i="2"/>
  <c r="HO28" i="2" s="1"/>
  <c r="DL453" i="2"/>
  <c r="DW453" i="2"/>
  <c r="EP453" i="2" s="1"/>
  <c r="IK28" i="2" s="1"/>
  <c r="II27" i="2"/>
  <c r="GQ331" i="2"/>
  <c r="GQ384" i="2"/>
  <c r="DW333" i="2"/>
  <c r="EP333" i="2" s="1"/>
  <c r="GT333" i="2"/>
  <c r="DL333" i="2"/>
  <c r="BI1" i="2"/>
  <c r="DL331" i="2"/>
  <c r="IW26" i="2"/>
  <c r="GQ277" i="2"/>
  <c r="IQ23" i="2"/>
  <c r="GT298" i="2"/>
  <c r="DW298" i="2"/>
  <c r="EP298" i="2" s="1"/>
  <c r="GR298" i="2" s="1"/>
  <c r="GS298" i="2" s="1"/>
  <c r="DL298" i="2"/>
  <c r="HW23" i="2"/>
  <c r="HU23" i="2"/>
  <c r="HR23" i="2" s="1"/>
  <c r="GX230" i="2"/>
  <c r="IX22" i="2"/>
  <c r="GX229" i="2"/>
  <c r="GY229" i="2" s="1"/>
  <c r="GQ210" i="2"/>
  <c r="GU169" i="2"/>
  <c r="DL169" i="2"/>
  <c r="DW169" i="2"/>
  <c r="EP169" i="2" s="1"/>
  <c r="GR169" i="2" s="1"/>
  <c r="GS169" i="2" s="1"/>
  <c r="GU177" i="2"/>
  <c r="DL177" i="2"/>
  <c r="DW177" i="2"/>
  <c r="EP177" i="2" s="1"/>
  <c r="GR177" i="2" s="1"/>
  <c r="GS177" i="2" s="1"/>
  <c r="GP177" i="2"/>
  <c r="GQ177" i="2" s="1"/>
  <c r="GX117" i="2"/>
  <c r="GY117" i="2" s="1"/>
  <c r="GQ159" i="2"/>
  <c r="GR117" i="2"/>
  <c r="GS117" i="2" s="1"/>
  <c r="II18" i="2"/>
  <c r="AK1" i="2"/>
  <c r="DV32" i="2"/>
  <c r="EO32" i="2" s="1"/>
  <c r="IL13" i="2" s="1"/>
  <c r="IG8" i="2"/>
  <c r="IZ26" i="2"/>
  <c r="IO21" i="2"/>
  <c r="IO27" i="2"/>
  <c r="IY18" i="2"/>
  <c r="IN27" i="2"/>
  <c r="IO8" i="2"/>
  <c r="IV30" i="2"/>
  <c r="IU22" i="2"/>
  <c r="IK26" i="2"/>
  <c r="IK31" i="2"/>
  <c r="GR140" i="2"/>
  <c r="GS140" i="2" s="1"/>
  <c r="GR280" i="2"/>
  <c r="GS280" i="2" s="1"/>
  <c r="GR388" i="2"/>
  <c r="GS388" i="2" s="1"/>
  <c r="GR404" i="2"/>
  <c r="GS404" i="2" s="1"/>
  <c r="GR397" i="2"/>
  <c r="GS397" i="2" s="1"/>
  <c r="GR403" i="2"/>
  <c r="GS403" i="2" s="1"/>
  <c r="GR437" i="2"/>
  <c r="GS437" i="2" s="1"/>
  <c r="GR9" i="2"/>
  <c r="GS9" i="2" s="1"/>
  <c r="EQ279" i="1"/>
  <c r="EP279" i="1"/>
  <c r="ET37" i="1"/>
  <c r="EU37" i="1"/>
  <c r="HT34" i="2"/>
  <c r="HS34" i="2"/>
  <c r="FL398" i="2"/>
  <c r="GE398" i="2" s="1"/>
  <c r="JC28" i="2" s="1"/>
  <c r="CZ1" i="2"/>
  <c r="IW33" i="2"/>
  <c r="GY560" i="2"/>
  <c r="GQ453" i="2"/>
  <c r="ID28" i="2"/>
  <c r="IB28" i="2"/>
  <c r="IA28" i="2" s="1"/>
  <c r="GP298" i="2"/>
  <c r="GY208" i="2"/>
  <c r="HZ22" i="2"/>
  <c r="GT230" i="2"/>
  <c r="DW230" i="2"/>
  <c r="EP230" i="2" s="1"/>
  <c r="DL230" i="2"/>
  <c r="HO22" i="2"/>
  <c r="DX32" i="2"/>
  <c r="EQ32" i="2" s="1"/>
  <c r="DM32" i="2"/>
  <c r="GP619" i="2"/>
  <c r="GQ619" i="2" s="1"/>
  <c r="GR624" i="2"/>
  <c r="JD33" i="2"/>
  <c r="GQ601" i="2"/>
  <c r="IW32" i="2"/>
  <c r="DW560" i="2"/>
  <c r="EP560" i="2" s="1"/>
  <c r="GU560" i="2"/>
  <c r="DL560" i="2"/>
  <c r="GP560" i="2"/>
  <c r="GQ560" i="2" s="1"/>
  <c r="GZ554" i="2"/>
  <c r="HA554" i="2" s="1"/>
  <c r="JD32" i="2"/>
  <c r="HN32" i="2"/>
  <c r="HY32" i="2"/>
  <c r="GQ505" i="2"/>
  <c r="DL485" i="2"/>
  <c r="GT485" i="2"/>
  <c r="HN30" i="2" s="1"/>
  <c r="DW485" i="2"/>
  <c r="EP485" i="2" s="1"/>
  <c r="IM30" i="2" s="1"/>
  <c r="GP485" i="2"/>
  <c r="GQ485" i="2" s="1"/>
  <c r="HU30" i="2" s="1"/>
  <c r="HR30" i="2" s="1"/>
  <c r="GP517" i="2"/>
  <c r="GQ517" i="2" s="1"/>
  <c r="DM517" i="2"/>
  <c r="DX517" i="2"/>
  <c r="EQ517" i="2" s="1"/>
  <c r="HQ26" i="2"/>
  <c r="HC398" i="2"/>
  <c r="HY28" i="2" s="1"/>
  <c r="FI398" i="2"/>
  <c r="GB398" i="2" s="1"/>
  <c r="JA28" i="2" s="1"/>
  <c r="IG27" i="2"/>
  <c r="GP361" i="2"/>
  <c r="HT26" i="2" s="1"/>
  <c r="IM26" i="2"/>
  <c r="GP333" i="2"/>
  <c r="BJ1" i="2"/>
  <c r="HC298" i="2"/>
  <c r="HY24" i="2" s="1"/>
  <c r="FI298" i="2"/>
  <c r="GB298" i="2" s="1"/>
  <c r="GZ298" i="2" s="1"/>
  <c r="HA298" i="2" s="1"/>
  <c r="GX298" i="2"/>
  <c r="GY298" i="2" s="1"/>
  <c r="HB286" i="2"/>
  <c r="HX24" i="2" s="1"/>
  <c r="HX41" i="2" s="1"/>
  <c r="FI286" i="2"/>
  <c r="GB286" i="2" s="1"/>
  <c r="JA24" i="2" s="1"/>
  <c r="GP310" i="2"/>
  <c r="GQ310" i="2" s="1"/>
  <c r="GP301" i="2"/>
  <c r="GQ301" i="2" s="1"/>
  <c r="GR277" i="2"/>
  <c r="GS277" i="2" s="1"/>
  <c r="IR23" i="2"/>
  <c r="GP208" i="2"/>
  <c r="GQ208" i="2"/>
  <c r="GQ235" i="2"/>
  <c r="GU229" i="2"/>
  <c r="DL229" i="2"/>
  <c r="DL208" i="2"/>
  <c r="DW208" i="2"/>
  <c r="EP208" i="2" s="1"/>
  <c r="GR208" i="2" s="1"/>
  <c r="GS208" i="2" s="1"/>
  <c r="GT208" i="2"/>
  <c r="GQ273" i="2"/>
  <c r="HQ23" i="2"/>
  <c r="GP230" i="2"/>
  <c r="GQ230" i="2" s="1"/>
  <c r="DW218" i="2"/>
  <c r="EP218" i="2" s="1"/>
  <c r="GR218" i="2" s="1"/>
  <c r="GS218" i="2" s="1"/>
  <c r="GP160" i="2"/>
  <c r="GQ160" i="2" s="1"/>
  <c r="GQ234" i="2"/>
  <c r="GV108" i="2"/>
  <c r="HP20" i="2" s="1"/>
  <c r="GP108" i="2"/>
  <c r="GQ108" i="2" s="1"/>
  <c r="IP21" i="2"/>
  <c r="GP135" i="2"/>
  <c r="GQ135" i="2" s="1"/>
  <c r="GY116" i="2"/>
  <c r="GU112" i="2"/>
  <c r="DW112" i="2"/>
  <c r="EP112" i="2" s="1"/>
  <c r="GR112" i="2" s="1"/>
  <c r="GS112" i="2" s="1"/>
  <c r="DL112" i="2"/>
  <c r="GQ112" i="2"/>
  <c r="DM76" i="2"/>
  <c r="DX76" i="2"/>
  <c r="EQ76" i="2" s="1"/>
  <c r="GR76" i="2" s="1"/>
  <c r="GS76" i="2" s="1"/>
  <c r="IR12" i="2"/>
  <c r="IK8" i="2"/>
  <c r="DM31" i="2"/>
  <c r="DX31" i="2"/>
  <c r="EQ31" i="2" s="1"/>
  <c r="IH8" i="2"/>
  <c r="GQ34" i="2"/>
  <c r="IZ16" i="2"/>
  <c r="GR68" i="2"/>
  <c r="GS68" i="2" s="1"/>
  <c r="IN25" i="2"/>
  <c r="IV14" i="2"/>
  <c r="IW14" i="2"/>
  <c r="IV28" i="2"/>
  <c r="IV33" i="2"/>
  <c r="IL26" i="2"/>
  <c r="GR85" i="2"/>
  <c r="GS85" i="2" s="1"/>
  <c r="GR69" i="2"/>
  <c r="GS69" i="2" s="1"/>
  <c r="GR104" i="2"/>
  <c r="GS104" i="2" s="1"/>
  <c r="GR416" i="2"/>
  <c r="GS416" i="2" s="1"/>
  <c r="GR363" i="2"/>
  <c r="GS363" i="2" s="1"/>
  <c r="GR548" i="2"/>
  <c r="GS548" i="2" s="1"/>
  <c r="DS449" i="1"/>
  <c r="DT449" i="1" s="1"/>
  <c r="GR24" i="2"/>
  <c r="GS24" i="2" s="1"/>
  <c r="L1" i="1"/>
  <c r="IK21" i="2"/>
  <c r="IK29" i="2"/>
  <c r="GR23" i="2"/>
  <c r="GR113" i="2"/>
  <c r="GS113" i="2" s="1"/>
  <c r="GR54" i="2"/>
  <c r="GS54" i="2" s="1"/>
  <c r="GR77" i="2"/>
  <c r="GS77" i="2" s="1"/>
  <c r="GR57" i="2"/>
  <c r="GS57" i="2" s="1"/>
  <c r="GR136" i="2"/>
  <c r="GS136" i="2" s="1"/>
  <c r="GR165" i="2"/>
  <c r="GS165" i="2" s="1"/>
  <c r="GR102" i="2"/>
  <c r="GS102" i="2" s="1"/>
  <c r="GR107" i="2"/>
  <c r="GS107" i="2" s="1"/>
  <c r="GR197" i="2"/>
  <c r="GS197" i="2" s="1"/>
  <c r="GR180" i="2"/>
  <c r="GS180" i="2" s="1"/>
  <c r="GR171" i="2"/>
  <c r="GS171" i="2" s="1"/>
  <c r="GR172" i="2"/>
  <c r="GS172" i="2" s="1"/>
  <c r="GR247" i="2"/>
  <c r="GS247" i="2" s="1"/>
  <c r="GR199" i="2"/>
  <c r="GS199" i="2" s="1"/>
  <c r="GR249" i="2"/>
  <c r="GS249" i="2" s="1"/>
  <c r="GR211" i="2"/>
  <c r="GS211" i="2" s="1"/>
  <c r="GR276" i="2"/>
  <c r="GS276" i="2" s="1"/>
  <c r="GR252" i="2"/>
  <c r="GS252" i="2" s="1"/>
  <c r="GR302" i="2"/>
  <c r="GS302" i="2" s="1"/>
  <c r="GR266" i="2"/>
  <c r="GS266" i="2" s="1"/>
  <c r="GR279" i="2"/>
  <c r="GS279" i="2" s="1"/>
  <c r="GR288" i="2"/>
  <c r="GS288" i="2" s="1"/>
  <c r="GR307" i="2"/>
  <c r="GS307" i="2" s="1"/>
  <c r="GR316" i="2"/>
  <c r="GS316" i="2" s="1"/>
  <c r="GR311" i="2"/>
  <c r="GS311" i="2" s="1"/>
  <c r="GR356" i="2"/>
  <c r="GS356" i="2" s="1"/>
  <c r="GR334" i="2"/>
  <c r="GS334" i="2" s="1"/>
  <c r="GR382" i="2"/>
  <c r="GS382" i="2" s="1"/>
  <c r="GR358" i="2"/>
  <c r="GS358" i="2" s="1"/>
  <c r="GR386" i="2"/>
  <c r="GS386" i="2" s="1"/>
  <c r="GR402" i="2"/>
  <c r="GS402" i="2" s="1"/>
  <c r="GR385" i="2"/>
  <c r="GS385" i="2" s="1"/>
  <c r="GR401" i="2"/>
  <c r="GS401" i="2" s="1"/>
  <c r="GR427" i="2"/>
  <c r="GS427" i="2" s="1"/>
  <c r="GR422" i="2"/>
  <c r="GS422" i="2" s="1"/>
  <c r="GR444" i="2"/>
  <c r="GS444" i="2" s="1"/>
  <c r="GR479" i="2"/>
  <c r="GS479" i="2" s="1"/>
  <c r="GR500" i="2"/>
  <c r="GS500" i="2" s="1"/>
  <c r="GR490" i="2"/>
  <c r="GS490" i="2" s="1"/>
  <c r="GR508" i="2"/>
  <c r="GS508" i="2" s="1"/>
  <c r="GR530" i="2"/>
  <c r="GS530" i="2" s="1"/>
  <c r="GR501" i="2"/>
  <c r="II31" i="2"/>
  <c r="IR31" i="2"/>
  <c r="IJ31" i="2"/>
  <c r="IF31" i="2"/>
  <c r="IQ31" i="2"/>
  <c r="IP31" i="2"/>
  <c r="IM31" i="2"/>
  <c r="GR537" i="2"/>
  <c r="GS537" i="2" s="1"/>
  <c r="GR545" i="2"/>
  <c r="GS545" i="2" s="1"/>
  <c r="GR546" i="2"/>
  <c r="GS546" i="2" s="1"/>
  <c r="GR571" i="2"/>
  <c r="GS571" i="2" s="1"/>
  <c r="GR559" i="2"/>
  <c r="GS559" i="2" s="1"/>
  <c r="GR604" i="2"/>
  <c r="GS604" i="2" s="1"/>
  <c r="GR600" i="2"/>
  <c r="GS600" i="2" s="1"/>
  <c r="GR620" i="2"/>
  <c r="IP34" i="2"/>
  <c r="IF34" i="2"/>
  <c r="IJ34" i="2"/>
  <c r="IM34" i="2"/>
  <c r="II34" i="2"/>
  <c r="IR34" i="2"/>
  <c r="IQ34" i="2"/>
  <c r="GR615" i="2"/>
  <c r="GS615" i="2" s="1"/>
  <c r="IS6" i="2"/>
  <c r="IG29" i="2"/>
  <c r="AG1" i="1"/>
  <c r="IQ10" i="2"/>
  <c r="AM1" i="2"/>
  <c r="DX22" i="2"/>
  <c r="EQ22" i="2" s="1"/>
  <c r="DM22" i="2"/>
  <c r="DS504" i="1"/>
  <c r="DT504" i="1" s="1"/>
  <c r="DS60" i="1"/>
  <c r="DT60" i="1" s="1"/>
  <c r="GZ25" i="2"/>
  <c r="IT10" i="2"/>
  <c r="GZ53" i="2"/>
  <c r="GZ118" i="2"/>
  <c r="HA118" i="2" s="1"/>
  <c r="GZ168" i="2"/>
  <c r="HA168" i="2" s="1"/>
  <c r="GZ215" i="2"/>
  <c r="HA215" i="2" s="1"/>
  <c r="GZ288" i="2"/>
  <c r="HA288" i="2" s="1"/>
  <c r="GZ357" i="2"/>
  <c r="IT26" i="2"/>
  <c r="GZ412" i="2"/>
  <c r="HA412" i="2" s="1"/>
  <c r="GZ445" i="2"/>
  <c r="HA445" i="2" s="1"/>
  <c r="DS96" i="1"/>
  <c r="DT96" i="1" s="1"/>
  <c r="DS208" i="1"/>
  <c r="DT208" i="1" s="1"/>
  <c r="DX397" i="1"/>
  <c r="AN1" i="1"/>
  <c r="DN20" i="1"/>
  <c r="DT527" i="1"/>
  <c r="GZ104" i="2"/>
  <c r="HA104" i="2" s="1"/>
  <c r="GZ57" i="2"/>
  <c r="HA57" i="2" s="1"/>
  <c r="GZ102" i="2"/>
  <c r="HA102" i="2" s="1"/>
  <c r="GZ232" i="2"/>
  <c r="HA232" i="2" s="1"/>
  <c r="GZ209" i="2"/>
  <c r="HA209" i="2" s="1"/>
  <c r="GZ375" i="2"/>
  <c r="HA375" i="2" s="1"/>
  <c r="GZ371" i="2"/>
  <c r="GZ411" i="2"/>
  <c r="HA411" i="2" s="1"/>
  <c r="GZ418" i="2"/>
  <c r="HA418" i="2" s="1"/>
  <c r="GZ424" i="2"/>
  <c r="HA424" i="2" s="1"/>
  <c r="GZ497" i="2"/>
  <c r="HA497" i="2" s="1"/>
  <c r="IH17" i="2"/>
  <c r="IH36" i="2"/>
  <c r="DT456" i="1"/>
  <c r="T1" i="1"/>
  <c r="DS127" i="1"/>
  <c r="DT127" i="1" s="1"/>
  <c r="IU18" i="2"/>
  <c r="IU20" i="2"/>
  <c r="IU26" i="2"/>
  <c r="IU32" i="2"/>
  <c r="ER143" i="1"/>
  <c r="GR127" i="2"/>
  <c r="GS127" i="2" s="1"/>
  <c r="GR89" i="2"/>
  <c r="GS89" i="2" s="1"/>
  <c r="HW5" i="2"/>
  <c r="HU5" i="2"/>
  <c r="GR46" i="2"/>
  <c r="GS46" i="2" s="1"/>
  <c r="GR91" i="2"/>
  <c r="GS91" i="2" s="1"/>
  <c r="GR98" i="2"/>
  <c r="GS98" i="2" s="1"/>
  <c r="GR147" i="2"/>
  <c r="GS147" i="2" s="1"/>
  <c r="GR128" i="2"/>
  <c r="GS128" i="2" s="1"/>
  <c r="GR133" i="2"/>
  <c r="GS133" i="2" s="1"/>
  <c r="GR227" i="2"/>
  <c r="GS227" i="2" s="1"/>
  <c r="GR184" i="2"/>
  <c r="GS184" i="2" s="1"/>
  <c r="GR175" i="2"/>
  <c r="GS175" i="2" s="1"/>
  <c r="GR142" i="2"/>
  <c r="GS142" i="2" s="1"/>
  <c r="GR179" i="2"/>
  <c r="GS179" i="2" s="1"/>
  <c r="GR176" i="2"/>
  <c r="GS176" i="2" s="1"/>
  <c r="GR255" i="2"/>
  <c r="GS255" i="2" s="1"/>
  <c r="GR203" i="2"/>
  <c r="GS203" i="2" s="1"/>
  <c r="GR269" i="2"/>
  <c r="GS269" i="2" s="1"/>
  <c r="GR272" i="2"/>
  <c r="GS272" i="2" s="1"/>
  <c r="GR262" i="2"/>
  <c r="GS262" i="2" s="1"/>
  <c r="GR275" i="2"/>
  <c r="GS275" i="2" s="1"/>
  <c r="GR283" i="2"/>
  <c r="GS283" i="2" s="1"/>
  <c r="GR292" i="2"/>
  <c r="GS292" i="2" s="1"/>
  <c r="GR328" i="2"/>
  <c r="GS328" i="2" s="1"/>
  <c r="GR336" i="2"/>
  <c r="GS336" i="2" s="1"/>
  <c r="GR343" i="2"/>
  <c r="GS343" i="2" s="1"/>
  <c r="GR329" i="2"/>
  <c r="GS329" i="2" s="1"/>
  <c r="GR423" i="2"/>
  <c r="GS423" i="2" s="1"/>
  <c r="GR357" i="2"/>
  <c r="IR26" i="2"/>
  <c r="IQ26" i="2"/>
  <c r="IF26" i="2"/>
  <c r="IP26" i="2"/>
  <c r="IJ26" i="2"/>
  <c r="GR367" i="2"/>
  <c r="GS367" i="2" s="1"/>
  <c r="GR393" i="2"/>
  <c r="GS393" i="2" s="1"/>
  <c r="GR391" i="2"/>
  <c r="GS391" i="2" s="1"/>
  <c r="GR409" i="2"/>
  <c r="GS409" i="2" s="1"/>
  <c r="GR414" i="2"/>
  <c r="GS414" i="2" s="1"/>
  <c r="GR430" i="2"/>
  <c r="GS430" i="2" s="1"/>
  <c r="GR463" i="2"/>
  <c r="GS463" i="2" s="1"/>
  <c r="GR471" i="2"/>
  <c r="GS471" i="2" s="1"/>
  <c r="GR469" i="2"/>
  <c r="GS469" i="2" s="1"/>
  <c r="GR468" i="2"/>
  <c r="GS468" i="2" s="1"/>
  <c r="GR511" i="2"/>
  <c r="GS511" i="2" s="1"/>
  <c r="GR483" i="2"/>
  <c r="GR504" i="2"/>
  <c r="GS504" i="2" s="1"/>
  <c r="GR531" i="2"/>
  <c r="GS531" i="2" s="1"/>
  <c r="GR538" i="2"/>
  <c r="GS538" i="2" s="1"/>
  <c r="GR551" i="2"/>
  <c r="GS551" i="2" s="1"/>
  <c r="GR588" i="2"/>
  <c r="GS588" i="2" s="1"/>
  <c r="GR575" i="2"/>
  <c r="GS575" i="2" s="1"/>
  <c r="GR602" i="2"/>
  <c r="GS602" i="2" s="1"/>
  <c r="GR584" i="2"/>
  <c r="GS584" i="2" s="1"/>
  <c r="GR619" i="2"/>
  <c r="GS619" i="2" s="1"/>
  <c r="GR626" i="2"/>
  <c r="GS626" i="2" s="1"/>
  <c r="GR629" i="2"/>
  <c r="GS629" i="2" s="1"/>
  <c r="IM8" i="2"/>
  <c r="IG9" i="2"/>
  <c r="DS585" i="1"/>
  <c r="DT585" i="1" s="1"/>
  <c r="IW18" i="2"/>
  <c r="DT138" i="1"/>
  <c r="IH10" i="2"/>
  <c r="IT18" i="2"/>
  <c r="GZ48" i="2"/>
  <c r="IX16" i="2"/>
  <c r="JD16" i="2"/>
  <c r="IT16" i="2"/>
  <c r="JF16" i="2"/>
  <c r="JE16" i="2"/>
  <c r="GZ96" i="2"/>
  <c r="HA96" i="2" s="1"/>
  <c r="GZ112" i="2"/>
  <c r="HA112" i="2" s="1"/>
  <c r="GZ156" i="2"/>
  <c r="HA156" i="2" s="1"/>
  <c r="GZ217" i="2"/>
  <c r="HA217" i="2" s="1"/>
  <c r="GZ300" i="2"/>
  <c r="HA300" i="2" s="1"/>
  <c r="GZ376" i="2"/>
  <c r="HA376" i="2" s="1"/>
  <c r="GZ404" i="2"/>
  <c r="HA404" i="2" s="1"/>
  <c r="GZ378" i="2"/>
  <c r="HA378" i="2" s="1"/>
  <c r="GZ415" i="2"/>
  <c r="HA415" i="2" s="1"/>
  <c r="GZ436" i="2"/>
  <c r="HA436" i="2" s="1"/>
  <c r="GZ433" i="2"/>
  <c r="HA433" i="2" s="1"/>
  <c r="GZ530" i="2"/>
  <c r="HA530" i="2" s="1"/>
  <c r="GZ560" i="2"/>
  <c r="HA560" i="2" s="1"/>
  <c r="IH18" i="2"/>
  <c r="IH29" i="2"/>
  <c r="DS62" i="1"/>
  <c r="DT62" i="1" s="1"/>
  <c r="CY1" i="1"/>
  <c r="IY26" i="2"/>
  <c r="IY33" i="2"/>
  <c r="IN26" i="2"/>
  <c r="IV20" i="2"/>
  <c r="IL25" i="2"/>
  <c r="IL33" i="2"/>
  <c r="IL34" i="2"/>
  <c r="DT459" i="1"/>
  <c r="GR74" i="2"/>
  <c r="GS74" i="2" s="1"/>
  <c r="JC14" i="2"/>
  <c r="IN8" i="2"/>
  <c r="IK17" i="2"/>
  <c r="GR83" i="2"/>
  <c r="GS83" i="2" s="1"/>
  <c r="GR135" i="2"/>
  <c r="GS135" i="2" s="1"/>
  <c r="IM17" i="2"/>
  <c r="IJ17" i="2"/>
  <c r="II17" i="2"/>
  <c r="GR47" i="2"/>
  <c r="IQ17" i="2"/>
  <c r="IP17" i="2"/>
  <c r="IF17" i="2"/>
  <c r="GR34" i="2"/>
  <c r="IF14" i="2"/>
  <c r="GR41" i="2"/>
  <c r="GS41" i="2" s="1"/>
  <c r="GR106" i="2"/>
  <c r="GS106" i="2" s="1"/>
  <c r="GR111" i="2"/>
  <c r="GS111" i="2" s="1"/>
  <c r="GR78" i="2"/>
  <c r="GS78" i="2" s="1"/>
  <c r="GR75" i="2"/>
  <c r="GS75" i="2" s="1"/>
  <c r="GR137" i="2"/>
  <c r="GS137" i="2" s="1"/>
  <c r="GR143" i="2"/>
  <c r="GS143" i="2" s="1"/>
  <c r="GR191" i="2"/>
  <c r="GS191" i="2" s="1"/>
  <c r="GR186" i="2"/>
  <c r="GS186" i="2" s="1"/>
  <c r="GR194" i="2"/>
  <c r="GS194" i="2" s="1"/>
  <c r="GR155" i="2"/>
  <c r="GS155" i="2" s="1"/>
  <c r="GR181" i="2"/>
  <c r="GS181" i="2" s="1"/>
  <c r="GR228" i="2"/>
  <c r="GS228" i="2" s="1"/>
  <c r="GR212" i="2"/>
  <c r="GS212" i="2" s="1"/>
  <c r="GR216" i="2"/>
  <c r="GS216" i="2" s="1"/>
  <c r="GR282" i="2"/>
  <c r="GS282" i="2" s="1"/>
  <c r="GR296" i="2"/>
  <c r="GS296" i="2" s="1"/>
  <c r="GR274" i="2"/>
  <c r="GS274" i="2" s="1"/>
  <c r="GR264" i="2"/>
  <c r="GS264" i="2" s="1"/>
  <c r="GR285" i="2"/>
  <c r="GS285" i="2" s="1"/>
  <c r="GR294" i="2"/>
  <c r="GS294" i="2" s="1"/>
  <c r="GR335" i="2"/>
  <c r="GS335" i="2" s="1"/>
  <c r="GR338" i="2"/>
  <c r="GS338" i="2" s="1"/>
  <c r="GR345" i="2"/>
  <c r="GS345" i="2" s="1"/>
  <c r="GR332" i="2"/>
  <c r="GS332" i="2" s="1"/>
  <c r="GR376" i="2"/>
  <c r="GS376" i="2" s="1"/>
  <c r="GR360" i="2"/>
  <c r="GS360" i="2" s="1"/>
  <c r="GR379" i="2"/>
  <c r="GS379" i="2" s="1"/>
  <c r="GR395" i="2"/>
  <c r="GS395" i="2" s="1"/>
  <c r="GR413" i="2"/>
  <c r="GS413" i="2" s="1"/>
  <c r="GR411" i="2"/>
  <c r="GS411" i="2" s="1"/>
  <c r="GR415" i="2"/>
  <c r="GS415" i="2" s="1"/>
  <c r="GR426" i="2"/>
  <c r="GS426" i="2" s="1"/>
  <c r="GR432" i="2"/>
  <c r="GS432" i="2" s="1"/>
  <c r="GR489" i="2"/>
  <c r="GS489" i="2" s="1"/>
  <c r="GR482" i="2"/>
  <c r="GS482" i="2" s="1"/>
  <c r="GR477" i="2"/>
  <c r="GS477" i="2" s="1"/>
  <c r="GR487" i="2"/>
  <c r="GS487" i="2" s="1"/>
  <c r="GR518" i="2"/>
  <c r="GS518" i="2" s="1"/>
  <c r="GR506" i="2"/>
  <c r="GS506" i="2" s="1"/>
  <c r="GR535" i="2"/>
  <c r="GS535" i="2" s="1"/>
  <c r="GR570" i="2"/>
  <c r="GS570" i="2" s="1"/>
  <c r="GR552" i="2"/>
  <c r="GS552" i="2" s="1"/>
  <c r="GR589" i="2"/>
  <c r="GS589" i="2" s="1"/>
  <c r="GR577" i="2"/>
  <c r="GS577" i="2" s="1"/>
  <c r="GR606" i="2"/>
  <c r="GS606" i="2" s="1"/>
  <c r="GR585" i="2"/>
  <c r="GS585" i="2" s="1"/>
  <c r="GR630" i="2"/>
  <c r="GR616" i="2"/>
  <c r="GS616" i="2" s="1"/>
  <c r="IG16" i="2"/>
  <c r="IG20" i="2"/>
  <c r="IG23" i="2"/>
  <c r="IG34" i="2"/>
  <c r="AH1" i="1"/>
  <c r="AE1" i="2"/>
  <c r="DP22" i="2"/>
  <c r="EI22" i="2" s="1"/>
  <c r="IF11" i="2" s="1"/>
  <c r="EQ270" i="1"/>
  <c r="EP270" i="1"/>
  <c r="DN397" i="1"/>
  <c r="DT135" i="1"/>
  <c r="DO397" i="1"/>
  <c r="DN109" i="1"/>
  <c r="GZ154" i="2"/>
  <c r="HA154" i="2" s="1"/>
  <c r="GZ220" i="2"/>
  <c r="HA220" i="2" s="1"/>
  <c r="GZ230" i="2"/>
  <c r="HA230" i="2" s="1"/>
  <c r="GZ391" i="2"/>
  <c r="HA391" i="2" s="1"/>
  <c r="GZ341" i="2"/>
  <c r="HA341" i="2" s="1"/>
  <c r="GZ426" i="2"/>
  <c r="HA426" i="2" s="1"/>
  <c r="GZ419" i="2"/>
  <c r="HA419" i="2" s="1"/>
  <c r="GZ443" i="2"/>
  <c r="HA443" i="2" s="1"/>
  <c r="GZ513" i="2"/>
  <c r="HA513" i="2" s="1"/>
  <c r="IH30" i="2"/>
  <c r="DS369" i="1"/>
  <c r="DT369" i="1" s="1"/>
  <c r="DS66" i="1"/>
  <c r="DT66" i="1" s="1"/>
  <c r="DS20" i="1"/>
  <c r="DT20" i="1" s="1"/>
  <c r="DS541" i="1"/>
  <c r="DT541" i="1" s="1"/>
  <c r="GR60" i="2"/>
  <c r="GS60" i="2" s="1"/>
  <c r="GR42" i="2"/>
  <c r="GR119" i="2"/>
  <c r="GS119" i="2" s="1"/>
  <c r="GR80" i="2"/>
  <c r="GS80" i="2" s="1"/>
  <c r="GR139" i="2"/>
  <c r="GS139" i="2" s="1"/>
  <c r="GR150" i="2"/>
  <c r="GS150" i="2" s="1"/>
  <c r="GR195" i="2"/>
  <c r="GS195" i="2" s="1"/>
  <c r="GR188" i="2"/>
  <c r="GS188" i="2" s="1"/>
  <c r="GR200" i="2"/>
  <c r="GS200" i="2" s="1"/>
  <c r="GR166" i="2"/>
  <c r="GS166" i="2" s="1"/>
  <c r="GR183" i="2"/>
  <c r="GS183" i="2" s="1"/>
  <c r="GR205" i="2"/>
  <c r="GS205" i="2" s="1"/>
  <c r="GR214" i="2"/>
  <c r="GS214" i="2" s="1"/>
  <c r="GR221" i="2"/>
  <c r="GS221" i="2" s="1"/>
  <c r="GR278" i="2"/>
  <c r="GS278" i="2" s="1"/>
  <c r="GR303" i="2"/>
  <c r="GS303" i="2" s="1"/>
  <c r="GR265" i="2"/>
  <c r="GS265" i="2" s="1"/>
  <c r="GR301" i="2"/>
  <c r="GS301" i="2" s="1"/>
  <c r="GR315" i="2"/>
  <c r="GS315" i="2" s="1"/>
  <c r="GR323" i="2"/>
  <c r="GS323" i="2" s="1"/>
  <c r="GR340" i="2"/>
  <c r="GS340" i="2" s="1"/>
  <c r="GR341" i="2"/>
  <c r="GS341" i="2" s="1"/>
  <c r="GR352" i="2"/>
  <c r="GS352" i="2" s="1"/>
  <c r="GR346" i="2"/>
  <c r="IM25" i="2"/>
  <c r="II25" i="2"/>
  <c r="IR25" i="2"/>
  <c r="IQ25" i="2"/>
  <c r="IF25" i="2"/>
  <c r="IP25" i="2"/>
  <c r="IJ25" i="2"/>
  <c r="GR433" i="2"/>
  <c r="GS433" i="2" s="1"/>
  <c r="GR373" i="2"/>
  <c r="GS373" i="2" s="1"/>
  <c r="GR387" i="2"/>
  <c r="GS387" i="2" s="1"/>
  <c r="GR405" i="2"/>
  <c r="GS405" i="2" s="1"/>
  <c r="GR431" i="2"/>
  <c r="GS431" i="2" s="1"/>
  <c r="GR394" i="2"/>
  <c r="GS394" i="2" s="1"/>
  <c r="GR429" i="2"/>
  <c r="GS429" i="2" s="1"/>
  <c r="GR436" i="2"/>
  <c r="GS436" i="2" s="1"/>
  <c r="GR461" i="2"/>
  <c r="GS461" i="2" s="1"/>
  <c r="GR486" i="2"/>
  <c r="GS486" i="2" s="1"/>
  <c r="GR519" i="2"/>
  <c r="GS519" i="2" s="1"/>
  <c r="GR449" i="2"/>
  <c r="GS449" i="2" s="1"/>
  <c r="GR507" i="2"/>
  <c r="GS507" i="2" s="1"/>
  <c r="GR493" i="2"/>
  <c r="GS493" i="2" s="1"/>
  <c r="GR495" i="2"/>
  <c r="GS495" i="2" s="1"/>
  <c r="GR526" i="2"/>
  <c r="GS526" i="2" s="1"/>
  <c r="GR516" i="2"/>
  <c r="GS516" i="2" s="1"/>
  <c r="GR544" i="2"/>
  <c r="GS544" i="2" s="1"/>
  <c r="GR558" i="2"/>
  <c r="GS558" i="2" s="1"/>
  <c r="GR578" i="2"/>
  <c r="GS578" i="2" s="1"/>
  <c r="GR590" i="2"/>
  <c r="GS590" i="2" s="1"/>
  <c r="GR597" i="2"/>
  <c r="GS597" i="2" s="1"/>
  <c r="GR603" i="2"/>
  <c r="GS603" i="2" s="1"/>
  <c r="GR627" i="2"/>
  <c r="IP36" i="2"/>
  <c r="IF36" i="2"/>
  <c r="IM36" i="2"/>
  <c r="IJ36" i="2"/>
  <c r="II36" i="2"/>
  <c r="IR36" i="2"/>
  <c r="IQ36" i="2"/>
  <c r="GR621" i="2"/>
  <c r="GS621" i="2" s="1"/>
  <c r="IS7" i="2"/>
  <c r="IS10" i="2"/>
  <c r="IS21" i="2"/>
  <c r="IS29" i="2"/>
  <c r="IG31" i="2"/>
  <c r="FO266" i="1"/>
  <c r="FJ266" i="1"/>
  <c r="HT6" i="2"/>
  <c r="HS6" i="2"/>
  <c r="DT98" i="1"/>
  <c r="BK1" i="1"/>
  <c r="DT134" i="1"/>
  <c r="DX107" i="1"/>
  <c r="DS355" i="1"/>
  <c r="DT355" i="1" s="1"/>
  <c r="GZ190" i="2"/>
  <c r="HA190" i="2" s="1"/>
  <c r="GZ208" i="2"/>
  <c r="HA208" i="2" s="1"/>
  <c r="GZ306" i="2"/>
  <c r="HA306" i="2" s="1"/>
  <c r="GZ345" i="2"/>
  <c r="HA345" i="2" s="1"/>
  <c r="GZ425" i="2"/>
  <c r="HA425" i="2" s="1"/>
  <c r="GZ420" i="2"/>
  <c r="HA420" i="2" s="1"/>
  <c r="GZ483" i="2"/>
  <c r="IX30" i="2"/>
  <c r="JF30" i="2"/>
  <c r="IT30" i="2"/>
  <c r="JE30" i="2"/>
  <c r="JD30" i="2"/>
  <c r="GZ486" i="2"/>
  <c r="HA486" i="2" s="1"/>
  <c r="IT32" i="2"/>
  <c r="GZ514" i="2"/>
  <c r="HA514" i="2" s="1"/>
  <c r="GZ541" i="2"/>
  <c r="HA541" i="2" s="1"/>
  <c r="IH5" i="2"/>
  <c r="IH7" i="2"/>
  <c r="AQ1" i="1"/>
  <c r="DN60" i="1"/>
  <c r="DS203" i="1"/>
  <c r="DT203" i="1" s="1"/>
  <c r="GR50" i="2"/>
  <c r="GS50" i="2" s="1"/>
  <c r="IK6" i="2"/>
  <c r="IK23" i="2"/>
  <c r="IK33" i="2"/>
  <c r="GR95" i="2"/>
  <c r="GS95" i="2" s="1"/>
  <c r="IZ18" i="2"/>
  <c r="GR121" i="2"/>
  <c r="GS121" i="2" s="1"/>
  <c r="IN17" i="2"/>
  <c r="GR26" i="2"/>
  <c r="GS26" i="2" s="1"/>
  <c r="GR73" i="2"/>
  <c r="GS73" i="2" s="1"/>
  <c r="GR61" i="2"/>
  <c r="GS61" i="2" s="1"/>
  <c r="GR43" i="2"/>
  <c r="GS43" i="2" s="1"/>
  <c r="GR157" i="2"/>
  <c r="GS157" i="2" s="1"/>
  <c r="GR82" i="2"/>
  <c r="GS82" i="2" s="1"/>
  <c r="GR88" i="2"/>
  <c r="GS88" i="2" s="1"/>
  <c r="GR148" i="2"/>
  <c r="GS148" i="2" s="1"/>
  <c r="GR151" i="2"/>
  <c r="GS151" i="2" s="1"/>
  <c r="GR189" i="2"/>
  <c r="GS189" i="2" s="1"/>
  <c r="GR168" i="2"/>
  <c r="GS168" i="2" s="1"/>
  <c r="GR185" i="2"/>
  <c r="GS185" i="2" s="1"/>
  <c r="GR223" i="2"/>
  <c r="GS223" i="2" s="1"/>
  <c r="GR219" i="2"/>
  <c r="GS219" i="2" s="1"/>
  <c r="GR225" i="2"/>
  <c r="GS225" i="2" s="1"/>
  <c r="GR268" i="2"/>
  <c r="GS268" i="2" s="1"/>
  <c r="GR313" i="2"/>
  <c r="GS313" i="2" s="1"/>
  <c r="GR349" i="2"/>
  <c r="GS349" i="2" s="1"/>
  <c r="GR344" i="2"/>
  <c r="GS344" i="2" s="1"/>
  <c r="GR309" i="2"/>
  <c r="GS309" i="2" s="1"/>
  <c r="GR348" i="2"/>
  <c r="GS348" i="2" s="1"/>
  <c r="GR355" i="2"/>
  <c r="GS355" i="2" s="1"/>
  <c r="GR342" i="2"/>
  <c r="GS342" i="2" s="1"/>
  <c r="GR359" i="2"/>
  <c r="GS359" i="2" s="1"/>
  <c r="GR380" i="2"/>
  <c r="GS380" i="2" s="1"/>
  <c r="GR389" i="2"/>
  <c r="GS389" i="2" s="1"/>
  <c r="GR407" i="2"/>
  <c r="GS407" i="2" s="1"/>
  <c r="GR390" i="2"/>
  <c r="GS390" i="2" s="1"/>
  <c r="GR396" i="2"/>
  <c r="GS396" i="2" s="1"/>
  <c r="GR459" i="2"/>
  <c r="GS459" i="2" s="1"/>
  <c r="GR450" i="2"/>
  <c r="GS450" i="2" s="1"/>
  <c r="GR439" i="2"/>
  <c r="GS439" i="2" s="1"/>
  <c r="GR492" i="2"/>
  <c r="GS492" i="2" s="1"/>
  <c r="GR455" i="2"/>
  <c r="GS455" i="2" s="1"/>
  <c r="GR512" i="2"/>
  <c r="GS512" i="2" s="1"/>
  <c r="GR498" i="2"/>
  <c r="GS498" i="2" s="1"/>
  <c r="GR496" i="2"/>
  <c r="GS496" i="2" s="1"/>
  <c r="GR556" i="2"/>
  <c r="GS556" i="2" s="1"/>
  <c r="GR520" i="2"/>
  <c r="GS520" i="2" s="1"/>
  <c r="GR549" i="2"/>
  <c r="GS549" i="2" s="1"/>
  <c r="GR572" i="2"/>
  <c r="GS572" i="2" s="1"/>
  <c r="GR574" i="2"/>
  <c r="GS574" i="2" s="1"/>
  <c r="GR580" i="2"/>
  <c r="GS580" i="2" s="1"/>
  <c r="GR579" i="2"/>
  <c r="GS579" i="2" s="1"/>
  <c r="GR599" i="2"/>
  <c r="GS599" i="2" s="1"/>
  <c r="GR586" i="2"/>
  <c r="GS586" i="2" s="1"/>
  <c r="GR605" i="2"/>
  <c r="GS605" i="2" s="1"/>
  <c r="GR607" i="2"/>
  <c r="GS607" i="2" s="1"/>
  <c r="GR623" i="2"/>
  <c r="GS623" i="2" s="1"/>
  <c r="IS11" i="2"/>
  <c r="IS25" i="2"/>
  <c r="IS32" i="2"/>
  <c r="IS36" i="2"/>
  <c r="IS34" i="2"/>
  <c r="IG21" i="2"/>
  <c r="IG26" i="2"/>
  <c r="IG32" i="2"/>
  <c r="DT382" i="1"/>
  <c r="DN157" i="1"/>
  <c r="DS157" i="1"/>
  <c r="DT157" i="1" s="1"/>
  <c r="DW120" i="1"/>
  <c r="DX120" i="1" s="1"/>
  <c r="IP11" i="2"/>
  <c r="DN107" i="1"/>
  <c r="DS107" i="1"/>
  <c r="DT107" i="1" s="1"/>
  <c r="JE14" i="2"/>
  <c r="GZ56" i="2"/>
  <c r="HA56" i="2" s="1"/>
  <c r="IT22" i="2"/>
  <c r="GZ153" i="2"/>
  <c r="GZ223" i="2"/>
  <c r="HA223" i="2" s="1"/>
  <c r="GZ218" i="2"/>
  <c r="HA218" i="2" s="1"/>
  <c r="GZ233" i="2"/>
  <c r="HA233" i="2" s="1"/>
  <c r="GZ303" i="2"/>
  <c r="HA303" i="2" s="1"/>
  <c r="GZ319" i="2"/>
  <c r="HA319" i="2" s="1"/>
  <c r="GZ358" i="2"/>
  <c r="HA358" i="2" s="1"/>
  <c r="GZ396" i="2"/>
  <c r="HA396" i="2" s="1"/>
  <c r="GZ427" i="2"/>
  <c r="HA427" i="2" s="1"/>
  <c r="GZ428" i="2"/>
  <c r="HA428" i="2" s="1"/>
  <c r="GZ518" i="2"/>
  <c r="HA518" i="2" s="1"/>
  <c r="IH21" i="2"/>
  <c r="IH23" i="2"/>
  <c r="DS508" i="1"/>
  <c r="DT508" i="1" s="1"/>
  <c r="EK27" i="1"/>
  <c r="FD27" i="1"/>
  <c r="EL27" i="1" s="1"/>
  <c r="ES27" i="1"/>
  <c r="DS70" i="1"/>
  <c r="DT70" i="1" s="1"/>
  <c r="DW333" i="1"/>
  <c r="DX333" i="1" s="1"/>
  <c r="GR36" i="2"/>
  <c r="GS36" i="2" s="1"/>
  <c r="IO22" i="2"/>
  <c r="IY32" i="2"/>
  <c r="IN29" i="2"/>
  <c r="IN33" i="2"/>
  <c r="DS31" i="2"/>
  <c r="EL31" i="2" s="1"/>
  <c r="IG13" i="2" s="1"/>
  <c r="AH1" i="2"/>
  <c r="JB10" i="2"/>
  <c r="GR10" i="2"/>
  <c r="GS10" i="2" s="1"/>
  <c r="IL23" i="2"/>
  <c r="IL29" i="2"/>
  <c r="ID16" i="2"/>
  <c r="IB16" i="2"/>
  <c r="IA16" i="2" s="1"/>
  <c r="JG28" i="2"/>
  <c r="IK22" i="2"/>
  <c r="IK34" i="2"/>
  <c r="DS602" i="1"/>
  <c r="DT602" i="1" s="1"/>
  <c r="DN602" i="1"/>
  <c r="IZ20" i="2"/>
  <c r="IQ8" i="2"/>
  <c r="GR35" i="2"/>
  <c r="GS35" i="2" s="1"/>
  <c r="GR53" i="2"/>
  <c r="GS53" i="2" s="1"/>
  <c r="GR44" i="2"/>
  <c r="GS44" i="2" s="1"/>
  <c r="GR105" i="2"/>
  <c r="GS105" i="2" s="1"/>
  <c r="GR122" i="2"/>
  <c r="GS122" i="2" s="1"/>
  <c r="GR84" i="2"/>
  <c r="GS84" i="2" s="1"/>
  <c r="GR90" i="2"/>
  <c r="GS90" i="2" s="1"/>
  <c r="GR149" i="2"/>
  <c r="IF22" i="2"/>
  <c r="GR96" i="2"/>
  <c r="GS96" i="2" s="1"/>
  <c r="GR192" i="2"/>
  <c r="GS192" i="2" s="1"/>
  <c r="GR232" i="2"/>
  <c r="GS232" i="2" s="1"/>
  <c r="GR196" i="2"/>
  <c r="GS196" i="2" s="1"/>
  <c r="GR187" i="2"/>
  <c r="GS187" i="2" s="1"/>
  <c r="GR226" i="2"/>
  <c r="GS226" i="2" s="1"/>
  <c r="GR222" i="2"/>
  <c r="GS222" i="2" s="1"/>
  <c r="GR240" i="2"/>
  <c r="GS240" i="2" s="1"/>
  <c r="GR236" i="2"/>
  <c r="GS236" i="2" s="1"/>
  <c r="GR305" i="2"/>
  <c r="GS305" i="2" s="1"/>
  <c r="GR244" i="2"/>
  <c r="GS244" i="2" s="1"/>
  <c r="GR258" i="2"/>
  <c r="GS258" i="2" s="1"/>
  <c r="GR231" i="2"/>
  <c r="GS231" i="2" s="1"/>
  <c r="GR291" i="2"/>
  <c r="GS291" i="2" s="1"/>
  <c r="GR299" i="2"/>
  <c r="GS299" i="2" s="1"/>
  <c r="GR362" i="2"/>
  <c r="GS362" i="2" s="1"/>
  <c r="GR368" i="2"/>
  <c r="GS368" i="2" s="1"/>
  <c r="GR347" i="2"/>
  <c r="GS347" i="2" s="1"/>
  <c r="GR365" i="2"/>
  <c r="GS365" i="2" s="1"/>
  <c r="GR383" i="2"/>
  <c r="GS383" i="2" s="1"/>
  <c r="GR434" i="2"/>
  <c r="GS434" i="2" s="1"/>
  <c r="GR420" i="2"/>
  <c r="GS420" i="2" s="1"/>
  <c r="GR412" i="2"/>
  <c r="GS412" i="2" s="1"/>
  <c r="GR406" i="2"/>
  <c r="GS406" i="2" s="1"/>
  <c r="GR476" i="2"/>
  <c r="GS476" i="2" s="1"/>
  <c r="GR425" i="2"/>
  <c r="GS425" i="2" s="1"/>
  <c r="GR441" i="2"/>
  <c r="GS441" i="2" s="1"/>
  <c r="GR457" i="2"/>
  <c r="GS457" i="2" s="1"/>
  <c r="GR460" i="2"/>
  <c r="GS460" i="2" s="1"/>
  <c r="GR509" i="2"/>
  <c r="GS509" i="2" s="1"/>
  <c r="GR527" i="2"/>
  <c r="GS527" i="2" s="1"/>
  <c r="GR484" i="2"/>
  <c r="GS484" i="2" s="1"/>
  <c r="GR529" i="2"/>
  <c r="GS529" i="2" s="1"/>
  <c r="GR533" i="2"/>
  <c r="GS533" i="2" s="1"/>
  <c r="GR540" i="2"/>
  <c r="GS540" i="2" s="1"/>
  <c r="GR541" i="2"/>
  <c r="GS541" i="2" s="1"/>
  <c r="GR587" i="2"/>
  <c r="GS587" i="2" s="1"/>
  <c r="GR567" i="2"/>
  <c r="GS567" i="2" s="1"/>
  <c r="GR581" i="2"/>
  <c r="GS581" i="2" s="1"/>
  <c r="GR591" i="2"/>
  <c r="GS591" i="2" s="1"/>
  <c r="GR617" i="2"/>
  <c r="GS617" i="2" s="1"/>
  <c r="GR609" i="2"/>
  <c r="GS609" i="2" s="1"/>
  <c r="IS5" i="2"/>
  <c r="IS22" i="2"/>
  <c r="IS26" i="2"/>
  <c r="IS27" i="2"/>
  <c r="IG17" i="2"/>
  <c r="DS535" i="1"/>
  <c r="DT535" i="1" s="1"/>
  <c r="DX531" i="1"/>
  <c r="GQ7" i="2"/>
  <c r="CD1" i="1"/>
  <c r="EV106" i="1"/>
  <c r="IR17" i="2"/>
  <c r="DT53" i="1"/>
  <c r="DW22" i="2"/>
  <c r="EP22" i="2" s="1"/>
  <c r="IN11" i="2" s="1"/>
  <c r="AL1" i="2"/>
  <c r="GU22" i="2"/>
  <c r="DL22" i="2"/>
  <c r="DS423" i="1"/>
  <c r="DT423" i="1" s="1"/>
  <c r="CL1" i="1"/>
  <c r="DN38" i="1"/>
  <c r="DS38" i="1"/>
  <c r="DT38" i="1" s="1"/>
  <c r="BB1" i="1"/>
  <c r="DS346" i="1"/>
  <c r="DT346" i="1" s="1"/>
  <c r="IT14" i="2"/>
  <c r="GZ34" i="2"/>
  <c r="GZ58" i="2"/>
  <c r="HA58" i="2" s="1"/>
  <c r="GZ93" i="2"/>
  <c r="IT20" i="2"/>
  <c r="GZ169" i="2"/>
  <c r="HA169" i="2" s="1"/>
  <c r="GZ204" i="2"/>
  <c r="HA204" i="2" s="1"/>
  <c r="GZ340" i="2"/>
  <c r="HA340" i="2" s="1"/>
  <c r="GZ380" i="2"/>
  <c r="HA380" i="2" s="1"/>
  <c r="GZ434" i="2"/>
  <c r="HA434" i="2" s="1"/>
  <c r="GZ498" i="2"/>
  <c r="HA498" i="2" s="1"/>
  <c r="GZ447" i="2"/>
  <c r="HA447" i="2" s="1"/>
  <c r="GZ506" i="2"/>
  <c r="IH31" i="2"/>
  <c r="DS455" i="1"/>
  <c r="DT455" i="1" s="1"/>
  <c r="DN121" i="1"/>
  <c r="DS56" i="1"/>
  <c r="DT56" i="1" s="1"/>
  <c r="EU249" i="1"/>
  <c r="DS199" i="1"/>
  <c r="DT199" i="1" s="1"/>
  <c r="DS95" i="1"/>
  <c r="DT95" i="1" s="1"/>
  <c r="DO449" i="1"/>
  <c r="IO17" i="2"/>
  <c r="IO29" i="2"/>
  <c r="IL11" i="2"/>
  <c r="IY14" i="2"/>
  <c r="IN18" i="2"/>
  <c r="IN24" i="2"/>
  <c r="JB20" i="2"/>
  <c r="IQ14" i="2"/>
  <c r="DT31" i="2"/>
  <c r="EM31" i="2" s="1"/>
  <c r="IJ13" i="2" s="1"/>
  <c r="AI1" i="2"/>
  <c r="IV18" i="2"/>
  <c r="IV22" i="2"/>
  <c r="IV32" i="2"/>
  <c r="JA16" i="2"/>
  <c r="JG26" i="2"/>
  <c r="JG30" i="2"/>
  <c r="JG32" i="2"/>
  <c r="IU16" i="2"/>
  <c r="IK36" i="2"/>
  <c r="GR45" i="2"/>
  <c r="GS45" i="2" s="1"/>
  <c r="GR30" i="2"/>
  <c r="GR19" i="2"/>
  <c r="GS19" i="2" s="1"/>
  <c r="GR8" i="2"/>
  <c r="GS8" i="2" s="1"/>
  <c r="GR37" i="2"/>
  <c r="GS37" i="2" s="1"/>
  <c r="GR79" i="2"/>
  <c r="GS79" i="2" s="1"/>
  <c r="GR52" i="2"/>
  <c r="IF18" i="2"/>
  <c r="GR49" i="2"/>
  <c r="GS49" i="2" s="1"/>
  <c r="GR109" i="2"/>
  <c r="GS109" i="2" s="1"/>
  <c r="GR124" i="2"/>
  <c r="GS124" i="2" s="1"/>
  <c r="GR103" i="2"/>
  <c r="GS103" i="2" s="1"/>
  <c r="GR92" i="2"/>
  <c r="GS92" i="2" s="1"/>
  <c r="GR110" i="2"/>
  <c r="GS110" i="2" s="1"/>
  <c r="GR162" i="2"/>
  <c r="GS162" i="2" s="1"/>
  <c r="GR193" i="2"/>
  <c r="GS193" i="2" s="1"/>
  <c r="GR158" i="2"/>
  <c r="GS158" i="2" s="1"/>
  <c r="GR154" i="2"/>
  <c r="GS154" i="2" s="1"/>
  <c r="GR213" i="2"/>
  <c r="GS213" i="2" s="1"/>
  <c r="GR233" i="2"/>
  <c r="GS233" i="2" s="1"/>
  <c r="GR259" i="2"/>
  <c r="GS259" i="2" s="1"/>
  <c r="GR190" i="2"/>
  <c r="GS190" i="2" s="1"/>
  <c r="GR245" i="2"/>
  <c r="GS245" i="2" s="1"/>
  <c r="GR246" i="2"/>
  <c r="GS246" i="2" s="1"/>
  <c r="GR271" i="2"/>
  <c r="GS271" i="2" s="1"/>
  <c r="GR237" i="2"/>
  <c r="GS237" i="2" s="1"/>
  <c r="GR293" i="2"/>
  <c r="GS293" i="2" s="1"/>
  <c r="GR289" i="2"/>
  <c r="GS289" i="2" s="1"/>
  <c r="GR304" i="2"/>
  <c r="GS304" i="2" s="1"/>
  <c r="GR324" i="2"/>
  <c r="GS324" i="2" s="1"/>
  <c r="GR326" i="2"/>
  <c r="GS326" i="2" s="1"/>
  <c r="GR337" i="2"/>
  <c r="GS337" i="2" s="1"/>
  <c r="GR372" i="2"/>
  <c r="GS372" i="2" s="1"/>
  <c r="GR370" i="2"/>
  <c r="GS370" i="2" s="1"/>
  <c r="GR398" i="2"/>
  <c r="GS398" i="2" s="1"/>
  <c r="GR364" i="2"/>
  <c r="GS364" i="2" s="1"/>
  <c r="GR435" i="2"/>
  <c r="GS435" i="2" s="1"/>
  <c r="GR417" i="2"/>
  <c r="GS417" i="2" s="1"/>
  <c r="GR418" i="2"/>
  <c r="GS418" i="2" s="1"/>
  <c r="GR448" i="2"/>
  <c r="GS448" i="2" s="1"/>
  <c r="GR446" i="2"/>
  <c r="GS446" i="2" s="1"/>
  <c r="GR442" i="2"/>
  <c r="GS442" i="2" s="1"/>
  <c r="GR515" i="2"/>
  <c r="GS515" i="2" s="1"/>
  <c r="GR464" i="2"/>
  <c r="GS464" i="2" s="1"/>
  <c r="GR466" i="2"/>
  <c r="IR29" i="2"/>
  <c r="IF29" i="2"/>
  <c r="IJ29" i="2"/>
  <c r="GR481" i="2"/>
  <c r="GS481" i="2" s="1"/>
  <c r="GR462" i="2"/>
  <c r="GS462" i="2" s="1"/>
  <c r="GR505" i="2"/>
  <c r="GS505" i="2" s="1"/>
  <c r="GR525" i="2"/>
  <c r="GS525" i="2" s="1"/>
  <c r="GR547" i="2"/>
  <c r="GS547" i="2" s="1"/>
  <c r="GR550" i="2"/>
  <c r="GS550" i="2" s="1"/>
  <c r="GR576" i="2"/>
  <c r="GS576" i="2" s="1"/>
  <c r="GR582" i="2"/>
  <c r="GS582" i="2" s="1"/>
  <c r="GR593" i="2"/>
  <c r="GS593" i="2" s="1"/>
  <c r="GR594" i="2"/>
  <c r="GS594" i="2" s="1"/>
  <c r="GR608" i="2"/>
  <c r="GS608" i="2" s="1"/>
  <c r="GR611" i="2"/>
  <c r="GS611" i="2" s="1"/>
  <c r="IG10" i="2"/>
  <c r="GQ16" i="2"/>
  <c r="IS18" i="2"/>
  <c r="IS23" i="2"/>
  <c r="IG36" i="2"/>
  <c r="DT81" i="1"/>
  <c r="DS216" i="1"/>
  <c r="DT216" i="1" s="1"/>
  <c r="BL1" i="1"/>
  <c r="JF14" i="2"/>
  <c r="IP8" i="2"/>
  <c r="DS357" i="1"/>
  <c r="DT357" i="1" s="1"/>
  <c r="DN357" i="1"/>
  <c r="DS183" i="1"/>
  <c r="DT183" i="1" s="1"/>
  <c r="DN183" i="1"/>
  <c r="DT50" i="1"/>
  <c r="IJ18" i="2"/>
  <c r="IX14" i="2"/>
  <c r="JA14" i="2"/>
  <c r="GV1" i="2"/>
  <c r="GZ105" i="2"/>
  <c r="HA105" i="2" s="1"/>
  <c r="GZ119" i="2"/>
  <c r="HA119" i="2" s="1"/>
  <c r="GZ229" i="2"/>
  <c r="HA229" i="2" s="1"/>
  <c r="GZ390" i="2"/>
  <c r="HA390" i="2" s="1"/>
  <c r="GZ446" i="2"/>
  <c r="HA446" i="2" s="1"/>
  <c r="GZ465" i="2"/>
  <c r="HA465" i="2" s="1"/>
  <c r="GZ540" i="2"/>
  <c r="HA540" i="2" s="1"/>
  <c r="IH20" i="2"/>
  <c r="IH25" i="2"/>
  <c r="IH32" i="2"/>
  <c r="DW331" i="1"/>
  <c r="DX331" i="1" s="1"/>
  <c r="DH1" i="1"/>
  <c r="JF10" i="2"/>
  <c r="IV26" i="2"/>
  <c r="IL22" i="2"/>
  <c r="GR87" i="2"/>
  <c r="GS87" i="2" s="1"/>
  <c r="JG10" i="2"/>
  <c r="IO5" i="2"/>
  <c r="IU14" i="2"/>
  <c r="IU30" i="2"/>
  <c r="IK18" i="2"/>
  <c r="GR14" i="2"/>
  <c r="GS14" i="2" s="1"/>
  <c r="GR55" i="2"/>
  <c r="GS55" i="2" s="1"/>
  <c r="GR39" i="2"/>
  <c r="GS39" i="2" s="1"/>
  <c r="GR62" i="2"/>
  <c r="GS62" i="2" s="1"/>
  <c r="GR64" i="2"/>
  <c r="GS64" i="2" s="1"/>
  <c r="GR118" i="2"/>
  <c r="GS118" i="2" s="1"/>
  <c r="GR134" i="2"/>
  <c r="GS134" i="2" s="1"/>
  <c r="GR114" i="2"/>
  <c r="GS114" i="2" s="1"/>
  <c r="GR94" i="2"/>
  <c r="GS94" i="2" s="1"/>
  <c r="GR97" i="2"/>
  <c r="GS97" i="2" s="1"/>
  <c r="GR152" i="2"/>
  <c r="GS152" i="2" s="1"/>
  <c r="GR164" i="2"/>
  <c r="GS164" i="2" s="1"/>
  <c r="GR204" i="2"/>
  <c r="GS204" i="2" s="1"/>
  <c r="GR198" i="2"/>
  <c r="GS198" i="2" s="1"/>
  <c r="GR161" i="2"/>
  <c r="GS161" i="2" s="1"/>
  <c r="GR153" i="2"/>
  <c r="GS153" i="2" s="1"/>
  <c r="GR242" i="2"/>
  <c r="GS242" i="2" s="1"/>
  <c r="GR270" i="2"/>
  <c r="GS270" i="2" s="1"/>
  <c r="GR261" i="2"/>
  <c r="GS261" i="2" s="1"/>
  <c r="GR248" i="2"/>
  <c r="GS248" i="2" s="1"/>
  <c r="GR239" i="2"/>
  <c r="GS239" i="2" s="1"/>
  <c r="GR318" i="2"/>
  <c r="GS318" i="2" s="1"/>
  <c r="GR327" i="2"/>
  <c r="GS327" i="2" s="1"/>
  <c r="GR351" i="2"/>
  <c r="GS351" i="2" s="1"/>
  <c r="GR353" i="2"/>
  <c r="GS353" i="2" s="1"/>
  <c r="GR374" i="2"/>
  <c r="GS374" i="2" s="1"/>
  <c r="GR408" i="2"/>
  <c r="GS408" i="2" s="1"/>
  <c r="GR378" i="2"/>
  <c r="GS378" i="2" s="1"/>
  <c r="GR392" i="2"/>
  <c r="GS392" i="2" s="1"/>
  <c r="GR419" i="2"/>
  <c r="GS419" i="2" s="1"/>
  <c r="GR443" i="2"/>
  <c r="GS443" i="2" s="1"/>
  <c r="GR428" i="2"/>
  <c r="GS428" i="2" s="1"/>
  <c r="GR447" i="2"/>
  <c r="GS447" i="2" s="1"/>
  <c r="GR456" i="2"/>
  <c r="GS456" i="2" s="1"/>
  <c r="GR521" i="2"/>
  <c r="GS521" i="2" s="1"/>
  <c r="GR470" i="2"/>
  <c r="GS470" i="2" s="1"/>
  <c r="GR473" i="2"/>
  <c r="GS473" i="2" s="1"/>
  <c r="GR494" i="2"/>
  <c r="GS494" i="2" s="1"/>
  <c r="GR472" i="2"/>
  <c r="GS472" i="2" s="1"/>
  <c r="GR510" i="2"/>
  <c r="GS510" i="2" s="1"/>
  <c r="GR542" i="2"/>
  <c r="GS542" i="2" s="1"/>
  <c r="GR524" i="2"/>
  <c r="GS524" i="2" s="1"/>
  <c r="GR534" i="2"/>
  <c r="GS534" i="2" s="1"/>
  <c r="GR561" i="2"/>
  <c r="GS561" i="2" s="1"/>
  <c r="GR595" i="2"/>
  <c r="GS595" i="2" s="1"/>
  <c r="GR592" i="2"/>
  <c r="GS592" i="2" s="1"/>
  <c r="GR596" i="2"/>
  <c r="GS596" i="2" s="1"/>
  <c r="GR613" i="2"/>
  <c r="GS613" i="2" s="1"/>
  <c r="IS8" i="2"/>
  <c r="IG5" i="2"/>
  <c r="DT347" i="1"/>
  <c r="DT333" i="1"/>
  <c r="DT454" i="1"/>
  <c r="ER44" i="1"/>
  <c r="ER1" i="1" s="1"/>
  <c r="DS397" i="1"/>
  <c r="DT397" i="1" s="1"/>
  <c r="DT159" i="1"/>
  <c r="DW537" i="1"/>
  <c r="DX537" i="1" s="1"/>
  <c r="DS326" i="1"/>
  <c r="DT326" i="1" s="1"/>
  <c r="DT47" i="1"/>
  <c r="JF18" i="2"/>
  <c r="GZ99" i="2"/>
  <c r="HA99" i="2" s="1"/>
  <c r="GZ289" i="2"/>
  <c r="HA289" i="2" s="1"/>
  <c r="GZ379" i="2"/>
  <c r="HA379" i="2" s="1"/>
  <c r="GZ407" i="2"/>
  <c r="HA407" i="2" s="1"/>
  <c r="GZ453" i="2"/>
  <c r="HA453" i="2" s="1"/>
  <c r="IH6" i="2"/>
  <c r="IH9" i="2"/>
  <c r="IH26" i="2"/>
  <c r="DS206" i="1"/>
  <c r="DT206" i="1" s="1"/>
  <c r="DS109" i="1"/>
  <c r="DT109" i="1" s="1"/>
  <c r="DT599" i="1"/>
  <c r="IO9" i="2"/>
  <c r="JG33" i="2"/>
  <c r="IK16" i="2"/>
  <c r="IK25" i="2"/>
  <c r="DX551" i="1"/>
  <c r="HQ12" i="2"/>
  <c r="GQ27" i="2"/>
  <c r="GR18" i="2"/>
  <c r="GS18" i="2" s="1"/>
  <c r="GR72" i="2"/>
  <c r="GS72" i="2" s="1"/>
  <c r="GR40" i="2"/>
  <c r="GS40" i="2" s="1"/>
  <c r="GR63" i="2"/>
  <c r="GS63" i="2" s="1"/>
  <c r="GR65" i="2"/>
  <c r="GS65" i="2" s="1"/>
  <c r="GR130" i="2"/>
  <c r="GS130" i="2" s="1"/>
  <c r="GR138" i="2"/>
  <c r="GS138" i="2" s="1"/>
  <c r="GR131" i="2"/>
  <c r="GS131" i="2" s="1"/>
  <c r="GR100" i="2"/>
  <c r="GS100" i="2" s="1"/>
  <c r="GR99" i="2"/>
  <c r="GS99" i="2" s="1"/>
  <c r="GR156" i="2"/>
  <c r="GS156" i="2" s="1"/>
  <c r="GR178" i="2"/>
  <c r="GS178" i="2" s="1"/>
  <c r="GR224" i="2"/>
  <c r="GS224" i="2" s="1"/>
  <c r="GR202" i="2"/>
  <c r="GS202" i="2" s="1"/>
  <c r="GR163" i="2"/>
  <c r="GS163" i="2" s="1"/>
  <c r="GR170" i="2"/>
  <c r="GS170" i="2" s="1"/>
  <c r="GR243" i="2"/>
  <c r="GS243" i="2" s="1"/>
  <c r="GR257" i="2"/>
  <c r="GS257" i="2" s="1"/>
  <c r="GR238" i="2"/>
  <c r="IF23" i="2"/>
  <c r="GR206" i="2"/>
  <c r="GS206" i="2" s="1"/>
  <c r="GR263" i="2"/>
  <c r="GS263" i="2" s="1"/>
  <c r="GR250" i="2"/>
  <c r="GS250" i="2" s="1"/>
  <c r="GR284" i="2"/>
  <c r="GS284" i="2" s="1"/>
  <c r="GR241" i="2"/>
  <c r="GS241" i="2" s="1"/>
  <c r="GR320" i="2"/>
  <c r="GS320" i="2" s="1"/>
  <c r="GR321" i="2"/>
  <c r="GS321" i="2" s="1"/>
  <c r="GR314" i="2"/>
  <c r="GS314" i="2" s="1"/>
  <c r="GR350" i="2"/>
  <c r="GS350" i="2" s="1"/>
  <c r="GR354" i="2"/>
  <c r="GS354" i="2" s="1"/>
  <c r="GR369" i="2"/>
  <c r="IF27" i="2"/>
  <c r="GR445" i="2"/>
  <c r="GS445" i="2" s="1"/>
  <c r="GR381" i="2"/>
  <c r="GS381" i="2" s="1"/>
  <c r="GR410" i="2"/>
  <c r="GS410" i="2" s="1"/>
  <c r="GR400" i="2"/>
  <c r="GS400" i="2" s="1"/>
  <c r="GR421" i="2"/>
  <c r="GS421" i="2" s="1"/>
  <c r="GR399" i="2"/>
  <c r="GS399" i="2" s="1"/>
  <c r="GR440" i="2"/>
  <c r="GS440" i="2" s="1"/>
  <c r="GR438" i="2"/>
  <c r="GS438" i="2" s="1"/>
  <c r="GR451" i="2"/>
  <c r="GS451" i="2" s="1"/>
  <c r="GR475" i="2"/>
  <c r="GS475" i="2" s="1"/>
  <c r="GR480" i="2"/>
  <c r="GS480" i="2" s="1"/>
  <c r="GR488" i="2"/>
  <c r="GS488" i="2" s="1"/>
  <c r="GR474" i="2"/>
  <c r="GS474" i="2" s="1"/>
  <c r="GR513" i="2"/>
  <c r="GS513" i="2" s="1"/>
  <c r="GR499" i="2"/>
  <c r="GS499" i="2" s="1"/>
  <c r="GR528" i="2"/>
  <c r="GS528" i="2" s="1"/>
  <c r="GR539" i="2"/>
  <c r="GS539" i="2" s="1"/>
  <c r="GR566" i="2"/>
  <c r="GS566" i="2" s="1"/>
  <c r="GR569" i="2"/>
  <c r="GS569" i="2" s="1"/>
  <c r="GR557" i="2"/>
  <c r="GS557" i="2" s="1"/>
  <c r="GR583" i="2"/>
  <c r="GS583" i="2" s="1"/>
  <c r="GR598" i="2"/>
  <c r="GS598" i="2" s="1"/>
  <c r="GR628" i="2"/>
  <c r="GS628" i="2" s="1"/>
  <c r="GR614" i="2"/>
  <c r="GS614" i="2" s="1"/>
  <c r="DN551" i="1"/>
  <c r="DS551" i="1"/>
  <c r="DT551" i="1" s="1"/>
  <c r="IS17" i="2"/>
  <c r="IS31" i="2"/>
  <c r="IG7" i="2"/>
  <c r="IG6" i="2"/>
  <c r="IG25" i="2"/>
  <c r="DT82" i="1"/>
  <c r="GP27" i="2"/>
  <c r="DS471" i="1"/>
  <c r="DT471" i="1" s="1"/>
  <c r="DS256" i="1"/>
  <c r="DT256" i="1" s="1"/>
  <c r="CM1" i="1"/>
  <c r="JE18" i="2"/>
  <c r="GQ22" i="2"/>
  <c r="HQ11" i="2"/>
  <c r="HQ44" i="2" s="1"/>
  <c r="IR11" i="2"/>
  <c r="DS395" i="1"/>
  <c r="DT395" i="1" s="1"/>
  <c r="CE1" i="1"/>
  <c r="AO1" i="1"/>
  <c r="DO20" i="1"/>
  <c r="GZ103" i="2"/>
  <c r="HA103" i="2" s="1"/>
  <c r="GZ164" i="2"/>
  <c r="HA164" i="2" s="1"/>
  <c r="GZ297" i="2"/>
  <c r="HA297" i="2" s="1"/>
  <c r="GZ334" i="2"/>
  <c r="HA334" i="2" s="1"/>
  <c r="GZ392" i="2"/>
  <c r="HA392" i="2" s="1"/>
  <c r="GZ413" i="2"/>
  <c r="HA413" i="2" s="1"/>
  <c r="GZ438" i="2"/>
  <c r="HA438" i="2" s="1"/>
  <c r="GZ464" i="2"/>
  <c r="HA464" i="2" s="1"/>
  <c r="GZ543" i="2"/>
  <c r="HA543" i="2" s="1"/>
  <c r="IT33" i="2"/>
  <c r="IH16" i="2"/>
  <c r="IH34" i="2"/>
  <c r="AB1" i="1"/>
  <c r="DW12" i="1"/>
  <c r="DX12" i="1" s="1"/>
  <c r="DS116" i="1"/>
  <c r="DT116" i="1" s="1"/>
  <c r="EN106" i="1"/>
  <c r="DS140" i="1"/>
  <c r="DT140" i="1" s="1"/>
  <c r="JE10" i="2"/>
  <c r="FI106" i="1"/>
  <c r="FE106" i="1"/>
  <c r="FF36" i="1" l="1"/>
  <c r="FO36" i="1"/>
  <c r="FO1" i="1" s="1"/>
  <c r="EK223" i="1"/>
  <c r="ES223" i="1"/>
  <c r="FD223" i="1"/>
  <c r="EL223" i="1" s="1"/>
  <c r="EO223" i="1"/>
  <c r="EJ223" i="1"/>
  <c r="EK266" i="1"/>
  <c r="FD266" i="1"/>
  <c r="EL266" i="1" s="1"/>
  <c r="FO222" i="1"/>
  <c r="FJ222" i="1"/>
  <c r="ES266" i="1"/>
  <c r="ID32" i="2"/>
  <c r="IB32" i="2"/>
  <c r="IA32" i="2" s="1"/>
  <c r="ET146" i="1"/>
  <c r="EU146" i="1"/>
  <c r="ET106" i="1"/>
  <c r="EU106" i="1"/>
  <c r="DT1" i="1"/>
  <c r="ET222" i="1"/>
  <c r="EU222" i="1"/>
  <c r="HW32" i="2"/>
  <c r="ID18" i="2"/>
  <c r="IB18" i="2"/>
  <c r="GY1" i="2"/>
  <c r="EY106" i="1"/>
  <c r="EX106" i="1"/>
  <c r="EW106" i="1" s="1"/>
  <c r="IB22" i="2"/>
  <c r="IA22" i="2" s="1"/>
  <c r="EQ106" i="1"/>
  <c r="EP106" i="1"/>
  <c r="HW24" i="2"/>
  <c r="HU24" i="2"/>
  <c r="IS13" i="2"/>
  <c r="GS30" i="2"/>
  <c r="HV13" i="2"/>
  <c r="HA506" i="2"/>
  <c r="IC32" i="2"/>
  <c r="HR5" i="2"/>
  <c r="IT28" i="2"/>
  <c r="IS30" i="2"/>
  <c r="GS620" i="2"/>
  <c r="HV34" i="2"/>
  <c r="JE24" i="2"/>
  <c r="IY28" i="2"/>
  <c r="HU45" i="2"/>
  <c r="HR36" i="2"/>
  <c r="GR453" i="2"/>
  <c r="GS453" i="2" s="1"/>
  <c r="GT1" i="2"/>
  <c r="HU10" i="2"/>
  <c r="HR10" i="2" s="1"/>
  <c r="HW10" i="2"/>
  <c r="HW21" i="2"/>
  <c r="HU21" i="2"/>
  <c r="HR21" i="2" s="1"/>
  <c r="EO224" i="1"/>
  <c r="EJ224" i="1"/>
  <c r="FD224" i="1"/>
  <c r="EL224" i="1" s="1"/>
  <c r="GR32" i="2"/>
  <c r="GS32" i="2" s="1"/>
  <c r="JD28" i="2"/>
  <c r="IM20" i="2"/>
  <c r="HT11" i="2"/>
  <c r="HS11" i="2"/>
  <c r="HN28" i="2"/>
  <c r="HW40" i="2"/>
  <c r="JB30" i="2"/>
  <c r="IQ18" i="2"/>
  <c r="II28" i="2"/>
  <c r="IZ30" i="2"/>
  <c r="EJ26" i="1"/>
  <c r="EP1" i="1"/>
  <c r="FD26" i="1"/>
  <c r="EO26" i="1"/>
  <c r="IL18" i="2"/>
  <c r="HS13" i="2"/>
  <c r="JF22" i="2"/>
  <c r="HQ42" i="2"/>
  <c r="ID22" i="2"/>
  <c r="HA34" i="2"/>
  <c r="IC14" i="2"/>
  <c r="IO13" i="2"/>
  <c r="GS42" i="2"/>
  <c r="HV15" i="2"/>
  <c r="HA48" i="2"/>
  <c r="IC16" i="2"/>
  <c r="HA371" i="2"/>
  <c r="HA53" i="2"/>
  <c r="IC18" i="2"/>
  <c r="FK106" i="1"/>
  <c r="FJ106" i="1" s="1"/>
  <c r="FL106" i="1"/>
  <c r="II11" i="2"/>
  <c r="HW14" i="2"/>
  <c r="HU14" i="2"/>
  <c r="HR14" i="2" s="1"/>
  <c r="IP30" i="2"/>
  <c r="ES37" i="1"/>
  <c r="EK37" i="1"/>
  <c r="FD37" i="1"/>
  <c r="EL37" i="1" s="1"/>
  <c r="IG24" i="2"/>
  <c r="IX28" i="2"/>
  <c r="HT32" i="2"/>
  <c r="IJ20" i="2"/>
  <c r="HW33" i="2"/>
  <c r="HU33" i="2"/>
  <c r="HR33" i="2" s="1"/>
  <c r="IP28" i="2"/>
  <c r="IK30" i="2"/>
  <c r="HQ43" i="2"/>
  <c r="HQ1" i="2"/>
  <c r="JF20" i="2"/>
  <c r="IM24" i="2"/>
  <c r="IQ32" i="2"/>
  <c r="HY50" i="2"/>
  <c r="HY51" i="2" s="1"/>
  <c r="IL32" i="2"/>
  <c r="JB28" i="2"/>
  <c r="IB26" i="2"/>
  <c r="IA26" i="2" s="1"/>
  <c r="ID26" i="2"/>
  <c r="ID41" i="2" s="1"/>
  <c r="IF28" i="2"/>
  <c r="EQ1" i="1"/>
  <c r="IR10" i="2"/>
  <c r="IW28" i="2"/>
  <c r="HT13" i="2"/>
  <c r="HW27" i="2"/>
  <c r="HW42" i="2" s="1"/>
  <c r="HU27" i="2"/>
  <c r="HR27" i="2" s="1"/>
  <c r="IS28" i="2"/>
  <c r="IB24" i="2"/>
  <c r="EJ270" i="1"/>
  <c r="EO270" i="1"/>
  <c r="FD270" i="1"/>
  <c r="EL270" i="1" s="1"/>
  <c r="GS357" i="2"/>
  <c r="HV26" i="2"/>
  <c r="FD279" i="1"/>
  <c r="EL279" i="1" s="1"/>
  <c r="EO279" i="1"/>
  <c r="EJ279" i="1"/>
  <c r="IP20" i="2"/>
  <c r="HW8" i="2"/>
  <c r="HU8" i="2"/>
  <c r="HR8" i="2" s="1"/>
  <c r="IF20" i="2"/>
  <c r="HN41" i="2"/>
  <c r="II32" i="2"/>
  <c r="GS5" i="2"/>
  <c r="HV5" i="2" s="1"/>
  <c r="IQ11" i="2"/>
  <c r="IL30" i="2"/>
  <c r="IB43" i="2"/>
  <c r="IA10" i="2"/>
  <c r="GR371" i="2"/>
  <c r="HS30" i="2"/>
  <c r="IU28" i="2"/>
  <c r="IK14" i="2"/>
  <c r="II14" i="2"/>
  <c r="HP41" i="2"/>
  <c r="IJ33" i="2"/>
  <c r="IJ24" i="2"/>
  <c r="IG12" i="2"/>
  <c r="IL24" i="2"/>
  <c r="HU32" i="2"/>
  <c r="HR32" i="2" s="1"/>
  <c r="GS369" i="2"/>
  <c r="HV27" i="2"/>
  <c r="HO11" i="2"/>
  <c r="GU1" i="2"/>
  <c r="HU6" i="2"/>
  <c r="HR6" i="2" s="1"/>
  <c r="HW6" i="2"/>
  <c r="HW43" i="2" s="1"/>
  <c r="HC1" i="2"/>
  <c r="IJ22" i="2"/>
  <c r="GS93" i="2"/>
  <c r="HV20" i="2"/>
  <c r="IJ28" i="2"/>
  <c r="JD24" i="2"/>
  <c r="JE28" i="2"/>
  <c r="II24" i="2"/>
  <c r="IV24" i="2"/>
  <c r="IO18" i="2"/>
  <c r="ID43" i="2"/>
  <c r="ID1" i="2"/>
  <c r="HT30" i="2"/>
  <c r="IJ14" i="2"/>
  <c r="IH33" i="2"/>
  <c r="IH24" i="2"/>
  <c r="ID20" i="2"/>
  <c r="IO20" i="2"/>
  <c r="ET44" i="1"/>
  <c r="EU44" i="1"/>
  <c r="EU1" i="1" s="1"/>
  <c r="GS149" i="2"/>
  <c r="HV22" i="2"/>
  <c r="GR22" i="2"/>
  <c r="GS22" i="2" s="1"/>
  <c r="GS630" i="2"/>
  <c r="HV37" i="2"/>
  <c r="GR485" i="2"/>
  <c r="GS485" i="2" s="1"/>
  <c r="GS34" i="2"/>
  <c r="HV14" i="2"/>
  <c r="IH11" i="2"/>
  <c r="IF30" i="2"/>
  <c r="IG30" i="2"/>
  <c r="EX94" i="1"/>
  <c r="EY94" i="1"/>
  <c r="IP22" i="2"/>
  <c r="GZ116" i="2"/>
  <c r="HA116" i="2" s="1"/>
  <c r="HY43" i="2"/>
  <c r="JA20" i="2"/>
  <c r="IQ22" i="2"/>
  <c r="IU24" i="2"/>
  <c r="HO30" i="2"/>
  <c r="IO32" i="2"/>
  <c r="HU18" i="2"/>
  <c r="JC24" i="2"/>
  <c r="GS20" i="2"/>
  <c r="HV11" i="2"/>
  <c r="HZ41" i="2"/>
  <c r="IS12" i="2"/>
  <c r="IY20" i="2"/>
  <c r="IJ11" i="2"/>
  <c r="IK11" i="2"/>
  <c r="JC32" i="2"/>
  <c r="IP33" i="2"/>
  <c r="IM14" i="2"/>
  <c r="IL10" i="2"/>
  <c r="IF33" i="2"/>
  <c r="JB24" i="2"/>
  <c r="GS238" i="2"/>
  <c r="HV23" i="2"/>
  <c r="GS52" i="2"/>
  <c r="HV18" i="2"/>
  <c r="IH13" i="2"/>
  <c r="GS466" i="2"/>
  <c r="HV29" i="2"/>
  <c r="HA153" i="2"/>
  <c r="IC22" i="2"/>
  <c r="HA483" i="2"/>
  <c r="IC30" i="2"/>
  <c r="IG28" i="2"/>
  <c r="GS483" i="2"/>
  <c r="HV30" i="2"/>
  <c r="EU143" i="1"/>
  <c r="ET143" i="1"/>
  <c r="IG18" i="2"/>
  <c r="GS501" i="2"/>
  <c r="HV31" i="2"/>
  <c r="IQ24" i="2"/>
  <c r="HY41" i="2"/>
  <c r="GQ361" i="2"/>
  <c r="JG20" i="2"/>
  <c r="GR514" i="2"/>
  <c r="GS514" i="2" s="1"/>
  <c r="HV12" i="2"/>
  <c r="GS27" i="2"/>
  <c r="IP18" i="2"/>
  <c r="IO30" i="2"/>
  <c r="HS26" i="2"/>
  <c r="IM33" i="2"/>
  <c r="JA22" i="2"/>
  <c r="IF24" i="2"/>
  <c r="IR14" i="2"/>
  <c r="JB22" i="2"/>
  <c r="IP13" i="2"/>
  <c r="JC30" i="2"/>
  <c r="IR20" i="2"/>
  <c r="IS24" i="2"/>
  <c r="GZ398" i="2"/>
  <c r="HA398" i="2" s="1"/>
  <c r="II33" i="2"/>
  <c r="ID33" i="2"/>
  <c r="ID42" i="2" s="1"/>
  <c r="IB33" i="2"/>
  <c r="HT21" i="2"/>
  <c r="IR24" i="2"/>
  <c r="IL14" i="2"/>
  <c r="IX26" i="2"/>
  <c r="IJ30" i="2"/>
  <c r="GS562" i="2"/>
  <c r="HR25" i="2"/>
  <c r="IY24" i="2"/>
  <c r="HU11" i="2"/>
  <c r="HW11" i="2"/>
  <c r="HU12" i="2"/>
  <c r="HR12" i="2" s="1"/>
  <c r="HW12" i="2"/>
  <c r="IN13" i="2"/>
  <c r="IC10" i="2"/>
  <c r="HA25" i="2"/>
  <c r="IH22" i="2"/>
  <c r="II10" i="2"/>
  <c r="HA357" i="2"/>
  <c r="IC26" i="2"/>
  <c r="FH106" i="1"/>
  <c r="FG106" i="1"/>
  <c r="IM11" i="2"/>
  <c r="IX20" i="2"/>
  <c r="IQ12" i="2"/>
  <c r="IQ28" i="2"/>
  <c r="GR543" i="2"/>
  <c r="GS543" i="2" s="1"/>
  <c r="IF12" i="2"/>
  <c r="HV16" i="2"/>
  <c r="GS48" i="2"/>
  <c r="IM18" i="2"/>
  <c r="IP24" i="2"/>
  <c r="IQ30" i="2"/>
  <c r="EO36" i="1"/>
  <c r="EJ36" i="1"/>
  <c r="FD36" i="1"/>
  <c r="EL36" i="1" s="1"/>
  <c r="HX22" i="2"/>
  <c r="HX1" i="2" s="1"/>
  <c r="IX24" i="2"/>
  <c r="IM32" i="2"/>
  <c r="IJ10" i="2"/>
  <c r="HO20" i="2"/>
  <c r="HO39" i="2" s="1"/>
  <c r="HO48" i="2" s="1"/>
  <c r="GR286" i="2"/>
  <c r="IS20" i="2"/>
  <c r="HV8" i="2"/>
  <c r="GS15" i="2"/>
  <c r="HW22" i="2"/>
  <c r="HU22" i="2"/>
  <c r="HR22" i="2" s="1"/>
  <c r="HQ41" i="2"/>
  <c r="HQ48" i="2" s="1"/>
  <c r="HQ50" i="2" s="1"/>
  <c r="IP32" i="2"/>
  <c r="IQ33" i="2"/>
  <c r="HU46" i="2"/>
  <c r="HR37" i="2"/>
  <c r="IF32" i="2"/>
  <c r="HS21" i="2"/>
  <c r="HW35" i="2"/>
  <c r="HU35" i="2"/>
  <c r="HR35" i="2" s="1"/>
  <c r="HB1" i="2"/>
  <c r="HQ40" i="2"/>
  <c r="HQ49" i="2" s="1"/>
  <c r="ID30" i="2"/>
  <c r="IK20" i="2"/>
  <c r="JG24" i="2"/>
  <c r="II13" i="2"/>
  <c r="IP10" i="2"/>
  <c r="GR31" i="2"/>
  <c r="GS31" i="2" s="1"/>
  <c r="IF10" i="2"/>
  <c r="IQ13" i="2"/>
  <c r="HS20" i="2"/>
  <c r="HT20" i="2"/>
  <c r="GQ93" i="2"/>
  <c r="GR333" i="2"/>
  <c r="GS333" i="2" s="1"/>
  <c r="HS8" i="2"/>
  <c r="HT8" i="2"/>
  <c r="IM22" i="2"/>
  <c r="HV9" i="2"/>
  <c r="GS17" i="2"/>
  <c r="IN22" i="2"/>
  <c r="IT24" i="2"/>
  <c r="IR28" i="2"/>
  <c r="IR33" i="2"/>
  <c r="II12" i="2"/>
  <c r="HT28" i="2"/>
  <c r="HS28" i="2"/>
  <c r="HT33" i="2"/>
  <c r="HT22" i="2"/>
  <c r="GS123" i="2"/>
  <c r="HV21" i="2"/>
  <c r="GS503" i="2"/>
  <c r="HV32" i="2"/>
  <c r="IJ12" i="2"/>
  <c r="IL20" i="2"/>
  <c r="GQ371" i="2"/>
  <c r="IH12" i="2"/>
  <c r="GS81" i="2"/>
  <c r="HV19" i="2"/>
  <c r="HX39" i="2"/>
  <c r="HX50" i="2" s="1"/>
  <c r="HX51" i="2" s="1"/>
  <c r="IX32" i="2"/>
  <c r="IO33" i="2"/>
  <c r="IK24" i="2"/>
  <c r="DX1" i="1"/>
  <c r="HT12" i="2"/>
  <c r="HS12" i="2"/>
  <c r="IF13" i="2"/>
  <c r="IK13" i="2"/>
  <c r="GS627" i="2"/>
  <c r="HV36" i="2"/>
  <c r="HV45" i="2" s="1"/>
  <c r="HV17" i="2"/>
  <c r="GS47" i="2"/>
  <c r="GS23" i="2"/>
  <c r="HV10" i="2"/>
  <c r="IZ28" i="2"/>
  <c r="IO10" i="2"/>
  <c r="GS624" i="2"/>
  <c r="HV35" i="2"/>
  <c r="IN30" i="2"/>
  <c r="IW24" i="2"/>
  <c r="IR30" i="2"/>
  <c r="IK10" i="2"/>
  <c r="JB32" i="2"/>
  <c r="HO43" i="2"/>
  <c r="HP39" i="2"/>
  <c r="HP48" i="2" s="1"/>
  <c r="HP50" i="2" s="1"/>
  <c r="HN22" i="2"/>
  <c r="HN39" i="2" s="1"/>
  <c r="HN48" i="2" s="1"/>
  <c r="HN50" i="2" s="1"/>
  <c r="JF24" i="2"/>
  <c r="II20" i="2"/>
  <c r="IP12" i="2"/>
  <c r="HS22" i="2"/>
  <c r="IO14" i="2"/>
  <c r="HZ39" i="2"/>
  <c r="HZ50" i="2" s="1"/>
  <c r="HZ1" i="2"/>
  <c r="II30" i="2"/>
  <c r="HW30" i="2"/>
  <c r="IO12" i="2"/>
  <c r="HV6" i="2"/>
  <c r="GS6" i="2"/>
  <c r="HV7" i="2"/>
  <c r="HO24" i="2"/>
  <c r="HO41" i="2" s="1"/>
  <c r="JE32" i="2"/>
  <c r="IP14" i="2"/>
  <c r="JE20" i="2"/>
  <c r="GR565" i="2"/>
  <c r="GS565" i="2" s="1"/>
  <c r="HA93" i="2"/>
  <c r="IC20" i="2"/>
  <c r="GS346" i="2"/>
  <c r="HV25" i="2"/>
  <c r="IG11" i="2"/>
  <c r="IZ24" i="2"/>
  <c r="IH28" i="2"/>
  <c r="IO11" i="2"/>
  <c r="HT24" i="2"/>
  <c r="HS24" i="2"/>
  <c r="GZ286" i="2"/>
  <c r="HW15" i="2"/>
  <c r="HU15" i="2"/>
  <c r="HR15" i="2" s="1"/>
  <c r="IM28" i="2"/>
  <c r="IH14" i="2"/>
  <c r="HR19" i="2"/>
  <c r="IM12" i="2"/>
  <c r="IY30" i="2"/>
  <c r="HA601" i="2"/>
  <c r="IC33" i="2"/>
  <c r="IC42" i="2" s="1"/>
  <c r="IR13" i="2"/>
  <c r="JA32" i="2"/>
  <c r="HU13" i="2"/>
  <c r="HR13" i="2" s="1"/>
  <c r="HW13" i="2"/>
  <c r="GR331" i="2"/>
  <c r="GS331" i="2" s="1"/>
  <c r="JA26" i="2"/>
  <c r="IN14" i="2"/>
  <c r="EO106" i="1" l="1"/>
  <c r="EJ106" i="1"/>
  <c r="FD106" i="1"/>
  <c r="EL106" i="1" s="1"/>
  <c r="EK222" i="1"/>
  <c r="ES222" i="1"/>
  <c r="FD222" i="1"/>
  <c r="EL222" i="1" s="1"/>
  <c r="GS371" i="2"/>
  <c r="HV28" i="2"/>
  <c r="HA286" i="2"/>
  <c r="IC24" i="2"/>
  <c r="IC41" i="2" s="1"/>
  <c r="HW28" i="2"/>
  <c r="HU28" i="2"/>
  <c r="HR28" i="2" s="1"/>
  <c r="GS286" i="2"/>
  <c r="HV24" i="2"/>
  <c r="FO106" i="1"/>
  <c r="FF106" i="1"/>
  <c r="FD143" i="1"/>
  <c r="EL143" i="1" s="1"/>
  <c r="ES143" i="1"/>
  <c r="EK143" i="1"/>
  <c r="HU39" i="2"/>
  <c r="HR18" i="2"/>
  <c r="IB1" i="2"/>
  <c r="IA1" i="2" s="1"/>
  <c r="IC28" i="2"/>
  <c r="HW20" i="2"/>
  <c r="HW39" i="2" s="1"/>
  <c r="HU20" i="2"/>
  <c r="HR20" i="2" s="1"/>
  <c r="HW44" i="2"/>
  <c r="HV39" i="2"/>
  <c r="IA43" i="2"/>
  <c r="HR11" i="2"/>
  <c r="HU44" i="2"/>
  <c r="HR44" i="2" s="1"/>
  <c r="EK106" i="1"/>
  <c r="ES106" i="1"/>
  <c r="ES44" i="1"/>
  <c r="EK44" i="1"/>
  <c r="FD44" i="1"/>
  <c r="EL44" i="1" s="1"/>
  <c r="ET1" i="1"/>
  <c r="ES1" i="1" s="1"/>
  <c r="HU40" i="2"/>
  <c r="HV43" i="2"/>
  <c r="IB39" i="2"/>
  <c r="IA18" i="2"/>
  <c r="HU43" i="2"/>
  <c r="IB42" i="2"/>
  <c r="IA42" i="2" s="1"/>
  <c r="IA33" i="2"/>
  <c r="IC1" i="2"/>
  <c r="HU42" i="2"/>
  <c r="HR42" i="2" s="1"/>
  <c r="HO44" i="2"/>
  <c r="HO49" i="2" s="1"/>
  <c r="HO50" i="2" s="1"/>
  <c r="HN1" i="2"/>
  <c r="HV1" i="2"/>
  <c r="ID39" i="2"/>
  <c r="ID50" i="2" s="1"/>
  <c r="ES146" i="1"/>
  <c r="EK146" i="1"/>
  <c r="FD146" i="1"/>
  <c r="EL146" i="1" s="1"/>
  <c r="HU26" i="2"/>
  <c r="HR26" i="2" s="1"/>
  <c r="HW26" i="2"/>
  <c r="HW49" i="2"/>
  <c r="GQ1" i="2"/>
  <c r="HV44" i="2"/>
  <c r="HV40" i="2"/>
  <c r="HV33" i="2"/>
  <c r="FD1" i="1"/>
  <c r="EL26" i="1"/>
  <c r="HU41" i="2"/>
  <c r="HR24" i="2"/>
  <c r="EW94" i="1"/>
  <c r="FD94" i="1"/>
  <c r="EL94" i="1" s="1"/>
  <c r="EJ94" i="1"/>
  <c r="IB41" i="2"/>
  <c r="IA24" i="2"/>
  <c r="HV42" i="2"/>
  <c r="IC43" i="2"/>
  <c r="IC39" i="2"/>
  <c r="EO1" i="1"/>
  <c r="HW41" i="2"/>
  <c r="EL1" i="1" l="1"/>
  <c r="HR41" i="2"/>
  <c r="HW48" i="2"/>
  <c r="HW50" i="2" s="1"/>
  <c r="IB50" i="2"/>
  <c r="IB52" i="2"/>
  <c r="IA39" i="2"/>
  <c r="HU1" i="2"/>
  <c r="HR1" i="2" s="1"/>
  <c r="HU48" i="2"/>
  <c r="HR39" i="2"/>
  <c r="HR43" i="2"/>
  <c r="HV41" i="2"/>
  <c r="HV48" i="2" s="1"/>
  <c r="HV50" i="2" s="1"/>
  <c r="HV49" i="2"/>
  <c r="IB53" i="2"/>
  <c r="IA41" i="2"/>
  <c r="HU49" i="2"/>
  <c r="HR49" i="2" s="1"/>
  <c r="HR40" i="2"/>
  <c r="HW1" i="2"/>
  <c r="HR48" i="2" l="1"/>
  <c r="HU50" i="2"/>
  <c r="IB55" i="2"/>
  <c r="IA50" i="2"/>
  <c r="IB54" i="2"/>
  <c r="HR50" i="2" l="1"/>
  <c r="HU55" i="2"/>
  <c r="HU52" i="2"/>
  <c r="HU53" i="2"/>
  <c r="HU54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5" authorId="0" shapeId="0" xr:uid="{00000000-0006-0000-0000-0000D3040000}">
      <text>
        <r>
          <rPr>
            <sz val="11"/>
            <color theme="1"/>
            <rFont val="Calibri"/>
            <family val="2"/>
            <scheme val="minor"/>
          </rPr>
          <t>======
ID#AAABDDKrPZo
Gavin Mudd    (2023-12-20 21:24:03)
previously a joint venture between European Nickel plc (40%), Rusina Mining (40%), Local Business (20%); current ownership unclear</t>
        </r>
      </text>
    </comment>
    <comment ref="DP5" authorId="0" shapeId="0" xr:uid="{00000000-0006-0000-0000-00007A000000}">
      <text>
        <r>
          <rPr>
            <sz val="11"/>
            <color theme="1"/>
            <rFont val="Calibri"/>
            <family val="2"/>
            <scheme val="minor"/>
          </rPr>
          <t>======
ID#AAABDDKrRl8
Gavin Mudd    (2023-12-20 21:24:04)
data from European Nickel plc (ENK)</t>
        </r>
      </text>
    </comment>
    <comment ref="AS6" authorId="0" shapeId="0" xr:uid="{00000000-0006-0000-0000-00001D040000}">
      <text>
        <r>
          <rPr>
            <sz val="11"/>
            <color theme="1"/>
            <rFont val="Calibri"/>
            <family val="2"/>
            <scheme val="minor"/>
          </rPr>
          <t>======
ID#AAABDDKrPwY
Gavin Mudd    (2023-12-20 21:24:03)
g/t Ru</t>
        </r>
      </text>
    </comment>
    <comment ref="AT6" authorId="0" shapeId="0" xr:uid="{00000000-0006-0000-0000-0000B2040000}">
      <text>
        <r>
          <rPr>
            <sz val="11"/>
            <color theme="1"/>
            <rFont val="Calibri"/>
            <family val="2"/>
            <scheme val="minor"/>
          </rPr>
          <t>======
ID#AAABDDKrPds
Gavin Mudd    (2023-12-20 21:24:03)
g/t Ir</t>
        </r>
      </text>
    </comment>
    <comment ref="BN6" authorId="0" shapeId="0" xr:uid="{00000000-0006-0000-0000-00003E020000}">
      <text>
        <r>
          <rPr>
            <sz val="11"/>
            <color theme="1"/>
            <rFont val="Calibri"/>
            <family val="2"/>
            <scheme val="minor"/>
          </rPr>
          <t>======
ID#AAABDDKrQtU
Gavin Mudd    (2023-12-20 21:24:04)
g/t Ru</t>
        </r>
      </text>
    </comment>
    <comment ref="BO6" authorId="0" shapeId="0" xr:uid="{00000000-0006-0000-0000-000019060000}">
      <text>
        <r>
          <rPr>
            <sz val="11"/>
            <color theme="1"/>
            <rFont val="Calibri"/>
            <family val="2"/>
            <scheme val="minor"/>
          </rPr>
          <t>======
ID#AAABCyJQh4k
Gavin Mudd    (2023-12-20 21:24:02)
g/t Ir</t>
        </r>
      </text>
    </comment>
    <comment ref="X7" authorId="0" shapeId="0" xr:uid="{00000000-0006-0000-0000-0000D7020000}">
      <text>
        <r>
          <rPr>
            <sz val="11"/>
            <color theme="1"/>
            <rFont val="Calibri"/>
            <family val="2"/>
            <scheme val="minor"/>
          </rPr>
          <t>======
ID#AAABDDKrQbk
Gavin Mudd    (2023-12-20 21:24:03)
g/t Ru</t>
        </r>
      </text>
    </comment>
    <comment ref="Y7" authorId="0" shapeId="0" xr:uid="{00000000-0006-0000-0000-000085000000}">
      <text>
        <r>
          <rPr>
            <sz val="11"/>
            <color theme="1"/>
            <rFont val="Calibri"/>
            <family val="2"/>
            <scheme val="minor"/>
          </rPr>
          <t>======
ID#AAABDDKrRk0
Gavin Mudd    (2023-12-20 21:24:04)
g/t Ir</t>
        </r>
      </text>
    </comment>
    <comment ref="BA8" authorId="0" shapeId="0" xr:uid="{00000000-0006-0000-0000-0000BB040000}">
      <text>
        <r>
          <rPr>
            <sz val="11"/>
            <color theme="1"/>
            <rFont val="Calibri"/>
            <family val="2"/>
            <scheme val="minor"/>
          </rPr>
          <t>======
ID#AAABDDKrPcc
Gavin Mudd    (2023-12-20 21:24:03)
historic resources (non-compliant with NI43-101) - hence all data allocated as inferred resources only</t>
        </r>
      </text>
    </comment>
    <comment ref="BI8" authorId="0" shapeId="0" xr:uid="{00000000-0006-0000-0000-0000B3050000}">
      <text>
        <r>
          <rPr>
            <sz val="11"/>
            <color theme="1"/>
            <rFont val="Calibri"/>
            <family val="2"/>
            <scheme val="minor"/>
          </rPr>
          <t>======
ID#AAABDDKrO8g
Gavin Mudd    (2023-12-20 21:24:03)
historic resources (non-compliant with NI43-101) - hence all data allocated as inferred resources only</t>
        </r>
      </text>
    </comment>
    <comment ref="C9" authorId="0" shapeId="0" xr:uid="{00000000-0006-0000-0000-0000E8030000}">
      <text>
        <r>
          <rPr>
            <sz val="11"/>
            <color theme="1"/>
            <rFont val="Calibri"/>
            <family val="2"/>
            <scheme val="minor"/>
          </rPr>
          <t>======
ID#AAABDDKrP3U
Gavin Mudd    (2023-12-20 21:24:03)
Bolobolo, Karihatag, Agat South, Agata North</t>
        </r>
      </text>
    </comment>
    <comment ref="BA10" authorId="0" shapeId="0" xr:uid="{00000000-0006-0000-0000-00000C050000}">
      <text>
        <r>
          <rPr>
            <sz val="11"/>
            <color theme="1"/>
            <rFont val="Calibri"/>
            <family val="2"/>
            <scheme val="minor"/>
          </rPr>
          <t>======
ID#AAABDDKrPRk
Gavin Mudd    (2023-12-20 21:24:03)
historic resources (non-compliant with NI43-101) - hence all data allocated as inferred resources only; adjusted for 13 years mining @ ~0.7 Mt ore/yr since 2005</t>
        </r>
      </text>
    </comment>
    <comment ref="BI10" authorId="0" shapeId="0" xr:uid="{00000000-0006-0000-0000-0000F7000000}">
      <text>
        <r>
          <rPr>
            <sz val="11"/>
            <color theme="1"/>
            <rFont val="Calibri"/>
            <family val="2"/>
            <scheme val="minor"/>
          </rPr>
          <t>======
ID#AAABDDKrRWo
Gavin Mudd    (2023-12-20 21:24:04)
historic resources (non-compliant with NI43-101) - hence all data allocated as inferred resources only</t>
        </r>
      </text>
    </comment>
    <comment ref="BA11" authorId="0" shapeId="0" xr:uid="{00000000-0006-0000-0000-00008F060000}">
      <text>
        <r>
          <rPr>
            <sz val="11"/>
            <color theme="1"/>
            <rFont val="Calibri"/>
            <family val="2"/>
            <scheme val="minor"/>
          </rPr>
          <t>======
ID#AAABCxlEys0
Gavin Mudd    (2023-12-20 21:24:01)
historic resources, assumed as inferred</t>
        </r>
      </text>
    </comment>
    <comment ref="BI11" authorId="0" shapeId="0" xr:uid="{00000000-0006-0000-0000-0000E5020000}">
      <text>
        <r>
          <rPr>
            <sz val="11"/>
            <color theme="1"/>
            <rFont val="Calibri"/>
            <family val="2"/>
            <scheme val="minor"/>
          </rPr>
          <t>======
ID#AAABDDKrQZ0
Gavin Mudd    (2023-12-20 21:24:03)
historic resources, assumed as inferred</t>
        </r>
      </text>
    </comment>
    <comment ref="M12" authorId="0" shapeId="0" xr:uid="{00000000-0006-0000-0000-0000A1010000}">
      <text>
        <r>
          <rPr>
            <sz val="11"/>
            <color theme="1"/>
            <rFont val="Calibri"/>
            <family val="2"/>
            <scheme val="minor"/>
          </rPr>
          <t>======
ID#AAABDDKrRAI
Author    (2023-12-20 21:24:04)
from Lips (2006)</t>
        </r>
      </text>
    </comment>
    <comment ref="T12" authorId="0" shapeId="0" xr:uid="{00000000-0006-0000-0000-00008C010000}">
      <text>
        <r>
          <rPr>
            <sz val="11"/>
            <color theme="1"/>
            <rFont val="Calibri"/>
            <family val="2"/>
            <scheme val="minor"/>
          </rPr>
          <t>======
ID#AAABDDKrRCo
Author    (2023-12-20 21:24:04)
from Lips (2006)</t>
        </r>
      </text>
    </comment>
    <comment ref="U12" authorId="0" shapeId="0" xr:uid="{00000000-0006-0000-0000-00001E060000}">
      <text>
        <r>
          <rPr>
            <sz val="11"/>
            <color theme="1"/>
            <rFont val="Calibri"/>
            <family val="2"/>
            <scheme val="minor"/>
          </rPr>
          <t>======
ID#AAABCyJQh3s
Author    (2023-12-20 21:24:02)
from Lips (2006)</t>
        </r>
      </text>
    </comment>
    <comment ref="V12" authorId="0" shapeId="0" xr:uid="{00000000-0006-0000-0000-000084030000}">
      <text>
        <r>
          <rPr>
            <sz val="11"/>
            <color theme="1"/>
            <rFont val="Calibri"/>
            <family val="2"/>
            <scheme val="minor"/>
          </rPr>
          <t>======
ID#AAABDDKrQE0
Author    (2023-12-20 21:24:03)
from Lips (2006)</t>
        </r>
      </text>
    </comment>
    <comment ref="W12" authorId="0" shapeId="0" xr:uid="{00000000-0006-0000-0000-0000FD050000}">
      <text>
        <r>
          <rPr>
            <sz val="11"/>
            <color theme="1"/>
            <rFont val="Calibri"/>
            <family val="2"/>
            <scheme val="minor"/>
          </rPr>
          <t>======
ID#AAABCyJQh7k
Author    (2023-12-20 21:24:02)
from Lips (2006)</t>
        </r>
      </text>
    </comment>
    <comment ref="AH12" authorId="0" shapeId="0" xr:uid="{00000000-0006-0000-0000-000004000000}">
      <text>
        <r>
          <rPr>
            <sz val="11"/>
            <color theme="1"/>
            <rFont val="Calibri"/>
            <family val="2"/>
            <scheme val="minor"/>
          </rPr>
          <t>======
ID#AAABDDKrR1g
Author    (2023-12-20 21:24:04)
from Lips (2006)</t>
        </r>
      </text>
    </comment>
    <comment ref="AO12" authorId="0" shapeId="0" xr:uid="{00000000-0006-0000-0000-000069020000}">
      <text>
        <r>
          <rPr>
            <sz val="11"/>
            <color theme="1"/>
            <rFont val="Calibri"/>
            <family val="2"/>
            <scheme val="minor"/>
          </rPr>
          <t>======
ID#AAABDDKrQoI
Author    (2023-12-20 21:24:04)
from Lips (2006)</t>
        </r>
      </text>
    </comment>
    <comment ref="AP12" authorId="0" shapeId="0" xr:uid="{00000000-0006-0000-0000-000046010000}">
      <text>
        <r>
          <rPr>
            <sz val="11"/>
            <color theme="1"/>
            <rFont val="Calibri"/>
            <family val="2"/>
            <scheme val="minor"/>
          </rPr>
          <t>======
ID#AAABDDKrRME
Author    (2023-12-20 21:24:04)
from Lips (2006)</t>
        </r>
      </text>
    </comment>
    <comment ref="AQ12" authorId="0" shapeId="0" xr:uid="{00000000-0006-0000-0000-000042020000}">
      <text>
        <r>
          <rPr>
            <sz val="11"/>
            <color theme="1"/>
            <rFont val="Calibri"/>
            <family val="2"/>
            <scheme val="minor"/>
          </rPr>
          <t>======
ID#AAABDDKrQs0
Author    (2023-12-20 21:24:04)
from Lips (2006)</t>
        </r>
      </text>
    </comment>
    <comment ref="AR12" authorId="0" shapeId="0" xr:uid="{00000000-0006-0000-0000-0000AC020000}">
      <text>
        <r>
          <rPr>
            <sz val="11"/>
            <color theme="1"/>
            <rFont val="Calibri"/>
            <family val="2"/>
            <scheme val="minor"/>
          </rPr>
          <t>======
ID#AAABDDKrQgY
Author    (2023-12-20 21:24:03)
from Lips (2006)</t>
        </r>
      </text>
    </comment>
    <comment ref="BC12" authorId="0" shapeId="0" xr:uid="{00000000-0006-0000-0000-00005B060000}">
      <text>
        <r>
          <rPr>
            <sz val="11"/>
            <color theme="1"/>
            <rFont val="Calibri"/>
            <family val="2"/>
            <scheme val="minor"/>
          </rPr>
          <t>======
ID#AAABCyJQhxI
Author    (2023-12-20 21:24:02)
from Lips (2006)</t>
        </r>
      </text>
    </comment>
    <comment ref="BJ12" authorId="0" shapeId="0" xr:uid="{00000000-0006-0000-0000-000085040000}">
      <text>
        <r>
          <rPr>
            <sz val="11"/>
            <color theme="1"/>
            <rFont val="Calibri"/>
            <family val="2"/>
            <scheme val="minor"/>
          </rPr>
          <t>======
ID#AAABDDKrPkY
Author    (2023-12-20 21:24:03)
from Lips (2006)</t>
        </r>
      </text>
    </comment>
    <comment ref="BK12" authorId="0" shapeId="0" xr:uid="{00000000-0006-0000-0000-000036010000}">
      <text>
        <r>
          <rPr>
            <sz val="11"/>
            <color theme="1"/>
            <rFont val="Calibri"/>
            <family val="2"/>
            <scheme val="minor"/>
          </rPr>
          <t>======
ID#AAABDDKrROo
Author    (2023-12-20 21:24:04)
from Lips (2006)</t>
        </r>
      </text>
    </comment>
    <comment ref="BL12" authorId="0" shapeId="0" xr:uid="{00000000-0006-0000-0000-000075060000}">
      <text>
        <r>
          <rPr>
            <sz val="11"/>
            <color theme="1"/>
            <rFont val="Calibri"/>
            <family val="2"/>
            <scheme val="minor"/>
          </rPr>
          <t>======
ID#AAABCyJQhuY
Author    (2023-12-20 21:24:01)
from Lips (2006)</t>
        </r>
      </text>
    </comment>
    <comment ref="BM12" authorId="0" shapeId="0" xr:uid="{00000000-0006-0000-0000-000024010000}">
      <text>
        <r>
          <rPr>
            <sz val="11"/>
            <color theme="1"/>
            <rFont val="Calibri"/>
            <family val="2"/>
            <scheme val="minor"/>
          </rPr>
          <t>======
ID#AAABDDKrRRk
Author    (2023-12-20 21:24:04)
from Lips (2006)</t>
        </r>
      </text>
    </comment>
    <comment ref="BX12" authorId="0" shapeId="0" xr:uid="{00000000-0006-0000-0000-000030030000}">
      <text>
        <r>
          <rPr>
            <sz val="11"/>
            <color theme="1"/>
            <rFont val="Calibri"/>
            <family val="2"/>
            <scheme val="minor"/>
          </rPr>
          <t>======
ID#AAABDDKrQRY
Author    (2023-12-20 21:24:03)
from Lips (2006)</t>
        </r>
      </text>
    </comment>
    <comment ref="CE12" authorId="0" shapeId="0" xr:uid="{00000000-0006-0000-0000-000066000000}">
      <text>
        <r>
          <rPr>
            <sz val="11"/>
            <color theme="1"/>
            <rFont val="Calibri"/>
            <family val="2"/>
            <scheme val="minor"/>
          </rPr>
          <t>======
ID#AAABDDKrRoE
Author    (2023-12-20 21:24:04)
from Lips (2006)</t>
        </r>
      </text>
    </comment>
    <comment ref="CF12" authorId="0" shapeId="0" xr:uid="{00000000-0006-0000-0000-000040020000}">
      <text>
        <r>
          <rPr>
            <sz val="11"/>
            <color theme="1"/>
            <rFont val="Calibri"/>
            <family val="2"/>
            <scheme val="minor"/>
          </rPr>
          <t>======
ID#AAABDDKrQtM
Author    (2023-12-20 21:24:04)
from Lips (2006)</t>
        </r>
      </text>
    </comment>
    <comment ref="CG12" authorId="0" shapeId="0" xr:uid="{00000000-0006-0000-0000-0000BC020000}">
      <text>
        <r>
          <rPr>
            <sz val="11"/>
            <color theme="1"/>
            <rFont val="Calibri"/>
            <family val="2"/>
            <scheme val="minor"/>
          </rPr>
          <t>======
ID#AAABDDKrQec
Author    (2023-12-20 21:24:03)
from Lips (2006)</t>
        </r>
      </text>
    </comment>
    <comment ref="CH12" authorId="0" shapeId="0" xr:uid="{00000000-0006-0000-0000-000080050000}">
      <text>
        <r>
          <rPr>
            <sz val="11"/>
            <color theme="1"/>
            <rFont val="Calibri"/>
            <family val="2"/>
            <scheme val="minor"/>
          </rPr>
          <t>======
ID#AAABDDKrPC0
Author    (2023-12-20 21:24:03)
from Lips (2006)</t>
        </r>
      </text>
    </comment>
    <comment ref="CS12" authorId="0" shapeId="0" xr:uid="{00000000-0006-0000-0000-000009040000}">
      <text>
        <r>
          <rPr>
            <sz val="11"/>
            <color theme="1"/>
            <rFont val="Calibri"/>
            <family val="2"/>
            <scheme val="minor"/>
          </rPr>
          <t>======
ID#AAABDDKrPzI
Author    (2023-12-20 21:24:03)
from Lips (2006)</t>
        </r>
      </text>
    </comment>
    <comment ref="CZ12" authorId="0" shapeId="0" xr:uid="{00000000-0006-0000-0000-0000FD020000}">
      <text>
        <r>
          <rPr>
            <sz val="11"/>
            <color theme="1"/>
            <rFont val="Calibri"/>
            <family val="2"/>
            <scheme val="minor"/>
          </rPr>
          <t>======
ID#AAABDDKrQWw
Author    (2023-12-20 21:24:03)
from Lips (2006)</t>
        </r>
      </text>
    </comment>
    <comment ref="DA12" authorId="0" shapeId="0" xr:uid="{00000000-0006-0000-0000-00002F020000}">
      <text>
        <r>
          <rPr>
            <sz val="11"/>
            <color theme="1"/>
            <rFont val="Calibri"/>
            <family val="2"/>
            <scheme val="minor"/>
          </rPr>
          <t>======
ID#AAABDDKrQvE
Author    (2023-12-20 21:24:04)
from Lips (2006)</t>
        </r>
      </text>
    </comment>
    <comment ref="DB12" authorId="0" shapeId="0" xr:uid="{00000000-0006-0000-0000-000070010000}">
      <text>
        <r>
          <rPr>
            <sz val="11"/>
            <color theme="1"/>
            <rFont val="Calibri"/>
            <family val="2"/>
            <scheme val="minor"/>
          </rPr>
          <t>======
ID#AAABDDKrRG8
Author    (2023-12-20 21:24:04)
from Lips (2006)</t>
        </r>
      </text>
    </comment>
    <comment ref="DC12" authorId="0" shapeId="0" xr:uid="{00000000-0006-0000-0000-000002060000}">
      <text>
        <r>
          <rPr>
            <sz val="11"/>
            <color theme="1"/>
            <rFont val="Calibri"/>
            <family val="2"/>
            <scheme val="minor"/>
          </rPr>
          <t>======
ID#AAABCyJQh60
Author    (2023-12-20 21:24:02)
from Lips (2006)</t>
        </r>
      </text>
    </comment>
    <comment ref="BA13" authorId="0" shapeId="0" xr:uid="{00000000-0006-0000-0000-000070020000}">
      <text>
        <r>
          <rPr>
            <sz val="11"/>
            <color theme="1"/>
            <rFont val="Calibri"/>
            <family val="2"/>
            <scheme val="minor"/>
          </rPr>
          <t>======
ID#AAABDDKrQnY
Gavin Mudd    (2023-12-20 21:24:04)
historic resources (non-compliant with NI43-101) - hence all data allocated as inferred resources only</t>
        </r>
      </text>
    </comment>
    <comment ref="BB13" authorId="0" shapeId="0" xr:uid="{00000000-0006-0000-0000-000097000000}">
      <text>
        <r>
          <rPr>
            <sz val="11"/>
            <color theme="1"/>
            <rFont val="Calibri"/>
            <family val="2"/>
            <scheme val="minor"/>
          </rPr>
          <t>======
ID#AAABDDKrRjQ
Gavin Mudd    (2023-12-20 21:24:04)
historic resources (non-compliant with NI43-101) - hence all data allocated as inferred resources only</t>
        </r>
      </text>
    </comment>
    <comment ref="BI13" authorId="0" shapeId="0" xr:uid="{00000000-0006-0000-0000-00009E000000}">
      <text>
        <r>
          <rPr>
            <sz val="11"/>
            <color theme="1"/>
            <rFont val="Calibri"/>
            <family val="2"/>
            <scheme val="minor"/>
          </rPr>
          <t>======
ID#AAABDDKrRiQ
Gavin Mudd    (2023-12-20 21:24:04)
historic resources (non-compliant with NI43-101) - hence all data allocated as inferred resources only</t>
        </r>
      </text>
    </comment>
    <comment ref="H14" authorId="0" shapeId="0" xr:uid="{00000000-0006-0000-0000-0000F0040000}">
      <text>
        <r>
          <rPr>
            <sz val="11"/>
            <color theme="1"/>
            <rFont val="Calibri"/>
            <family val="2"/>
            <scheme val="minor"/>
          </rPr>
          <t>======
ID#AAABDDKrPWY
Gavin Mudd    (2023-12-20 21:24:03)
now part of Sibanye-Stillwater</t>
        </r>
      </text>
    </comment>
    <comment ref="BA15" authorId="0" shapeId="0" xr:uid="{00000000-0006-0000-0000-000030040000}">
      <text>
        <r>
          <rPr>
            <sz val="11"/>
            <color theme="1"/>
            <rFont val="Calibri"/>
            <family val="2"/>
            <scheme val="minor"/>
          </rPr>
          <t>======
ID#AAABDDKrPuY
Gavin Mudd    (2023-12-20 21:24:03)
historic resources (non-compliant with NI43-101) - hence all data allocated as inferred resources only</t>
        </r>
      </text>
    </comment>
    <comment ref="BB15" authorId="0" shapeId="0" xr:uid="{00000000-0006-0000-0000-00003C040000}">
      <text>
        <r>
          <rPr>
            <sz val="11"/>
            <color theme="1"/>
            <rFont val="Calibri"/>
            <family val="2"/>
            <scheme val="minor"/>
          </rPr>
          <t>======
ID#AAABDDKrPss
Gavin Mudd    (2023-12-20 21:24:03)
historic resources (non-compliant with NI43-101) - hence all data allocated as inferred resources only</t>
        </r>
      </text>
    </comment>
    <comment ref="BI15" authorId="0" shapeId="0" xr:uid="{00000000-0006-0000-0000-0000A9000000}">
      <text>
        <r>
          <rPr>
            <sz val="11"/>
            <color theme="1"/>
            <rFont val="Calibri"/>
            <family val="2"/>
            <scheme val="minor"/>
          </rPr>
          <t>======
ID#AAABDDKrRgA
Gavin Mudd    (2023-12-20 21:24:04)
historic resources (non-compliant with NI43-101) - hence all data allocated as inferred resources only</t>
        </r>
      </text>
    </comment>
    <comment ref="H16" authorId="0" shapeId="0" xr:uid="{00000000-0006-0000-0000-000027050000}">
      <text>
        <r>
          <rPr>
            <sz val="11"/>
            <color theme="1"/>
            <rFont val="Calibri"/>
            <family val="2"/>
            <scheme val="minor"/>
          </rPr>
          <t>======
ID#AAABDDKrPOs
Gavin Mudd    (2023-12-20 21:24:03)
previously held by Canadian Arrow Mines (which went bankrupt and was transformed into Tartisan Nickel); Tartisan Nickel sold the project to VaniCom Resources Ltd in early 2019 - which is now Class 1 Nickel Ltd</t>
        </r>
      </text>
    </comment>
    <comment ref="DP16" authorId="0" shapeId="0" xr:uid="{00000000-0006-0000-0000-0000BD010000}">
      <text>
        <r>
          <rPr>
            <sz val="11"/>
            <color theme="1"/>
            <rFont val="Calibri"/>
            <family val="2"/>
            <scheme val="minor"/>
          </rPr>
          <t>======
ID#AAABDDKrQ8w
Gavin Mudd    (2023-12-20 21:24:04)
data from First Nickel</t>
        </r>
      </text>
    </comment>
    <comment ref="H17" authorId="0" shapeId="0" xr:uid="{00000000-0006-0000-0000-00001A030000}">
      <text>
        <r>
          <rPr>
            <sz val="11"/>
            <color theme="1"/>
            <rFont val="Calibri"/>
            <family val="2"/>
            <scheme val="minor"/>
          </rPr>
          <t>======
ID#AAABDDKrQT0
Gavin Mudd    (2023-12-20 21:24:03)
previously held by Mbmi Resources, but later sold to DMCI after legal battles</t>
        </r>
      </text>
    </comment>
    <comment ref="DP17" authorId="0" shapeId="0" xr:uid="{00000000-0006-0000-0000-000028050000}">
      <text>
        <r>
          <rPr>
            <sz val="11"/>
            <color theme="1"/>
            <rFont val="Calibri"/>
            <family val="2"/>
            <scheme val="minor"/>
          </rPr>
          <t>======
ID#AAABDDKrPOg
Gavin Mudd    (2023-12-20 21:24:03)
Mbmi Resources</t>
        </r>
      </text>
    </comment>
    <comment ref="K20" authorId="0" shapeId="0" xr:uid="{00000000-0006-0000-0000-000051050000}">
      <text>
        <r>
          <rPr>
            <sz val="11"/>
            <color theme="1"/>
            <rFont val="Calibri"/>
            <family val="2"/>
            <scheme val="minor"/>
          </rPr>
          <t>======
ID#AAABDDKrPJ4
Gavin Mudd    (2023-12-20 21:24:03)
proved reserves added to exclsuive measured resources</t>
        </r>
      </text>
    </comment>
    <comment ref="S20" authorId="0" shapeId="0" xr:uid="{00000000-0006-0000-0000-00007E000000}">
      <text>
        <r>
          <rPr>
            <sz val="11"/>
            <color theme="1"/>
            <rFont val="Calibri"/>
            <family val="2"/>
            <scheme val="minor"/>
          </rPr>
          <t>======
ID#AAABDDKrRlk
Gavin Mudd    (2023-12-20 21:24:04)
proved reserves added to exclsuive measured resources</t>
        </r>
      </text>
    </comment>
    <comment ref="T20" authorId="0" shapeId="0" xr:uid="{00000000-0006-0000-0000-000094000000}">
      <text>
        <r>
          <rPr>
            <sz val="11"/>
            <color theme="1"/>
            <rFont val="Calibri"/>
            <family val="2"/>
            <scheme val="minor"/>
          </rPr>
          <t>======
ID#AAABDDKrRj0
Gavin Mudd    (2023-12-20 21:24:04)
proved reserves added to exclsuive measured resources</t>
        </r>
      </text>
    </comment>
    <comment ref="AF20" authorId="0" shapeId="0" xr:uid="{00000000-0006-0000-0000-000079030000}">
      <text>
        <r>
          <rPr>
            <sz val="11"/>
            <color theme="1"/>
            <rFont val="Calibri"/>
            <family val="2"/>
            <scheme val="minor"/>
          </rPr>
          <t>======
ID#AAABDDKrQHI
Gavin Mudd    (2023-12-20 21:24:03)
probable reserves added to exlusive indicated resources</t>
        </r>
      </text>
    </comment>
    <comment ref="AN20" authorId="0" shapeId="0" xr:uid="{00000000-0006-0000-0000-000077030000}">
      <text>
        <r>
          <rPr>
            <sz val="11"/>
            <color theme="1"/>
            <rFont val="Calibri"/>
            <family val="2"/>
            <scheme val="minor"/>
          </rPr>
          <t>======
ID#AAABDDKrQHo
Gavin Mudd    (2023-12-20 21:24:03)
probable reserves added to exlusive indicated resources</t>
        </r>
      </text>
    </comment>
    <comment ref="AO20" authorId="0" shapeId="0" xr:uid="{00000000-0006-0000-0000-00008A000000}">
      <text>
        <r>
          <rPr>
            <sz val="11"/>
            <color theme="1"/>
            <rFont val="Calibri"/>
            <family val="2"/>
            <scheme val="minor"/>
          </rPr>
          <t>======
ID#AAABDDKrRkg
Gavin Mudd    (2023-12-20 21:24:04)
probable reserves added to exlusive indicated resources</t>
        </r>
      </text>
    </comment>
    <comment ref="DP20" authorId="0" shapeId="0" xr:uid="{00000000-0006-0000-0000-0000FA020000}">
      <text>
        <r>
          <rPr>
            <sz val="11"/>
            <color theme="1"/>
            <rFont val="Calibri"/>
            <family val="2"/>
            <scheme val="minor"/>
          </rPr>
          <t>======
ID#AAABDDKrQXE
Gavin Mudd    (2023-12-20 21:24:03)
data from Sherritt</t>
        </r>
      </text>
    </comment>
    <comment ref="H21" authorId="0" shapeId="0" xr:uid="{00000000-0006-0000-0000-0000CB010000}">
      <text>
        <r>
          <rPr>
            <sz val="11"/>
            <color theme="1"/>
            <rFont val="Calibri"/>
            <family val="2"/>
            <scheme val="minor"/>
          </rPr>
          <t>======
ID#AAABDDKrQ7A
Gavin Mudd    (2023-12-20 21:24:04)
exact ownership not certain ...</t>
        </r>
      </text>
    </comment>
    <comment ref="C22" authorId="0" shapeId="0" xr:uid="{00000000-0006-0000-0000-0000C8000000}">
      <text>
        <r>
          <rPr>
            <sz val="11"/>
            <color theme="1"/>
            <rFont val="Calibri"/>
            <family val="2"/>
            <scheme val="minor"/>
          </rPr>
          <t>======
ID#AAABDDKrRcc
Gavin Mudd    (2023-12-20 21:24:04)
includes South: Pequizeiro, Baião, Pequizeiro West, Jacutinga, Vila Oito East, Vila Oito West, Vila Oito; North: Vale do Sonhos</t>
        </r>
      </text>
    </comment>
    <comment ref="C23" authorId="0" shapeId="0" xr:uid="{00000000-0006-0000-0000-0000C5000000}">
      <text>
        <r>
          <rPr>
            <sz val="11"/>
            <color theme="1"/>
            <rFont val="Calibri"/>
            <family val="2"/>
            <scheme val="minor"/>
          </rPr>
          <t>======
ID#AAABDDKrRdA
Author    (2023-12-20 21:24:04)
includes Kilvenjärvi, Ahmavaara, Suhanko
North, Siika-Kämä, Konttijärvi</t>
        </r>
      </text>
    </comment>
    <comment ref="H23" authorId="0" shapeId="0" xr:uid="{00000000-0006-0000-0000-000052010000}">
      <text>
        <r>
          <rPr>
            <sz val="11"/>
            <color theme="1"/>
            <rFont val="Calibri"/>
            <family val="2"/>
            <scheme val="minor"/>
          </rPr>
          <t>======
ID#AAABDDKrRKw
Gavin Mudd    (2023-12-20 21:24:04)
previously held by Gold Fields Ltd</t>
        </r>
      </text>
    </comment>
    <comment ref="K23" authorId="0" shapeId="0" xr:uid="{00000000-0006-0000-0000-000078060000}">
      <text>
        <r>
          <rPr>
            <sz val="11"/>
            <color theme="1"/>
            <rFont val="Calibri"/>
            <family val="2"/>
            <scheme val="minor"/>
          </rPr>
          <t>======
ID#AAABCyJQhuE
Gavin Mudd    (2023-12-20 21:24:01)
2016 Gold Fields data</t>
        </r>
      </text>
    </comment>
    <comment ref="L23" authorId="0" shapeId="0" xr:uid="{00000000-0006-0000-0000-0000F8030000}">
      <text>
        <r>
          <rPr>
            <sz val="11"/>
            <color theme="1"/>
            <rFont val="Calibri"/>
            <family val="2"/>
            <scheme val="minor"/>
          </rPr>
          <t>======
ID#AAABDDKrP1U
Gavin Mudd    (2023-12-20 21:24:03)
2016 Gold Fields data</t>
        </r>
      </text>
    </comment>
    <comment ref="M23" authorId="0" shapeId="0" xr:uid="{00000000-0006-0000-0000-000077010000}">
      <text>
        <r>
          <rPr>
            <sz val="11"/>
            <color theme="1"/>
            <rFont val="Calibri"/>
            <family val="2"/>
            <scheme val="minor"/>
          </rPr>
          <t>======
ID#AAABDDKrRGE
Gavin Mudd    (2023-12-20 21:24:04)
2016 Gold Fields data</t>
        </r>
      </text>
    </comment>
    <comment ref="S23" authorId="0" shapeId="0" xr:uid="{00000000-0006-0000-0000-00006B040000}">
      <text>
        <r>
          <rPr>
            <sz val="11"/>
            <color theme="1"/>
            <rFont val="Calibri"/>
            <family val="2"/>
            <scheme val="minor"/>
          </rPr>
          <t>======
ID#AAABDDKrPnk
Gavin Mudd    (2023-12-20 21:24:03)
2016 Gold Fields data</t>
        </r>
      </text>
    </comment>
    <comment ref="U23" authorId="0" shapeId="0" xr:uid="{00000000-0006-0000-0000-000078020000}">
      <text>
        <r>
          <rPr>
            <sz val="11"/>
            <color theme="1"/>
            <rFont val="Calibri"/>
            <family val="2"/>
            <scheme val="minor"/>
          </rPr>
          <t>======
ID#AAABDDKrQmo
Gavin Mudd    (2023-12-20 21:24:04)
2016 Gold Fields data</t>
        </r>
      </text>
    </comment>
    <comment ref="V23" authorId="0" shapeId="0" xr:uid="{00000000-0006-0000-0000-0000F1020000}">
      <text>
        <r>
          <rPr>
            <sz val="11"/>
            <color theme="1"/>
            <rFont val="Calibri"/>
            <family val="2"/>
            <scheme val="minor"/>
          </rPr>
          <t>======
ID#AAABDDKrQYU
Gavin Mudd    (2023-12-20 21:24:03)
2016 Gold Fields data</t>
        </r>
      </text>
    </comment>
    <comment ref="AF23" authorId="0" shapeId="0" xr:uid="{00000000-0006-0000-0000-0000FA050000}">
      <text>
        <r>
          <rPr>
            <sz val="11"/>
            <color theme="1"/>
            <rFont val="Calibri"/>
            <family val="2"/>
            <scheme val="minor"/>
          </rPr>
          <t>======
ID#AAABCyJQh78
Gavin Mudd    (2023-12-20 21:24:02)
2016 Gold Fields data</t>
        </r>
      </text>
    </comment>
    <comment ref="AG23" authorId="0" shapeId="0" xr:uid="{00000000-0006-0000-0000-0000A1020000}">
      <text>
        <r>
          <rPr>
            <sz val="11"/>
            <color theme="1"/>
            <rFont val="Calibri"/>
            <family val="2"/>
            <scheme val="minor"/>
          </rPr>
          <t>======
ID#AAABDDKrQiI
Gavin Mudd    (2023-12-20 21:24:04)
2016 Gold Fields data</t>
        </r>
      </text>
    </comment>
    <comment ref="AH23" authorId="0" shapeId="0" xr:uid="{00000000-0006-0000-0000-00003D010000}">
      <text>
        <r>
          <rPr>
            <sz val="11"/>
            <color theme="1"/>
            <rFont val="Calibri"/>
            <family val="2"/>
            <scheme val="minor"/>
          </rPr>
          <t>======
ID#AAABDDKrRNc
Gavin Mudd    (2023-12-20 21:24:04)
2016 Gold Fields data</t>
        </r>
      </text>
    </comment>
    <comment ref="AN23" authorId="0" shapeId="0" xr:uid="{00000000-0006-0000-0000-0000B8040000}">
      <text>
        <r>
          <rPr>
            <sz val="11"/>
            <color theme="1"/>
            <rFont val="Calibri"/>
            <family val="2"/>
            <scheme val="minor"/>
          </rPr>
          <t>======
ID#AAABDDKrPc4
Gavin Mudd    (2023-12-20 21:24:03)
2016 Gold Fields data</t>
        </r>
      </text>
    </comment>
    <comment ref="AP23" authorId="0" shapeId="0" xr:uid="{00000000-0006-0000-0000-000064040000}">
      <text>
        <r>
          <rPr>
            <sz val="11"/>
            <color theme="1"/>
            <rFont val="Calibri"/>
            <family val="2"/>
            <scheme val="minor"/>
          </rPr>
          <t>======
ID#AAABDDKrPoY
Gavin Mudd    (2023-12-20 21:24:03)
2016 Gold Fields data</t>
        </r>
      </text>
    </comment>
    <comment ref="AQ23" authorId="0" shapeId="0" xr:uid="{00000000-0006-0000-0000-000028000000}">
      <text>
        <r>
          <rPr>
            <sz val="11"/>
            <color theme="1"/>
            <rFont val="Calibri"/>
            <family val="2"/>
            <scheme val="minor"/>
          </rPr>
          <t>======
ID#AAABDDKrRxQ
Gavin Mudd    (2023-12-20 21:24:04)
2016 Gold Fields data</t>
        </r>
      </text>
    </comment>
    <comment ref="BA23" authorId="0" shapeId="0" xr:uid="{00000000-0006-0000-0000-000081040000}">
      <text>
        <r>
          <rPr>
            <sz val="11"/>
            <color theme="1"/>
            <rFont val="Calibri"/>
            <family val="2"/>
            <scheme val="minor"/>
          </rPr>
          <t>======
ID#AAABDDKrPk0
Gavin Mudd    (2023-12-20 21:24:03)
2016 Gold Fields data</t>
        </r>
      </text>
    </comment>
    <comment ref="BB23" authorId="0" shapeId="0" xr:uid="{00000000-0006-0000-0000-00002A010000}">
      <text>
        <r>
          <rPr>
            <sz val="11"/>
            <color theme="1"/>
            <rFont val="Calibri"/>
            <family val="2"/>
            <scheme val="minor"/>
          </rPr>
          <t>======
ID#AAABDDKrRQ4
Gavin Mudd    (2023-12-20 21:24:04)
2016 Gold Fields data</t>
        </r>
      </text>
    </comment>
    <comment ref="BC23" authorId="0" shapeId="0" xr:uid="{00000000-0006-0000-0000-000083050000}">
      <text>
        <r>
          <rPr>
            <sz val="11"/>
            <color theme="1"/>
            <rFont val="Calibri"/>
            <family val="2"/>
            <scheme val="minor"/>
          </rPr>
          <t>======
ID#AAABDDKrPCg
Gavin Mudd    (2023-12-20 21:24:03)
2016 Gold Fields data</t>
        </r>
      </text>
    </comment>
    <comment ref="BI23" authorId="0" shapeId="0" xr:uid="{00000000-0006-0000-0000-0000C2010000}">
      <text>
        <r>
          <rPr>
            <sz val="11"/>
            <color theme="1"/>
            <rFont val="Calibri"/>
            <family val="2"/>
            <scheme val="minor"/>
          </rPr>
          <t>======
ID#AAABDDKrQ8M
Gavin Mudd    (2023-12-20 21:24:04)
2016 Gold Fields data</t>
        </r>
      </text>
    </comment>
    <comment ref="BK23" authorId="0" shapeId="0" xr:uid="{00000000-0006-0000-0000-000046030000}">
      <text>
        <r>
          <rPr>
            <sz val="11"/>
            <color theme="1"/>
            <rFont val="Calibri"/>
            <family val="2"/>
            <scheme val="minor"/>
          </rPr>
          <t>======
ID#AAABDDKrQOs
Gavin Mudd    (2023-12-20 21:24:03)
2016 Gold Fields data</t>
        </r>
      </text>
    </comment>
    <comment ref="BL23" authorId="0" shapeId="0" xr:uid="{00000000-0006-0000-0000-00003B010000}">
      <text>
        <r>
          <rPr>
            <sz val="11"/>
            <color theme="1"/>
            <rFont val="Calibri"/>
            <family val="2"/>
            <scheme val="minor"/>
          </rPr>
          <t>======
ID#AAABDDKrRNs
Gavin Mudd    (2023-12-20 21:24:04)
2016 Gold Fields data</t>
        </r>
      </text>
    </comment>
    <comment ref="DP23" authorId="0" shapeId="0" xr:uid="{00000000-0006-0000-0000-000062040000}">
      <text>
        <r>
          <rPr>
            <sz val="11"/>
            <color theme="1"/>
            <rFont val="Calibri"/>
            <family val="2"/>
            <scheme val="minor"/>
          </rPr>
          <t>======
ID#AAABDDKrPok
Gavin Mudd    (2023-12-20 21:24:03)
2016 Gold Fields data</t>
        </r>
      </text>
    </comment>
    <comment ref="H24" authorId="0" shapeId="0" xr:uid="{00000000-0006-0000-0000-00003C020000}">
      <text>
        <r>
          <rPr>
            <sz val="11"/>
            <color theme="1"/>
            <rFont val="Calibri"/>
            <family val="2"/>
            <scheme val="minor"/>
          </rPr>
          <t>======
ID#AAABDDKrQtk
Gavin Mudd    (2023-12-20 21:24:04)
previously Hunnan Australia Resources, which was recently taken over by China Minmetals; before this the project was owned by Compass Resources</t>
        </r>
      </text>
    </comment>
    <comment ref="DP24" authorId="0" shapeId="0" xr:uid="{00000000-0006-0000-0000-000050030000}">
      <text>
        <r>
          <rPr>
            <sz val="11"/>
            <color theme="1"/>
            <rFont val="Calibri"/>
            <family val="2"/>
            <scheme val="minor"/>
          </rPr>
          <t>======
ID#AAABDDKrQNo
Gavin Mudd    (2023-12-20 21:24:03)
from earlier owner Compass Resources</t>
        </r>
      </text>
    </comment>
    <comment ref="BB25" authorId="0" shapeId="0" xr:uid="{00000000-0006-0000-0000-0000B9010000}">
      <text>
        <r>
          <rPr>
            <sz val="11"/>
            <color theme="1"/>
            <rFont val="Calibri"/>
            <family val="2"/>
            <scheme val="minor"/>
          </rPr>
          <t>======
ID#AAABDDKrQ9M
Gavin Mudd    (2023-12-20 21:24:04)
assumes Northern Bushveld average grades and prill split</t>
        </r>
      </text>
    </comment>
    <comment ref="BC25" authorId="0" shapeId="0" xr:uid="{00000000-0006-0000-0000-000089040000}">
      <text>
        <r>
          <rPr>
            <sz val="11"/>
            <color theme="1"/>
            <rFont val="Calibri"/>
            <family val="2"/>
            <scheme val="minor"/>
          </rPr>
          <t>======
ID#AAABDDKrPj8
Gavin Mudd    (2023-12-20 21:24:03)
assumes Northern Bushveld average grades and prill split</t>
        </r>
      </text>
    </comment>
    <comment ref="BI25" authorId="0" shapeId="0" xr:uid="{00000000-0006-0000-0000-00005A030000}">
      <text>
        <r>
          <rPr>
            <sz val="11"/>
            <color theme="1"/>
            <rFont val="Calibri"/>
            <family val="2"/>
            <scheme val="minor"/>
          </rPr>
          <t>======
ID#AAABDDKrQMQ
Gavin Mudd    (2023-12-20 21:24:03)
assumes Northern Bushveld average grades and prill split</t>
        </r>
      </text>
    </comment>
    <comment ref="BK25" authorId="0" shapeId="0" xr:uid="{00000000-0006-0000-0000-000044040000}">
      <text>
        <r>
          <rPr>
            <sz val="11"/>
            <color theme="1"/>
            <rFont val="Calibri"/>
            <family val="2"/>
            <scheme val="minor"/>
          </rPr>
          <t>======
ID#AAABDDKrPr4
Gavin Mudd    (2023-12-20 21:24:03)
assumes Northern Bushveld average grades and prill split</t>
        </r>
      </text>
    </comment>
    <comment ref="BL25" authorId="0" shapeId="0" xr:uid="{00000000-0006-0000-0000-00008F040000}">
      <text>
        <r>
          <rPr>
            <sz val="11"/>
            <color theme="1"/>
            <rFont val="Calibri"/>
            <family val="2"/>
            <scheme val="minor"/>
          </rPr>
          <t>======
ID#AAABDDKrPiw
Gavin Mudd    (2023-12-20 21:24:03)
assumes Northern Bushveld average grades and prill split</t>
        </r>
      </text>
    </comment>
    <comment ref="AO26" authorId="0" shapeId="0" xr:uid="{00000000-0006-0000-0000-000004030000}">
      <text>
        <r>
          <rPr>
            <sz val="11"/>
            <color theme="1"/>
            <rFont val="Calibri"/>
            <family val="2"/>
            <scheme val="minor"/>
          </rPr>
          <t>======
ID#AAABDDKrQWQ
Gavin Mudd    (2023-12-20 21:24:03)
data from WA MINEDEX</t>
        </r>
      </text>
    </comment>
    <comment ref="BJ26" authorId="0" shapeId="0" xr:uid="{00000000-0006-0000-0000-000026020000}">
      <text>
        <r>
          <rPr>
            <sz val="11"/>
            <color theme="1"/>
            <rFont val="Calibri"/>
            <family val="2"/>
            <scheme val="minor"/>
          </rPr>
          <t>======
ID#AAABDDKrQwQ
Gavin Mudd    (2023-12-20 21:24:04)
data from WA MINEDEX</t>
        </r>
      </text>
    </comment>
    <comment ref="H27" authorId="0" shapeId="0" xr:uid="{00000000-0006-0000-0000-000090030000}">
      <text>
        <r>
          <rPr>
            <sz val="11"/>
            <color theme="1"/>
            <rFont val="Calibri"/>
            <family val="2"/>
            <scheme val="minor"/>
          </rPr>
          <t>======
ID#AAABDDKrQDA
Gavin Mudd    (2023-12-20 21:24:03)
previously held by Allegiance Mining, then then Zinifex, then OZ Minerals, then MMG, now Dundas Mining</t>
        </r>
      </text>
    </comment>
    <comment ref="DP27" authorId="0" shapeId="0" xr:uid="{00000000-0006-0000-0000-000063060000}">
      <text>
        <r>
          <rPr>
            <sz val="11"/>
            <color theme="1"/>
            <rFont val="Calibri"/>
            <family val="2"/>
            <scheme val="minor"/>
          </rPr>
          <t>======
ID#AAABCyJQhwc
Gavin Mudd    (2023-12-20 21:24:02)
data from previous owner MMG</t>
        </r>
      </text>
    </comment>
    <comment ref="BA28" authorId="0" shapeId="0" xr:uid="{00000000-0006-0000-0000-000010040000}">
      <text>
        <r>
          <rPr>
            <sz val="11"/>
            <color theme="1"/>
            <rFont val="Calibri"/>
            <family val="2"/>
            <scheme val="minor"/>
          </rPr>
          <t>======
ID#AAABDDKrPyQ
Gavin Mudd    (2023-12-20 21:24:03)
historic resources (non-compliant with NI43-101) - hence all data allocated as inferred resources only</t>
        </r>
      </text>
    </comment>
    <comment ref="BI28" authorId="0" shapeId="0" xr:uid="{00000000-0006-0000-0000-00004F000000}">
      <text>
        <r>
          <rPr>
            <sz val="11"/>
            <color theme="1"/>
            <rFont val="Calibri"/>
            <family val="2"/>
            <scheme val="minor"/>
          </rPr>
          <t>======
ID#AAABDDKrRqw
Gavin Mudd    (2023-12-20 21:24:04)
historic resources (non-compliant with NI43-101) - hence all data allocated as inferred resources only</t>
        </r>
      </text>
    </comment>
    <comment ref="BA29" authorId="0" shapeId="0" xr:uid="{00000000-0006-0000-0000-00000A040000}">
      <text>
        <r>
          <rPr>
            <sz val="11"/>
            <color theme="1"/>
            <rFont val="Calibri"/>
            <family val="2"/>
            <scheme val="minor"/>
          </rPr>
          <t>======
ID#AAABDDKrPzA
Gavin Mudd    (2023-12-20 21:24:03)
historic resources (non-compliant with NI43-101) - hence all data allocated as inferred resources only</t>
        </r>
      </text>
    </comment>
    <comment ref="BB29" authorId="0" shapeId="0" xr:uid="{00000000-0006-0000-0000-000026010000}">
      <text>
        <r>
          <rPr>
            <sz val="11"/>
            <color theme="1"/>
            <rFont val="Calibri"/>
            <family val="2"/>
            <scheme val="minor"/>
          </rPr>
          <t>======
ID#AAABDDKrRRU
Gavin Mudd    (2023-12-20 21:24:04)
historic resources (non-compliant with NI43-101) - hence all data allocated as inferred resources only</t>
        </r>
      </text>
    </comment>
    <comment ref="BI29" authorId="0" shapeId="0" xr:uid="{00000000-0006-0000-0000-00001D050000}">
      <text>
        <r>
          <rPr>
            <sz val="11"/>
            <color theme="1"/>
            <rFont val="Calibri"/>
            <family val="2"/>
            <scheme val="minor"/>
          </rPr>
          <t>======
ID#AAABDDKrPP4
Gavin Mudd    (2023-12-20 21:24:03)
historic resources (non-compliant with NI43-101) - hence all data allocated as inferred resources only</t>
        </r>
      </text>
    </comment>
    <comment ref="H30" authorId="0" shapeId="0" xr:uid="{00000000-0006-0000-0000-0000B8010000}">
      <text>
        <r>
          <rPr>
            <sz val="11"/>
            <color theme="1"/>
            <rFont val="Calibri"/>
            <family val="2"/>
            <scheme val="minor"/>
          </rPr>
          <t>======
ID#AAABDDKrQ9U
Gavin Mudd    (2023-12-20 21:24:04)
previously held by Blackstone Ventures</t>
        </r>
      </text>
    </comment>
    <comment ref="BA30" authorId="0" shapeId="0" xr:uid="{00000000-0006-0000-0000-0000DE030000}">
      <text>
        <r>
          <rPr>
            <sz val="11"/>
            <color theme="1"/>
            <rFont val="Calibri"/>
            <family val="2"/>
            <scheme val="minor"/>
          </rPr>
          <t>======
ID#AAABDDKrP4s
Gavin Mudd    (2023-12-20 21:24:03)
historic resources (non-compliant with NI43-101) - hence all data allocated as inferred resources only</t>
        </r>
      </text>
    </comment>
    <comment ref="BB30" authorId="0" shapeId="0" xr:uid="{00000000-0006-0000-0000-000047000000}">
      <text>
        <r>
          <rPr>
            <sz val="11"/>
            <color theme="1"/>
            <rFont val="Calibri"/>
            <family val="2"/>
            <scheme val="minor"/>
          </rPr>
          <t>======
ID#AAABDDKrRsM
Gavin Mudd    (2023-12-20 21:24:04)
historic resources (non-compliant with NI43-101) - hence all data allocated as inferred resources only</t>
        </r>
      </text>
    </comment>
    <comment ref="BI30" authorId="0" shapeId="0" xr:uid="{00000000-0006-0000-0000-0000D2000000}">
      <text>
        <r>
          <rPr>
            <sz val="11"/>
            <color theme="1"/>
            <rFont val="Calibri"/>
            <family val="2"/>
            <scheme val="minor"/>
          </rPr>
          <t>======
ID#AAABDDKrRbU
Gavin Mudd    (2023-12-20 21:24:04)
historic resources (non-compliant with NI43-101) - hence all data allocated as inferred resources only</t>
        </r>
      </text>
    </comment>
    <comment ref="BA32" authorId="0" shapeId="0" xr:uid="{00000000-0006-0000-0000-000022000000}">
      <text>
        <r>
          <rPr>
            <sz val="11"/>
            <color theme="1"/>
            <rFont val="Calibri"/>
            <family val="2"/>
            <scheme val="minor"/>
          </rPr>
          <t>======
ID#AAABDDKrRyc
Gavin Mudd    (2023-12-20 21:24:04)
value estimated from Figure 6 in Dalvi &amp; Bacon (2004)</t>
        </r>
      </text>
    </comment>
    <comment ref="BI32" authorId="0" shapeId="0" xr:uid="{00000000-0006-0000-0000-0000EC050000}">
      <text>
        <r>
          <rPr>
            <sz val="11"/>
            <color theme="1"/>
            <rFont val="Calibri"/>
            <family val="2"/>
            <scheme val="minor"/>
          </rPr>
          <t>======
ID#AAABCyJQh9s
Gavin Mudd    (2023-12-20 21:24:02)
value from SEG Newsleter No. 54, July 2003 (Gleeson et al, 2003)</t>
        </r>
      </text>
    </comment>
    <comment ref="K33" authorId="0" shapeId="0" xr:uid="{00000000-0006-0000-0000-0000C4000000}">
      <text>
        <r>
          <rPr>
            <sz val="11"/>
            <color theme="1"/>
            <rFont val="Calibri"/>
            <family val="2"/>
            <scheme val="minor"/>
          </rPr>
          <t>======
ID#AAABDDKrRdE
Gavin Mudd    (2023-12-20 21:24:04)
only total resources are reported</t>
        </r>
      </text>
    </comment>
    <comment ref="AF33" authorId="0" shapeId="0" xr:uid="{00000000-0006-0000-0000-0000D0010000}">
      <text>
        <r>
          <rPr>
            <sz val="11"/>
            <color theme="1"/>
            <rFont val="Calibri"/>
            <family val="2"/>
            <scheme val="minor"/>
          </rPr>
          <t>======
ID#AAABDDKrQ6o
Gavin Mudd    (2023-12-20 21:24:04)
only total resources are reported</t>
        </r>
      </text>
    </comment>
    <comment ref="BA33" authorId="0" shapeId="0" xr:uid="{00000000-0006-0000-0000-0000DA030000}">
      <text>
        <r>
          <rPr>
            <sz val="11"/>
            <color theme="1"/>
            <rFont val="Calibri"/>
            <family val="2"/>
            <scheme val="minor"/>
          </rPr>
          <t>======
ID#AAABDDKrP5Q
Gavin Mudd    (2023-12-20 21:24:03)
only total resources are reported</t>
        </r>
      </text>
    </comment>
    <comment ref="BB33" authorId="0" shapeId="0" xr:uid="{00000000-0006-0000-0000-00007E010000}">
      <text>
        <r>
          <rPr>
            <sz val="11"/>
            <color theme="1"/>
            <rFont val="Calibri"/>
            <family val="2"/>
            <scheme val="minor"/>
          </rPr>
          <t>======
ID#AAABDDKrRE4
Gavin Mudd    (2023-12-20 21:24:04)
only total resources are reported</t>
        </r>
      </text>
    </comment>
    <comment ref="BI33" authorId="0" shapeId="0" xr:uid="{00000000-0006-0000-0000-000063050000}">
      <text>
        <r>
          <rPr>
            <sz val="11"/>
            <color theme="1"/>
            <rFont val="Calibri"/>
            <family val="2"/>
            <scheme val="minor"/>
          </rPr>
          <t>======
ID#AAABDDKrPHU
Gavin Mudd    (2023-12-20 21:24:03)
only total resources are reported</t>
        </r>
      </text>
    </comment>
    <comment ref="H34" authorId="0" shapeId="0" xr:uid="{00000000-0006-0000-0000-00004E000000}">
      <text>
        <r>
          <rPr>
            <sz val="11"/>
            <color theme="1"/>
            <rFont val="Calibri"/>
            <family val="2"/>
            <scheme val="minor"/>
          </rPr>
          <t>======
ID#AAABDDKrRq8
Gavin Mudd    (2023-12-20 21:24:04)
previously held by Graynic Metals Plc</t>
        </r>
      </text>
    </comment>
    <comment ref="BA34" authorId="0" shapeId="0" xr:uid="{00000000-0006-0000-0000-000098010000}">
      <text>
        <r>
          <rPr>
            <sz val="11"/>
            <color theme="1"/>
            <rFont val="Calibri"/>
            <family val="2"/>
            <scheme val="minor"/>
          </rPr>
          <t>======
ID#AAABDDKrRBQ
Gavin Mudd    (2023-12-20 21:24:04)
historic resources (non-compliant with NI43-101) - hence all data allocated as inferred resources only; adjusted for 13 years mining @ ~0.7 Mt ore/yr since 2005</t>
        </r>
      </text>
    </comment>
    <comment ref="BI34" authorId="0" shapeId="0" xr:uid="{00000000-0006-0000-0000-000041000000}">
      <text>
        <r>
          <rPr>
            <sz val="11"/>
            <color theme="1"/>
            <rFont val="Calibri"/>
            <family val="2"/>
            <scheme val="minor"/>
          </rPr>
          <t>======
ID#AAABDDKrRs0
Gavin Mudd    (2023-12-20 21:24:04)
historic resources (non-compliant with NI43-101) - hence all data allocated as inferred resources only</t>
        </r>
      </text>
    </comment>
    <comment ref="BJ34" authorId="0" shapeId="0" xr:uid="{00000000-0006-0000-0000-0000EF000000}">
      <text>
        <r>
          <rPr>
            <sz val="11"/>
            <color theme="1"/>
            <rFont val="Calibri"/>
            <family val="2"/>
            <scheme val="minor"/>
          </rPr>
          <t>======
ID#AAABDDKrRXc
Gavin Mudd    (2023-12-20 21:24:04)
historic resources (non-compliant with NI43-101) - hence all data allocated as inferred resources only</t>
        </r>
      </text>
    </comment>
    <comment ref="H37" authorId="0" shapeId="0" xr:uid="{00000000-0006-0000-0000-00002E050000}">
      <text>
        <r>
          <rPr>
            <sz val="11"/>
            <color theme="1"/>
            <rFont val="Calibri"/>
            <family val="2"/>
            <scheme val="minor"/>
          </rPr>
          <t>======
ID#AAABDDKrPOE
Gavin Mudd    (2023-12-20 21:24:03)
formerly Proto Resources Ltd (now bankrupt)</t>
        </r>
      </text>
    </comment>
    <comment ref="K38" authorId="0" shapeId="0" xr:uid="{00000000-0006-0000-0000-000097020000}">
      <text>
        <r>
          <rPr>
            <sz val="11"/>
            <color theme="1"/>
            <rFont val="Calibri"/>
            <family val="2"/>
            <scheme val="minor"/>
          </rPr>
          <t>======
ID#AAABDDKrQjE
Gavin Mudd    (2023-12-20 21:24:04)
assumes proved reserves plus measured resources</t>
        </r>
      </text>
    </comment>
    <comment ref="S38" authorId="0" shapeId="0" xr:uid="{00000000-0006-0000-0000-0000AE020000}">
      <text>
        <r>
          <rPr>
            <sz val="11"/>
            <color theme="1"/>
            <rFont val="Calibri"/>
            <family val="2"/>
            <scheme val="minor"/>
          </rPr>
          <t>======
ID#AAABDDKrQgA
Gavin Mudd    (2023-12-20 21:24:03)
assumes proved reserves plus measured resources</t>
        </r>
      </text>
    </comment>
    <comment ref="AF38" authorId="0" shapeId="0" xr:uid="{00000000-0006-0000-0000-0000C4010000}">
      <text>
        <r>
          <rPr>
            <sz val="11"/>
            <color theme="1"/>
            <rFont val="Calibri"/>
            <family val="2"/>
            <scheme val="minor"/>
          </rPr>
          <t>======
ID#AAABDDKrQ8E
Gavin Mudd    (2023-12-20 21:24:04)
assumes probable reserves plus indicated resources</t>
        </r>
      </text>
    </comment>
    <comment ref="AN38" authorId="0" shapeId="0" xr:uid="{00000000-0006-0000-0000-000051030000}">
      <text>
        <r>
          <rPr>
            <sz val="11"/>
            <color theme="1"/>
            <rFont val="Calibri"/>
            <family val="2"/>
            <scheme val="minor"/>
          </rPr>
          <t>======
ID#AAABDDKrQNk
Gavin Mudd    (2023-12-20 21:24:03)
assumes probable reserves plus indicated resources</t>
        </r>
      </text>
    </comment>
    <comment ref="H39" authorId="0" shapeId="0" xr:uid="{00000000-0006-0000-0000-000027000000}">
      <text>
        <r>
          <rPr>
            <sz val="11"/>
            <color theme="1"/>
            <rFont val="Calibri"/>
            <family val="2"/>
            <scheme val="minor"/>
          </rPr>
          <t>======
ID#AAABDDKrRxc
Author    (2023-12-20 21:24:04)
formerly Nevoro, which became Starfield Resources - now bankrupt</t>
        </r>
      </text>
    </comment>
    <comment ref="BA39" authorId="0" shapeId="0" xr:uid="{00000000-0006-0000-0000-00003E030000}">
      <text>
        <r>
          <rPr>
            <sz val="11"/>
            <color theme="1"/>
            <rFont val="Calibri"/>
            <family val="2"/>
            <scheme val="minor"/>
          </rPr>
          <t>======
ID#AAABDDKrQPk
Gavin Mudd    (2023-12-20 21:24:03)
historic resources (non-compliant with NI43-101) - hence all data allocated as inferred resources only</t>
        </r>
      </text>
    </comment>
    <comment ref="BB39" authorId="0" shapeId="0" xr:uid="{00000000-0006-0000-0000-00007F050000}">
      <text>
        <r>
          <rPr>
            <sz val="11"/>
            <color theme="1"/>
            <rFont val="Calibri"/>
            <family val="2"/>
            <scheme val="minor"/>
          </rPr>
          <t>======
ID#AAABDDKrPC8
Gavin Mudd    (2023-12-20 21:24:03)
historic resources (non-compliant with NI43-101) - hence all data allocated as inferred resources only</t>
        </r>
      </text>
    </comment>
    <comment ref="BI39" authorId="0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======
ID#AAABDDKrR14
Gavin Mudd    (2023-12-20 21:24:04)
historic resources (non-compliant with NI43-101) - hence all data allocated as inferred resources only</t>
        </r>
      </text>
    </comment>
    <comment ref="DP39" authorId="0" shapeId="0" xr:uid="{00000000-0006-0000-0000-0000D9040000}">
      <text>
        <r>
          <rPr>
            <sz val="11"/>
            <color theme="1"/>
            <rFont val="Calibri"/>
            <family val="2"/>
            <scheme val="minor"/>
          </rPr>
          <t>======
ID#AAABDDKrPZA
Author    (2023-12-20 21:24:03)
data from Nevoro, which became Starfield Resources - now bankrupt</t>
        </r>
      </text>
    </comment>
    <comment ref="H40" authorId="0" shapeId="0" xr:uid="{00000000-0006-0000-0000-0000A6040000}">
      <text>
        <r>
          <rPr>
            <sz val="11"/>
            <color theme="1"/>
            <rFont val="Calibri"/>
            <family val="2"/>
            <scheme val="minor"/>
          </rPr>
          <t>======
ID#AAABDDKrPfc
Gavin Mudd    (2023-12-20 21:24:03)
Platfields Ltd went bankrupt; current owner unclear</t>
        </r>
      </text>
    </comment>
    <comment ref="H41" authorId="0" shapeId="0" xr:uid="{00000000-0006-0000-0000-0000AA010000}">
      <text>
        <r>
          <rPr>
            <sz val="11"/>
            <color theme="1"/>
            <rFont val="Calibri"/>
            <family val="2"/>
            <scheme val="minor"/>
          </rPr>
          <t>======
ID#AAABDDKrQ_I
Gavin Mudd    (2023-12-20 21:24:04)
previously held by Toledo Mining Corp, which was taken over by DMCI Holdings</t>
        </r>
      </text>
    </comment>
    <comment ref="BA41" authorId="0" shapeId="0" xr:uid="{00000000-0006-0000-0000-0000F8020000}">
      <text>
        <r>
          <rPr>
            <sz val="11"/>
            <color theme="1"/>
            <rFont val="Calibri"/>
            <family val="2"/>
            <scheme val="minor"/>
          </rPr>
          <t>======
ID#AAABDDKrQXM
Gavin Mudd    (2023-12-20 21:24:03)
older data, but only data available</t>
        </r>
      </text>
    </comment>
    <comment ref="BI41" authorId="0" shapeId="0" xr:uid="{00000000-0006-0000-0000-000052050000}">
      <text>
        <r>
          <rPr>
            <sz val="11"/>
            <color theme="1"/>
            <rFont val="Calibri"/>
            <family val="2"/>
            <scheme val="minor"/>
          </rPr>
          <t>======
ID#AAABDDKrPJs
Gavin Mudd    (2023-12-20 21:24:03)
older data, but only data available</t>
        </r>
      </text>
    </comment>
    <comment ref="BJ41" authorId="0" shapeId="0" xr:uid="{00000000-0006-0000-0000-0000A0010000}">
      <text>
        <r>
          <rPr>
            <sz val="11"/>
            <color theme="1"/>
            <rFont val="Calibri"/>
            <family val="2"/>
            <scheme val="minor"/>
          </rPr>
          <t>======
ID#AAABDDKrRAE
Gavin Mudd    (2023-12-20 21:24:04)
data from Berger et al (2011)</t>
        </r>
      </text>
    </comment>
    <comment ref="DP41" authorId="0" shapeId="0" xr:uid="{00000000-0006-0000-0000-000001050000}">
      <text>
        <r>
          <rPr>
            <sz val="11"/>
            <color theme="1"/>
            <rFont val="Calibri"/>
            <family val="2"/>
            <scheme val="minor"/>
          </rPr>
          <t>======
ID#AAABDDKrPT4
Gavin Mudd    (2023-12-20 21:24:03)
data from Toledo Mining Corp.</t>
        </r>
      </text>
    </comment>
    <comment ref="BA42" authorId="0" shapeId="0" xr:uid="{00000000-0006-0000-0000-0000BB000000}">
      <text>
        <r>
          <rPr>
            <sz val="11"/>
            <color theme="1"/>
            <rFont val="Calibri"/>
            <family val="2"/>
            <scheme val="minor"/>
          </rPr>
          <t>======
ID#AAABDDKrReA
Gavin Mudd    (2023-12-20 21:24:04)
historic resources (non-compliant with NI43-101) - hence all data allocated as inferred resources only; adjusted for 13 years mining @ ~0.7 Mt ore/yr since 2005</t>
        </r>
      </text>
    </comment>
    <comment ref="BI42" authorId="0" shapeId="0" xr:uid="{00000000-0006-0000-0000-000007020000}">
      <text>
        <r>
          <rPr>
            <sz val="11"/>
            <color theme="1"/>
            <rFont val="Calibri"/>
            <family val="2"/>
            <scheme val="minor"/>
          </rPr>
          <t>======
ID#AAABDDKrQz8
Gavin Mudd    (2023-12-20 21:24:04)
historic resources (non-compliant with NI43-101) - hence all data allocated as inferred resources only</t>
        </r>
      </text>
    </comment>
    <comment ref="BJ42" authorId="0" shapeId="0" xr:uid="{00000000-0006-0000-0000-000025020000}">
      <text>
        <r>
          <rPr>
            <sz val="11"/>
            <color theme="1"/>
            <rFont val="Calibri"/>
            <family val="2"/>
            <scheme val="minor"/>
          </rPr>
          <t>======
ID#AAABDDKrQwc
Gavin Mudd    (2023-12-20 21:24:04)
historic resources (non-compliant with NI43-101) - hence all data allocated as inferred resources only</t>
        </r>
      </text>
    </comment>
    <comment ref="H43" authorId="0" shapeId="0" xr:uid="{00000000-0006-0000-0000-00000B050000}">
      <text>
        <r>
          <rPr>
            <sz val="11"/>
            <color theme="1"/>
            <rFont val="Calibri"/>
            <family val="2"/>
            <scheme val="minor"/>
          </rPr>
          <t>======
ID#AAABDDKrPSU
Gavin Mudd    (2023-12-20 21:24:03)
previously held by Mwana Africa Plc, which was taken over by Asa Resource Group; Asa Resource Group bankrupt, Bindura complex sold to Sotic International Ltd in Oct. 2019</t>
        </r>
      </text>
    </comment>
    <comment ref="DP43" authorId="0" shapeId="0" xr:uid="{00000000-0006-0000-0000-0000D0020000}">
      <text>
        <r>
          <rPr>
            <sz val="11"/>
            <color theme="1"/>
            <rFont val="Calibri"/>
            <family val="2"/>
            <scheme val="minor"/>
          </rPr>
          <t>======
ID#AAABDDKrQcE
Gavin Mudd    (2023-12-20 21:24:03)
data from Mwana Africa</t>
        </r>
      </text>
    </comment>
    <comment ref="AG47" authorId="0" shapeId="0" xr:uid="{00000000-0006-0000-0000-000069000000}">
      <text>
        <r>
          <rPr>
            <sz val="11"/>
            <color theme="1"/>
            <rFont val="Calibri"/>
            <family val="2"/>
            <scheme val="minor"/>
          </rPr>
          <t>======
ID#AAABDDKrRnw
Gavin Mudd    (2023-12-20 21:24:04)
grade for indicated &amp; inferred only</t>
        </r>
      </text>
    </comment>
    <comment ref="AO47" authorId="0" shapeId="0" xr:uid="{00000000-0006-0000-0000-00006E020000}">
      <text>
        <r>
          <rPr>
            <sz val="11"/>
            <color theme="1"/>
            <rFont val="Calibri"/>
            <family val="2"/>
            <scheme val="minor"/>
          </rPr>
          <t>======
ID#AAABDDKrQnk
Gavin Mudd    (2023-12-20 21:24:04)
grade for indicated &amp; inferred only</t>
        </r>
      </text>
    </comment>
    <comment ref="BB47" authorId="0" shapeId="0" xr:uid="{00000000-0006-0000-0000-000032000000}">
      <text>
        <r>
          <rPr>
            <sz val="11"/>
            <color theme="1"/>
            <rFont val="Calibri"/>
            <family val="2"/>
            <scheme val="minor"/>
          </rPr>
          <t>======
ID#AAABDDKrRvc
Gavin Mudd    (2023-12-20 21:24:04)
grade for indicated &amp; inferred only</t>
        </r>
      </text>
    </comment>
    <comment ref="BJ47" authorId="0" shapeId="0" xr:uid="{00000000-0006-0000-0000-0000F7020000}">
      <text>
        <r>
          <rPr>
            <sz val="11"/>
            <color theme="1"/>
            <rFont val="Calibri"/>
            <family val="2"/>
            <scheme val="minor"/>
          </rPr>
          <t>======
ID#AAABDDKrQXU
Gavin Mudd    (2023-12-20 21:24:03)
grade for indicated &amp; inferred only</t>
        </r>
      </text>
    </comment>
    <comment ref="H48" authorId="0" shapeId="0" xr:uid="{00000000-0006-0000-0000-000020040000}">
      <text>
        <r>
          <rPr>
            <sz val="11"/>
            <color theme="1"/>
            <rFont val="Calibri"/>
            <family val="2"/>
            <scheme val="minor"/>
          </rPr>
          <t>======
ID#AAABDDKrPwQ
Gavin Mudd    (2023-12-20 21:24:03)
previously held by Rockland Minerals Corp.</t>
        </r>
      </text>
    </comment>
    <comment ref="BA50" authorId="0" shapeId="0" xr:uid="{00000000-0006-0000-0000-00002F060000}">
      <text>
        <r>
          <rPr>
            <sz val="11"/>
            <color theme="1"/>
            <rFont val="Calibri"/>
            <family val="2"/>
            <scheme val="minor"/>
          </rPr>
          <t>======
ID#AAABCyJQh1k
Gavin Mudd    (2023-12-20 21:24:02)
historic resources (non-compliant with NI43-101) - hence all data allocated as inferred resources only</t>
        </r>
      </text>
    </comment>
    <comment ref="BB50" authorId="0" shapeId="0" xr:uid="{00000000-0006-0000-0000-000068030000}">
      <text>
        <r>
          <rPr>
            <sz val="11"/>
            <color theme="1"/>
            <rFont val="Calibri"/>
            <family val="2"/>
            <scheme val="minor"/>
          </rPr>
          <t>======
ID#AAABDDKrQKk
Gavin Mudd    (2023-12-20 21:24:03)
historic resources (non-compliant with NI43-101) - hence all data allocated as inferred resources only</t>
        </r>
      </text>
    </comment>
    <comment ref="BI50" authorId="0" shapeId="0" xr:uid="{00000000-0006-0000-0000-000071040000}">
      <text>
        <r>
          <rPr>
            <sz val="11"/>
            <color theme="1"/>
            <rFont val="Calibri"/>
            <family val="2"/>
            <scheme val="minor"/>
          </rPr>
          <t>======
ID#AAABDDKrPnE
Gavin Mudd    (2023-12-20 21:24:03)
historic resources (non-compliant with NI43-101) - hence all data allocated as inferred resources only</t>
        </r>
      </text>
    </comment>
    <comment ref="BJ50" authorId="0" shapeId="0" xr:uid="{00000000-0006-0000-0000-0000FB050000}">
      <text>
        <r>
          <rPr>
            <sz val="11"/>
            <color theme="1"/>
            <rFont val="Calibri"/>
            <family val="2"/>
            <scheme val="minor"/>
          </rPr>
          <t>======
ID#AAABCyJQh7s
Gavin Mudd    (2023-12-20 21:24:02)
historic resources (non-compliant with NI43-101) - hence all data allocated as inferred resources only</t>
        </r>
      </text>
    </comment>
    <comment ref="H51" authorId="0" shapeId="0" xr:uid="{00000000-0006-0000-0000-000066040000}">
      <text>
        <r>
          <rPr>
            <sz val="11"/>
            <color theme="1"/>
            <rFont val="Calibri"/>
            <family val="2"/>
            <scheme val="minor"/>
          </rPr>
          <t>======
ID#AAABDDKrPoQ
Gavin Mudd    (2023-12-20 21:24:03)
previously held by CAMEC (Central African Mining &amp; Exploration Company Plc)</t>
        </r>
      </text>
    </comment>
    <comment ref="DP51" authorId="0" shapeId="0" xr:uid="{00000000-0006-0000-0000-0000A6000000}">
      <text>
        <r>
          <rPr>
            <sz val="11"/>
            <color theme="1"/>
            <rFont val="Calibri"/>
            <family val="2"/>
            <scheme val="minor"/>
          </rPr>
          <t>======
ID#AAABDDKrRgk
Gavin Mudd    (2023-12-20 21:24:04)
data from CAMEC (Central African Mining &amp; Exploration Company Plc)</t>
        </r>
      </text>
    </comment>
    <comment ref="H53" authorId="0" shapeId="0" xr:uid="{00000000-0006-0000-0000-00002F050000}">
      <text>
        <r>
          <rPr>
            <sz val="11"/>
            <color theme="1"/>
            <rFont val="Calibri"/>
            <family val="2"/>
            <scheme val="minor"/>
          </rPr>
          <t>======
ID#AAABDDKrPN0
Gavin Mudd    (2023-12-20 21:24:03)
previously held by African Nickel Plc</t>
        </r>
      </text>
    </comment>
    <comment ref="H56" authorId="0" shapeId="0" xr:uid="{00000000-0006-0000-0000-00009C000000}">
      <text>
        <r>
          <rPr>
            <sz val="11"/>
            <color theme="1"/>
            <rFont val="Calibri"/>
            <family val="2"/>
            <scheme val="minor"/>
          </rPr>
          <t>======
ID#AAABDDKrRic
Gavin Mudd    (2023-12-20 21:24:04)
CTT is Compagnie de Tifnout Tighanimine, a subsidiary of Managem</t>
        </r>
      </text>
    </comment>
    <comment ref="K56" authorId="0" shapeId="0" xr:uid="{00000000-0006-0000-0000-0000E9000000}">
      <text>
        <r>
          <rPr>
            <sz val="11"/>
            <color theme="1"/>
            <rFont val="Calibri"/>
            <family val="2"/>
            <scheme val="minor"/>
          </rPr>
          <t>======
ID#AAABDDKrRYI
Gavin Mudd    (2023-12-20 21:24:04)
only total resources reported</t>
        </r>
      </text>
    </comment>
    <comment ref="AF56" authorId="0" shapeId="0" xr:uid="{00000000-0006-0000-0000-0000F4010000}">
      <text>
        <r>
          <rPr>
            <sz val="11"/>
            <color theme="1"/>
            <rFont val="Calibri"/>
            <family val="2"/>
            <scheme val="minor"/>
          </rPr>
          <t>======
ID#AAABDDKrQ2A
Gavin Mudd    (2023-12-20 21:24:04)
only total resources reported</t>
        </r>
      </text>
    </comment>
    <comment ref="BA56" authorId="0" shapeId="0" xr:uid="{00000000-0006-0000-0000-00006C010000}">
      <text>
        <r>
          <rPr>
            <sz val="11"/>
            <color theme="1"/>
            <rFont val="Calibri"/>
            <family val="2"/>
            <scheme val="minor"/>
          </rPr>
          <t>======
ID#AAABDDKrRHM
Gavin Mudd    (2023-12-20 21:24:04)
only total resources reported</t>
        </r>
      </text>
    </comment>
    <comment ref="BC56" authorId="0" shapeId="0" xr:uid="{00000000-0006-0000-0000-00004E010000}">
      <text>
        <r>
          <rPr>
            <sz val="11"/>
            <color theme="1"/>
            <rFont val="Calibri"/>
            <family val="2"/>
            <scheme val="minor"/>
          </rPr>
          <t>======
ID#AAABDDKrRLM
Gavin Mudd    (2023-12-20 21:24:04)
value from Oberthür et al (2009)</t>
        </r>
      </text>
    </comment>
    <comment ref="BI56" authorId="0" shapeId="0" xr:uid="{00000000-0006-0000-0000-0000DF030000}">
      <text>
        <r>
          <rPr>
            <sz val="11"/>
            <color theme="1"/>
            <rFont val="Calibri"/>
            <family val="2"/>
            <scheme val="minor"/>
          </rPr>
          <t>======
ID#AAABDDKrP4Y
Gavin Mudd    (2023-12-20 21:24:03)
value from Oberthür et al (2009)</t>
        </r>
      </text>
    </comment>
    <comment ref="BJ56" authorId="0" shapeId="0" xr:uid="{00000000-0006-0000-0000-00005B050000}">
      <text>
        <r>
          <rPr>
            <sz val="11"/>
            <color theme="1"/>
            <rFont val="Calibri"/>
            <family val="2"/>
            <scheme val="minor"/>
          </rPr>
          <t>======
ID#AAABDDKrPIc
Gavin Mudd    (2023-12-20 21:24:03)
value from Oberthür et al (2009)</t>
        </r>
      </text>
    </comment>
    <comment ref="BV56" authorId="0" shapeId="0" xr:uid="{00000000-0006-0000-0000-00000E010000}">
      <text>
        <r>
          <rPr>
            <sz val="11"/>
            <color theme="1"/>
            <rFont val="Calibri"/>
            <family val="2"/>
            <scheme val="minor"/>
          </rPr>
          <t>======
ID#AAABDDKrRUM
Gavin Mudd    (2023-12-20 21:24:04)
only total reserves reported</t>
        </r>
      </text>
    </comment>
    <comment ref="CQ56" authorId="0" shapeId="0" xr:uid="{00000000-0006-0000-0000-000053010000}">
      <text>
        <r>
          <rPr>
            <sz val="11"/>
            <color theme="1"/>
            <rFont val="Calibri"/>
            <family val="2"/>
            <scheme val="minor"/>
          </rPr>
          <t>======
ID#AAABDDKrRKg
Gavin Mudd    (2023-12-20 21:24:04)
only total reserves reported</t>
        </r>
      </text>
    </comment>
    <comment ref="CS56" authorId="0" shapeId="0" xr:uid="{00000000-0006-0000-0000-000059000000}">
      <text>
        <r>
          <rPr>
            <sz val="11"/>
            <color theme="1"/>
            <rFont val="Calibri"/>
            <family val="2"/>
            <scheme val="minor"/>
          </rPr>
          <t>======
ID#AAABDDKrRpg
Gavin Mudd    (2023-12-20 21:24:04)
value from Oberthür et al (2009)</t>
        </r>
      </text>
    </comment>
    <comment ref="CY56" authorId="0" shapeId="0" xr:uid="{00000000-0006-0000-0000-000055020000}">
      <text>
        <r>
          <rPr>
            <sz val="11"/>
            <color theme="1"/>
            <rFont val="Calibri"/>
            <family val="2"/>
            <scheme val="minor"/>
          </rPr>
          <t>======
ID#AAABDDKrQqQ
Gavin Mudd    (2023-12-20 21:24:04)
value from Oberthür et al (2009)</t>
        </r>
      </text>
    </comment>
    <comment ref="CZ56" authorId="0" shapeId="0" xr:uid="{00000000-0006-0000-0000-0000DF050000}">
      <text>
        <r>
          <rPr>
            <sz val="11"/>
            <color theme="1"/>
            <rFont val="Calibri"/>
            <family val="2"/>
            <scheme val="minor"/>
          </rPr>
          <t>======
ID#AAABCyJQh_Q
Gavin Mudd    (2023-12-20 21:24:02)
value from Oberthür et al (2009)</t>
        </r>
      </text>
    </comment>
    <comment ref="H57" authorId="0" shapeId="0" xr:uid="{00000000-0006-0000-0000-00009C020000}">
      <text>
        <r>
          <rPr>
            <sz val="11"/>
            <color theme="1"/>
            <rFont val="Calibri"/>
            <family val="2"/>
            <scheme val="minor"/>
          </rPr>
          <t>======
ID#AAABDDKrQig
Gavin Mudd    (2023-12-20 21:24:04)
previously Hunnan Australia Resources, which was recently taken over by China Minmetals; before this the project was owned by Compass Resources</t>
        </r>
      </text>
    </comment>
    <comment ref="N57" authorId="0" shapeId="0" xr:uid="{00000000-0006-0000-0000-00001C010000}">
      <text>
        <r>
          <rPr>
            <sz val="11"/>
            <color theme="1"/>
            <rFont val="Calibri"/>
            <family val="2"/>
            <scheme val="minor"/>
          </rPr>
          <t>======
ID#AAABDDKrRSg
Gavin Mudd    (2023-12-20 21:24:04)
indicative, based on resource reported in 2007 Annual Report</t>
        </r>
      </text>
    </comment>
    <comment ref="AI57" authorId="0" shapeId="0" xr:uid="{00000000-0006-0000-0000-0000B5020000}">
      <text>
        <r>
          <rPr>
            <sz val="11"/>
            <color theme="1"/>
            <rFont val="Calibri"/>
            <family val="2"/>
            <scheme val="minor"/>
          </rPr>
          <t>======
ID#AAABDDKrQfI
Gavin Mudd    (2023-12-20 21:24:03)
indicative, based on resource reported in 2007 Annual Report</t>
        </r>
      </text>
    </comment>
    <comment ref="BD57" authorId="0" shapeId="0" xr:uid="{00000000-0006-0000-0000-0000C8050000}">
      <text>
        <r>
          <rPr>
            <sz val="11"/>
            <color theme="1"/>
            <rFont val="Calibri"/>
            <family val="2"/>
            <scheme val="minor"/>
          </rPr>
          <t>======
ID#AAABDDKrO6E
Gavin Mudd    (2023-12-20 21:24:02)
indicative, based on resource reported in 2007 Annual Report</t>
        </r>
      </text>
    </comment>
    <comment ref="DP57" authorId="0" shapeId="0" xr:uid="{00000000-0006-0000-0000-000093030000}">
      <text>
        <r>
          <rPr>
            <sz val="11"/>
            <color theme="1"/>
            <rFont val="Calibri"/>
            <family val="2"/>
            <scheme val="minor"/>
          </rPr>
          <t>======
ID#AAABDDKrQCs
Gavin Mudd    (2023-12-20 21:24:03)
from earlier owner Compass Resources</t>
        </r>
      </text>
    </comment>
    <comment ref="H58" authorId="0" shapeId="0" xr:uid="{00000000-0006-0000-0000-00007B030000}">
      <text>
        <r>
          <rPr>
            <sz val="11"/>
            <color theme="1"/>
            <rFont val="Calibri"/>
            <family val="2"/>
            <scheme val="minor"/>
          </rPr>
          <t>======
ID#AAABDDKrQGs
Author    (2023-12-20 21:24:03)
formerly Blackstone Ventures</t>
        </r>
      </text>
    </comment>
    <comment ref="BA58" authorId="0" shapeId="0" xr:uid="{00000000-0006-0000-0000-000099010000}">
      <text>
        <r>
          <rPr>
            <sz val="11"/>
            <color theme="1"/>
            <rFont val="Calibri"/>
            <family val="2"/>
            <scheme val="minor"/>
          </rPr>
          <t>======
ID#AAABDDKrRBI
Gavin Mudd    (2023-12-20 21:24:04)
historic resources (non-compliant with NI43-101) - hence all data allocated as inferred resources only</t>
        </r>
      </text>
    </comment>
    <comment ref="BB58" authorId="0" shapeId="0" xr:uid="{00000000-0006-0000-0000-00005F000000}">
      <text>
        <r>
          <rPr>
            <sz val="11"/>
            <color theme="1"/>
            <rFont val="Calibri"/>
            <family val="2"/>
            <scheme val="minor"/>
          </rPr>
          <t>======
ID#AAABDDKrRow
Gavin Mudd    (2023-12-20 21:24:04)
historic resources (non-compliant with NI43-101) - hence all data allocated as inferred resources only</t>
        </r>
      </text>
    </comment>
    <comment ref="BI58" authorId="0" shapeId="0" xr:uid="{00000000-0006-0000-0000-0000C0000000}">
      <text>
        <r>
          <rPr>
            <sz val="11"/>
            <color theme="1"/>
            <rFont val="Calibri"/>
            <family val="2"/>
            <scheme val="minor"/>
          </rPr>
          <t>======
ID#AAABDDKrRdc
Gavin Mudd    (2023-12-20 21:24:04)
historic resources (non-compliant with NI43-101) - hence all data allocated as inferred resources only</t>
        </r>
      </text>
    </comment>
    <comment ref="BJ58" authorId="0" shapeId="0" xr:uid="{00000000-0006-0000-0000-00001F010000}">
      <text>
        <r>
          <rPr>
            <sz val="11"/>
            <color theme="1"/>
            <rFont val="Calibri"/>
            <family val="2"/>
            <scheme val="minor"/>
          </rPr>
          <t>======
ID#AAABDDKrRSM
Gavin Mudd    (2023-12-20 21:24:04)
historic resources (non-compliant with NI43-101) - hence all data allocated as inferred resources only</t>
        </r>
      </text>
    </comment>
    <comment ref="H59" authorId="0" shapeId="0" xr:uid="{00000000-0006-0000-0000-0000B7030000}">
      <text>
        <r>
          <rPr>
            <sz val="11"/>
            <color theme="1"/>
            <rFont val="Calibri"/>
            <family val="2"/>
            <scheme val="minor"/>
          </rPr>
          <t>======
ID#AAABDDKrP-w
Gavin Mudd    (2023-12-20 21:24:03)
previously held by CaNickel Mining Corp.</t>
        </r>
      </text>
    </comment>
    <comment ref="K59" authorId="0" shapeId="0" xr:uid="{00000000-0006-0000-0000-0000CC040000}">
      <text>
        <r>
          <rPr>
            <sz val="11"/>
            <color theme="1"/>
            <rFont val="Calibri"/>
            <family val="2"/>
            <scheme val="minor"/>
          </rPr>
          <t>======
ID#AAABDDKrPac
Gavin Mudd    (2023-12-20 21:24:03)
assumes proved reserves plus measured resources</t>
        </r>
      </text>
    </comment>
    <comment ref="M59" authorId="0" shapeId="0" xr:uid="{00000000-0006-0000-0000-000008050000}">
      <text>
        <r>
          <rPr>
            <sz val="11"/>
            <color theme="1"/>
            <rFont val="Calibri"/>
            <family val="2"/>
            <scheme val="minor"/>
          </rPr>
          <t>======
ID#AAABDDKrPSw
Gavin Mudd    (2023-12-20 21:24:03)
average for proved &amp; probable reserves</t>
        </r>
      </text>
    </comment>
    <comment ref="T59" authorId="0" shapeId="0" xr:uid="{00000000-0006-0000-0000-000079010000}">
      <text>
        <r>
          <rPr>
            <sz val="11"/>
            <color theme="1"/>
            <rFont val="Calibri"/>
            <family val="2"/>
            <scheme val="minor"/>
          </rPr>
          <t>======
ID#AAABDDKrRFs
Gavin Mudd    (2023-12-20 21:24:04)
average for proved &amp; probable reserves</t>
        </r>
      </text>
    </comment>
    <comment ref="U59" authorId="0" shapeId="0" xr:uid="{00000000-0006-0000-0000-00006C050000}">
      <text>
        <r>
          <rPr>
            <sz val="11"/>
            <color theme="1"/>
            <rFont val="Calibri"/>
            <family val="2"/>
            <scheme val="minor"/>
          </rPr>
          <t>======
ID#AAABDDKrPFk
Gavin Mudd    (2023-12-20 21:24:03)
average for proved &amp; probable reserves</t>
        </r>
      </text>
    </comment>
    <comment ref="V59" authorId="0" shapeId="0" xr:uid="{00000000-0006-0000-0000-000086020000}">
      <text>
        <r>
          <rPr>
            <sz val="11"/>
            <color theme="1"/>
            <rFont val="Calibri"/>
            <family val="2"/>
            <scheme val="minor"/>
          </rPr>
          <t>======
ID#AAABDDKrQk0
Gavin Mudd    (2023-12-20 21:24:04)
average for proved &amp; probable reserves</t>
        </r>
      </text>
    </comment>
    <comment ref="AH59" authorId="0" shapeId="0" xr:uid="{00000000-0006-0000-0000-00008F000000}">
      <text>
        <r>
          <rPr>
            <sz val="11"/>
            <color theme="1"/>
            <rFont val="Calibri"/>
            <family val="2"/>
            <scheme val="minor"/>
          </rPr>
          <t>======
ID#AAABDDKrRkI
Gavin Mudd    (2023-12-20 21:24:04)
average for proved &amp; probable reserves</t>
        </r>
      </text>
    </comment>
    <comment ref="AO59" authorId="0" shapeId="0" xr:uid="{00000000-0006-0000-0000-0000F4030000}">
      <text>
        <r>
          <rPr>
            <sz val="11"/>
            <color theme="1"/>
            <rFont val="Calibri"/>
            <family val="2"/>
            <scheme val="minor"/>
          </rPr>
          <t>======
ID#AAABDDKrP2A
Gavin Mudd    (2023-12-20 21:24:03)
average for proved &amp; probable reserves</t>
        </r>
      </text>
    </comment>
    <comment ref="AP59" authorId="0" shapeId="0" xr:uid="{00000000-0006-0000-0000-000081000000}">
      <text>
        <r>
          <rPr>
            <sz val="11"/>
            <color theme="1"/>
            <rFont val="Calibri"/>
            <family val="2"/>
            <scheme val="minor"/>
          </rPr>
          <t>======
ID#AAABDDKrRlU
Gavin Mudd    (2023-12-20 21:24:04)
average for proved &amp; probable reserves</t>
        </r>
      </text>
    </comment>
    <comment ref="AQ59" authorId="0" shapeId="0" xr:uid="{00000000-0006-0000-0000-00008D000000}">
      <text>
        <r>
          <rPr>
            <sz val="11"/>
            <color theme="1"/>
            <rFont val="Calibri"/>
            <family val="2"/>
            <scheme val="minor"/>
          </rPr>
          <t>======
ID#AAABDDKrRkM
Gavin Mudd    (2023-12-20 21:24:04)
average for proved &amp; probable reserves</t>
        </r>
      </text>
    </comment>
    <comment ref="BC59" authorId="0" shapeId="0" xr:uid="{00000000-0006-0000-0000-000072010000}">
      <text>
        <r>
          <rPr>
            <sz val="11"/>
            <color theme="1"/>
            <rFont val="Calibri"/>
            <family val="2"/>
            <scheme val="minor"/>
          </rPr>
          <t>======
ID#AAABDDKrRGs
Gavin Mudd    (2023-12-20 21:24:04)
average for proved &amp; probable reserves</t>
        </r>
      </text>
    </comment>
    <comment ref="BJ59" authorId="0" shapeId="0" xr:uid="{00000000-0006-0000-0000-0000CC020000}">
      <text>
        <r>
          <rPr>
            <sz val="11"/>
            <color theme="1"/>
            <rFont val="Calibri"/>
            <family val="2"/>
            <scheme val="minor"/>
          </rPr>
          <t>======
ID#AAABDDKrQcY
Gavin Mudd    (2023-12-20 21:24:03)
average for proved &amp; probable reserves</t>
        </r>
      </text>
    </comment>
    <comment ref="BK59" authorId="0" shapeId="0" xr:uid="{00000000-0006-0000-0000-000025000000}">
      <text>
        <r>
          <rPr>
            <sz val="11"/>
            <color theme="1"/>
            <rFont val="Calibri"/>
            <family val="2"/>
            <scheme val="minor"/>
          </rPr>
          <t>======
ID#AAABDDKrRxw
Gavin Mudd    (2023-12-20 21:24:04)
average for proved &amp; probable reserves</t>
        </r>
      </text>
    </comment>
    <comment ref="BL59" authorId="0" shapeId="0" xr:uid="{00000000-0006-0000-0000-0000C9040000}">
      <text>
        <r>
          <rPr>
            <sz val="11"/>
            <color theme="1"/>
            <rFont val="Calibri"/>
            <family val="2"/>
            <scheme val="minor"/>
          </rPr>
          <t>======
ID#AAABDDKrPa0
Gavin Mudd    (2023-12-20 21:24:03)
average for proved &amp; probable reserves</t>
        </r>
      </text>
    </comment>
    <comment ref="CR59" authorId="0" shapeId="0" xr:uid="{00000000-0006-0000-0000-0000CD010000}">
      <text>
        <r>
          <rPr>
            <sz val="11"/>
            <color theme="1"/>
            <rFont val="Calibri"/>
            <family val="2"/>
            <scheme val="minor"/>
          </rPr>
          <t>======
ID#AAABDDKrQ60
Gavin Mudd    (2023-12-20 21:24:04)
average for proved &amp; probable reserves</t>
        </r>
      </text>
    </comment>
    <comment ref="CS59" authorId="0" shapeId="0" xr:uid="{00000000-0006-0000-0000-0000B9050000}">
      <text>
        <r>
          <rPr>
            <sz val="11"/>
            <color theme="1"/>
            <rFont val="Calibri"/>
            <family val="2"/>
            <scheme val="minor"/>
          </rPr>
          <t>======
ID#AAABDDKrO8A
Gavin Mudd    (2023-12-20 21:24:03)
average for proved &amp; probable reserves</t>
        </r>
      </text>
    </comment>
    <comment ref="CZ59" authorId="0" shapeId="0" xr:uid="{00000000-0006-0000-0000-0000D2010000}">
      <text>
        <r>
          <rPr>
            <sz val="11"/>
            <color theme="1"/>
            <rFont val="Calibri"/>
            <family val="2"/>
            <scheme val="minor"/>
          </rPr>
          <t>======
ID#AAABDDKrQ6Q
Gavin Mudd    (2023-12-20 21:24:04)
average for proved &amp; probable reserves</t>
        </r>
      </text>
    </comment>
    <comment ref="DA59" authorId="0" shapeId="0" xr:uid="{00000000-0006-0000-0000-00001B000000}">
      <text>
        <r>
          <rPr>
            <sz val="11"/>
            <color theme="1"/>
            <rFont val="Calibri"/>
            <family val="2"/>
            <scheme val="minor"/>
          </rPr>
          <t>======
ID#AAABDDKrRzI
Gavin Mudd    (2023-12-20 21:24:04)
average for proved &amp; probable reserves</t>
        </r>
      </text>
    </comment>
    <comment ref="DB59" authorId="0" shapeId="0" xr:uid="{00000000-0006-0000-0000-0000C4040000}">
      <text>
        <r>
          <rPr>
            <sz val="11"/>
            <color theme="1"/>
            <rFont val="Calibri"/>
            <family val="2"/>
            <scheme val="minor"/>
          </rPr>
          <t>======
ID#AAABDDKrPbg
Gavin Mudd    (2023-12-20 21:24:03)
average for proved &amp; probable reserves</t>
        </r>
      </text>
    </comment>
    <comment ref="C60" authorId="0" shapeId="0" xr:uid="{00000000-0006-0000-0000-000080000000}">
      <text>
        <r>
          <rPr>
            <sz val="11"/>
            <color theme="1"/>
            <rFont val="Calibri"/>
            <family val="2"/>
            <scheme val="minor"/>
          </rPr>
          <t>======
ID#AAABDDKrRlg
Gavin Mudd    (2023-12-20 21:24:04)
also reported to contain rare earths, vanadium, lithium and scandium</t>
        </r>
      </text>
    </comment>
    <comment ref="BA61" authorId="0" shapeId="0" xr:uid="{00000000-0006-0000-0000-00007D000000}">
      <text>
        <r>
          <rPr>
            <sz val="11"/>
            <color theme="1"/>
            <rFont val="Calibri"/>
            <family val="2"/>
            <scheme val="minor"/>
          </rPr>
          <t>======
ID#AAABDDKrRlo
Gavin Mudd    (2023-12-20 21:24:04)
historical data, not code-compliant</t>
        </r>
      </text>
    </comment>
    <comment ref="BI61" authorId="0" shapeId="0" xr:uid="{00000000-0006-0000-0000-0000E7010000}">
      <text>
        <r>
          <rPr>
            <sz val="11"/>
            <color theme="1"/>
            <rFont val="Calibri"/>
            <family val="2"/>
            <scheme val="minor"/>
          </rPr>
          <t>======
ID#AAABDDKrQ3Y
Gavin Mudd    (2023-12-20 21:24:04)
historical data, not code-compliant</t>
        </r>
      </text>
    </comment>
    <comment ref="BA62" authorId="0" shapeId="0" xr:uid="{00000000-0006-0000-0000-00001C040000}">
      <text>
        <r>
          <rPr>
            <sz val="11"/>
            <color theme="1"/>
            <rFont val="Calibri"/>
            <family val="2"/>
            <scheme val="minor"/>
          </rPr>
          <t>======
ID#AAABDDKrPwc
Gavin Mudd    (2023-12-20 21:24:03)
2011 data minus 2012 mining; site closed early 2013 ...</t>
        </r>
      </text>
    </comment>
    <comment ref="BJ62" authorId="0" shapeId="0" xr:uid="{00000000-0006-0000-0000-00007A040000}">
      <text>
        <r>
          <rPr>
            <sz val="11"/>
            <color theme="1"/>
            <rFont val="Calibri"/>
            <family val="2"/>
            <scheme val="minor"/>
          </rPr>
          <t>======
ID#AAABDDKrPlk
Gavin Mudd    (2023-12-20 21:24:03)
data from Berger et al (2011)</t>
        </r>
      </text>
    </comment>
    <comment ref="BA64" authorId="0" shapeId="0" xr:uid="{00000000-0006-0000-0000-00006D050000}">
      <text>
        <r>
          <rPr>
            <sz val="11"/>
            <color theme="1"/>
            <rFont val="Calibri"/>
            <family val="2"/>
            <scheme val="minor"/>
          </rPr>
          <t>======
ID#AAABDDKrPFs
Gavin Mudd    (2023-12-20 21:24:03)
only total resources reported, assumed as inferred</t>
        </r>
      </text>
    </comment>
    <comment ref="K66" authorId="0" shapeId="0" xr:uid="{00000000-0006-0000-0000-0000F6000000}">
      <text>
        <r>
          <rPr>
            <sz val="11"/>
            <color theme="1"/>
            <rFont val="Calibri"/>
            <family val="2"/>
            <scheme val="minor"/>
          </rPr>
          <t>======
ID#AAABDDKrRWs
Gavin Mudd    (2023-12-20 21:24:04)
only total measured &amp; indicated resources reported</t>
        </r>
      </text>
    </comment>
    <comment ref="AF66" authorId="0" shapeId="0" xr:uid="{00000000-0006-0000-0000-000045010000}">
      <text>
        <r>
          <rPr>
            <sz val="11"/>
            <color theme="1"/>
            <rFont val="Calibri"/>
            <family val="2"/>
            <scheme val="minor"/>
          </rPr>
          <t>======
ID#AAABDDKrRMg
Gavin Mudd    (2023-12-20 21:24:04)
only total measured &amp; indicated resources reported</t>
        </r>
      </text>
    </comment>
    <comment ref="AN66" authorId="0" shapeId="0" xr:uid="{00000000-0006-0000-0000-000056010000}">
      <text>
        <r>
          <rPr>
            <sz val="11"/>
            <color theme="1"/>
            <rFont val="Calibri"/>
            <family val="2"/>
            <scheme val="minor"/>
          </rPr>
          <t>======
ID#AAABDDKrRKQ
Gavin Mudd    (2023-12-20 21:24:04)
only total measured &amp; indicated resources reported</t>
        </r>
      </text>
    </comment>
    <comment ref="AV66" authorId="0" shapeId="0" xr:uid="{00000000-0006-0000-0000-00008D020000}">
      <text>
        <r>
          <rPr>
            <sz val="11"/>
            <color theme="1"/>
            <rFont val="Calibri"/>
            <family val="2"/>
            <scheme val="minor"/>
          </rPr>
          <t>======
ID#AAABDDKrQkA
Gavin Mudd    (2023-12-20 21:24:04)
only total measured &amp; indicated resources reported</t>
        </r>
      </text>
    </comment>
    <comment ref="BA66" authorId="0" shapeId="0" xr:uid="{00000000-0006-0000-0000-0000F6050000}">
      <text>
        <r>
          <rPr>
            <sz val="11"/>
            <color theme="1"/>
            <rFont val="Calibri"/>
            <family val="2"/>
            <scheme val="minor"/>
          </rPr>
          <t>======
ID#AAABCyJQh8g
Gavin Mudd    (2023-12-20 21:24:02)
only total measured &amp; indicated resources reported</t>
        </r>
      </text>
    </comment>
    <comment ref="BI66" authorId="0" shapeId="0" xr:uid="{00000000-0006-0000-0000-0000A4010000}">
      <text>
        <r>
          <rPr>
            <sz val="11"/>
            <color theme="1"/>
            <rFont val="Calibri"/>
            <family val="2"/>
            <scheme val="minor"/>
          </rPr>
          <t>======
ID#AAABDDKrQ_4
Gavin Mudd    (2023-12-20 21:24:04)
only total measured &amp; indicated resources reported</t>
        </r>
      </text>
    </comment>
    <comment ref="BQ66" authorId="0" shapeId="0" xr:uid="{00000000-0006-0000-0000-0000C9010000}">
      <text>
        <r>
          <rPr>
            <sz val="11"/>
            <color theme="1"/>
            <rFont val="Calibri"/>
            <family val="2"/>
            <scheme val="minor"/>
          </rPr>
          <t>======
ID#AAABDDKrQ7I
Gavin Mudd    (2023-12-20 21:24:04)
only total measured &amp; indicated resources reported</t>
        </r>
      </text>
    </comment>
    <comment ref="CQ66" authorId="0" shapeId="0" xr:uid="{00000000-0006-0000-0000-000060060000}">
      <text>
        <r>
          <rPr>
            <sz val="11"/>
            <color theme="1"/>
            <rFont val="Calibri"/>
            <family val="2"/>
            <scheme val="minor"/>
          </rPr>
          <t>======
ID#AAABCyJQhww
Gavin Mudd    (2023-12-20 21:24:02)
total of proved and probable reserves</t>
        </r>
      </text>
    </comment>
    <comment ref="CY66" authorId="0" shapeId="0" xr:uid="{00000000-0006-0000-0000-00005C060000}">
      <text>
        <r>
          <rPr>
            <sz val="11"/>
            <color theme="1"/>
            <rFont val="Calibri"/>
            <family val="2"/>
            <scheme val="minor"/>
          </rPr>
          <t>======
ID#AAABCyJQhxM
Gavin Mudd    (2023-12-20 21:24:02)
total of proved and probable reserves</t>
        </r>
      </text>
    </comment>
    <comment ref="DG66" authorId="0" shapeId="0" xr:uid="{00000000-0006-0000-0000-000069030000}">
      <text>
        <r>
          <rPr>
            <sz val="11"/>
            <color theme="1"/>
            <rFont val="Calibri"/>
            <family val="2"/>
            <scheme val="minor"/>
          </rPr>
          <t>======
ID#AAABDDKrQKg
Gavin Mudd    (2023-12-20 21:24:03)
total of proved and probable reserves</t>
        </r>
      </text>
    </comment>
    <comment ref="BA67" authorId="0" shapeId="0" xr:uid="{00000000-0006-0000-0000-0000BE000000}">
      <text>
        <r>
          <rPr>
            <sz val="11"/>
            <color theme="1"/>
            <rFont val="Calibri"/>
            <family val="2"/>
            <scheme val="minor"/>
          </rPr>
          <t>======
ID#AAABDDKrRdw
Gavin Mudd    (2023-12-20 21:24:04)
historic resources (non-compliant with NI43-101) - hence all data allocated as inferred resources only</t>
        </r>
      </text>
    </comment>
    <comment ref="BI67" authorId="0" shapeId="0" xr:uid="{00000000-0006-0000-0000-0000FF000000}">
      <text>
        <r>
          <rPr>
            <sz val="11"/>
            <color theme="1"/>
            <rFont val="Calibri"/>
            <family val="2"/>
            <scheme val="minor"/>
          </rPr>
          <t>======
ID#AAABDDKrRVw
Gavin Mudd    (2023-12-20 21:24:04)
historic resources (non-compliant with NI43-101) - hence all data allocated as inferred resources only</t>
        </r>
      </text>
    </comment>
    <comment ref="BA69" authorId="0" shapeId="0" xr:uid="{00000000-0006-0000-0000-0000AD050000}">
      <text>
        <r>
          <rPr>
            <sz val="11"/>
            <color theme="1"/>
            <rFont val="Calibri"/>
            <family val="2"/>
            <scheme val="minor"/>
          </rPr>
          <t>======
ID#AAABDDKrO9Y
Gavin Mudd    (2023-12-20 21:24:03)
historic resources (non-compliant with NI43-101) - hence all data allocated as inferred resources only</t>
        </r>
      </text>
    </comment>
    <comment ref="BA71" authorId="0" shapeId="0" xr:uid="{00000000-0006-0000-0000-000006050000}">
      <text>
        <r>
          <rPr>
            <sz val="11"/>
            <color theme="1"/>
            <rFont val="Calibri"/>
            <family val="2"/>
            <scheme val="minor"/>
          </rPr>
          <t>======
ID#AAABDDKrPTM
Gavin Mudd    (2023-12-20 21:24:03)
code basis unclear, assumed as inferred, non-code compliant</t>
        </r>
      </text>
    </comment>
    <comment ref="BI71" authorId="0" shapeId="0" xr:uid="{00000000-0006-0000-0000-000042040000}">
      <text>
        <r>
          <rPr>
            <sz val="11"/>
            <color theme="1"/>
            <rFont val="Calibri"/>
            <family val="2"/>
            <scheme val="minor"/>
          </rPr>
          <t>======
ID#AAABDDKrPsE
Gavin Mudd    (2023-12-20 21:24:03)
code basis unclear, assumed as inferred, non-code compliant</t>
        </r>
      </text>
    </comment>
    <comment ref="K72" authorId="0" shapeId="0" xr:uid="{00000000-0006-0000-0000-00004F050000}">
      <text>
        <r>
          <rPr>
            <sz val="11"/>
            <color theme="1"/>
            <rFont val="Calibri"/>
            <family val="2"/>
            <scheme val="minor"/>
          </rPr>
          <t>======
ID#AAABDDKrPKI
Gavin Mudd    (2023-12-20 21:24:03)
only total measured &amp; indicated resources reported</t>
        </r>
      </text>
    </comment>
    <comment ref="AF72" authorId="0" shapeId="0" xr:uid="{00000000-0006-0000-0000-0000BD040000}">
      <text>
        <r>
          <rPr>
            <sz val="11"/>
            <color theme="1"/>
            <rFont val="Calibri"/>
            <family val="2"/>
            <scheme val="minor"/>
          </rPr>
          <t>======
ID#AAABDDKrPcU
Gavin Mudd    (2023-12-20 21:24:03)
only total measured &amp; indicated resources reported
- this is the original 2010 estimate and does not account for mining since this time</t>
        </r>
      </text>
    </comment>
    <comment ref="AN72" authorId="0" shapeId="0" xr:uid="{00000000-0006-0000-0000-0000B5040000}">
      <text>
        <r>
          <rPr>
            <sz val="11"/>
            <color theme="1"/>
            <rFont val="Calibri"/>
            <family val="2"/>
            <scheme val="minor"/>
          </rPr>
          <t>======
ID#AAABDDKrPdg
Gavin Mudd    (2023-12-20 21:24:03)
only total measured &amp; indicated resources reported</t>
        </r>
      </text>
    </comment>
    <comment ref="AV72" authorId="0" shapeId="0" xr:uid="{00000000-0006-0000-0000-00006C060000}">
      <text>
        <r>
          <rPr>
            <sz val="11"/>
            <color theme="1"/>
            <rFont val="Calibri"/>
            <family val="2"/>
            <scheme val="minor"/>
          </rPr>
          <t>======
ID#AAABCyJQhvw
Gavin Mudd    (2023-12-20 21:24:01)
only total measured &amp; indicated resources reported</t>
        </r>
      </text>
    </comment>
    <comment ref="BA72" authorId="0" shapeId="0" xr:uid="{00000000-0006-0000-0000-000067050000}">
      <text>
        <r>
          <rPr>
            <sz val="11"/>
            <color theme="1"/>
            <rFont val="Calibri"/>
            <family val="2"/>
            <scheme val="minor"/>
          </rPr>
          <t>======
ID#AAABDDKrPGI
Gavin Mudd    (2023-12-20 21:24:03)
only total measured &amp; indicated resources reported</t>
        </r>
      </text>
    </comment>
    <comment ref="BV72" authorId="0" shapeId="0" xr:uid="{00000000-0006-0000-0000-000017050000}">
      <text>
        <r>
          <rPr>
            <sz val="11"/>
            <color theme="1"/>
            <rFont val="Calibri"/>
            <family val="2"/>
            <scheme val="minor"/>
          </rPr>
          <t>======
ID#AAABDDKrPQc
Gavin Mudd    (2023-12-20 21:24:03)
only total measured &amp; indicated resources reported</t>
        </r>
      </text>
    </comment>
    <comment ref="CQ72" authorId="0" shapeId="0" xr:uid="{00000000-0006-0000-0000-000058010000}">
      <text>
        <r>
          <rPr>
            <sz val="11"/>
            <color theme="1"/>
            <rFont val="Calibri"/>
            <family val="2"/>
            <scheme val="minor"/>
          </rPr>
          <t>======
ID#AAABDDKrRJ8
Gavin Mudd    (2023-12-20 21:24:04)
only total measured &amp; indicated resources reported</t>
        </r>
      </text>
    </comment>
    <comment ref="H73" authorId="0" shapeId="0" xr:uid="{00000000-0006-0000-0000-000066020000}">
      <text>
        <r>
          <rPr>
            <sz val="11"/>
            <color theme="1"/>
            <rFont val="Calibri"/>
            <family val="2"/>
            <scheme val="minor"/>
          </rPr>
          <t>======
ID#AAABDDKrQoQ
Gavin Mudd    (2023-12-20 21:24:04)
previously held by Clifton Star Resources</t>
        </r>
      </text>
    </comment>
    <comment ref="BA73" authorId="0" shapeId="0" xr:uid="{00000000-0006-0000-0000-00009C040000}">
      <text>
        <r>
          <rPr>
            <sz val="11"/>
            <color theme="1"/>
            <rFont val="Calibri"/>
            <family val="2"/>
            <scheme val="minor"/>
          </rPr>
          <t>======
ID#AAABDDKrPhA
Gavin Mudd    (2023-12-20 21:24:03)
historic resources (non-compliant with NI43-101) - hence all data allocated as inferred resources only</t>
        </r>
      </text>
    </comment>
    <comment ref="AO74" authorId="0" shapeId="0" xr:uid="{00000000-0006-0000-0000-0000DE050000}">
      <text>
        <r>
          <rPr>
            <sz val="11"/>
            <color theme="1"/>
            <rFont val="Calibri"/>
            <family val="2"/>
            <scheme val="minor"/>
          </rPr>
          <t>======
ID#AAABCyJQh_c
Gavin Mudd    (2023-12-20 21:24:02)
value from Barnes (2006)</t>
        </r>
      </text>
    </comment>
    <comment ref="BA76" authorId="0" shapeId="0" xr:uid="{00000000-0006-0000-0000-000035010000}">
      <text>
        <r>
          <rPr>
            <sz val="11"/>
            <color theme="1"/>
            <rFont val="Calibri"/>
            <family val="2"/>
            <scheme val="minor"/>
          </rPr>
          <t>======
ID#AAABDDKrROs
Gavin Mudd    (2023-12-20 21:24:04)
historic resources (non-compliant with NI43-101) - hence all data allocated as inferred resources only</t>
        </r>
      </text>
    </comment>
    <comment ref="BI76" authorId="0" shapeId="0" xr:uid="{00000000-0006-0000-0000-00000E020000}">
      <text>
        <r>
          <rPr>
            <sz val="11"/>
            <color theme="1"/>
            <rFont val="Calibri"/>
            <family val="2"/>
            <scheme val="minor"/>
          </rPr>
          <t>======
ID#AAABDDKrQys
Gavin Mudd    (2023-12-20 21:24:04)
historic resources (non-compliant with NI43-101) - hence all data allocated as inferred resources only</t>
        </r>
      </text>
    </comment>
    <comment ref="BJ76" authorId="0" shapeId="0" xr:uid="{00000000-0006-0000-0000-000060040000}">
      <text>
        <r>
          <rPr>
            <sz val="11"/>
            <color theme="1"/>
            <rFont val="Calibri"/>
            <family val="2"/>
            <scheme val="minor"/>
          </rPr>
          <t>======
ID#AAABDDKrPos
Gavin Mudd    (2023-12-20 21:24:03)
historic resources (non-compliant with NI43-101) - hence all data allocated as inferred resources only</t>
        </r>
      </text>
    </comment>
    <comment ref="BJ77" authorId="0" shapeId="0" xr:uid="{00000000-0006-0000-0000-000057030000}">
      <text>
        <r>
          <rPr>
            <sz val="11"/>
            <color theme="1"/>
            <rFont val="Calibri"/>
            <family val="2"/>
            <scheme val="minor"/>
          </rPr>
          <t>======
ID#AAABDDKrQM4
Gavin Mudd    (2023-12-20 21:24:03)
data from Boyd et al (2016)</t>
        </r>
      </text>
    </comment>
    <comment ref="DP78" authorId="0" shapeId="0" xr:uid="{00000000-0006-0000-0000-0000DD020000}">
      <text>
        <r>
          <rPr>
            <sz val="11"/>
            <color theme="1"/>
            <rFont val="Calibri"/>
            <family val="2"/>
            <scheme val="minor"/>
          </rPr>
          <t>======
ID#AAABDDKrQao
Gavin Mudd    (2023-12-20 21:24:03)
data from Aquarius Platinum Ltd</t>
        </r>
      </text>
    </comment>
    <comment ref="H79" authorId="0" shapeId="0" xr:uid="{00000000-0006-0000-0000-000079040000}">
      <text>
        <r>
          <rPr>
            <sz val="11"/>
            <color theme="1"/>
            <rFont val="Calibri"/>
            <family val="2"/>
            <scheme val="minor"/>
          </rPr>
          <t>======
ID#AAABDDKrPlw
Gavin Mudd    (2023-12-20 21:24:03)
previously held by Lisungwe Resources Plc</t>
        </r>
      </text>
    </comment>
    <comment ref="DP79" authorId="0" shapeId="0" xr:uid="{00000000-0006-0000-0000-00009F030000}">
      <text>
        <r>
          <rPr>
            <sz val="11"/>
            <color theme="1"/>
            <rFont val="Calibri"/>
            <family val="2"/>
            <scheme val="minor"/>
          </rPr>
          <t>======
ID#AAABDDKrQBM
Gavin Mudd    (2023-12-20 21:24:03)
data from Lisungwe Resources Plc</t>
        </r>
      </text>
    </comment>
    <comment ref="H80" authorId="0" shapeId="0" xr:uid="{00000000-0006-0000-0000-00007D030000}">
      <text>
        <r>
          <rPr>
            <sz val="11"/>
            <color theme="1"/>
            <rFont val="Calibri"/>
            <family val="2"/>
            <scheme val="minor"/>
          </rPr>
          <t>======
ID#AAABDDKrQF4
Gavin Mudd    (2023-12-20 21:24:03)
previously held by CAMEC (Central African Mining &amp; Exploration Company Plc)</t>
        </r>
      </text>
    </comment>
    <comment ref="DP80" authorId="0" shapeId="0" xr:uid="{00000000-0006-0000-0000-00007D050000}">
      <text>
        <r>
          <rPr>
            <sz val="11"/>
            <color theme="1"/>
            <rFont val="Calibri"/>
            <family val="2"/>
            <scheme val="minor"/>
          </rPr>
          <t>======
ID#AAABDDKrPDE
Gavin Mudd    (2023-12-20 21:24:03)
data from CAMEC (Central African Mining &amp; Exploration Company Plc)</t>
        </r>
      </text>
    </comment>
    <comment ref="BA81" authorId="0" shapeId="0" xr:uid="{00000000-0006-0000-0000-000022050000}">
      <text>
        <r>
          <rPr>
            <sz val="11"/>
            <color theme="1"/>
            <rFont val="Calibri"/>
            <family val="2"/>
            <scheme val="minor"/>
          </rPr>
          <t>======
ID#AAABDDKrPPQ
Gavin Mudd    (2023-12-20 21:24:03)
historic resources (non-compliant with NI43-101) - hence all data allocated as inferred resources only</t>
        </r>
      </text>
    </comment>
    <comment ref="BI81" authorId="0" shapeId="0" xr:uid="{00000000-0006-0000-0000-0000AE010000}">
      <text>
        <r>
          <rPr>
            <sz val="11"/>
            <color theme="1"/>
            <rFont val="Calibri"/>
            <family val="2"/>
            <scheme val="minor"/>
          </rPr>
          <t>======
ID#AAABDDKrQ-w
Gavin Mudd    (2023-12-20 21:24:04)
historic resources (non-compliant with NI43-101) - hence all data allocated as inferred resources only</t>
        </r>
      </text>
    </comment>
    <comment ref="BJ81" authorId="0" shapeId="0" xr:uid="{00000000-0006-0000-0000-0000EF020000}">
      <text>
        <r>
          <rPr>
            <sz val="11"/>
            <color theme="1"/>
            <rFont val="Calibri"/>
            <family val="2"/>
            <scheme val="minor"/>
          </rPr>
          <t>======
ID#AAABDDKrQYY
Gavin Mudd    (2023-12-20 21:24:03)
data from Prof. Sokol Mati</t>
        </r>
      </text>
    </comment>
    <comment ref="K82" authorId="0" shapeId="0" xr:uid="{00000000-0006-0000-0000-000005050000}">
      <text>
        <r>
          <rPr>
            <sz val="11"/>
            <color theme="1"/>
            <rFont val="Calibri"/>
            <family val="2"/>
            <scheme val="minor"/>
          </rPr>
          <t>======
ID#AAABDDKrPTU
Gavin Mudd    (2023-12-20 21:24:03)
assumes approximate average moisture content of 20% (from Tech Rep)</t>
        </r>
      </text>
    </comment>
    <comment ref="AF82" authorId="0" shapeId="0" xr:uid="{00000000-0006-0000-0000-000046020000}">
      <text>
        <r>
          <rPr>
            <sz val="11"/>
            <color theme="1"/>
            <rFont val="Calibri"/>
            <family val="2"/>
            <scheme val="minor"/>
          </rPr>
          <t>======
ID#AAABDDKrQsU
Gavin Mudd    (2023-12-20 21:24:04)
assumes approximate average moisture content of 20% (from Tech Rep)</t>
        </r>
      </text>
    </comment>
    <comment ref="BA82" authorId="0" shapeId="0" xr:uid="{00000000-0006-0000-0000-0000D5000000}">
      <text>
        <r>
          <rPr>
            <sz val="11"/>
            <color theme="1"/>
            <rFont val="Calibri"/>
            <family val="2"/>
            <scheme val="minor"/>
          </rPr>
          <t>======
ID#AAABDDKrRbA
Gavin Mudd    (2023-12-20 21:24:04)
assumes approximate average moisture content of 20% (from Tech Rep)</t>
        </r>
      </text>
    </comment>
    <comment ref="H84" authorId="0" shapeId="0" xr:uid="{00000000-0006-0000-0000-000072030000}">
      <text>
        <r>
          <rPr>
            <sz val="11"/>
            <color theme="1"/>
            <rFont val="Calibri"/>
            <family val="2"/>
            <scheme val="minor"/>
          </rPr>
          <t>======
ID#AAABDDKrQIs
Gavin Mudd    (2023-12-20 21:24:03)
recently filed for bankruptcy protection</t>
        </r>
      </text>
    </comment>
    <comment ref="K84" authorId="0" shapeId="0" xr:uid="{00000000-0006-0000-0000-000038040000}">
      <text>
        <r>
          <rPr>
            <sz val="11"/>
            <color theme="1"/>
            <rFont val="Calibri"/>
            <family val="2"/>
            <scheme val="minor"/>
          </rPr>
          <t>======
ID#AAABDDKrPtg
Gavin Mudd    (2023-12-20 21:24:03)
uses nodule wet moisture content of 44% (from Tech. Rep.)</t>
        </r>
      </text>
    </comment>
    <comment ref="AF84" authorId="0" shapeId="0" xr:uid="{00000000-0006-0000-0000-00002B040000}">
      <text>
        <r>
          <rPr>
            <sz val="11"/>
            <color theme="1"/>
            <rFont val="Calibri"/>
            <family val="2"/>
            <scheme val="minor"/>
          </rPr>
          <t>======
ID#AAABDDKrPus
Gavin Mudd    (2023-12-20 21:24:03)
uses nodule wet moisture content of 44% (from Tech. Rep.)</t>
        </r>
      </text>
    </comment>
    <comment ref="BA84" authorId="0" shapeId="0" xr:uid="{00000000-0006-0000-0000-0000BC000000}">
      <text>
        <r>
          <rPr>
            <sz val="11"/>
            <color theme="1"/>
            <rFont val="Calibri"/>
            <family val="2"/>
            <scheme val="minor"/>
          </rPr>
          <t>======
ID#AAABDDKrRd8
Gavin Mudd    (2023-12-20 21:24:04)
uses nodule wet moisture content of 44% (from Tech. Rep.)</t>
        </r>
      </text>
    </comment>
    <comment ref="BJ89" authorId="0" shapeId="0" xr:uid="{00000000-0006-0000-0000-0000B2030000}">
      <text>
        <r>
          <rPr>
            <sz val="11"/>
            <color theme="1"/>
            <rFont val="Calibri"/>
            <family val="2"/>
            <scheme val="minor"/>
          </rPr>
          <t>======
ID#AAABDDKrP_I
Gavin Mudd    (2023-12-20 21:24:03)
data from WA MINEDEX</t>
        </r>
      </text>
    </comment>
    <comment ref="H98" authorId="0" shapeId="0" xr:uid="{00000000-0006-0000-0000-000054060000}">
      <text>
        <r>
          <rPr>
            <sz val="11"/>
            <color theme="1"/>
            <rFont val="Calibri"/>
            <family val="2"/>
            <scheme val="minor"/>
          </rPr>
          <t>======
ID#AAABCyJQhx4
Author    (2023-12-20 21:24:02)
formerly Nevoro, which became Starfield Resources - now bankrupt</t>
        </r>
      </text>
    </comment>
    <comment ref="BA98" authorId="0" shapeId="0" xr:uid="{00000000-0006-0000-0000-0000EB040000}">
      <text>
        <r>
          <rPr>
            <sz val="11"/>
            <color theme="1"/>
            <rFont val="Calibri"/>
            <family val="2"/>
            <scheme val="minor"/>
          </rPr>
          <t>======
ID#AAABDDKrPW8
Gavin Mudd    (2023-12-20 21:24:03)
historic resources (non-compliant with NI43-101) - hence all data allocated as inferred resources only</t>
        </r>
      </text>
    </comment>
    <comment ref="BB98" authorId="0" shapeId="0" xr:uid="{00000000-0006-0000-0000-000020000000}">
      <text>
        <r>
          <rPr>
            <sz val="11"/>
            <color theme="1"/>
            <rFont val="Calibri"/>
            <family val="2"/>
            <scheme val="minor"/>
          </rPr>
          <t>======
ID#AAABDDKrRys
Gavin Mudd    (2023-12-20 21:24:04)
historic resources (non-compliant with NI43-101) - hence all data allocated as inferred resources only</t>
        </r>
      </text>
    </comment>
    <comment ref="BI98" authorId="0" shapeId="0" xr:uid="{00000000-0006-0000-0000-000060030000}">
      <text>
        <r>
          <rPr>
            <sz val="11"/>
            <color theme="1"/>
            <rFont val="Calibri"/>
            <family val="2"/>
            <scheme val="minor"/>
          </rPr>
          <t>======
ID#AAABDDKrQLs
Gavin Mudd    (2023-12-20 21:24:03)
historic resources (non-compliant with NI43-101) - hence all data allocated as inferred resources only</t>
        </r>
      </text>
    </comment>
    <comment ref="DP98" authorId="0" shapeId="0" xr:uid="{00000000-0006-0000-0000-00008A050000}">
      <text>
        <r>
          <rPr>
            <sz val="11"/>
            <color theme="1"/>
            <rFont val="Calibri"/>
            <family val="2"/>
            <scheme val="minor"/>
          </rPr>
          <t>======
ID#AAABDDKrPBw
Author    (2023-12-20 21:24:03)
data from Nevoro, which became Starfield Resources - now bankrupt</t>
        </r>
      </text>
    </comment>
    <comment ref="H100" authorId="0" shapeId="0" xr:uid="{00000000-0006-0000-0000-00004A030000}">
      <text>
        <r>
          <rPr>
            <sz val="11"/>
            <color theme="1"/>
            <rFont val="Calibri"/>
            <family val="2"/>
            <scheme val="minor"/>
          </rPr>
          <t>======
ID#AAABDDKrQOQ
Gavin Mudd    (2023-12-20 21:24:03)
Perilya Mines were taken over by Zhongjin Lingnan Nonfemet Company in Dec. 2013 ...</t>
        </r>
      </text>
    </comment>
    <comment ref="BA101" authorId="0" shapeId="0" xr:uid="{00000000-0006-0000-0000-000072040000}">
      <text>
        <r>
          <rPr>
            <sz val="11"/>
            <color theme="1"/>
            <rFont val="Calibri"/>
            <family val="2"/>
            <scheme val="minor"/>
          </rPr>
          <t>======
ID#AAABDDKrPnA
Gavin Mudd    (2023-12-20 21:24:03)
historical data, not code-compliant</t>
        </r>
      </text>
    </comment>
    <comment ref="BI101" authorId="0" shapeId="0" xr:uid="{00000000-0006-0000-0000-00008D030000}">
      <text>
        <r>
          <rPr>
            <sz val="11"/>
            <color theme="1"/>
            <rFont val="Calibri"/>
            <family val="2"/>
            <scheme val="minor"/>
          </rPr>
          <t>======
ID#AAABDDKrQDY
Gavin Mudd    (2023-12-20 21:24:03)
historical data, not code-compliant</t>
        </r>
      </text>
    </comment>
    <comment ref="H102" authorId="0" shapeId="0" xr:uid="{00000000-0006-0000-0000-0000FC030000}">
      <text>
        <r>
          <rPr>
            <sz val="11"/>
            <color theme="1"/>
            <rFont val="Calibri"/>
            <family val="2"/>
            <scheme val="minor"/>
          </rPr>
          <t>======
ID#AAABDDKrP04
Author    (2023-12-20 21:24:03)
formerly Blackstone Ventures, then Drake Resources</t>
        </r>
      </text>
    </comment>
    <comment ref="DP102" authorId="0" shapeId="0" xr:uid="{00000000-0006-0000-0000-0000CA050000}">
      <text>
        <r>
          <rPr>
            <sz val="11"/>
            <color theme="1"/>
            <rFont val="Calibri"/>
            <family val="2"/>
            <scheme val="minor"/>
          </rPr>
          <t>======
ID#AAABDDKrO58
Author    (2023-12-20 21:24:02)
data from Blackstone Ventures</t>
        </r>
      </text>
    </comment>
    <comment ref="H103" authorId="0" shapeId="0" xr:uid="{00000000-0006-0000-0000-000087040000}">
      <text>
        <r>
          <rPr>
            <sz val="11"/>
            <color theme="1"/>
            <rFont val="Calibri"/>
            <family val="2"/>
            <scheme val="minor"/>
          </rPr>
          <t>======
ID#AAABDDKrPkM
Gavin Mudd    (2023-12-20 21:24:03)
previously known as First Point Minerals Corp</t>
        </r>
      </text>
    </comment>
    <comment ref="H104" authorId="0" shapeId="0" xr:uid="{00000000-0006-0000-0000-000077040000}">
      <text>
        <r>
          <rPr>
            <sz val="11"/>
            <color theme="1"/>
            <rFont val="Calibri"/>
            <family val="2"/>
            <scheme val="minor"/>
          </rPr>
          <t>======
ID#AAABDDKrPmU
Gavin Mudd    (2023-12-20 21:24:03)
now part of Sibanye-Stillwater</t>
        </r>
      </text>
    </comment>
    <comment ref="AF104" authorId="0" shapeId="0" xr:uid="{00000000-0006-0000-0000-0000AB010000}">
      <text>
        <r>
          <rPr>
            <sz val="11"/>
            <color theme="1"/>
            <rFont val="Calibri"/>
            <family val="2"/>
            <scheme val="minor"/>
          </rPr>
          <t>======
ID#AAABDDKrQ-8
Gavin Mudd    (2023-12-20 21:24:04)
data from Wallbridge Mining</t>
        </r>
      </text>
    </comment>
    <comment ref="AG104" authorId="0" shapeId="0" xr:uid="{00000000-0006-0000-0000-00003D000000}">
      <text>
        <r>
          <rPr>
            <sz val="11"/>
            <color theme="1"/>
            <rFont val="Calibri"/>
            <family val="2"/>
            <scheme val="minor"/>
          </rPr>
          <t>======
ID#AAABDDKrRtc
Gavin Mudd    (2023-12-20 21:24:04)
data from Wallbridge Mining</t>
        </r>
      </text>
    </comment>
    <comment ref="AH104" authorId="0" shapeId="0" xr:uid="{00000000-0006-0000-0000-0000B0020000}">
      <text>
        <r>
          <rPr>
            <sz val="11"/>
            <color theme="1"/>
            <rFont val="Calibri"/>
            <family val="2"/>
            <scheme val="minor"/>
          </rPr>
          <t>======
ID#AAABDDKrQfw
Gavin Mudd    (2023-12-20 21:24:03)
data from Wallbridge Mining</t>
        </r>
      </text>
    </comment>
    <comment ref="AN104" authorId="0" shapeId="0" xr:uid="{00000000-0006-0000-0000-00005B020000}">
      <text>
        <r>
          <rPr>
            <sz val="11"/>
            <color theme="1"/>
            <rFont val="Calibri"/>
            <family val="2"/>
            <scheme val="minor"/>
          </rPr>
          <t>======
ID#AAABDDKrQpc
Gavin Mudd    (2023-12-20 21:24:04)
data from Wallbridge Mining</t>
        </r>
      </text>
    </comment>
    <comment ref="AO104" authorId="0" shapeId="0" xr:uid="{00000000-0006-0000-0000-000026000000}">
      <text>
        <r>
          <rPr>
            <sz val="11"/>
            <color theme="1"/>
            <rFont val="Calibri"/>
            <family val="2"/>
            <scheme val="minor"/>
          </rPr>
          <t>======
ID#AAABDDKrRxg
Gavin Mudd    (2023-12-20 21:24:04)
data from Wallbridge Mining</t>
        </r>
      </text>
    </comment>
    <comment ref="AP104" authorId="0" shapeId="0" xr:uid="{00000000-0006-0000-0000-00005B010000}">
      <text>
        <r>
          <rPr>
            <sz val="11"/>
            <color theme="1"/>
            <rFont val="Calibri"/>
            <family val="2"/>
            <scheme val="minor"/>
          </rPr>
          <t>======
ID#AAABDDKrRJU
Gavin Mudd    (2023-12-20 21:24:04)
data from Wallbridge Mining</t>
        </r>
      </text>
    </comment>
    <comment ref="AQ104" authorId="0" shapeId="0" xr:uid="{00000000-0006-0000-0000-0000E5040000}">
      <text>
        <r>
          <rPr>
            <sz val="11"/>
            <color theme="1"/>
            <rFont val="Calibri"/>
            <family val="2"/>
            <scheme val="minor"/>
          </rPr>
          <t>======
ID#AAABDDKrPX0
Gavin Mudd    (2023-12-20 21:24:03)
data from Wallbridge Mining</t>
        </r>
      </text>
    </comment>
    <comment ref="BA104" authorId="0" shapeId="0" xr:uid="{00000000-0006-0000-0000-00007A020000}">
      <text>
        <r>
          <rPr>
            <sz val="11"/>
            <color theme="1"/>
            <rFont val="Calibri"/>
            <family val="2"/>
            <scheme val="minor"/>
          </rPr>
          <t>======
ID#AAABDDKrQmg
Gavin Mudd    (2023-12-20 21:24:04)
data from Wallbridge Mining</t>
        </r>
      </text>
    </comment>
    <comment ref="BB104" authorId="0" shapeId="0" xr:uid="{00000000-0006-0000-0000-000084000000}">
      <text>
        <r>
          <rPr>
            <sz val="11"/>
            <color theme="1"/>
            <rFont val="Calibri"/>
            <family val="2"/>
            <scheme val="minor"/>
          </rPr>
          <t>======
ID#AAABDDKrRk8
Gavin Mudd    (2023-12-20 21:24:04)
data from Wallbridge Mining</t>
        </r>
      </text>
    </comment>
    <comment ref="BC104" authorId="0" shapeId="0" xr:uid="{00000000-0006-0000-0000-000064050000}">
      <text>
        <r>
          <rPr>
            <sz val="11"/>
            <color theme="1"/>
            <rFont val="Calibri"/>
            <family val="2"/>
            <scheme val="minor"/>
          </rPr>
          <t>======
ID#AAABDDKrPG8
Gavin Mudd    (2023-12-20 21:24:03)
data from Wallbridge Mining</t>
        </r>
      </text>
    </comment>
    <comment ref="BI104" authorId="0" shapeId="0" xr:uid="{00000000-0006-0000-0000-00009D020000}">
      <text>
        <r>
          <rPr>
            <sz val="11"/>
            <color theme="1"/>
            <rFont val="Calibri"/>
            <family val="2"/>
            <scheme val="minor"/>
          </rPr>
          <t>======
ID#AAABDDKrQic
Gavin Mudd    (2023-12-20 21:24:04)
data from Wallbridge Mining</t>
        </r>
      </text>
    </comment>
    <comment ref="BJ104" authorId="0" shapeId="0" xr:uid="{00000000-0006-0000-0000-000074020000}">
      <text>
        <r>
          <rPr>
            <sz val="11"/>
            <color theme="1"/>
            <rFont val="Calibri"/>
            <family val="2"/>
            <scheme val="minor"/>
          </rPr>
          <t>======
ID#AAABDDKrQnE
Gavin Mudd    (2023-12-20 21:24:04)
data from Wallbridge Mining</t>
        </r>
      </text>
    </comment>
    <comment ref="BK104" authorId="0" shapeId="0" xr:uid="{00000000-0006-0000-0000-000075020000}">
      <text>
        <r>
          <rPr>
            <sz val="11"/>
            <color theme="1"/>
            <rFont val="Calibri"/>
            <family val="2"/>
            <scheme val="minor"/>
          </rPr>
          <t>======
ID#AAABDDKrQm0
Gavin Mudd    (2023-12-20 21:24:04)
data from Wallbridge Mining</t>
        </r>
      </text>
    </comment>
    <comment ref="BL104" authorId="0" shapeId="0" xr:uid="{00000000-0006-0000-0000-0000C2040000}">
      <text>
        <r>
          <rPr>
            <sz val="11"/>
            <color theme="1"/>
            <rFont val="Calibri"/>
            <family val="2"/>
            <scheme val="minor"/>
          </rPr>
          <t>======
ID#AAABDDKrPb0
Gavin Mudd    (2023-12-20 21:24:03)
data from Wallbridge Mining</t>
        </r>
      </text>
    </comment>
    <comment ref="C106" authorId="0" shapeId="0" xr:uid="{00000000-0006-0000-0000-000013030000}">
      <text>
        <r>
          <rPr>
            <sz val="11"/>
            <color theme="1"/>
            <rFont val="Calibri"/>
            <family val="2"/>
            <scheme val="minor"/>
          </rPr>
          <t>======
ID#AAABDDKrQUk
Gavin Mudd    (2023-12-20 21:24:03)
includes Bitinckës, Trenit, Kokogllaves, Serpentine, Kapshticës</t>
        </r>
      </text>
    </comment>
    <comment ref="H106" authorId="0" shapeId="0" xr:uid="{00000000-0006-0000-0000-000076050000}">
      <text>
        <r>
          <rPr>
            <sz val="11"/>
            <color theme="1"/>
            <rFont val="Calibri"/>
            <family val="2"/>
            <scheme val="minor"/>
          </rPr>
          <t>======
ID#AAABDDKrPEY
Gavin Mudd    (2023-12-20 21:24:03)
previously held by Balkan Resources, which became Arian Resources</t>
        </r>
      </text>
    </comment>
    <comment ref="BA106" authorId="0" shapeId="0" xr:uid="{00000000-0006-0000-0000-000018000000}">
      <text>
        <r>
          <rPr>
            <sz val="11"/>
            <color theme="1"/>
            <rFont val="Calibri"/>
            <family val="2"/>
            <scheme val="minor"/>
          </rPr>
          <t>======
ID#AAABDDKrRzk
Gavin Mudd    (2023-12-20 21:24:04)
historic resources (non-compliant with NI43-101) - hence all data allocated as inferred resources only</t>
        </r>
      </text>
    </comment>
    <comment ref="BI106" authorId="0" shapeId="0" xr:uid="{00000000-0006-0000-0000-0000C8030000}">
      <text>
        <r>
          <rPr>
            <sz val="11"/>
            <color theme="1"/>
            <rFont val="Calibri"/>
            <family val="2"/>
            <scheme val="minor"/>
          </rPr>
          <t>======
ID#AAABDDKrP8w
Gavin Mudd    (2023-12-20 21:24:03)
historic resources (non-compliant with NI43-101) - hence all data allocated as inferred resources only</t>
        </r>
      </text>
    </comment>
    <comment ref="BJ106" authorId="0" shapeId="0" xr:uid="{00000000-0006-0000-0000-00004C050000}">
      <text>
        <r>
          <rPr>
            <sz val="11"/>
            <color theme="1"/>
            <rFont val="Calibri"/>
            <family val="2"/>
            <scheme val="minor"/>
          </rPr>
          <t>======
ID#AAABDDKrPKY
Gavin Mudd    (2023-12-20 21:24:03)
historic resources (non-compliant with NI43-101) - hence all data allocated as inferred resources only</t>
        </r>
      </text>
    </comment>
    <comment ref="BP106" authorId="0" shapeId="0" xr:uid="{00000000-0006-0000-0000-0000A5000000}">
      <text>
        <r>
          <rPr>
            <sz val="11"/>
            <color theme="1"/>
            <rFont val="Calibri"/>
            <family val="2"/>
            <scheme val="minor"/>
          </rPr>
          <t>======
ID#AAABDDKrRgo
Gavin Mudd    (2023-12-20 21:24:04)
historic resources (non-compliant with NI43-101) - hence all data allocated as inferred resources only</t>
        </r>
      </text>
    </comment>
    <comment ref="BQ106" authorId="0" shapeId="0" xr:uid="{00000000-0006-0000-0000-000035060000}">
      <text>
        <r>
          <rPr>
            <sz val="11"/>
            <color theme="1"/>
            <rFont val="Calibri"/>
            <family val="2"/>
            <scheme val="minor"/>
          </rPr>
          <t>======
ID#AAABCyJQh08
Gavin Mudd    (2023-12-20 21:24:02)
historic resources (non-compliant with NI43-101) - hence all data allocated as inferred resources only</t>
        </r>
      </text>
    </comment>
    <comment ref="H108" authorId="0" shapeId="0" xr:uid="{00000000-0006-0000-0000-000058000000}">
      <text>
        <r>
          <rPr>
            <sz val="11"/>
            <color theme="1"/>
            <rFont val="Calibri"/>
            <family val="2"/>
            <scheme val="minor"/>
          </rPr>
          <t>======
ID#AAABDDKrRpo
Gavin Mudd    (2023-12-20 21:24:04)
previously a joint venture led by Discovery Metals Ltd, which is now bankrupt, butr other partners included JOGMEC, Xstrata</t>
        </r>
      </text>
    </comment>
    <comment ref="DP108" authorId="0" shapeId="0" xr:uid="{00000000-0006-0000-0000-000079000000}">
      <text>
        <r>
          <rPr>
            <sz val="11"/>
            <color theme="1"/>
            <rFont val="Calibri"/>
            <family val="2"/>
            <scheme val="minor"/>
          </rPr>
          <t>======
ID#AAABDDKrRmA
Gavin Mudd    (2023-12-20 21:24:04)
data from Discovery Metals</t>
        </r>
      </text>
    </comment>
    <comment ref="K109" authorId="0" shapeId="0" xr:uid="{00000000-0006-0000-0000-0000AB050000}">
      <text>
        <r>
          <rPr>
            <sz val="11"/>
            <color theme="1"/>
            <rFont val="Calibri"/>
            <family val="2"/>
            <scheme val="minor"/>
          </rPr>
          <t>======
ID#AAABDDKrO9o
Gavin Mudd    (2023-12-20 21:24:03)
only total measured &amp; indicated resources reported</t>
        </r>
      </text>
    </comment>
    <comment ref="AF109" authorId="0" shapeId="0" xr:uid="{00000000-0006-0000-0000-0000A5020000}">
      <text>
        <r>
          <rPr>
            <sz val="11"/>
            <color theme="1"/>
            <rFont val="Calibri"/>
            <family val="2"/>
            <scheme val="minor"/>
          </rPr>
          <t>======
ID#AAABDDKrQhk
Gavin Mudd    (2023-12-20 21:24:04)
only total measured &amp; indicated resources reported</t>
        </r>
      </text>
    </comment>
    <comment ref="AN109" authorId="0" shapeId="0" xr:uid="{00000000-0006-0000-0000-000013000000}">
      <text>
        <r>
          <rPr>
            <sz val="11"/>
            <color theme="1"/>
            <rFont val="Calibri"/>
            <family val="2"/>
            <scheme val="minor"/>
          </rPr>
          <t>======
ID#AAABDDKrR0E
Gavin Mudd    (2023-12-20 21:24:04)
only total measured &amp; indicated resources reported</t>
        </r>
      </text>
    </comment>
    <comment ref="AV109" authorId="0" shapeId="0" xr:uid="{00000000-0006-0000-0000-000071020000}">
      <text>
        <r>
          <rPr>
            <sz val="11"/>
            <color theme="1"/>
            <rFont val="Calibri"/>
            <family val="2"/>
            <scheme val="minor"/>
          </rPr>
          <t>======
ID#AAABDDKrQnQ
Gavin Mudd    (2023-12-20 21:24:04)
only total measured &amp; indicated resources reported</t>
        </r>
      </text>
    </comment>
    <comment ref="BA109" authorId="0" shapeId="0" xr:uid="{00000000-0006-0000-0000-0000BF030000}">
      <text>
        <r>
          <rPr>
            <sz val="11"/>
            <color theme="1"/>
            <rFont val="Calibri"/>
            <family val="2"/>
            <scheme val="minor"/>
          </rPr>
          <t>======
ID#AAABDDKrP9U
Gavin Mudd    (2023-12-20 21:24:03)
only total measured &amp; indicated resources reported</t>
        </r>
      </text>
    </comment>
    <comment ref="BI109" authorId="0" shapeId="0" xr:uid="{00000000-0006-0000-0000-00002A060000}">
      <text>
        <r>
          <rPr>
            <sz val="11"/>
            <color theme="1"/>
            <rFont val="Calibri"/>
            <family val="2"/>
            <scheme val="minor"/>
          </rPr>
          <t>======
ID#AAABCyJQh10
Gavin Mudd    (2023-12-20 21:24:02)
only total measured &amp; indicated resources reported</t>
        </r>
      </text>
    </comment>
    <comment ref="BQ109" authorId="0" shapeId="0" xr:uid="{00000000-0006-0000-0000-000065020000}">
      <text>
        <r>
          <rPr>
            <sz val="11"/>
            <color theme="1"/>
            <rFont val="Calibri"/>
            <family val="2"/>
            <scheme val="minor"/>
          </rPr>
          <t>======
ID#AAABDDKrQoU
Gavin Mudd    (2023-12-20 21:24:04)
only total measured &amp; indicated resources reported</t>
        </r>
      </text>
    </comment>
    <comment ref="CQ109" authorId="0" shapeId="0" xr:uid="{00000000-0006-0000-0000-000063000000}">
      <text>
        <r>
          <rPr>
            <sz val="11"/>
            <color theme="1"/>
            <rFont val="Calibri"/>
            <family val="2"/>
            <scheme val="minor"/>
          </rPr>
          <t>======
ID#AAABDDKrRoA
Gavin Mudd    (2023-12-20 21:24:04)
total of proved and probable reserves</t>
        </r>
      </text>
    </comment>
    <comment ref="CY109" authorId="0" shapeId="0" xr:uid="{00000000-0006-0000-0000-000073030000}">
      <text>
        <r>
          <rPr>
            <sz val="11"/>
            <color theme="1"/>
            <rFont val="Calibri"/>
            <family val="2"/>
            <scheme val="minor"/>
          </rPr>
          <t>======
ID#AAABDDKrQIg
Gavin Mudd    (2023-12-20 21:24:03)
total of proved and probable reserves</t>
        </r>
      </text>
    </comment>
    <comment ref="DG109" authorId="0" shapeId="0" xr:uid="{00000000-0006-0000-0000-000097010000}">
      <text>
        <r>
          <rPr>
            <sz val="11"/>
            <color theme="1"/>
            <rFont val="Calibri"/>
            <family val="2"/>
            <scheme val="minor"/>
          </rPr>
          <t>======
ID#AAABDDKrRBU
Gavin Mudd    (2023-12-20 21:24:04)
total of proved and probable reserves</t>
        </r>
      </text>
    </comment>
    <comment ref="BA110" authorId="0" shapeId="0" xr:uid="{00000000-0006-0000-0000-00009E050000}">
      <text>
        <r>
          <rPr>
            <sz val="11"/>
            <color theme="1"/>
            <rFont val="Calibri"/>
            <family val="2"/>
            <scheme val="minor"/>
          </rPr>
          <t>======
ID#AAABDDKrO_c
Gavin Mudd    (2023-12-20 21:24:03)
historic resources, assumed as inferred</t>
        </r>
      </text>
    </comment>
    <comment ref="BI110" authorId="0" shapeId="0" xr:uid="{00000000-0006-0000-0000-00009A010000}">
      <text>
        <r>
          <rPr>
            <sz val="11"/>
            <color theme="1"/>
            <rFont val="Calibri"/>
            <family val="2"/>
            <scheme val="minor"/>
          </rPr>
          <t>======
ID#AAABDDKrRBA
Gavin Mudd    (2023-12-20 21:24:04)
historic resources, assumed as inferred</t>
        </r>
      </text>
    </comment>
    <comment ref="H114" authorId="0" shapeId="0" xr:uid="{00000000-0006-0000-0000-00009B050000}">
      <text>
        <r>
          <rPr>
            <sz val="11"/>
            <color theme="1"/>
            <rFont val="Calibri"/>
            <family val="2"/>
            <scheme val="minor"/>
          </rPr>
          <t>======
ID#AAABDDKrO_s
Gavin Mudd    (2023-12-20 21:24:03)
formerly known as Royal Nickel Corp</t>
        </r>
      </text>
    </comment>
    <comment ref="H115" authorId="0" shapeId="0" xr:uid="{00000000-0006-0000-0000-0000A8020000}">
      <text>
        <r>
          <rPr>
            <sz val="11"/>
            <color theme="1"/>
            <rFont val="Calibri"/>
            <family val="2"/>
            <scheme val="minor"/>
          </rPr>
          <t>======
ID#AAABDDKrQhQ
Gavin Mudd    (2023-12-20 21:24:04)
First Nickel went bankrupt in mid-2015, then sold to Transition Metals Corp.; sold to VaniCom Ltd in August 2018 - which is now Class 1 Nickel Ltd</t>
        </r>
      </text>
    </comment>
    <comment ref="DP115" authorId="0" shapeId="0" xr:uid="{00000000-0006-0000-0000-00001B020000}">
      <text>
        <r>
          <rPr>
            <sz val="11"/>
            <color theme="1"/>
            <rFont val="Calibri"/>
            <family val="2"/>
            <scheme val="minor"/>
          </rPr>
          <t>======
ID#AAABDDKrQxY
Gavin Mudd    (2023-12-20 21:24:04)
data from First Nickel</t>
        </r>
      </text>
    </comment>
    <comment ref="BA116" authorId="0" shapeId="0" xr:uid="{00000000-0006-0000-0000-000009030000}">
      <text>
        <r>
          <rPr>
            <sz val="11"/>
            <color theme="1"/>
            <rFont val="Calibri"/>
            <family val="2"/>
            <scheme val="minor"/>
          </rPr>
          <t>======
ID#AAABDDKrQV4
Gavin Mudd    (2023-12-20 21:24:03)
historic resources (non-compliant with NI43-101) - hence all data allocated as inferred resources only</t>
        </r>
      </text>
    </comment>
    <comment ref="BB116" authorId="0" shapeId="0" xr:uid="{00000000-0006-0000-0000-00009D000000}">
      <text>
        <r>
          <rPr>
            <sz val="11"/>
            <color theme="1"/>
            <rFont val="Calibri"/>
            <family val="2"/>
            <scheme val="minor"/>
          </rPr>
          <t>======
ID#AAABDDKrRiY
Gavin Mudd    (2023-12-20 21:24:04)
historic resources (non-compliant with NI43-101) - hence all data allocated as inferred resources only</t>
        </r>
      </text>
    </comment>
    <comment ref="BI116" authorId="0" shapeId="0" xr:uid="{00000000-0006-0000-0000-000022040000}">
      <text>
        <r>
          <rPr>
            <sz val="11"/>
            <color theme="1"/>
            <rFont val="Calibri"/>
            <family val="2"/>
            <scheme val="minor"/>
          </rPr>
          <t>======
ID#AAABDDKrPwA
Author    (2023-12-20 21:24:03)
assumed using average ratio of 3.30:1 Cu:Ni for Duluth Complex deposits (from Miller et al 2002)</t>
        </r>
      </text>
    </comment>
    <comment ref="U118" authorId="0" shapeId="0" xr:uid="{00000000-0006-0000-0000-0000E1040000}">
      <text>
        <r>
          <rPr>
            <sz val="11"/>
            <color theme="1"/>
            <rFont val="Calibri"/>
            <family val="2"/>
            <scheme val="minor"/>
          </rPr>
          <t>======
ID#AAABDDKrPYI
Gavin Mudd    (2023-12-20 21:24:03)
from Tech Rep (2016-08)</t>
        </r>
      </text>
    </comment>
    <comment ref="V118" authorId="0" shapeId="0" xr:uid="{00000000-0006-0000-0000-00005E020000}">
      <text>
        <r>
          <rPr>
            <sz val="11"/>
            <color theme="1"/>
            <rFont val="Calibri"/>
            <family val="2"/>
            <scheme val="minor"/>
          </rPr>
          <t>======
ID#AAABDDKrQpM
Gavin Mudd    (2023-12-20 21:24:04)
from Tech Rep (2016-08)</t>
        </r>
      </text>
    </comment>
    <comment ref="AP118" authorId="0" shapeId="0" xr:uid="{00000000-0006-0000-0000-0000F3010000}">
      <text>
        <r>
          <rPr>
            <sz val="11"/>
            <color theme="1"/>
            <rFont val="Calibri"/>
            <family val="2"/>
            <scheme val="minor"/>
          </rPr>
          <t>======
ID#AAABDDKrQ2E
Gavin Mudd    (2023-12-20 21:24:04)
from Tech Rep (2016-08)</t>
        </r>
      </text>
    </comment>
    <comment ref="AQ118" authorId="0" shapeId="0" xr:uid="{00000000-0006-0000-0000-000015040000}">
      <text>
        <r>
          <rPr>
            <sz val="11"/>
            <color theme="1"/>
            <rFont val="Calibri"/>
            <family val="2"/>
            <scheme val="minor"/>
          </rPr>
          <t>======
ID#AAABDDKrPx4
Gavin Mudd    (2023-12-20 21:24:03)
from Tech Rep (2016-08)</t>
        </r>
      </text>
    </comment>
    <comment ref="BJ118" authorId="0" shapeId="0" xr:uid="{00000000-0006-0000-0000-00008F010000}">
      <text>
        <r>
          <rPr>
            <sz val="11"/>
            <color theme="1"/>
            <rFont val="Calibri"/>
            <family val="2"/>
            <scheme val="minor"/>
          </rPr>
          <t>======
ID#AAABDDKrRCU
Author    (2023-12-20 21:24:04)
from Tech Rep (2016-06)</t>
        </r>
      </text>
    </comment>
    <comment ref="BK118" authorId="0" shapeId="0" xr:uid="{00000000-0006-0000-0000-000032030000}">
      <text>
        <r>
          <rPr>
            <sz val="11"/>
            <color theme="1"/>
            <rFont val="Calibri"/>
            <family val="2"/>
            <scheme val="minor"/>
          </rPr>
          <t>======
ID#AAABDDKrQRI
Gavin Mudd    (2023-12-20 21:24:03)
from Tech Rep (2016-08)</t>
        </r>
      </text>
    </comment>
    <comment ref="BL118" authorId="0" shapeId="0" xr:uid="{00000000-0006-0000-0000-00006A060000}">
      <text>
        <r>
          <rPr>
            <sz val="11"/>
            <color theme="1"/>
            <rFont val="Calibri"/>
            <family val="2"/>
            <scheme val="minor"/>
          </rPr>
          <t>======
ID#AAABCyJQhv8
Gavin Mudd    (2023-12-20 21:24:01)
from Tech Rep (2016-08)</t>
        </r>
      </text>
    </comment>
    <comment ref="DA118" authorId="0" shapeId="0" xr:uid="{00000000-0006-0000-0000-000074050000}">
      <text>
        <r>
          <rPr>
            <sz val="11"/>
            <color theme="1"/>
            <rFont val="Calibri"/>
            <family val="2"/>
            <scheme val="minor"/>
          </rPr>
          <t>======
ID#AAABDDKrPEo
Gavin Mudd    (2023-12-20 21:24:03)
from Tech Rep (2016-08)</t>
        </r>
      </text>
    </comment>
    <comment ref="DB118" authorId="0" shapeId="0" xr:uid="{00000000-0006-0000-0000-0000F2000000}">
      <text>
        <r>
          <rPr>
            <sz val="11"/>
            <color theme="1"/>
            <rFont val="Calibri"/>
            <family val="2"/>
            <scheme val="minor"/>
          </rPr>
          <t>======
ID#AAABDDKrRXI
Gavin Mudd    (2023-12-20 21:24:04)
from Tech Rep (2016-08)</t>
        </r>
      </text>
    </comment>
    <comment ref="C120" authorId="0" shapeId="0" xr:uid="{00000000-0006-0000-0000-000024060000}">
      <text>
        <r>
          <rPr>
            <sz val="11"/>
            <color theme="1"/>
            <rFont val="Calibri"/>
            <family val="2"/>
            <scheme val="minor"/>
          </rPr>
          <t>======
ID#AAABCyJQh24
Gavin Mudd    (2023-12-20 21:24:02)
includes Pakal Island, Tanjung Buli, Mornopo, Sangaji</t>
        </r>
      </text>
    </comment>
    <comment ref="C121" authorId="0" shapeId="0" xr:uid="{00000000-0006-0000-0000-0000C3010000}">
      <text>
        <r>
          <rPr>
            <sz val="11"/>
            <color theme="1"/>
            <rFont val="Calibri"/>
            <family val="2"/>
            <scheme val="minor"/>
          </rPr>
          <t>======
ID#AAABDDKrQ78
Gavin Mudd    (2023-12-20 21:24:04)
includes Pakal Island, Tanjung Buli, Mornopo, Sangaji</t>
        </r>
      </text>
    </comment>
    <comment ref="C122" authorId="0" shapeId="0" xr:uid="{00000000-0006-0000-0000-00005B030000}">
      <text>
        <r>
          <rPr>
            <sz val="11"/>
            <color theme="1"/>
            <rFont val="Calibri"/>
            <family val="2"/>
            <scheme val="minor"/>
          </rPr>
          <t>======
ID#AAABDDKrQMI
Gavin Mudd    (2023-12-20 21:24:03)
now includes Schietfontein, Zilkaatsnek</t>
        </r>
      </text>
    </comment>
    <comment ref="H123" authorId="0" shapeId="0" xr:uid="{00000000-0006-0000-0000-0000DB020000}">
      <text>
        <r>
          <rPr>
            <sz val="11"/>
            <color theme="1"/>
            <rFont val="Calibri"/>
            <family val="2"/>
            <scheme val="minor"/>
          </rPr>
          <t>======
ID#AAABDDKrQa0
Gavin Mudd    (2023-12-20 21:24:03)
previously held by Alberta Star Development Corp (which is now Elysee Development Corp)</t>
        </r>
      </text>
    </comment>
    <comment ref="BA123" authorId="0" shapeId="0" xr:uid="{00000000-0006-0000-0000-000030000000}">
      <text>
        <r>
          <rPr>
            <sz val="11"/>
            <color theme="1"/>
            <rFont val="Calibri"/>
            <family val="2"/>
            <scheme val="minor"/>
          </rPr>
          <t>======
ID#AAABDDKrRv0
Gavin Mudd    (2023-12-20 21:24:04)
historic resources (non-compliant with NI43-101) - hence all data allocated as inferred resources only</t>
        </r>
      </text>
    </comment>
    <comment ref="DP123" authorId="0" shapeId="0" xr:uid="{00000000-0006-0000-0000-000013010000}">
      <text>
        <r>
          <rPr>
            <sz val="11"/>
            <color theme="1"/>
            <rFont val="Calibri"/>
            <family val="2"/>
            <scheme val="minor"/>
          </rPr>
          <t>======
ID#AAABDDKrRTo
Gavin Mudd    (2023-12-20 21:24:04)
data from Alberta Star Development Corp (which is now Elysee Development Corp)</t>
        </r>
      </text>
    </comment>
    <comment ref="H124" authorId="0" shapeId="0" xr:uid="{00000000-0006-0000-0000-000092050000}">
      <text>
        <r>
          <rPr>
            <sz val="11"/>
            <color theme="1"/>
            <rFont val="Calibri"/>
            <family val="2"/>
            <scheme val="minor"/>
          </rPr>
          <t>======
ID#AAABDDKrPA8
Author    (2023-12-20 21:24:03)
formerly Blackstone Ventures</t>
        </r>
      </text>
    </comment>
    <comment ref="DP124" authorId="0" shapeId="0" xr:uid="{00000000-0006-0000-0000-0000B6010000}">
      <text>
        <r>
          <rPr>
            <sz val="11"/>
            <color theme="1"/>
            <rFont val="Calibri"/>
            <family val="2"/>
            <scheme val="minor"/>
          </rPr>
          <t>======
ID#AAABDDKrQ9g
Author    (2023-12-20 21:24:04)
data from Blackstone Ventures</t>
        </r>
      </text>
    </comment>
    <comment ref="DP126" authorId="0" shapeId="0" xr:uid="{00000000-0006-0000-0000-0000A1040000}">
      <text>
        <r>
          <rPr>
            <sz val="11"/>
            <color theme="1"/>
            <rFont val="Calibri"/>
            <family val="2"/>
            <scheme val="minor"/>
          </rPr>
          <t>======
ID#AAABDDKrPgM
Gavin Mudd    (2023-12-20 21:24:03)
2015 Aquarius Platinum data</t>
        </r>
      </text>
    </comment>
    <comment ref="BA127" authorId="0" shapeId="0" xr:uid="{00000000-0006-0000-0000-0000FC040000}">
      <text>
        <r>
          <rPr>
            <sz val="11"/>
            <color theme="1"/>
            <rFont val="Calibri"/>
            <family val="2"/>
            <scheme val="minor"/>
          </rPr>
          <t>======
ID#AAABDDKrPUU
Gavin Mudd    (2023-12-20 21:24:03)
historic resources (non-compliant with NI43-101) - hence all data allocated as inferred resources only; adjusted for 13 years mining @ ~1.35 Mt ore/yr since 2005</t>
        </r>
      </text>
    </comment>
    <comment ref="BI127" authorId="0" shapeId="0" xr:uid="{00000000-0006-0000-0000-00001A060000}">
      <text>
        <r>
          <rPr>
            <sz val="11"/>
            <color theme="1"/>
            <rFont val="Calibri"/>
            <family val="2"/>
            <scheme val="minor"/>
          </rPr>
          <t>======
ID#AAABCyJQh4c
Gavin Mudd    (2023-12-20 21:24:02)
historic resources (non-compliant with NI43-101) - hence all data allocated as inferred resources only</t>
        </r>
      </text>
    </comment>
    <comment ref="D128" authorId="0" shapeId="0" xr:uid="{00000000-0006-0000-0000-0000D3000000}">
      <text>
        <r>
          <rPr>
            <sz val="11"/>
            <color theme="1"/>
            <rFont val="Calibri"/>
            <family val="2"/>
            <scheme val="minor"/>
          </rPr>
          <t>======
ID#AAABDDKrRbM
Gavin Mudd    (2023-12-20 21:24:04)
atfer closure in 2013, Americano Nickel has apprently restarted but no information is published.</t>
        </r>
      </text>
    </comment>
    <comment ref="H128" authorId="0" shapeId="0" xr:uid="{00000000-0006-0000-0000-0000B2000000}">
      <text>
        <r>
          <rPr>
            <sz val="11"/>
            <color theme="1"/>
            <rFont val="Calibri"/>
            <family val="2"/>
            <scheme val="minor"/>
          </rPr>
          <t>======
ID#AAABDDKrRfE
Gavin Mudd    (2023-12-20 21:24:04)
Americano Nickel Ltd is a private equity holding company; Falcondo previously owned by Falconbridge Ltd, then Xstrata Plc, then Glencore Plc till August 2015 …</t>
        </r>
      </text>
    </comment>
    <comment ref="DP128" authorId="0" shapeId="0" xr:uid="{00000000-0006-0000-0000-0000DF040000}">
      <text>
        <r>
          <rPr>
            <sz val="11"/>
            <color theme="1"/>
            <rFont val="Calibri"/>
            <family val="2"/>
            <scheme val="minor"/>
          </rPr>
          <t>======
ID#AAABDDKrPYQ
Gavin Mudd    (2023-12-20 21:24:03)
data from Franco-Nevada - the minority 4.1% shareholder of the Falcondo mine. Data is 2014 Glencore reporting.</t>
        </r>
      </text>
    </comment>
    <comment ref="BK129" authorId="0" shapeId="0" xr:uid="{00000000-0006-0000-0000-000015000000}">
      <text>
        <r>
          <rPr>
            <sz val="11"/>
            <color theme="1"/>
            <rFont val="Calibri"/>
            <family val="2"/>
            <scheme val="minor"/>
          </rPr>
          <t>======
ID#AAABDDKrRz8
Gavin Mudd    (2023-12-20 21:24:04)
assumes equal Pt-Pd grades</t>
        </r>
      </text>
    </comment>
    <comment ref="BL129" authorId="0" shapeId="0" xr:uid="{00000000-0006-0000-0000-00003F020000}">
      <text>
        <r>
          <rPr>
            <sz val="11"/>
            <color theme="1"/>
            <rFont val="Calibri"/>
            <family val="2"/>
            <scheme val="minor"/>
          </rPr>
          <t>======
ID#AAABDDKrQtQ
Gavin Mudd    (2023-12-20 21:24:04)
assumes equal Pt-Pd grades</t>
        </r>
      </text>
    </comment>
    <comment ref="H130" authorId="0" shapeId="0" xr:uid="{00000000-0006-0000-0000-0000C3050000}">
      <text>
        <r>
          <rPr>
            <sz val="11"/>
            <color theme="1"/>
            <rFont val="Calibri"/>
            <family val="2"/>
            <scheme val="minor"/>
          </rPr>
          <t>======
ID#AAABDDKrO6o
Gavin Mudd    (2023-12-20 21:24:02)
long variable corporate history - most recently owned by HudBay Minerals; sold to Solway Group in Sept. 2011</t>
        </r>
      </text>
    </comment>
    <comment ref="K130" authorId="0" shapeId="0" xr:uid="{00000000-0006-0000-0000-0000D9030000}">
      <text>
        <r>
          <rPr>
            <sz val="11"/>
            <color theme="1"/>
            <rFont val="Calibri"/>
            <family val="2"/>
            <scheme val="minor"/>
          </rPr>
          <t>======
ID#AAABDDKrP5g
Gavin Mudd    (2023-12-20 21:24:03)
some data from HudBay Minerals</t>
        </r>
      </text>
    </comment>
    <comment ref="S130" authorId="0" shapeId="0" xr:uid="{00000000-0006-0000-0000-000005000000}">
      <text>
        <r>
          <rPr>
            <sz val="11"/>
            <color theme="1"/>
            <rFont val="Calibri"/>
            <family val="2"/>
            <scheme val="minor"/>
          </rPr>
          <t>======
ID#AAABDDKrR1c
Gavin Mudd    (2023-12-20 21:24:04)
some data from HudBay Minerals</t>
        </r>
      </text>
    </comment>
    <comment ref="T130" authorId="0" shapeId="0" xr:uid="{00000000-0006-0000-0000-000014020000}">
      <text>
        <r>
          <rPr>
            <sz val="11"/>
            <color theme="1"/>
            <rFont val="Calibri"/>
            <family val="2"/>
            <scheme val="minor"/>
          </rPr>
          <t>======
ID#AAABDDKrQyE
Gavin Mudd    (2023-12-20 21:24:04)
some data from HudBay Minerals</t>
        </r>
      </text>
    </comment>
    <comment ref="AF130" authorId="0" shapeId="0" xr:uid="{00000000-0006-0000-0000-000045020000}">
      <text>
        <r>
          <rPr>
            <sz val="11"/>
            <color theme="1"/>
            <rFont val="Calibri"/>
            <family val="2"/>
            <scheme val="minor"/>
          </rPr>
          <t>======
ID#AAABDDKrQsc
Gavin Mudd    (2023-12-20 21:24:04)
some data from HudBay Minerals</t>
        </r>
      </text>
    </comment>
    <comment ref="AN130" authorId="0" shapeId="0" xr:uid="{00000000-0006-0000-0000-000084060000}">
      <text>
        <r>
          <rPr>
            <sz val="11"/>
            <color theme="1"/>
            <rFont val="Calibri"/>
            <family val="2"/>
            <scheme val="minor"/>
          </rPr>
          <t>======
ID#AAABCyJQhtA
Gavin Mudd    (2023-12-20 21:24:01)
some data from HudBay Minerals</t>
        </r>
      </text>
    </comment>
    <comment ref="AO130" authorId="0" shapeId="0" xr:uid="{00000000-0006-0000-0000-00009A020000}">
      <text>
        <r>
          <rPr>
            <sz val="11"/>
            <color theme="1"/>
            <rFont val="Calibri"/>
            <family val="2"/>
            <scheme val="minor"/>
          </rPr>
          <t>======
ID#AAABDDKrQio
Gavin Mudd    (2023-12-20 21:24:04)
some data from HudBay Minerals</t>
        </r>
      </text>
    </comment>
    <comment ref="BA130" authorId="0" shapeId="0" xr:uid="{00000000-0006-0000-0000-0000E5030000}">
      <text>
        <r>
          <rPr>
            <sz val="11"/>
            <color theme="1"/>
            <rFont val="Calibri"/>
            <family val="2"/>
            <scheme val="minor"/>
          </rPr>
          <t>======
ID#AAABDDKrP3k
Gavin Mudd    (2023-12-20 21:24:03)
some data from HudBay Minerals</t>
        </r>
      </text>
    </comment>
    <comment ref="BI130" authorId="0" shapeId="0" xr:uid="{00000000-0006-0000-0000-0000B4020000}">
      <text>
        <r>
          <rPr>
            <sz val="11"/>
            <color theme="1"/>
            <rFont val="Calibri"/>
            <family val="2"/>
            <scheme val="minor"/>
          </rPr>
          <t>======
ID#AAABDDKrQfM
Gavin Mudd    (2023-12-20 21:24:03)
some data from HudBay Minerals</t>
        </r>
      </text>
    </comment>
    <comment ref="BJ130" authorId="0" shapeId="0" xr:uid="{00000000-0006-0000-0000-000024030000}">
      <text>
        <r>
          <rPr>
            <sz val="11"/>
            <color theme="1"/>
            <rFont val="Calibri"/>
            <family val="2"/>
            <scheme val="minor"/>
          </rPr>
          <t>======
ID#AAABDDKrQSY
Gavin Mudd    (2023-12-20 21:24:03)
some data from HudBay Minerals</t>
        </r>
      </text>
    </comment>
    <comment ref="DP130" authorId="0" shapeId="0" xr:uid="{00000000-0006-0000-0000-0000A9040000}">
      <text>
        <r>
          <rPr>
            <sz val="11"/>
            <color theme="1"/>
            <rFont val="Calibri"/>
            <family val="2"/>
            <scheme val="minor"/>
          </rPr>
          <t>======
ID#AAABDDKrPew
Gavin Mudd    (2023-12-20 21:24:03)
data from HudBay Minerals; AIF 2010</t>
        </r>
      </text>
    </comment>
    <comment ref="H131" authorId="0" shapeId="0" xr:uid="{00000000-0006-0000-0000-000086060000}">
      <text>
        <r>
          <rPr>
            <sz val="11"/>
            <color theme="1"/>
            <rFont val="Calibri"/>
            <family val="2"/>
            <scheme val="minor"/>
          </rPr>
          <t>======
ID#AAABCyJQhs0
Gavin Mudd    (2023-12-20 21:24:01)
previously held by Starfield Resources Ltd (now bankrupt)</t>
        </r>
      </text>
    </comment>
    <comment ref="H133" authorId="0" shapeId="0" xr:uid="{00000000-0006-0000-0000-00004D020000}">
      <text>
        <r>
          <rPr>
            <sz val="11"/>
            <color theme="1"/>
            <rFont val="Calibri"/>
            <family val="2"/>
            <scheme val="minor"/>
          </rPr>
          <t>======
ID#AAABDDKrQrY
Author    (2023-12-20 21:24:04)
formerly Blackstone Ventures</t>
        </r>
      </text>
    </comment>
    <comment ref="BA133" authorId="0" shapeId="0" xr:uid="{00000000-0006-0000-0000-00004E020000}">
      <text>
        <r>
          <rPr>
            <sz val="11"/>
            <color theme="1"/>
            <rFont val="Calibri"/>
            <family val="2"/>
            <scheme val="minor"/>
          </rPr>
          <t>======
ID#AAABDDKrQrE
Gavin Mudd    (2023-12-20 21:24:04)
historic resources (non-compliant with NI43-101) - hence all data allocated as inferred resources only</t>
        </r>
      </text>
    </comment>
    <comment ref="BB133" authorId="0" shapeId="0" xr:uid="{00000000-0006-0000-0000-000061010000}">
      <text>
        <r>
          <rPr>
            <sz val="11"/>
            <color theme="1"/>
            <rFont val="Calibri"/>
            <family val="2"/>
            <scheme val="minor"/>
          </rPr>
          <t>======
ID#AAABDDKrRIw
Gavin Mudd    (2023-12-20 21:24:04)
historic resources (non-compliant with NI43-101) - hence all data allocated as inferred resources only</t>
        </r>
      </text>
    </comment>
    <comment ref="BI133" authorId="0" shapeId="0" xr:uid="{00000000-0006-0000-0000-0000CA000000}">
      <text>
        <r>
          <rPr>
            <sz val="11"/>
            <color theme="1"/>
            <rFont val="Calibri"/>
            <family val="2"/>
            <scheme val="minor"/>
          </rPr>
          <t>======
ID#AAABDDKrRcU
Gavin Mudd    (2023-12-20 21:24:04)
historic resources (non-compliant with NI43-101) - hence all data allocated as inferred resources only</t>
        </r>
      </text>
    </comment>
    <comment ref="BJ133" authorId="0" shapeId="0" xr:uid="{00000000-0006-0000-0000-000070050000}">
      <text>
        <r>
          <rPr>
            <sz val="11"/>
            <color theme="1"/>
            <rFont val="Calibri"/>
            <family val="2"/>
            <scheme val="minor"/>
          </rPr>
          <t>======
ID#AAABDDKrPFI
Gavin Mudd    (2023-12-20 21:24:03)
historic resources (non-compliant with NI43-101) - hence all data allocated as inferred resources only</t>
        </r>
      </text>
    </comment>
    <comment ref="AO134" authorId="0" shapeId="0" xr:uid="{00000000-0006-0000-0000-00005E060000}">
      <text>
        <r>
          <rPr>
            <sz val="11"/>
            <color theme="1"/>
            <rFont val="Calibri"/>
            <family val="2"/>
            <scheme val="minor"/>
          </rPr>
          <t>======
ID#AAABCyJQhxA
Gavin Mudd    (2023-12-20 21:24:02)
assumes older WA MINEDEX data for %Co in the Lounge Lizard resource</t>
        </r>
      </text>
    </comment>
    <comment ref="BJ134" authorId="0" shapeId="0" xr:uid="{00000000-0006-0000-0000-000073050000}">
      <text>
        <r>
          <rPr>
            <sz val="11"/>
            <color theme="1"/>
            <rFont val="Calibri"/>
            <family val="2"/>
            <scheme val="minor"/>
          </rPr>
          <t>======
ID#AAABDDKrPE0
Gavin Mudd    (2023-12-20 21:24:03)
assumes older WA MINEDEX data for %Co in the Lounge Lizard resource</t>
        </r>
      </text>
    </comment>
    <comment ref="CZ134" authorId="0" shapeId="0" xr:uid="{00000000-0006-0000-0000-00007C010000}">
      <text>
        <r>
          <rPr>
            <sz val="11"/>
            <color theme="1"/>
            <rFont val="Calibri"/>
            <family val="2"/>
            <scheme val="minor"/>
          </rPr>
          <t>======
ID#AAABDDKrRFQ
Gavin Mudd    (2023-12-20 21:24:04)
assumes older WA MINEDEX data for %Co in the Lounge Lizard resource</t>
        </r>
      </text>
    </comment>
    <comment ref="BA135" authorId="0" shapeId="0" xr:uid="{00000000-0006-0000-0000-0000EC010000}">
      <text>
        <r>
          <rPr>
            <sz val="11"/>
            <color theme="1"/>
            <rFont val="Calibri"/>
            <family val="2"/>
            <scheme val="minor"/>
          </rPr>
          <t>======
ID#AAABDDKrQ2s
Gavin Mudd    (2023-12-20 21:24:04)
ASSUMED; based on reported 210 kt Ni in Mosusu (2014)</t>
        </r>
      </text>
    </comment>
    <comment ref="BI135" authorId="0" shapeId="0" xr:uid="{00000000-0006-0000-0000-000047050000}">
      <text>
        <r>
          <rPr>
            <sz val="11"/>
            <color theme="1"/>
            <rFont val="Calibri"/>
            <family val="2"/>
            <scheme val="minor"/>
          </rPr>
          <t>======
ID#AAABDDKrPLE
Gavin Mudd    (2023-12-20 21:24:03)
ASSUMED; based on reported 210 kt Ni in Mosusu (2014)</t>
        </r>
      </text>
    </comment>
    <comment ref="BA136" authorId="0" shapeId="0" xr:uid="{00000000-0006-0000-0000-0000C1020000}">
      <text>
        <r>
          <rPr>
            <sz val="11"/>
            <color theme="1"/>
            <rFont val="Calibri"/>
            <family val="2"/>
            <scheme val="minor"/>
          </rPr>
          <t>======
ID#AAABDDKrQdU
Gavin Mudd    (2023-12-20 21:24:03)
historic resources (non-compliant with NI43-101) - hence all data allocated as inferred resources only</t>
        </r>
      </text>
    </comment>
    <comment ref="BB136" authorId="0" shapeId="0" xr:uid="{00000000-0006-0000-0000-0000E5010000}">
      <text>
        <r>
          <rPr>
            <sz val="11"/>
            <color theme="1"/>
            <rFont val="Calibri"/>
            <family val="2"/>
            <scheme val="minor"/>
          </rPr>
          <t>======
ID#AAABDDKrQ3s
Gavin Mudd    (2023-12-20 21:24:04)
historic resources (non-compliant with NI43-101) - hence all data allocated as inferred resources only</t>
        </r>
      </text>
    </comment>
    <comment ref="BI136" authorId="0" shapeId="0" xr:uid="{00000000-0006-0000-0000-00007B000000}">
      <text>
        <r>
          <rPr>
            <sz val="11"/>
            <color theme="1"/>
            <rFont val="Calibri"/>
            <family val="2"/>
            <scheme val="minor"/>
          </rPr>
          <t>======
ID#AAABDDKrRl4
Gavin Mudd    (2023-12-20 21:24:04)
historic resources (non-compliant with NI43-101) - hence all data allocated as inferred resources only</t>
        </r>
      </text>
    </comment>
    <comment ref="BJ136" authorId="0" shapeId="0" xr:uid="{00000000-0006-0000-0000-00009A050000}">
      <text>
        <r>
          <rPr>
            <sz val="11"/>
            <color theme="1"/>
            <rFont val="Calibri"/>
            <family val="2"/>
            <scheme val="minor"/>
          </rPr>
          <t>======
ID#AAABDDKrO_4
Gavin Mudd    (2023-12-20 21:24:03)
historic resources (non-compliant with NI43-101) - hence all data allocated as inferred resources only</t>
        </r>
      </text>
    </comment>
    <comment ref="BA138" authorId="0" shapeId="0" xr:uid="{00000000-0006-0000-0000-000033040000}">
      <text>
        <r>
          <rPr>
            <sz val="11"/>
            <color theme="1"/>
            <rFont val="Calibri"/>
            <family val="2"/>
            <scheme val="minor"/>
          </rPr>
          <t>======
ID#AAABDDKrPuA
Gavin Mudd    (2023-12-20 21:24:03)
historic resources (non-compliant with NI43-101) - hence all data allocated as inferred resources only</t>
        </r>
      </text>
    </comment>
    <comment ref="BI138" authorId="0" shapeId="0" xr:uid="{00000000-0006-0000-0000-0000E6030000}">
      <text>
        <r>
          <rPr>
            <sz val="11"/>
            <color theme="1"/>
            <rFont val="Calibri"/>
            <family val="2"/>
            <scheme val="minor"/>
          </rPr>
          <t>======
ID#AAABDDKrP3Y
Gavin Mudd    (2023-12-20 21:24:03)
historic resources (non-compliant with NI43-101) - hence all data allocated as inferred resources only</t>
        </r>
      </text>
    </comment>
    <comment ref="BA140" authorId="0" shapeId="0" xr:uid="{00000000-0006-0000-0000-000083060000}">
      <text>
        <r>
          <rPr>
            <sz val="11"/>
            <color theme="1"/>
            <rFont val="Calibri"/>
            <family val="2"/>
            <scheme val="minor"/>
          </rPr>
          <t>======
ID#AAABCyJQhs8
Gavin Mudd    (2023-12-20 21:24:01)
historic resources (non-compliant with NI43-101) - hence all data allocated as inferred resources only</t>
        </r>
      </text>
    </comment>
    <comment ref="BI140" authorId="0" shapeId="0" xr:uid="{00000000-0006-0000-0000-0000F2040000}">
      <text>
        <r>
          <rPr>
            <sz val="11"/>
            <color theme="1"/>
            <rFont val="Calibri"/>
            <family val="2"/>
            <scheme val="minor"/>
          </rPr>
          <t>======
ID#AAABDDKrPWE
Gavin Mudd    (2023-12-20 21:24:03)
historic resources (non-compliant with NI43-101) - hence all data allocated as inferred resources only</t>
        </r>
      </text>
    </comment>
    <comment ref="BJ140" authorId="0" shapeId="0" xr:uid="{00000000-0006-0000-0000-000068040000}">
      <text>
        <r>
          <rPr>
            <sz val="11"/>
            <color theme="1"/>
            <rFont val="Calibri"/>
            <family val="2"/>
            <scheme val="minor"/>
          </rPr>
          <t>======
ID#AAABDDKrPn0
Gavin Mudd    (2023-12-20 21:24:03)
historic resources (non-compliant with NI43-101) - hence all data allocated as inferred resources only</t>
        </r>
      </text>
    </comment>
    <comment ref="BA141" authorId="0" shapeId="0" xr:uid="{00000000-0006-0000-0000-000041020000}">
      <text>
        <r>
          <rPr>
            <sz val="11"/>
            <color theme="1"/>
            <rFont val="Calibri"/>
            <family val="2"/>
            <scheme val="minor"/>
          </rPr>
          <t>======
ID#AAABDDKrQtE
Gavin Mudd    (2023-12-20 21:24:04)
historical data, not code-compliant</t>
        </r>
      </text>
    </comment>
    <comment ref="BI141" authorId="0" shapeId="0" xr:uid="{00000000-0006-0000-0000-000083010000}">
      <text>
        <r>
          <rPr>
            <sz val="11"/>
            <color theme="1"/>
            <rFont val="Calibri"/>
            <family val="2"/>
            <scheme val="minor"/>
          </rPr>
          <t>======
ID#AAABDDKrREQ
Gavin Mudd    (2023-12-20 21:24:04)
historical data, not code-compliant</t>
        </r>
      </text>
    </comment>
    <comment ref="H147" authorId="0" shapeId="0" xr:uid="{00000000-0006-0000-0000-000092000000}">
      <text>
        <r>
          <rPr>
            <sz val="11"/>
            <color theme="1"/>
            <rFont val="Calibri"/>
            <family val="2"/>
            <scheme val="minor"/>
          </rPr>
          <t>======
ID#AAABDDKrRj8
Gavin Mudd    (2023-12-20 21:24:04)
previously held by Central West Gold NL</t>
        </r>
      </text>
    </comment>
    <comment ref="BA147" authorId="0" shapeId="0" xr:uid="{00000000-0006-0000-0000-00006D040000}">
      <text>
        <r>
          <rPr>
            <sz val="11"/>
            <color theme="1"/>
            <rFont val="Calibri"/>
            <family val="2"/>
            <scheme val="minor"/>
          </rPr>
          <t>======
ID#AAABDDKrPnY
Gavin Mudd    (2023-12-20 21:24:03)
historical resource only, assumed as inferred resources</t>
        </r>
      </text>
    </comment>
    <comment ref="BI147" authorId="0" shapeId="0" xr:uid="{00000000-0006-0000-0000-000095020000}">
      <text>
        <r>
          <rPr>
            <sz val="11"/>
            <color theme="1"/>
            <rFont val="Calibri"/>
            <family val="2"/>
            <scheme val="minor"/>
          </rPr>
          <t>======
ID#AAABDDKrQjQ
Gavin Mudd    (2023-12-20 21:24:04)
historical resource only, assumed as inferred resourcesvalue from 2007 Annual Report</t>
        </r>
      </text>
    </comment>
    <comment ref="BJ147" authorId="0" shapeId="0" xr:uid="{00000000-0006-0000-0000-00004D010000}">
      <text>
        <r>
          <rPr>
            <sz val="11"/>
            <color theme="1"/>
            <rFont val="Calibri"/>
            <family val="2"/>
            <scheme val="minor"/>
          </rPr>
          <t>======
ID#AAABDDKrRLQ
Gavin Mudd    (2023-12-20 21:24:04)
historical resource only, assumed as inferred resources</t>
        </r>
      </text>
    </comment>
    <comment ref="DP147" authorId="0" shapeId="0" xr:uid="{00000000-0006-0000-0000-0000D7030000}">
      <text>
        <r>
          <rPr>
            <sz val="11"/>
            <color theme="1"/>
            <rFont val="Calibri"/>
            <family val="2"/>
            <scheme val="minor"/>
          </rPr>
          <t>======
ID#AAABDDKrP54
Gavin Mudd    (2023-12-20 21:24:03)
data from Central West Gold NL</t>
        </r>
      </text>
    </comment>
    <comment ref="BA148" authorId="0" shapeId="0" xr:uid="{00000000-0006-0000-0000-0000CA040000}">
      <text>
        <r>
          <rPr>
            <sz val="11"/>
            <color theme="1"/>
            <rFont val="Calibri"/>
            <family val="2"/>
            <scheme val="minor"/>
          </rPr>
          <t>======
ID#AAABDDKrPaw
Gavin Mudd    (2023-12-20 21:24:03)
historic resources (non-compliant with NI43-101) - hence all data allocated as inferred resources only; adjusted for 13 years mining @ ~0.3 Mt ore/yr since 2005</t>
        </r>
      </text>
    </comment>
    <comment ref="BI148" authorId="0" shapeId="0" xr:uid="{00000000-0006-0000-0000-000055050000}">
      <text>
        <r>
          <rPr>
            <sz val="11"/>
            <color theme="1"/>
            <rFont val="Calibri"/>
            <family val="2"/>
            <scheme val="minor"/>
          </rPr>
          <t>======
ID#AAABDDKrPJA
Gavin Mudd    (2023-12-20 21:24:03)
historic resources (non-compliant with NI43-101) - hence all data allocated as inferred resources only</t>
        </r>
      </text>
    </comment>
    <comment ref="K149" authorId="0" shapeId="0" xr:uid="{00000000-0006-0000-0000-000094050000}">
      <text>
        <r>
          <rPr>
            <sz val="11"/>
            <color theme="1"/>
            <rFont val="Calibri"/>
            <family val="2"/>
            <scheme val="minor"/>
          </rPr>
          <t>======
ID#AAABDDKrPAw
Gavin Mudd    (2023-12-20 21:24:03)
Vale only reports reserves, but has from 2015 has not reported any reserves for Goro due to low nickel prices</t>
        </r>
      </text>
    </comment>
    <comment ref="AF149" authorId="0" shapeId="0" xr:uid="{00000000-0006-0000-0000-00007A010000}">
      <text>
        <r>
          <rPr>
            <sz val="11"/>
            <color theme="1"/>
            <rFont val="Calibri"/>
            <family val="2"/>
            <scheme val="minor"/>
          </rPr>
          <t>======
ID#AAABDDKrRFo
Gavin Mudd    (2023-12-20 21:24:04)
Vale only reports reserves, but has from 2015 has not reported any reserves for Goro due to low nickel prices</t>
        </r>
      </text>
    </comment>
    <comment ref="BA149" authorId="0" shapeId="0" xr:uid="{00000000-0006-0000-0000-000050060000}">
      <text>
        <r>
          <rPr>
            <sz val="11"/>
            <color theme="1"/>
            <rFont val="Calibri"/>
            <family val="2"/>
            <scheme val="minor"/>
          </rPr>
          <t>======
ID#AAABCyJQhyM
Gavin Mudd    (2023-12-20 21:24:02)
Vale only reports reserves, but has from 2015 has not reported any reserves for Goro due to low nickel prices
- this estimate base on 2014 reserves minus production 2015 to 2018</t>
        </r>
      </text>
    </comment>
    <comment ref="BI149" authorId="0" shapeId="0" xr:uid="{00000000-0006-0000-0000-000016010000}">
      <text>
        <r>
          <rPr>
            <sz val="11"/>
            <color theme="1"/>
            <rFont val="Calibri"/>
            <family val="2"/>
            <scheme val="minor"/>
          </rPr>
          <t>======
ID#AAABDDKrRTY
Gavin Mudd    (2023-12-20 21:24:04)
Vale only reports reserves, but has from 2015 has not reported any reserves for Goro due to low nickel prices
- this estimate base on 2014 reserves minus production 2015 to 2018</t>
        </r>
      </text>
    </comment>
    <comment ref="BJ149" authorId="0" shapeId="0" xr:uid="{00000000-0006-0000-0000-0000D4050000}">
      <text>
        <r>
          <rPr>
            <sz val="11"/>
            <color theme="1"/>
            <rFont val="Calibri"/>
            <family val="2"/>
            <scheme val="minor"/>
          </rPr>
          <t>======
ID#AAABCyJQiAg
Gavin Mudd    (2023-12-20 21:24:02)
Vale only reports reserves, but has from 2015 has not reported any reserves for Goro due to low nickel prices
- this estimate base on 2014 reserves minus production 2015 to 2018
- cobalt grades not reported for production, so constant reserves value assumed</t>
        </r>
      </text>
    </comment>
    <comment ref="BV149" authorId="0" shapeId="0" xr:uid="{00000000-0006-0000-0000-00000B000000}">
      <text>
        <r>
          <rPr>
            <sz val="11"/>
            <color theme="1"/>
            <rFont val="Calibri"/>
            <family val="2"/>
            <scheme val="minor"/>
          </rPr>
          <t>======
ID#AAABDDKrR04
Gavin Mudd    (2023-12-20 21:24:04)
Vale only reports reserves, but has from 2015 has not reported any reserves for Goro due to low nickel prices</t>
        </r>
      </text>
    </comment>
    <comment ref="CQ149" authorId="0" shapeId="0" xr:uid="{00000000-0006-0000-0000-0000D2050000}">
      <text>
        <r>
          <rPr>
            <sz val="11"/>
            <color theme="1"/>
            <rFont val="Calibri"/>
            <family val="2"/>
            <scheme val="minor"/>
          </rPr>
          <t>======
ID#AAABCyJQiAs
Gavin Mudd    (2023-12-20 21:24:02)
Vale only reports reserves, but has from 2015 has not reported any reserves for Goro due to low nickel prices</t>
        </r>
      </text>
    </comment>
    <comment ref="BA152" authorId="0" shapeId="0" xr:uid="{00000000-0006-0000-0000-000008010000}">
      <text>
        <r>
          <rPr>
            <sz val="11"/>
            <color theme="1"/>
            <rFont val="Calibri"/>
            <family val="2"/>
            <scheme val="minor"/>
          </rPr>
          <t>======
ID#AAABDDKrRU4
Gavin Mudd    (2023-12-20 21:24:04)
only total resources reported, assumed as inferred</t>
        </r>
      </text>
    </comment>
    <comment ref="BI152" authorId="0" shapeId="0" xr:uid="{00000000-0006-0000-0000-000013060000}">
      <text>
        <r>
          <rPr>
            <sz val="11"/>
            <color theme="1"/>
            <rFont val="Calibri"/>
            <family val="2"/>
            <scheme val="minor"/>
          </rPr>
          <t>======
ID#AAABCyJQh5A
Gavin Mudd    (2023-12-20 21:24:02)
only total resources reported, assumed as inferred</t>
        </r>
      </text>
    </comment>
    <comment ref="BJ152" authorId="0" shapeId="0" xr:uid="{00000000-0006-0000-0000-0000BB050000}">
      <text>
        <r>
          <rPr>
            <sz val="11"/>
            <color theme="1"/>
            <rFont val="Calibri"/>
            <family val="2"/>
            <scheme val="minor"/>
          </rPr>
          <t>======
ID#AAABDDKrO7w
Gavin Mudd    (2023-12-20 21:24:03)
only total resources reported, assumed as inferred</t>
        </r>
      </text>
    </comment>
    <comment ref="BU153" authorId="0" shapeId="0" xr:uid="{00000000-0006-0000-0000-000048010000}">
      <text>
        <r>
          <rPr>
            <sz val="11"/>
            <color theme="1"/>
            <rFont val="Calibri"/>
            <family val="2"/>
            <scheme val="minor"/>
          </rPr>
          <t>======
ID#AAABDDKrRLo
Gavin Mudd    (2023-12-20 21:24:04)
grade is %V2O5</t>
        </r>
      </text>
    </comment>
    <comment ref="BJ154" authorId="0" shapeId="0" xr:uid="{00000000-0006-0000-0000-0000C5030000}">
      <text>
        <r>
          <rPr>
            <sz val="11"/>
            <color theme="1"/>
            <rFont val="Calibri"/>
            <family val="2"/>
            <scheme val="minor"/>
          </rPr>
          <t>======
ID#AAABDDKrP88
Gavin Mudd    (2023-12-20 21:24:03)
from Tech Rep (2011-03)</t>
        </r>
      </text>
    </comment>
    <comment ref="BA155" authorId="0" shapeId="0" xr:uid="{00000000-0006-0000-0000-00000B020000}">
      <text>
        <r>
          <rPr>
            <sz val="11"/>
            <color theme="1"/>
            <rFont val="Calibri"/>
            <family val="2"/>
            <scheme val="minor"/>
          </rPr>
          <t>======
ID#AAABDDKrQy4
Gavin Mudd    (2023-12-20 21:24:04)
historic resources (non-compliant with NI43-101) - hence all data allocated as inferred resources only</t>
        </r>
      </text>
    </comment>
    <comment ref="BB155" authorId="0" shapeId="0" xr:uid="{00000000-0006-0000-0000-000016030000}">
      <text>
        <r>
          <rPr>
            <sz val="11"/>
            <color theme="1"/>
            <rFont val="Calibri"/>
            <family val="2"/>
            <scheme val="minor"/>
          </rPr>
          <t>======
ID#AAABDDKrQUI
Gavin Mudd    (2023-12-20 21:24:03)
historic resources (non-compliant with NI43-101) - hence all data allocated as inferred resources only</t>
        </r>
      </text>
    </comment>
    <comment ref="BH155" authorId="0" shapeId="0" xr:uid="{00000000-0006-0000-0000-00008C050000}">
      <text>
        <r>
          <rPr>
            <sz val="11"/>
            <color theme="1"/>
            <rFont val="Calibri"/>
            <family val="2"/>
            <scheme val="minor"/>
          </rPr>
          <t>======
ID#AAABDDKrPBo
Gavin Mudd    (2023-12-20 21:24:03)
historic resources (non-compliant with NI43-101) - hence all data allocated as inferred resources only</t>
        </r>
      </text>
    </comment>
    <comment ref="BI155" authorId="0" shapeId="0" xr:uid="{00000000-0006-0000-0000-00005C010000}">
      <text>
        <r>
          <rPr>
            <sz val="11"/>
            <color theme="1"/>
            <rFont val="Calibri"/>
            <family val="2"/>
            <scheme val="minor"/>
          </rPr>
          <t>======
ID#AAABDDKrRJQ
Gavin Mudd    (2023-12-20 21:24:04)
historic resources (non-compliant with NI43-101) - hence all data allocated as inferred resources only</t>
        </r>
      </text>
    </comment>
    <comment ref="K156" authorId="0" shapeId="0" xr:uid="{00000000-0006-0000-0000-0000A7030000}">
      <text>
        <r>
          <rPr>
            <sz val="11"/>
            <color theme="1"/>
            <rFont val="Calibri"/>
            <family val="2"/>
            <scheme val="minor"/>
          </rPr>
          <t>======
ID#AAABDDKrQAQ
Gavin Mudd    (2023-12-20 21:24:03)
only total resources are reported</t>
        </r>
      </text>
    </comment>
    <comment ref="AF156" authorId="0" shapeId="0" xr:uid="{00000000-0006-0000-0000-00004D050000}">
      <text>
        <r>
          <rPr>
            <sz val="11"/>
            <color theme="1"/>
            <rFont val="Calibri"/>
            <family val="2"/>
            <scheme val="minor"/>
          </rPr>
          <t>======
ID#AAABDDKrPKU
Gavin Mudd    (2023-12-20 21:24:03)
only total resources are reported</t>
        </r>
      </text>
    </comment>
    <comment ref="BA156" authorId="0" shapeId="0" xr:uid="{00000000-0006-0000-0000-000057040000}">
      <text>
        <r>
          <rPr>
            <sz val="11"/>
            <color theme="1"/>
            <rFont val="Calibri"/>
            <family val="2"/>
            <scheme val="minor"/>
          </rPr>
          <t>======
ID#AAABDDKrPpo
Gavin Mudd    (2023-12-20 21:24:03)
only total resources are reported</t>
        </r>
      </text>
    </comment>
    <comment ref="BB156" authorId="0" shapeId="0" xr:uid="{00000000-0006-0000-0000-00001F050000}">
      <text>
        <r>
          <rPr>
            <sz val="11"/>
            <color theme="1"/>
            <rFont val="Calibri"/>
            <family val="2"/>
            <scheme val="minor"/>
          </rPr>
          <t>======
ID#AAABDDKrPPk
Gavin Mudd    (2023-12-20 21:24:03)
only total resources are reported</t>
        </r>
      </text>
    </comment>
    <comment ref="BI156" authorId="0" shapeId="0" xr:uid="{00000000-0006-0000-0000-000043020000}">
      <text>
        <r>
          <rPr>
            <sz val="11"/>
            <color theme="1"/>
            <rFont val="Calibri"/>
            <family val="2"/>
            <scheme val="minor"/>
          </rPr>
          <t>======
ID#AAABDDKrQso
Gavin Mudd    (2023-12-20 21:24:04)
only total resources are reported</t>
        </r>
      </text>
    </comment>
    <comment ref="BA158" authorId="0" shapeId="0" xr:uid="{00000000-0006-0000-0000-000020060000}">
      <text>
        <r>
          <rPr>
            <sz val="11"/>
            <color theme="1"/>
            <rFont val="Calibri"/>
            <family val="2"/>
            <scheme val="minor"/>
          </rPr>
          <t>======
ID#AAABCyJQh3U
Gavin Mudd    (2023-12-20 21:24:02)
historic resources (non-compliant with NI43-101) - hence all data allocated as inferred resources only</t>
        </r>
      </text>
    </comment>
    <comment ref="BB158" authorId="0" shapeId="0" xr:uid="{00000000-0006-0000-0000-000004050000}">
      <text>
        <r>
          <rPr>
            <sz val="11"/>
            <color theme="1"/>
            <rFont val="Calibri"/>
            <family val="2"/>
            <scheme val="minor"/>
          </rPr>
          <t>======
ID#AAABDDKrPTk
Gavin Mudd    (2023-12-20 21:24:03)
historic resources (non-compliant with NI43-101) - hence all data allocated as inferred resources only</t>
        </r>
      </text>
    </comment>
    <comment ref="BG158" authorId="0" shapeId="0" xr:uid="{00000000-0006-0000-0000-0000B4050000}">
      <text>
        <r>
          <rPr>
            <sz val="11"/>
            <color theme="1"/>
            <rFont val="Calibri"/>
            <family val="2"/>
            <scheme val="minor"/>
          </rPr>
          <t>======
ID#AAABDDKrO8Y
Gavin Mudd    (2023-12-20 21:24:03)
historic resources (non-compliant with NI43-101) - hence all data allocated as inferred resources only</t>
        </r>
      </text>
    </comment>
    <comment ref="BH158" authorId="0" shapeId="0" xr:uid="{00000000-0006-0000-0000-000031040000}">
      <text>
        <r>
          <rPr>
            <sz val="11"/>
            <color theme="1"/>
            <rFont val="Calibri"/>
            <family val="2"/>
            <scheme val="minor"/>
          </rPr>
          <t>======
ID#AAABDDKrPuU
Gavin Mudd    (2023-12-20 21:24:03)
historic resources (non-compliant with NI43-101) - hence all data allocated as inferred resources only</t>
        </r>
      </text>
    </comment>
    <comment ref="BI158" authorId="0" shapeId="0" xr:uid="{00000000-0006-0000-0000-0000E5050000}">
      <text>
        <r>
          <rPr>
            <sz val="11"/>
            <color theme="1"/>
            <rFont val="Calibri"/>
            <family val="2"/>
            <scheme val="minor"/>
          </rPr>
          <t>======
ID#AAABCyJQh-U
Gavin Mudd    (2023-12-20 21:24:02)
historic resources (non-compliant with NI43-101) - hence all data allocated as inferred resources only</t>
        </r>
      </text>
    </comment>
    <comment ref="BJ158" authorId="0" shapeId="0" xr:uid="{00000000-0006-0000-0000-000096020000}">
      <text>
        <r>
          <rPr>
            <sz val="11"/>
            <color theme="1"/>
            <rFont val="Calibri"/>
            <family val="2"/>
            <scheme val="minor"/>
          </rPr>
          <t>======
ID#AAABDDKrQjI
Gavin Mudd    (2023-12-20 21:24:04)
historic resources (non-compliant with NI43-101) - hence all data allocated as inferred resources only</t>
        </r>
      </text>
    </comment>
    <comment ref="K159" authorId="0" shapeId="0" xr:uid="{00000000-0006-0000-0000-0000CB030000}">
      <text>
        <r>
          <rPr>
            <sz val="11"/>
            <color theme="1"/>
            <rFont val="Calibri"/>
            <family val="2"/>
            <scheme val="minor"/>
          </rPr>
          <t>======
ID#AAABDDKrP8c
Gavin Mudd    (2023-12-20 21:24:03)
only total measured &amp; indicated resources reported</t>
        </r>
      </text>
    </comment>
    <comment ref="AF159" authorId="0" shapeId="0" xr:uid="{00000000-0006-0000-0000-000007060000}">
      <text>
        <r>
          <rPr>
            <sz val="11"/>
            <color theme="1"/>
            <rFont val="Calibri"/>
            <family val="2"/>
            <scheme val="minor"/>
          </rPr>
          <t>======
ID#AAABCyJQh6Q
Gavin Mudd    (2023-12-20 21:24:02)
only total measured &amp; indicated resources reported</t>
        </r>
      </text>
    </comment>
    <comment ref="AN159" authorId="0" shapeId="0" xr:uid="{00000000-0006-0000-0000-000044020000}">
      <text>
        <r>
          <rPr>
            <sz val="11"/>
            <color theme="1"/>
            <rFont val="Calibri"/>
            <family val="2"/>
            <scheme val="minor"/>
          </rPr>
          <t>======
ID#AAABDDKrQsY
Gavin Mudd    (2023-12-20 21:24:04)
only total measured &amp; indicated resources reported</t>
        </r>
      </text>
    </comment>
    <comment ref="AV159" authorId="0" shapeId="0" xr:uid="{00000000-0006-0000-0000-000033050000}">
      <text>
        <r>
          <rPr>
            <sz val="11"/>
            <color theme="1"/>
            <rFont val="Calibri"/>
            <family val="2"/>
            <scheme val="minor"/>
          </rPr>
          <t>======
ID#AAABDDKrPNM
Gavin Mudd    (2023-12-20 21:24:03)
only total measured &amp; indicated resources reported</t>
        </r>
      </text>
    </comment>
    <comment ref="BA159" authorId="0" shapeId="0" xr:uid="{00000000-0006-0000-0000-0000CE000000}">
      <text>
        <r>
          <rPr>
            <sz val="11"/>
            <color theme="1"/>
            <rFont val="Calibri"/>
            <family val="2"/>
            <scheme val="minor"/>
          </rPr>
          <t>======
ID#AAABDDKrRb0
Gavin Mudd    (2023-12-20 21:24:04)
only total measured &amp; indicated resources reported</t>
        </r>
      </text>
    </comment>
    <comment ref="BI159" authorId="0" shapeId="0" xr:uid="{00000000-0006-0000-0000-000089020000}">
      <text>
        <r>
          <rPr>
            <sz val="11"/>
            <color theme="1"/>
            <rFont val="Calibri"/>
            <family val="2"/>
            <scheme val="minor"/>
          </rPr>
          <t>======
ID#AAABDDKrQks
Gavin Mudd    (2023-12-20 21:24:04)
only total measured &amp; indicated resources reported</t>
        </r>
      </text>
    </comment>
    <comment ref="BQ159" authorId="0" shapeId="0" xr:uid="{00000000-0006-0000-0000-00006A040000}">
      <text>
        <r>
          <rPr>
            <sz val="11"/>
            <color theme="1"/>
            <rFont val="Calibri"/>
            <family val="2"/>
            <scheme val="minor"/>
          </rPr>
          <t>======
ID#AAABDDKrPno
Gavin Mudd    (2023-12-20 21:24:03)
only total measured &amp; indicated resources reported</t>
        </r>
      </text>
    </comment>
    <comment ref="CQ159" authorId="0" shapeId="0" xr:uid="{00000000-0006-0000-0000-00003C050000}">
      <text>
        <r>
          <rPr>
            <sz val="11"/>
            <color theme="1"/>
            <rFont val="Calibri"/>
            <family val="2"/>
            <scheme val="minor"/>
          </rPr>
          <t>======
ID#AAABDDKrPMQ
Gavin Mudd    (2023-12-20 21:24:03)
total of proved and probable reserves</t>
        </r>
      </text>
    </comment>
    <comment ref="CY159" authorId="0" shapeId="0" xr:uid="{00000000-0006-0000-0000-0000F1000000}">
      <text>
        <r>
          <rPr>
            <sz val="11"/>
            <color theme="1"/>
            <rFont val="Calibri"/>
            <family val="2"/>
            <scheme val="minor"/>
          </rPr>
          <t>======
ID#AAABDDKrRXU
Gavin Mudd    (2023-12-20 21:24:04)
total of proved and probable reserves</t>
        </r>
      </text>
    </comment>
    <comment ref="DG159" authorId="0" shapeId="0" xr:uid="{00000000-0006-0000-0000-00008A030000}">
      <text>
        <r>
          <rPr>
            <sz val="11"/>
            <color theme="1"/>
            <rFont val="Calibri"/>
            <family val="2"/>
            <scheme val="minor"/>
          </rPr>
          <t>======
ID#AAABDDKrQEA
Gavin Mudd    (2023-12-20 21:24:03)
total of proved and probable reserves</t>
        </r>
      </text>
    </comment>
    <comment ref="H160" authorId="0" shapeId="0" xr:uid="{00000000-0006-0000-0000-00008C020000}">
      <text>
        <r>
          <rPr>
            <sz val="11"/>
            <color theme="1"/>
            <rFont val="Calibri"/>
            <family val="2"/>
            <scheme val="minor"/>
          </rPr>
          <t>======
ID#AAABDDKrQkU
Gavin Mudd    (2023-12-20 21:24:04)
previously held by Belevedere Resources Ltd, which declared bankruptcy in Dec. 2015</t>
        </r>
      </text>
    </comment>
    <comment ref="K160" authorId="0" shapeId="0" xr:uid="{00000000-0006-0000-0000-000087020000}">
      <text>
        <r>
          <rPr>
            <sz val="11"/>
            <color theme="1"/>
            <rFont val="Calibri"/>
            <family val="2"/>
            <scheme val="minor"/>
          </rPr>
          <t>======
ID#AAABDDKrQko
Gavin Mudd    (2023-12-20 21:24:04)
assumes proved reserves plus measured resources</t>
        </r>
      </text>
    </comment>
    <comment ref="L160" authorId="0" shapeId="0" xr:uid="{00000000-0006-0000-0000-000067040000}">
      <text>
        <r>
          <rPr>
            <sz val="11"/>
            <color theme="1"/>
            <rFont val="Calibri"/>
            <family val="2"/>
            <scheme val="minor"/>
          </rPr>
          <t>======
ID#AAABDDKrPoA
Gavin Mudd    (2023-12-20 21:24:03)
assumes proved reserves plus measured resources</t>
        </r>
      </text>
    </comment>
    <comment ref="S160" authorId="0" shapeId="0" xr:uid="{00000000-0006-0000-0000-0000A9020000}">
      <text>
        <r>
          <rPr>
            <sz val="11"/>
            <color theme="1"/>
            <rFont val="Calibri"/>
            <family val="2"/>
            <scheme val="minor"/>
          </rPr>
          <t>======
ID#AAABDDKrQhI
Gavin Mudd    (2023-12-20 21:24:04)
assumes proved reserves plus measured resources</t>
        </r>
      </text>
    </comment>
    <comment ref="T160" authorId="0" shapeId="0" xr:uid="{00000000-0006-0000-0000-0000AC000000}">
      <text>
        <r>
          <rPr>
            <sz val="11"/>
            <color theme="1"/>
            <rFont val="Calibri"/>
            <family val="2"/>
            <scheme val="minor"/>
          </rPr>
          <t>======
ID#AAABDDKrRfw
Gavin Mudd    (2023-12-20 21:24:04)
FODD (2017) data</t>
        </r>
      </text>
    </comment>
    <comment ref="U160" authorId="0" shapeId="0" xr:uid="{00000000-0006-0000-0000-000007050000}">
      <text>
        <r>
          <rPr>
            <sz val="11"/>
            <color theme="1"/>
            <rFont val="Calibri"/>
            <family val="2"/>
            <scheme val="minor"/>
          </rPr>
          <t>======
ID#AAABDDKrPS8
Gavin Mudd    (2023-12-20 21:24:03)
data from Eilu (2012)</t>
        </r>
      </text>
    </comment>
    <comment ref="V160" authorId="0" shapeId="0" xr:uid="{00000000-0006-0000-0000-000036030000}">
      <text>
        <r>
          <rPr>
            <sz val="11"/>
            <color theme="1"/>
            <rFont val="Calibri"/>
            <family val="2"/>
            <scheme val="minor"/>
          </rPr>
          <t>======
ID#AAABDDKrQQs
Gavin Mudd    (2023-12-20 21:24:03)
data from Eilu (2012)</t>
        </r>
      </text>
    </comment>
    <comment ref="AF160" authorId="0" shapeId="0" xr:uid="{00000000-0006-0000-0000-000065030000}">
      <text>
        <r>
          <rPr>
            <sz val="11"/>
            <color theme="1"/>
            <rFont val="Calibri"/>
            <family val="2"/>
            <scheme val="minor"/>
          </rPr>
          <t>======
ID#AAABDDKrQK8
Gavin Mudd    (2023-12-20 21:24:03)
assumes probable reserves plus indicated resources</t>
        </r>
      </text>
    </comment>
    <comment ref="AG160" authorId="0" shapeId="0" xr:uid="{00000000-0006-0000-0000-0000F4020000}">
      <text>
        <r>
          <rPr>
            <sz val="11"/>
            <color theme="1"/>
            <rFont val="Calibri"/>
            <family val="2"/>
            <scheme val="minor"/>
          </rPr>
          <t>======
ID#AAABDDKrQX4
Gavin Mudd    (2023-12-20 21:24:03)
assumes probable reserves plus indicated resources</t>
        </r>
      </text>
    </comment>
    <comment ref="AN160" authorId="0" shapeId="0" xr:uid="{00000000-0006-0000-0000-0000EF040000}">
      <text>
        <r>
          <rPr>
            <sz val="11"/>
            <color theme="1"/>
            <rFont val="Calibri"/>
            <family val="2"/>
            <scheme val="minor"/>
          </rPr>
          <t>======
ID#AAABDDKrPWg
Gavin Mudd    (2023-12-20 21:24:03)
assumes probable reserves plus indicated resources</t>
        </r>
      </text>
    </comment>
    <comment ref="AO160" authorId="0" shapeId="0" xr:uid="{00000000-0006-0000-0000-000088020000}">
      <text>
        <r>
          <rPr>
            <sz val="11"/>
            <color theme="1"/>
            <rFont val="Calibri"/>
            <family val="2"/>
            <scheme val="minor"/>
          </rPr>
          <t>======
ID#AAABDDKrQkg
Gavin Mudd    (2023-12-20 21:24:04)
FODD (2017) data</t>
        </r>
      </text>
    </comment>
    <comment ref="AP160" authorId="0" shapeId="0" xr:uid="{00000000-0006-0000-0000-0000A2040000}">
      <text>
        <r>
          <rPr>
            <sz val="11"/>
            <color theme="1"/>
            <rFont val="Calibri"/>
            <family val="2"/>
            <scheme val="minor"/>
          </rPr>
          <t>======
ID#AAABDDKrPgA
Gavin Mudd    (2023-12-20 21:24:03)
data from Eilu (2012)</t>
        </r>
      </text>
    </comment>
    <comment ref="AQ160" authorId="0" shapeId="0" xr:uid="{00000000-0006-0000-0000-0000A6020000}">
      <text>
        <r>
          <rPr>
            <sz val="11"/>
            <color theme="1"/>
            <rFont val="Calibri"/>
            <family val="2"/>
            <scheme val="minor"/>
          </rPr>
          <t>======
ID#AAABDDKrQhg
Gavin Mudd    (2023-12-20 21:24:04)
data from Eilu (2012)</t>
        </r>
      </text>
    </comment>
    <comment ref="BJ160" authorId="0" shapeId="0" xr:uid="{00000000-0006-0000-0000-0000DC000000}">
      <text>
        <r>
          <rPr>
            <sz val="11"/>
            <color theme="1"/>
            <rFont val="Calibri"/>
            <family val="2"/>
            <scheme val="minor"/>
          </rPr>
          <t>======
ID#AAABDDKrRZ0
Gavin Mudd    (2023-12-20 21:24:04)
FODD (2017) data</t>
        </r>
      </text>
    </comment>
    <comment ref="BK160" authorId="0" shapeId="0" xr:uid="{00000000-0006-0000-0000-000019030000}">
      <text>
        <r>
          <rPr>
            <sz val="11"/>
            <color theme="1"/>
            <rFont val="Calibri"/>
            <family val="2"/>
            <scheme val="minor"/>
          </rPr>
          <t>======
ID#AAABDDKrQUA
Gavin Mudd    (2023-12-20 21:24:03)
data from Eilu (2012)</t>
        </r>
      </text>
    </comment>
    <comment ref="BL160" authorId="0" shapeId="0" xr:uid="{00000000-0006-0000-0000-000060050000}">
      <text>
        <r>
          <rPr>
            <sz val="11"/>
            <color theme="1"/>
            <rFont val="Calibri"/>
            <family val="2"/>
            <scheme val="minor"/>
          </rPr>
          <t>======
ID#AAABDDKrPH8
Gavin Mudd    (2023-12-20 21:24:03)
data from Eilu (2012)</t>
        </r>
      </text>
    </comment>
    <comment ref="CE160" authorId="0" shapeId="0" xr:uid="{00000000-0006-0000-0000-000089050000}">
      <text>
        <r>
          <rPr>
            <sz val="11"/>
            <color theme="1"/>
            <rFont val="Calibri"/>
            <family val="2"/>
            <scheme val="minor"/>
          </rPr>
          <t>======
ID#AAABDDKrPCA
Gavin Mudd    (2023-12-20 21:24:03)
FODD (2017) data</t>
        </r>
      </text>
    </comment>
    <comment ref="CF160" authorId="0" shapeId="0" xr:uid="{00000000-0006-0000-0000-000004020000}">
      <text>
        <r>
          <rPr>
            <sz val="11"/>
            <color theme="1"/>
            <rFont val="Calibri"/>
            <family val="2"/>
            <scheme val="minor"/>
          </rPr>
          <t>======
ID#AAABDDKrQ0M
Gavin Mudd    (2023-12-20 21:24:04)
data from Eilu (2012)</t>
        </r>
      </text>
    </comment>
    <comment ref="CG160" authorId="0" shapeId="0" xr:uid="{00000000-0006-0000-0000-0000F0010000}">
      <text>
        <r>
          <rPr>
            <sz val="11"/>
            <color theme="1"/>
            <rFont val="Calibri"/>
            <family val="2"/>
            <scheme val="minor"/>
          </rPr>
          <t>======
ID#AAABDDKrQ2U
Gavin Mudd    (2023-12-20 21:24:04)
data from Eilu (2012)</t>
        </r>
      </text>
    </comment>
    <comment ref="CZ160" authorId="0" shapeId="0" xr:uid="{00000000-0006-0000-0000-00008E030000}">
      <text>
        <r>
          <rPr>
            <sz val="11"/>
            <color theme="1"/>
            <rFont val="Calibri"/>
            <family val="2"/>
            <scheme val="minor"/>
          </rPr>
          <t>======
ID#AAABDDKrQDU
Gavin Mudd    (2023-12-20 21:24:03)
FODD (2017) data</t>
        </r>
      </text>
    </comment>
    <comment ref="DA160" authorId="0" shapeId="0" xr:uid="{00000000-0006-0000-0000-00008E020000}">
      <text>
        <r>
          <rPr>
            <sz val="11"/>
            <color theme="1"/>
            <rFont val="Calibri"/>
            <family val="2"/>
            <scheme val="minor"/>
          </rPr>
          <t>======
ID#AAABDDKrQj8
Gavin Mudd    (2023-12-20 21:24:04)
data from Eilu (2012)</t>
        </r>
      </text>
    </comment>
    <comment ref="DB160" authorId="0" shapeId="0" xr:uid="{00000000-0006-0000-0000-0000B4030000}">
      <text>
        <r>
          <rPr>
            <sz val="11"/>
            <color theme="1"/>
            <rFont val="Calibri"/>
            <family val="2"/>
            <scheme val="minor"/>
          </rPr>
          <t>======
ID#AAABDDKrP-8
Gavin Mudd    (2023-12-20 21:24:03)
data from Eilu (2012)</t>
        </r>
      </text>
    </comment>
    <comment ref="BJ162" authorId="0" shapeId="0" xr:uid="{00000000-0006-0000-0000-0000BC050000}">
      <text>
        <r>
          <rPr>
            <sz val="11"/>
            <color theme="1"/>
            <rFont val="Calibri"/>
            <family val="2"/>
            <scheme val="minor"/>
          </rPr>
          <t>======
ID#AAABDDKrO7o
Gavin Mudd    (2023-12-20 21:24:03)
value from Barnes (2006)</t>
        </r>
      </text>
    </comment>
    <comment ref="C163" authorId="0" shapeId="0" xr:uid="{00000000-0006-0000-0000-000099050000}">
      <text>
        <r>
          <rPr>
            <sz val="11"/>
            <color theme="1"/>
            <rFont val="Calibri"/>
            <family val="2"/>
            <scheme val="minor"/>
          </rPr>
          <t>======
ID#AAABDDKrPAQ
Gavin Mudd    (2023-12-20 21:24:03)
includes Corella, Hannibals, Harrier, Harakka, Wedgetail</t>
        </r>
      </text>
    </comment>
    <comment ref="AF163" authorId="0" shapeId="0" xr:uid="{00000000-0006-0000-0000-0000A4040000}">
      <text>
        <r>
          <rPr>
            <sz val="11"/>
            <color theme="1"/>
            <rFont val="Calibri"/>
            <family val="2"/>
            <scheme val="minor"/>
          </rPr>
          <t>======
ID#AAABDDKrPfs
Gavin Mudd    (2023-12-20 21:24:03)
includes measured and indicated</t>
        </r>
      </text>
    </comment>
    <comment ref="AN163" authorId="0" shapeId="0" xr:uid="{00000000-0006-0000-0000-000064020000}">
      <text>
        <r>
          <rPr>
            <sz val="11"/>
            <color theme="1"/>
            <rFont val="Calibri"/>
            <family val="2"/>
            <scheme val="minor"/>
          </rPr>
          <t>======
ID#AAABDDKrQog
Gavin Mudd    (2023-12-20 21:24:04)
includes measured and indicated</t>
        </r>
      </text>
    </comment>
    <comment ref="K164" authorId="0" shapeId="0" xr:uid="{00000000-0006-0000-0000-00000F040000}">
      <text>
        <r>
          <rPr>
            <sz val="11"/>
            <color theme="1"/>
            <rFont val="Calibri"/>
            <family val="2"/>
            <scheme val="minor"/>
          </rPr>
          <t>======
ID#AAABDDKrPyc
Gavin Mudd    (2023-12-20 21:24:03)
only total resources are reported</t>
        </r>
      </text>
    </comment>
    <comment ref="AF164" authorId="0" shapeId="0" xr:uid="{00000000-0006-0000-0000-00006F020000}">
      <text>
        <r>
          <rPr>
            <sz val="11"/>
            <color theme="1"/>
            <rFont val="Calibri"/>
            <family val="2"/>
            <scheme val="minor"/>
          </rPr>
          <t>======
ID#AAABDDKrQnc
Gavin Mudd    (2023-12-20 21:24:04)
only total resources are reported</t>
        </r>
      </text>
    </comment>
    <comment ref="BA164" authorId="0" shapeId="0" xr:uid="{00000000-0006-0000-0000-00003C010000}">
      <text>
        <r>
          <rPr>
            <sz val="11"/>
            <color theme="1"/>
            <rFont val="Calibri"/>
            <family val="2"/>
            <scheme val="minor"/>
          </rPr>
          <t>======
ID#AAABDDKrRNw
Gavin Mudd    (2023-12-20 21:24:04)
only total resources are reported</t>
        </r>
      </text>
    </comment>
    <comment ref="BB164" authorId="0" shapeId="0" xr:uid="{00000000-0006-0000-0000-000037020000}">
      <text>
        <r>
          <rPr>
            <sz val="11"/>
            <color theme="1"/>
            <rFont val="Calibri"/>
            <family val="2"/>
            <scheme val="minor"/>
          </rPr>
          <t>======
ID#AAABDDKrQuE
Gavin Mudd    (2023-12-20 21:24:04)
only total resources are reported</t>
        </r>
      </text>
    </comment>
    <comment ref="BI164" authorId="0" shapeId="0" xr:uid="{00000000-0006-0000-0000-0000C2050000}">
      <text>
        <r>
          <rPr>
            <sz val="11"/>
            <color theme="1"/>
            <rFont val="Calibri"/>
            <family val="2"/>
            <scheme val="minor"/>
          </rPr>
          <t>======
ID#AAABDDKrO68
Gavin Mudd    (2023-12-20 21:24:02)
only total resources are reported</t>
        </r>
      </text>
    </comment>
    <comment ref="BA165" authorId="0" shapeId="0" xr:uid="{00000000-0006-0000-0000-00000A060000}">
      <text>
        <r>
          <rPr>
            <sz val="11"/>
            <color theme="1"/>
            <rFont val="Calibri"/>
            <family val="2"/>
            <scheme val="minor"/>
          </rPr>
          <t>======
ID#AAABCyJQh50
Gavin Mudd    (2023-12-20 21:24:02)
historic resources (non-compliant with NI43-101) - hence all data allocated as inferred resources only</t>
        </r>
      </text>
    </comment>
    <comment ref="BI165" authorId="0" shapeId="0" xr:uid="{00000000-0006-0000-0000-000030050000}">
      <text>
        <r>
          <rPr>
            <sz val="11"/>
            <color theme="1"/>
            <rFont val="Calibri"/>
            <family val="2"/>
            <scheme val="minor"/>
          </rPr>
          <t>======
ID#AAABDDKrPNs
Gavin Mudd    (2023-12-20 21:24:03)
historic resources (non-compliant with NI43-101) - hence all data allocated as inferred resources only</t>
        </r>
      </text>
    </comment>
    <comment ref="BJ165" authorId="0" shapeId="0" xr:uid="{00000000-0006-0000-0000-000041050000}">
      <text>
        <r>
          <rPr>
            <sz val="11"/>
            <color theme="1"/>
            <rFont val="Calibri"/>
            <family val="2"/>
            <scheme val="minor"/>
          </rPr>
          <t>======
ID#AAABDDKrPLk
Gavin Mudd    (2023-12-20 21:24:03)
data from Sandstad et al (2012)</t>
        </r>
      </text>
    </comment>
    <comment ref="K166" authorId="0" shapeId="0" xr:uid="{00000000-0006-0000-0000-000011040000}">
      <text>
        <r>
          <rPr>
            <sz val="11"/>
            <color theme="1"/>
            <rFont val="Calibri"/>
            <family val="2"/>
            <scheme val="minor"/>
          </rPr>
          <t>======
ID#AAABDDKrPyM
Gavin Mudd    (2023-12-20 21:24:03)
only total resources are reported</t>
        </r>
      </text>
    </comment>
    <comment ref="AF166" authorId="0" shapeId="0" xr:uid="{00000000-0006-0000-0000-000060000000}">
      <text>
        <r>
          <rPr>
            <sz val="11"/>
            <color theme="1"/>
            <rFont val="Calibri"/>
            <family val="2"/>
            <scheme val="minor"/>
          </rPr>
          <t>======
ID#AAABDDKrRos
Gavin Mudd    (2023-12-20 21:24:04)
only total resources are reported; all assumed to be indicated level</t>
        </r>
      </text>
    </comment>
    <comment ref="BA166" authorId="0" shapeId="0" xr:uid="{00000000-0006-0000-0000-000051010000}">
      <text>
        <r>
          <rPr>
            <sz val="11"/>
            <color theme="1"/>
            <rFont val="Calibri"/>
            <family val="2"/>
            <scheme val="minor"/>
          </rPr>
          <t>======
ID#AAABDDKrRK0
Gavin Mudd    (2023-12-20 21:24:04)
only total resources are reported</t>
        </r>
      </text>
    </comment>
    <comment ref="BB166" authorId="0" shapeId="0" xr:uid="{00000000-0006-0000-0000-0000BC010000}">
      <text>
        <r>
          <rPr>
            <sz val="11"/>
            <color theme="1"/>
            <rFont val="Calibri"/>
            <family val="2"/>
            <scheme val="minor"/>
          </rPr>
          <t>======
ID#AAABDDKrQ84
Gavin Mudd    (2023-12-20 21:24:04)
only total resources are reported; all assumed to be indicated level</t>
        </r>
      </text>
    </comment>
    <comment ref="BI166" authorId="0" shapeId="0" xr:uid="{00000000-0006-0000-0000-0000E2020000}">
      <text>
        <r>
          <rPr>
            <sz val="11"/>
            <color theme="1"/>
            <rFont val="Calibri"/>
            <family val="2"/>
            <scheme val="minor"/>
          </rPr>
          <t>======
ID#AAABDDKrQaA
Gavin Mudd    (2023-12-20 21:24:03)
only total resources are reported; all assumed to be indicated level</t>
        </r>
      </text>
    </comment>
    <comment ref="BV166" authorId="0" shapeId="0" xr:uid="{00000000-0006-0000-0000-0000E2010000}">
      <text>
        <r>
          <rPr>
            <sz val="11"/>
            <color theme="1"/>
            <rFont val="Calibri"/>
            <family val="2"/>
            <scheme val="minor"/>
          </rPr>
          <t>======
ID#AAABDDKrQ38
Gavin Mudd    (2023-12-20 21:24:04)
only total proven &amp; probable reserves given</t>
        </r>
      </text>
    </comment>
    <comment ref="CQ166" authorId="0" shapeId="0" xr:uid="{00000000-0006-0000-0000-000032050000}">
      <text>
        <r>
          <rPr>
            <sz val="11"/>
            <color theme="1"/>
            <rFont val="Calibri"/>
            <family val="2"/>
            <scheme val="minor"/>
          </rPr>
          <t>======
ID#AAABDDKrPNU
Gavin Mudd    (2023-12-20 21:24:03)
only total proven &amp; probable reserves given</t>
        </r>
      </text>
    </comment>
    <comment ref="CR166" authorId="0" shapeId="0" xr:uid="{00000000-0006-0000-0000-00009B030000}">
      <text>
        <r>
          <rPr>
            <sz val="11"/>
            <color theme="1"/>
            <rFont val="Calibri"/>
            <family val="2"/>
            <scheme val="minor"/>
          </rPr>
          <t>======
ID#AAABDDKrQBk
Gavin Mudd    (2023-12-20 21:24:03)
only total proven &amp; probable reserves given</t>
        </r>
      </text>
    </comment>
    <comment ref="CY166" authorId="0" shapeId="0" xr:uid="{00000000-0006-0000-0000-00004B050000}">
      <text>
        <r>
          <rPr>
            <sz val="11"/>
            <color theme="1"/>
            <rFont val="Calibri"/>
            <family val="2"/>
            <scheme val="minor"/>
          </rPr>
          <t>======
ID#AAABDDKrPKg
Gavin Mudd    (2023-12-20 21:24:03)
only total proven &amp; probable reserves given</t>
        </r>
      </text>
    </comment>
    <comment ref="K167" authorId="0" shapeId="0" xr:uid="{00000000-0006-0000-0000-0000F4040000}">
      <text>
        <r>
          <rPr>
            <sz val="11"/>
            <color theme="1"/>
            <rFont val="Calibri"/>
            <family val="2"/>
            <scheme val="minor"/>
          </rPr>
          <t>======
ID#AAABDDKrPV8
Gavin Mudd    (2023-12-20 21:24:03)
only total resources are reported</t>
        </r>
      </text>
    </comment>
    <comment ref="AF167" authorId="0" shapeId="0" xr:uid="{00000000-0006-0000-0000-000023000000}">
      <text>
        <r>
          <rPr>
            <sz val="11"/>
            <color theme="1"/>
            <rFont val="Calibri"/>
            <family val="2"/>
            <scheme val="minor"/>
          </rPr>
          <t>======
ID#AAABDDKrRyY
Gavin Mudd    (2023-12-20 21:24:04)
only total resources are reported</t>
        </r>
      </text>
    </comment>
    <comment ref="BA167" authorId="0" shapeId="0" xr:uid="{00000000-0006-0000-0000-000044050000}">
      <text>
        <r>
          <rPr>
            <sz val="11"/>
            <color theme="1"/>
            <rFont val="Calibri"/>
            <family val="2"/>
            <scheme val="minor"/>
          </rPr>
          <t>======
ID#AAABDDKrPLY
Gavin Mudd    (2023-12-20 21:24:03)
only total resources are reported</t>
        </r>
      </text>
    </comment>
    <comment ref="BB167" authorId="0" shapeId="0" xr:uid="{00000000-0006-0000-0000-0000AD020000}">
      <text>
        <r>
          <rPr>
            <sz val="11"/>
            <color theme="1"/>
            <rFont val="Calibri"/>
            <family val="2"/>
            <scheme val="minor"/>
          </rPr>
          <t>======
ID#AAABDDKrQgU
Gavin Mudd    (2023-12-20 21:24:03)
only total resources are reported</t>
        </r>
      </text>
    </comment>
    <comment ref="BI167" authorId="0" shapeId="0" xr:uid="{00000000-0006-0000-0000-0000B7010000}">
      <text>
        <r>
          <rPr>
            <sz val="11"/>
            <color theme="1"/>
            <rFont val="Calibri"/>
            <family val="2"/>
            <scheme val="minor"/>
          </rPr>
          <t>======
ID#AAABDDKrQ9c
Gavin Mudd    (2023-12-20 21:24:04)
only total resources are reported</t>
        </r>
      </text>
    </comment>
    <comment ref="BA168" authorId="0" shapeId="0" xr:uid="{00000000-0006-0000-0000-0000B3040000}">
      <text>
        <r>
          <rPr>
            <sz val="11"/>
            <color theme="1"/>
            <rFont val="Calibri"/>
            <family val="2"/>
            <scheme val="minor"/>
          </rPr>
          <t>======
ID#AAABDDKrPdo
Gavin Mudd    (2023-12-20 21:24:03)
historic resources (non-compliant with NI43-101) - hence all data allocated as inferred resources only</t>
        </r>
      </text>
    </comment>
    <comment ref="BI168" authorId="0" shapeId="0" xr:uid="{00000000-0006-0000-0000-000057010000}">
      <text>
        <r>
          <rPr>
            <sz val="11"/>
            <color theme="1"/>
            <rFont val="Calibri"/>
            <family val="2"/>
            <scheme val="minor"/>
          </rPr>
          <t>======
ID#AAABDDKrRKM
Gavin Mudd    (2023-12-20 21:24:04)
historic resources (non-compliant with NI43-101) - hence all data allocated as inferred resources only</t>
        </r>
      </text>
    </comment>
    <comment ref="H169" authorId="0" shapeId="0" xr:uid="{00000000-0006-0000-0000-00005F020000}">
      <text>
        <r>
          <rPr>
            <sz val="11"/>
            <color theme="1"/>
            <rFont val="Calibri"/>
            <family val="2"/>
            <scheme val="minor"/>
          </rPr>
          <t>======
ID#AAABDDKrQpI
Gavin Mudd    (2023-12-20 21:24:04)
previously held by Lithic Metals &amp; Energy</t>
        </r>
      </text>
    </comment>
    <comment ref="BA169" authorId="0" shapeId="0" xr:uid="{00000000-0006-0000-0000-000045050000}">
      <text>
        <r>
          <rPr>
            <sz val="11"/>
            <color theme="1"/>
            <rFont val="Calibri"/>
            <family val="2"/>
            <scheme val="minor"/>
          </rPr>
          <t>======
ID#AAABDDKrPLU
Gavin Mudd    (2023-12-20 21:24:03)
historic resources (non-compliant with NI43-101) - hence all data allocated as inferred resources only</t>
        </r>
      </text>
    </comment>
    <comment ref="BI169" authorId="0" shapeId="0" xr:uid="{00000000-0006-0000-0000-000076030000}">
      <text>
        <r>
          <rPr>
            <sz val="11"/>
            <color theme="1"/>
            <rFont val="Calibri"/>
            <family val="2"/>
            <scheme val="minor"/>
          </rPr>
          <t>======
ID#AAABDDKrQHs
Gavin Mudd    (2023-12-20 21:24:03)
historic resources (non-compliant with NI43-101) - hence all data allocated as inferred resources only</t>
        </r>
      </text>
    </comment>
    <comment ref="BA170" authorId="0" shapeId="0" xr:uid="{00000000-0006-0000-0000-0000A8010000}">
      <text>
        <r>
          <rPr>
            <sz val="11"/>
            <color theme="1"/>
            <rFont val="Calibri"/>
            <family val="2"/>
            <scheme val="minor"/>
          </rPr>
          <t>======
ID#AAABDDKrQ_U
Gavin Mudd    (2023-12-20 21:24:04)
historic resources (non-compliant with NI43-101) - hence all data allocated as inferred resources only</t>
        </r>
      </text>
    </comment>
    <comment ref="BB170" authorId="0" shapeId="0" xr:uid="{00000000-0006-0000-0000-000049050000}">
      <text>
        <r>
          <rPr>
            <sz val="11"/>
            <color theme="1"/>
            <rFont val="Calibri"/>
            <family val="2"/>
            <scheme val="minor"/>
          </rPr>
          <t>======
ID#AAABDDKrPK0
Gavin Mudd    (2023-12-20 21:24:03)
historic resources (non-compliant with NI43-101) - hence all data allocated as inferred resources only</t>
        </r>
      </text>
    </comment>
    <comment ref="BI170" authorId="0" shapeId="0" xr:uid="{00000000-0006-0000-0000-0000DB050000}">
      <text>
        <r>
          <rPr>
            <sz val="11"/>
            <color theme="1"/>
            <rFont val="Calibri"/>
            <family val="2"/>
            <scheme val="minor"/>
          </rPr>
          <t>======
ID#AAABCyJQh_o
Gavin Mudd    (2023-12-20 21:24:02)
historic resources (non-compliant with NI43-101) - hence all data allocated as inferred resources only</t>
        </r>
      </text>
    </comment>
    <comment ref="BJ170" authorId="0" shapeId="0" xr:uid="{00000000-0006-0000-0000-000037060000}">
      <text>
        <r>
          <rPr>
            <sz val="11"/>
            <color theme="1"/>
            <rFont val="Calibri"/>
            <family val="2"/>
            <scheme val="minor"/>
          </rPr>
          <t>======
ID#AAABCyJQh0o
Gavin Mudd    (2023-12-20 21:24:02)
historic resources (non-compliant with NI43-101) - hence all data allocated as inferred resources only</t>
        </r>
      </text>
    </comment>
    <comment ref="BA171" authorId="0" shapeId="0" xr:uid="{00000000-0006-0000-0000-00008D050000}">
      <text>
        <r>
          <rPr>
            <sz val="11"/>
            <color theme="1"/>
            <rFont val="Calibri"/>
            <family val="2"/>
            <scheme val="minor"/>
          </rPr>
          <t>======
ID#AAABDDKrPBk
Gavin Mudd    (2023-12-20 21:24:03)
historic resources (non-compliant with NI43-101) - hence all data allocated as inferred resources only</t>
        </r>
      </text>
    </comment>
    <comment ref="BB171" authorId="0" shapeId="0" xr:uid="{00000000-0006-0000-0000-00008C000000}">
      <text>
        <r>
          <rPr>
            <sz val="11"/>
            <color theme="1"/>
            <rFont val="Calibri"/>
            <family val="2"/>
            <scheme val="minor"/>
          </rPr>
          <t>======
ID#AAABDDKrRkU
Gavin Mudd    (2023-12-20 21:24:04)
historic resources (non-compliant with NI43-101) - hence all data allocated as inferred resources only</t>
        </r>
      </text>
    </comment>
    <comment ref="BI171" authorId="0" shapeId="0" xr:uid="{00000000-0006-0000-0000-0000FD010000}">
      <text>
        <r>
          <rPr>
            <sz val="11"/>
            <color theme="1"/>
            <rFont val="Calibri"/>
            <family val="2"/>
            <scheme val="minor"/>
          </rPr>
          <t>======
ID#AAABDDKrQ1A
Gavin Mudd    (2023-12-20 21:24:04)
historic resources (non-compliant with NI43-101) - hence all data allocated as inferred resources only</t>
        </r>
      </text>
    </comment>
    <comment ref="BJ171" authorId="0" shapeId="0" xr:uid="{00000000-0006-0000-0000-000033000000}">
      <text>
        <r>
          <rPr>
            <sz val="11"/>
            <color theme="1"/>
            <rFont val="Calibri"/>
            <family val="2"/>
            <scheme val="minor"/>
          </rPr>
          <t>======
ID#AAABDDKrRvU
Gavin Mudd    (2023-12-20 21:24:04)
historic resources (non-compliant with NI43-101) - hence all data allocated as inferred resources only</t>
        </r>
      </text>
    </comment>
    <comment ref="BA172" authorId="0" shapeId="0" xr:uid="{00000000-0006-0000-0000-0000AF050000}">
      <text>
        <r>
          <rPr>
            <sz val="11"/>
            <color theme="1"/>
            <rFont val="Calibri"/>
            <family val="2"/>
            <scheme val="minor"/>
          </rPr>
          <t>======
ID#AAABDDKrO9A
Gavin Mudd    (2023-12-20 21:24:03)
historic resources (non-compliant with NI43-101) - hence all data allocated as inferred resources only</t>
        </r>
      </text>
    </comment>
    <comment ref="BB172" authorId="0" shapeId="0" xr:uid="{00000000-0006-0000-0000-0000DE010000}">
      <text>
        <r>
          <rPr>
            <sz val="11"/>
            <color theme="1"/>
            <rFont val="Calibri"/>
            <family val="2"/>
            <scheme val="minor"/>
          </rPr>
          <t>======
ID#AAABDDKrQ4Y
Gavin Mudd    (2023-12-20 21:24:04)
historic resources (non-compliant with NI43-101) - hence all data allocated as inferred resources only</t>
        </r>
      </text>
    </comment>
    <comment ref="BI172" authorId="0" shapeId="0" xr:uid="{00000000-0006-0000-0000-0000AB030000}">
      <text>
        <r>
          <rPr>
            <sz val="11"/>
            <color theme="1"/>
            <rFont val="Calibri"/>
            <family val="2"/>
            <scheme val="minor"/>
          </rPr>
          <t>======
ID#AAABDDKrP_0
Gavin Mudd    (2023-12-20 21:24:03)
historic resources (non-compliant with NI43-101) - hence all data allocated as inferred resources only</t>
        </r>
      </text>
    </comment>
    <comment ref="BA173" authorId="0" shapeId="0" xr:uid="{00000000-0006-0000-0000-0000B1010000}">
      <text>
        <r>
          <rPr>
            <sz val="11"/>
            <color theme="1"/>
            <rFont val="Calibri"/>
            <family val="2"/>
            <scheme val="minor"/>
          </rPr>
          <t>======
ID#AAABDDKrQ-c
Gavin Mudd    (2023-12-20 21:24:04)
historic resources (non-compliant with NI43-101) - hence all data allocated as inferred resources only</t>
        </r>
      </text>
    </comment>
    <comment ref="BB173" authorId="0" shapeId="0" xr:uid="{00000000-0006-0000-0000-00004F010000}">
      <text>
        <r>
          <rPr>
            <sz val="11"/>
            <color theme="1"/>
            <rFont val="Calibri"/>
            <family val="2"/>
            <scheme val="minor"/>
          </rPr>
          <t>======
ID#AAABDDKrRLA
Gavin Mudd    (2023-12-20 21:24:04)
historic resources (non-compliant with NI43-101) - hence all data allocated as inferred resources only</t>
        </r>
      </text>
    </comment>
    <comment ref="BI173" authorId="0" shapeId="0" xr:uid="{00000000-0006-0000-0000-00001B030000}">
      <text>
        <r>
          <rPr>
            <sz val="11"/>
            <color theme="1"/>
            <rFont val="Calibri"/>
            <family val="2"/>
            <scheme val="minor"/>
          </rPr>
          <t>======
ID#AAABDDKrQTs
Gavin Mudd    (2023-12-20 21:24:03)
historic resources (non-compliant with NI43-101) - hence all data allocated as inferred resources only</t>
        </r>
      </text>
    </comment>
    <comment ref="BJ173" authorId="0" shapeId="0" xr:uid="{00000000-0006-0000-0000-000074010000}">
      <text>
        <r>
          <rPr>
            <sz val="11"/>
            <color theme="1"/>
            <rFont val="Calibri"/>
            <family val="2"/>
            <scheme val="minor"/>
          </rPr>
          <t>======
ID#AAABDDKrRGc
Gavin Mudd    (2023-12-20 21:24:04)
historic resources (non-compliant with NI43-101) - hence all data allocated as inferred resources only</t>
        </r>
      </text>
    </comment>
    <comment ref="C175" authorId="0" shapeId="0" xr:uid="{00000000-0006-0000-0000-0000EF050000}">
      <text>
        <r>
          <rPr>
            <sz val="11"/>
            <color theme="1"/>
            <rFont val="Calibri"/>
            <family val="2"/>
            <scheme val="minor"/>
          </rPr>
          <t>======
ID#AAABCyJQh9Q
Gavin Mudd    (2023-12-20 21:24:02)
note these leases lapsed in 2018 and were not renewed - 2017 data assumed</t>
        </r>
      </text>
    </comment>
    <comment ref="X175" authorId="0" shapeId="0" xr:uid="{00000000-0006-0000-0000-000009000000}">
      <text>
        <r>
          <rPr>
            <sz val="11"/>
            <color theme="1"/>
            <rFont val="Calibri"/>
            <family val="2"/>
            <scheme val="minor"/>
          </rPr>
          <t>======
ID#AAABDDKrR1E
Gavin Mudd    (2023-12-20 21:24:04)
g/t Ru</t>
        </r>
      </text>
    </comment>
    <comment ref="Y175" authorId="0" shapeId="0" xr:uid="{00000000-0006-0000-0000-00006A010000}">
      <text>
        <r>
          <rPr>
            <sz val="11"/>
            <color theme="1"/>
            <rFont val="Calibri"/>
            <family val="2"/>
            <scheme val="minor"/>
          </rPr>
          <t>======
ID#AAABDDKrRHo
Gavin Mudd    (2023-12-20 21:24:04)
g/t Ir</t>
        </r>
      </text>
    </comment>
    <comment ref="AS175" authorId="0" shapeId="0" xr:uid="{00000000-0006-0000-0000-00002B060000}">
      <text>
        <r>
          <rPr>
            <sz val="11"/>
            <color theme="1"/>
            <rFont val="Calibri"/>
            <family val="2"/>
            <scheme val="minor"/>
          </rPr>
          <t>======
ID#AAABCyJQh14
Gavin Mudd    (2023-12-20 21:24:02)
g/t Ru</t>
        </r>
      </text>
    </comment>
    <comment ref="AT175" authorId="0" shapeId="0" xr:uid="{00000000-0006-0000-0000-0000C5010000}">
      <text>
        <r>
          <rPr>
            <sz val="11"/>
            <color theme="1"/>
            <rFont val="Calibri"/>
            <family val="2"/>
            <scheme val="minor"/>
          </rPr>
          <t>======
ID#AAABDDKrQ7s
Gavin Mudd    (2023-12-20 21:24:04)
g/t Ir</t>
        </r>
      </text>
    </comment>
    <comment ref="BN175" authorId="0" shapeId="0" xr:uid="{00000000-0006-0000-0000-0000E1000000}">
      <text>
        <r>
          <rPr>
            <sz val="11"/>
            <color theme="1"/>
            <rFont val="Calibri"/>
            <family val="2"/>
            <scheme val="minor"/>
          </rPr>
          <t>======
ID#AAABDDKrRZQ
Gavin Mudd    (2023-12-20 21:24:04)
g/t Ru</t>
        </r>
      </text>
    </comment>
    <comment ref="BO175" authorId="0" shapeId="0" xr:uid="{00000000-0006-0000-0000-0000AD030000}">
      <text>
        <r>
          <rPr>
            <sz val="11"/>
            <color theme="1"/>
            <rFont val="Calibri"/>
            <family val="2"/>
            <scheme val="minor"/>
          </rPr>
          <t>======
ID#AAABDDKrP_o
Gavin Mudd    (2023-12-20 21:24:03)
g/t Ir</t>
        </r>
      </text>
    </comment>
    <comment ref="BA177" authorId="0" shapeId="0" xr:uid="{00000000-0006-0000-0000-000072000000}">
      <text>
        <r>
          <rPr>
            <sz val="11"/>
            <color theme="1"/>
            <rFont val="Calibri"/>
            <family val="2"/>
            <scheme val="minor"/>
          </rPr>
          <t>======
ID#AAABDDKrRms
Gavin Mudd    (2023-12-20 21:24:04)
only total resources reported, assumed as inferred</t>
        </r>
      </text>
    </comment>
    <comment ref="BI177" authorId="0" shapeId="0" xr:uid="{00000000-0006-0000-0000-00005D040000}">
      <text>
        <r>
          <rPr>
            <sz val="11"/>
            <color theme="1"/>
            <rFont val="Calibri"/>
            <family val="2"/>
            <scheme val="minor"/>
          </rPr>
          <t>======
ID#AAABDDKrPpA
Gavin Mudd    (2023-12-20 21:24:03)
only total resources reported, assumed as inferred</t>
        </r>
      </text>
    </comment>
    <comment ref="H178" authorId="0" shapeId="0" xr:uid="{00000000-0006-0000-0000-00005A050000}">
      <text>
        <r>
          <rPr>
            <sz val="11"/>
            <color theme="1"/>
            <rFont val="Calibri"/>
            <family val="2"/>
            <scheme val="minor"/>
          </rPr>
          <t>======
ID#AAABDDKrPIo
Gavin Mudd    (2023-12-20 21:24:03)
previously held by Toledo Mining Corp, which was taken over by DMCI Holdings</t>
        </r>
      </text>
    </comment>
    <comment ref="BA178" authorId="0" shapeId="0" xr:uid="{00000000-0006-0000-0000-0000C6010000}">
      <text>
        <r>
          <rPr>
            <sz val="11"/>
            <color theme="1"/>
            <rFont val="Calibri"/>
            <family val="2"/>
            <scheme val="minor"/>
          </rPr>
          <t>======
ID#AAABDDKrQ7g
Gavin Mudd    (2023-12-20 21:24:04)
older data, but only data available</t>
        </r>
      </text>
    </comment>
    <comment ref="BI178" authorId="0" shapeId="0" xr:uid="{00000000-0006-0000-0000-000041030000}">
      <text>
        <r>
          <rPr>
            <sz val="11"/>
            <color theme="1"/>
            <rFont val="Calibri"/>
            <family val="2"/>
            <scheme val="minor"/>
          </rPr>
          <t>======
ID#AAABDDKrQPY
Gavin Mudd    (2023-12-20 21:24:03)
older data, but only data available</t>
        </r>
      </text>
    </comment>
    <comment ref="DP178" authorId="0" shapeId="0" xr:uid="{00000000-0006-0000-0000-00001E050000}">
      <text>
        <r>
          <rPr>
            <sz val="11"/>
            <color theme="1"/>
            <rFont val="Calibri"/>
            <family val="2"/>
            <scheme val="minor"/>
          </rPr>
          <t>======
ID#AAABDDKrPP8
Gavin Mudd    (2023-12-20 21:24:03)
data from Toledo Mining Corp.</t>
        </r>
      </text>
    </comment>
    <comment ref="BA180" authorId="0" shapeId="0" xr:uid="{00000000-0006-0000-0000-00001B050000}">
      <text>
        <r>
          <rPr>
            <sz val="11"/>
            <color theme="1"/>
            <rFont val="Calibri"/>
            <family val="2"/>
            <scheme val="minor"/>
          </rPr>
          <t>======
ID#AAABDDKrPQE
Gavin Mudd    (2023-12-20 21:24:03)
code basis unclear, assumed as inferred, non-code compliant</t>
        </r>
      </text>
    </comment>
    <comment ref="BI180" authorId="0" shapeId="0" xr:uid="{00000000-0006-0000-0000-00005D030000}">
      <text>
        <r>
          <rPr>
            <sz val="11"/>
            <color theme="1"/>
            <rFont val="Calibri"/>
            <family val="2"/>
            <scheme val="minor"/>
          </rPr>
          <t>======
ID#AAABDDKrQMA
Gavin Mudd    (2023-12-20 21:24:03)
code basis unclear, assumed as inferred, non-code compliant</t>
        </r>
      </text>
    </comment>
    <comment ref="BA181" authorId="0" shapeId="0" xr:uid="{00000000-0006-0000-0000-000037030000}">
      <text>
        <r>
          <rPr>
            <sz val="11"/>
            <color theme="1"/>
            <rFont val="Calibri"/>
            <family val="2"/>
            <scheme val="minor"/>
          </rPr>
          <t>======
ID#AAABDDKrQQo
Gavin Mudd    (2023-12-20 21:24:03)
code basis unclear, assumed as inferred resources only</t>
        </r>
      </text>
    </comment>
    <comment ref="BB181" authorId="0" shapeId="0" xr:uid="{00000000-0006-0000-0000-0000CA010000}">
      <text>
        <r>
          <rPr>
            <sz val="11"/>
            <color theme="1"/>
            <rFont val="Calibri"/>
            <family val="2"/>
            <scheme val="minor"/>
          </rPr>
          <t>======
ID#AAABDDKrQ7E
Gavin Mudd    (2023-12-20 21:24:04)
code basis unclear, assumed as inferred resources only</t>
        </r>
      </text>
    </comment>
    <comment ref="BC181" authorId="0" shapeId="0" xr:uid="{00000000-0006-0000-0000-0000BA010000}">
      <text>
        <r>
          <rPr>
            <sz val="11"/>
            <color theme="1"/>
            <rFont val="Calibri"/>
            <family val="2"/>
            <scheme val="minor"/>
          </rPr>
          <t>======
ID#AAABDDKrQ9E
Gavin Mudd    (2023-12-20 21:24:04)
code basis unclear, assumed as inferred resources only</t>
        </r>
      </text>
    </comment>
    <comment ref="BD181" authorId="0" shapeId="0" xr:uid="{00000000-0006-0000-0000-0000B4010000}">
      <text>
        <r>
          <rPr>
            <sz val="11"/>
            <color theme="1"/>
            <rFont val="Calibri"/>
            <family val="2"/>
            <scheme val="minor"/>
          </rPr>
          <t>======
ID#AAABDDKrQ-A
Gavin Mudd    (2023-12-20 21:24:04)
code basis unclear, assumed as inferred resources only</t>
        </r>
      </text>
    </comment>
    <comment ref="BI181" authorId="0" shapeId="0" xr:uid="{00000000-0006-0000-0000-0000A4030000}">
      <text>
        <r>
          <rPr>
            <sz val="11"/>
            <color theme="1"/>
            <rFont val="Calibri"/>
            <family val="2"/>
            <scheme val="minor"/>
          </rPr>
          <t>======
ID#AAABDDKrQA0
Gavin Mudd    (2023-12-20 21:24:03)
code basis unclear, assumed as inferred resources only</t>
        </r>
      </text>
    </comment>
    <comment ref="BJ181" authorId="0" shapeId="0" xr:uid="{00000000-0006-0000-0000-0000AF000000}">
      <text>
        <r>
          <rPr>
            <sz val="11"/>
            <color theme="1"/>
            <rFont val="Calibri"/>
            <family val="2"/>
            <scheme val="minor"/>
          </rPr>
          <t>======
ID#AAABDDKrRfU
Gavin Mudd    (2023-12-20 21:24:04)
code basis unclear, assumed as inferred resources only</t>
        </r>
      </text>
    </comment>
    <comment ref="BK181" authorId="0" shapeId="0" xr:uid="{00000000-0006-0000-0000-0000A3010000}">
      <text>
        <r>
          <rPr>
            <sz val="11"/>
            <color theme="1"/>
            <rFont val="Calibri"/>
            <family val="2"/>
            <scheme val="minor"/>
          </rPr>
          <t>======
ID#AAABDDKrQ_w
Gavin Mudd    (2023-12-20 21:24:04)
code basis unclear, assumed as inferred resources only</t>
        </r>
      </text>
    </comment>
    <comment ref="BA182" authorId="0" shapeId="0" xr:uid="{00000000-0006-0000-0000-000029030000}">
      <text>
        <r>
          <rPr>
            <sz val="11"/>
            <color theme="1"/>
            <rFont val="Calibri"/>
            <family val="2"/>
            <scheme val="minor"/>
          </rPr>
          <t>======
ID#AAABDDKrQSA
Gavin Mudd    (2023-12-20 21:24:03)
historic resources (non-compliant with NI43-101) - hence all data allocated as inferred resources only</t>
        </r>
      </text>
    </comment>
    <comment ref="BB182" authorId="0" shapeId="0" xr:uid="{00000000-0006-0000-0000-000095030000}">
      <text>
        <r>
          <rPr>
            <sz val="11"/>
            <color theme="1"/>
            <rFont val="Calibri"/>
            <family val="2"/>
            <scheme val="minor"/>
          </rPr>
          <t>======
ID#AAABDDKrQCY
Gavin Mudd    (2023-12-20 21:24:03)
historic resources (non-compliant with NI43-101) - hence all data allocated as inferred resources only</t>
        </r>
      </text>
    </comment>
    <comment ref="BI182" authorId="0" shapeId="0" xr:uid="{00000000-0006-0000-0000-000063010000}">
      <text>
        <r>
          <rPr>
            <sz val="11"/>
            <color theme="1"/>
            <rFont val="Calibri"/>
            <family val="2"/>
            <scheme val="minor"/>
          </rPr>
          <t>======
ID#AAABDDKrRIY
Gavin Mudd    (2023-12-20 21:24:04)
historic resources (non-compliant with NI43-101) - hence all data allocated as inferred resources only</t>
        </r>
      </text>
    </comment>
    <comment ref="BJ182" authorId="0" shapeId="0" xr:uid="{00000000-0006-0000-0000-000066050000}">
      <text>
        <r>
          <rPr>
            <sz val="11"/>
            <color theme="1"/>
            <rFont val="Calibri"/>
            <family val="2"/>
            <scheme val="minor"/>
          </rPr>
          <t>======
ID#AAABDDKrPGw
Gavin Mudd    (2023-12-20 21:24:03)
historic resources (non-compliant with NI43-101) - hence all data allocated as inferred resources only</t>
        </r>
      </text>
    </comment>
    <comment ref="H184" authorId="0" shapeId="0" xr:uid="{00000000-0006-0000-0000-00002A040000}">
      <text>
        <r>
          <rPr>
            <sz val="11"/>
            <color theme="1"/>
            <rFont val="Calibri"/>
            <family val="2"/>
            <scheme val="minor"/>
          </rPr>
          <t>======
ID#AAABDDKrPuw
Gavin Mudd    (2023-12-20 21:24:03)
previously held by Thabex Ltd</t>
        </r>
      </text>
    </comment>
    <comment ref="DP184" authorId="0" shapeId="0" xr:uid="{00000000-0006-0000-0000-0000E4050000}">
      <text>
        <r>
          <rPr>
            <sz val="11"/>
            <color theme="1"/>
            <rFont val="Calibri"/>
            <family val="2"/>
            <scheme val="minor"/>
          </rPr>
          <t>======
ID#AAABCyJQh-o
Gavin Mudd    (2023-12-20 21:24:02)
data from Thabex</t>
        </r>
      </text>
    </comment>
    <comment ref="BA185" authorId="0" shapeId="0" xr:uid="{00000000-0006-0000-0000-000073010000}">
      <text>
        <r>
          <rPr>
            <sz val="11"/>
            <color theme="1"/>
            <rFont val="Calibri"/>
            <family val="2"/>
            <scheme val="minor"/>
          </rPr>
          <t>======
ID#AAABDDKrRGg
Gavin Mudd    (2023-12-20 21:24:04)
only total resources reported, assumed as inferred</t>
        </r>
      </text>
    </comment>
    <comment ref="BI185" authorId="0" shapeId="0" xr:uid="{00000000-0006-0000-0000-00001E040000}">
      <text>
        <r>
          <rPr>
            <sz val="11"/>
            <color theme="1"/>
            <rFont val="Calibri"/>
            <family val="2"/>
            <scheme val="minor"/>
          </rPr>
          <t>======
ID#AAABDDKrPwU
Gavin Mudd    (2023-12-20 21:24:03)
only total resources reported, assumed as inferred</t>
        </r>
      </text>
    </comment>
    <comment ref="BA187" authorId="0" shapeId="0" xr:uid="{00000000-0006-0000-0000-000088050000}">
      <text>
        <r>
          <rPr>
            <sz val="11"/>
            <color theme="1"/>
            <rFont val="Calibri"/>
            <family val="2"/>
            <scheme val="minor"/>
          </rPr>
          <t>======
ID#AAABDDKrPB8
Gavin Mudd    (2023-12-20 21:24:03)
historic resources (non-compliant with NI43-101) - hence all data allocated as inferred resources only</t>
        </r>
      </text>
    </comment>
    <comment ref="BB187" authorId="0" shapeId="0" xr:uid="{00000000-0006-0000-0000-000016000000}">
      <text>
        <r>
          <rPr>
            <sz val="11"/>
            <color theme="1"/>
            <rFont val="Calibri"/>
            <family val="2"/>
            <scheme val="minor"/>
          </rPr>
          <t>======
ID#AAABDDKrRzw
Gavin Mudd    (2023-12-20 21:24:04)
historic resources (non-compliant with NI43-101) - hence all data allocated as inferred resources only</t>
        </r>
      </text>
    </comment>
    <comment ref="BH187" authorId="0" shapeId="0" xr:uid="{00000000-0006-0000-0000-00004B020000}">
      <text>
        <r>
          <rPr>
            <sz val="11"/>
            <color theme="1"/>
            <rFont val="Calibri"/>
            <family val="2"/>
            <scheme val="minor"/>
          </rPr>
          <t>======
ID#AAABDDKrQro
Gavin Mudd    (2023-12-20 21:24:04)
historic resources (non-compliant with NI43-101) - hence all data allocated as inferred resources only</t>
        </r>
      </text>
    </comment>
    <comment ref="BI187" authorId="0" shapeId="0" xr:uid="{00000000-0006-0000-0000-00009B040000}">
      <text>
        <r>
          <rPr>
            <sz val="11"/>
            <color theme="1"/>
            <rFont val="Calibri"/>
            <family val="2"/>
            <scheme val="minor"/>
          </rPr>
          <t>======
ID#AAABDDKrPhM
Gavin Mudd    (2023-12-20 21:24:03)
historic resources (non-compliant with NI43-101) - hence all data allocated as inferred resources only</t>
        </r>
      </text>
    </comment>
    <comment ref="BQ187" authorId="0" shapeId="0" xr:uid="{00000000-0006-0000-0000-0000C2020000}">
      <text>
        <r>
          <rPr>
            <sz val="11"/>
            <color theme="1"/>
            <rFont val="Calibri"/>
            <family val="2"/>
            <scheme val="minor"/>
          </rPr>
          <t>======
ID#AAABDDKrQdQ
Gavin Mudd    (2023-12-20 21:24:03)
historic resources (non-compliant with NI43-101) - hence all data allocated as inferred resources only</t>
        </r>
      </text>
    </comment>
    <comment ref="K190" authorId="0" shapeId="0" xr:uid="{00000000-0006-0000-0000-00000C060000}">
      <text>
        <r>
          <rPr>
            <sz val="11"/>
            <color theme="1"/>
            <rFont val="Calibri"/>
            <family val="2"/>
            <scheme val="minor"/>
          </rPr>
          <t>======
ID#AAABCyJQh5k
Gavin Mudd    (2023-12-20 21:24:02)
only total resources are reported</t>
        </r>
      </text>
    </comment>
    <comment ref="AF190" authorId="0" shapeId="0" xr:uid="{00000000-0006-0000-0000-0000E4010000}">
      <text>
        <r>
          <rPr>
            <sz val="11"/>
            <color theme="1"/>
            <rFont val="Calibri"/>
            <family val="2"/>
            <scheme val="minor"/>
          </rPr>
          <t>======
ID#AAABDDKrQ3w
Gavin Mudd    (2023-12-20 21:24:04)
only total resources are reported</t>
        </r>
      </text>
    </comment>
    <comment ref="BA190" authorId="0" shapeId="0" xr:uid="{00000000-0006-0000-0000-000044010000}">
      <text>
        <r>
          <rPr>
            <sz val="11"/>
            <color theme="1"/>
            <rFont val="Calibri"/>
            <family val="2"/>
            <scheme val="minor"/>
          </rPr>
          <t>======
ID#AAABDDKrRMk
Gavin Mudd    (2023-12-20 21:24:04)
only total resources are reported</t>
        </r>
      </text>
    </comment>
    <comment ref="BB190" authorId="0" shapeId="0" xr:uid="{00000000-0006-0000-0000-0000F9010000}">
      <text>
        <r>
          <rPr>
            <sz val="11"/>
            <color theme="1"/>
            <rFont val="Calibri"/>
            <family val="2"/>
            <scheme val="minor"/>
          </rPr>
          <t>======
ID#AAABDDKrQ1Y
Gavin Mudd    (2023-12-20 21:24:04)
only total resources are reported</t>
        </r>
      </text>
    </comment>
    <comment ref="BI190" authorId="0" shapeId="0" xr:uid="{00000000-0006-0000-0000-000052040000}">
      <text>
        <r>
          <rPr>
            <sz val="11"/>
            <color theme="1"/>
            <rFont val="Calibri"/>
            <family val="2"/>
            <scheme val="minor"/>
          </rPr>
          <t>======
ID#AAABDDKrPqk
Gavin Mudd    (2023-12-20 21:24:03)
only total resources are reported</t>
        </r>
      </text>
    </comment>
    <comment ref="BA191" authorId="0" shapeId="0" xr:uid="{00000000-0006-0000-0000-000064010000}">
      <text>
        <r>
          <rPr>
            <sz val="11"/>
            <color theme="1"/>
            <rFont val="Calibri"/>
            <family val="2"/>
            <scheme val="minor"/>
          </rPr>
          <t>======
ID#AAABDDKrRIU
Gavin Mudd    (2023-12-20 21:24:04)
best estimate</t>
        </r>
      </text>
    </comment>
    <comment ref="BB191" authorId="0" shapeId="0" xr:uid="{00000000-0006-0000-0000-000016050000}">
      <text>
        <r>
          <rPr>
            <sz val="11"/>
            <color theme="1"/>
            <rFont val="Calibri"/>
            <family val="2"/>
            <scheme val="minor"/>
          </rPr>
          <t>======
ID#AAABDDKrPQU
Gavin Mudd    (2023-12-20 21:24:03)
value from Porter (2016)</t>
        </r>
      </text>
    </comment>
    <comment ref="BC191" authorId="0" shapeId="0" xr:uid="{00000000-0006-0000-0000-0000EB000000}">
      <text>
        <r>
          <rPr>
            <sz val="11"/>
            <color theme="1"/>
            <rFont val="Calibri"/>
            <family val="2"/>
            <scheme val="minor"/>
          </rPr>
          <t>======
ID#AAABDDKrRXw
Gavin Mudd    (2023-12-20 21:24:04)
value from Porter (2016)</t>
        </r>
      </text>
    </comment>
    <comment ref="BI191" authorId="0" shapeId="0" xr:uid="{00000000-0006-0000-0000-0000FC020000}">
      <text>
        <r>
          <rPr>
            <sz val="11"/>
            <color theme="1"/>
            <rFont val="Calibri"/>
            <family val="2"/>
            <scheme val="minor"/>
          </rPr>
          <t>======
ID#AAABDDKrQW0
Gavin Mudd    (2023-12-20 21:24:03)
best estimate</t>
        </r>
      </text>
    </comment>
    <comment ref="BJ191" authorId="0" shapeId="0" xr:uid="{00000000-0006-0000-0000-000053050000}">
      <text>
        <r>
          <rPr>
            <sz val="11"/>
            <color theme="1"/>
            <rFont val="Calibri"/>
            <family val="2"/>
            <scheme val="minor"/>
          </rPr>
          <t>======
ID#AAABDDKrPJk
Gavin Mudd    (2023-12-20 21:24:03)
value from Porter (2016)</t>
        </r>
      </text>
    </comment>
    <comment ref="BK191" authorId="0" shapeId="0" xr:uid="{00000000-0006-0000-0000-000012000000}">
      <text>
        <r>
          <rPr>
            <sz val="11"/>
            <color theme="1"/>
            <rFont val="Calibri"/>
            <family val="2"/>
            <scheme val="minor"/>
          </rPr>
          <t>======
ID#AAABDDKrR0U
Gavin Mudd    (2023-12-20 21:24:04)
value from Porter (2016)</t>
        </r>
      </text>
    </comment>
    <comment ref="BL191" authorId="0" shapeId="0" xr:uid="{00000000-0006-0000-0000-00000C030000}">
      <text>
        <r>
          <rPr>
            <sz val="11"/>
            <color theme="1"/>
            <rFont val="Calibri"/>
            <family val="2"/>
            <scheme val="minor"/>
          </rPr>
          <t>======
ID#AAABDDKrQVg
Gavin Mudd    (2023-12-20 21:24:03)
value from Porter (2016)</t>
        </r>
      </text>
    </comment>
    <comment ref="BM191" authorId="0" shapeId="0" xr:uid="{00000000-0006-0000-0000-0000DA020000}">
      <text>
        <r>
          <rPr>
            <sz val="11"/>
            <color theme="1"/>
            <rFont val="Calibri"/>
            <family val="2"/>
            <scheme val="minor"/>
          </rPr>
          <t>======
ID#AAABDDKrQa4
Gavin Mudd    (2023-12-20 21:24:03)
value from Porter (2016)</t>
        </r>
      </text>
    </comment>
    <comment ref="BA195" authorId="0" shapeId="0" xr:uid="{00000000-0006-0000-0000-000059030000}">
      <text>
        <r>
          <rPr>
            <sz val="11"/>
            <color theme="1"/>
            <rFont val="Calibri"/>
            <family val="2"/>
            <scheme val="minor"/>
          </rPr>
          <t>======
ID#AAABDDKrQMY
Gavin Mudd    (2023-12-20 21:24:03)
historic resources (non-compliant with NI43-101) - hence all data allocated as inferred resources only</t>
        </r>
      </text>
    </comment>
    <comment ref="BI195" authorId="0" shapeId="0" xr:uid="{00000000-0006-0000-0000-00007B020000}">
      <text>
        <r>
          <rPr>
            <sz val="11"/>
            <color theme="1"/>
            <rFont val="Calibri"/>
            <family val="2"/>
            <scheme val="minor"/>
          </rPr>
          <t>======
ID#AAABDDKrQmU
Gavin Mudd    (2023-12-20 21:24:04)
historic resources (non-compliant with NI43-101) - hence all data allocated as inferred resources only</t>
        </r>
      </text>
    </comment>
    <comment ref="K197" authorId="0" shapeId="0" xr:uid="{00000000-0006-0000-0000-0000ED050000}">
      <text>
        <r>
          <rPr>
            <sz val="11"/>
            <color theme="1"/>
            <rFont val="Calibri"/>
            <family val="2"/>
            <scheme val="minor"/>
          </rPr>
          <t>======
ID#AAABCyJQh9o
Gavin Mudd    (2023-12-20 21:24:02)
only total resources are reported</t>
        </r>
      </text>
    </comment>
    <comment ref="AF197" authorId="0" shapeId="0" xr:uid="{00000000-0006-0000-0000-00001F060000}">
      <text>
        <r>
          <rPr>
            <sz val="11"/>
            <color theme="1"/>
            <rFont val="Calibri"/>
            <family val="2"/>
            <scheme val="minor"/>
          </rPr>
          <t>======
ID#AAABCyJQh3Y
Gavin Mudd    (2023-12-20 21:24:02)
only total resources are reported; all assumed to be indicated level</t>
        </r>
      </text>
    </comment>
    <comment ref="BA197" authorId="0" shapeId="0" xr:uid="{00000000-0006-0000-0000-0000E1030000}">
      <text>
        <r>
          <rPr>
            <sz val="11"/>
            <color theme="1"/>
            <rFont val="Calibri"/>
            <family val="2"/>
            <scheme val="minor"/>
          </rPr>
          <t>======
ID#AAABDDKrP4M
Gavin Mudd    (2023-12-20 21:24:03)
only total resources are reported</t>
        </r>
      </text>
    </comment>
    <comment ref="BB197" authorId="0" shapeId="0" xr:uid="{00000000-0006-0000-0000-000043040000}">
      <text>
        <r>
          <rPr>
            <sz val="11"/>
            <color theme="1"/>
            <rFont val="Calibri"/>
            <family val="2"/>
            <scheme val="minor"/>
          </rPr>
          <t>======
ID#AAABDDKrPr8
Gavin Mudd    (2023-12-20 21:24:03)
only total resources are reported; all assumed to be indicated level</t>
        </r>
      </text>
    </comment>
    <comment ref="BI197" authorId="0" shapeId="0" xr:uid="{00000000-0006-0000-0000-00002E020000}">
      <text>
        <r>
          <rPr>
            <sz val="11"/>
            <color theme="1"/>
            <rFont val="Calibri"/>
            <family val="2"/>
            <scheme val="minor"/>
          </rPr>
          <t>======
ID#AAABDDKrQu8
Gavin Mudd    (2023-12-20 21:24:04)
only total resources are reported; all assumed to be indicated level</t>
        </r>
      </text>
    </comment>
    <comment ref="BV197" authorId="0" shapeId="0" xr:uid="{00000000-0006-0000-0000-000052060000}">
      <text>
        <r>
          <rPr>
            <sz val="11"/>
            <color theme="1"/>
            <rFont val="Calibri"/>
            <family val="2"/>
            <scheme val="minor"/>
          </rPr>
          <t>======
ID#AAABCyJQhyE
Gavin Mudd    (2023-12-20 21:24:02)
only total proven &amp; probable reserves given</t>
        </r>
      </text>
    </comment>
    <comment ref="CQ197" authorId="0" shapeId="0" xr:uid="{00000000-0006-0000-0000-0000CE040000}">
      <text>
        <r>
          <rPr>
            <sz val="11"/>
            <color theme="1"/>
            <rFont val="Calibri"/>
            <family val="2"/>
            <scheme val="minor"/>
          </rPr>
          <t>======
ID#AAABDDKrPaU
Gavin Mudd    (2023-12-20 21:24:03)
only total proven &amp; probable reserves given</t>
        </r>
      </text>
    </comment>
    <comment ref="CR197" authorId="0" shapeId="0" xr:uid="{00000000-0006-0000-0000-000062030000}">
      <text>
        <r>
          <rPr>
            <sz val="11"/>
            <color theme="1"/>
            <rFont val="Calibri"/>
            <family val="2"/>
            <scheme val="minor"/>
          </rPr>
          <t>======
ID#AAABDDKrQLU
Gavin Mudd    (2023-12-20 21:24:03)
only total proven &amp; probable reserves given</t>
        </r>
      </text>
    </comment>
    <comment ref="CY197" authorId="0" shapeId="0" xr:uid="{00000000-0006-0000-0000-0000F6030000}">
      <text>
        <r>
          <rPr>
            <sz val="11"/>
            <color theme="1"/>
            <rFont val="Calibri"/>
            <family val="2"/>
            <scheme val="minor"/>
          </rPr>
          <t>======
ID#AAABDDKrP1k
Gavin Mudd    (2023-12-20 21:24:03)
only total proven &amp; probable reserves given</t>
        </r>
      </text>
    </comment>
    <comment ref="BA198" authorId="0" shapeId="0" xr:uid="{00000000-0006-0000-0000-000095040000}">
      <text>
        <r>
          <rPr>
            <sz val="11"/>
            <color theme="1"/>
            <rFont val="Calibri"/>
            <family val="2"/>
            <scheme val="minor"/>
          </rPr>
          <t>======
ID#AAABDDKrPiI
Gavin Mudd    (2023-12-20 21:24:03)
historic resources (non-compliant with NI43-101) - hence all data allocated as inferred resources only; adjusted for 13 years mining @ ~0.7 Mt ore/yr since 2005</t>
        </r>
      </text>
    </comment>
    <comment ref="BI198" authorId="0" shapeId="0" xr:uid="{00000000-0006-0000-0000-00005D000000}">
      <text>
        <r>
          <rPr>
            <sz val="11"/>
            <color theme="1"/>
            <rFont val="Calibri"/>
            <family val="2"/>
            <scheme val="minor"/>
          </rPr>
          <t>======
ID#AAABDDKrRpM
Gavin Mudd    (2023-12-20 21:24:04)
historic resources (non-compliant with NI43-101) - hence all data allocated as inferred resources only</t>
        </r>
      </text>
    </comment>
    <comment ref="BB200" authorId="0" shapeId="0" xr:uid="{00000000-0006-0000-0000-0000CF030000}">
      <text>
        <r>
          <rPr>
            <sz val="11"/>
            <color theme="1"/>
            <rFont val="Calibri"/>
            <family val="2"/>
            <scheme val="minor"/>
          </rPr>
          <t>======
ID#AAABDDKrP7k
Author    (2023-12-20 21:24:03)
assumed based on historic milling data</t>
        </r>
      </text>
    </comment>
    <comment ref="H201" authorId="0" shapeId="0" xr:uid="{00000000-0006-0000-0000-0000A0050000}">
      <text>
        <r>
          <rPr>
            <sz val="11"/>
            <color theme="1"/>
            <rFont val="Calibri"/>
            <family val="2"/>
            <scheme val="minor"/>
          </rPr>
          <t>======
ID#AAABDDKrO-4
Gavin Mudd    (2023-12-20 21:24:03)
previously known as Royal Nickel Corp.</t>
        </r>
      </text>
    </comment>
    <comment ref="L201" authorId="0" shapeId="0" xr:uid="{00000000-0006-0000-0000-000054000000}">
      <text>
        <r>
          <rPr>
            <sz val="11"/>
            <color theme="1"/>
            <rFont val="Calibri"/>
            <family val="2"/>
            <scheme val="minor"/>
          </rPr>
          <t>======
ID#AAABDDKrRqM
Author    (2023-12-20 21:24:04)
assumed based on historic milling data</t>
        </r>
      </text>
    </comment>
    <comment ref="T201" authorId="0" shapeId="0" xr:uid="{00000000-0006-0000-0000-0000A0030000}">
      <text>
        <r>
          <rPr>
            <sz val="11"/>
            <color theme="1"/>
            <rFont val="Calibri"/>
            <family val="2"/>
            <scheme val="minor"/>
          </rPr>
          <t>======
ID#AAABDDKrQBI
Author    (2023-12-20 21:24:03)
assumed based on historic milling data</t>
        </r>
      </text>
    </comment>
    <comment ref="AG201" authorId="0" shapeId="0" xr:uid="{00000000-0006-0000-0000-000055040000}">
      <text>
        <r>
          <rPr>
            <sz val="11"/>
            <color theme="1"/>
            <rFont val="Calibri"/>
            <family val="2"/>
            <scheme val="minor"/>
          </rPr>
          <t>======
ID#AAABDDKrPp4
Author    (2023-12-20 21:24:03)
assumed based on historic milling data</t>
        </r>
      </text>
    </comment>
    <comment ref="AO201" authorId="0" shapeId="0" xr:uid="{00000000-0006-0000-0000-0000D3020000}">
      <text>
        <r>
          <rPr>
            <sz val="11"/>
            <color theme="1"/>
            <rFont val="Calibri"/>
            <family val="2"/>
            <scheme val="minor"/>
          </rPr>
          <t>======
ID#AAABDDKrQb4
Author    (2023-12-20 21:24:03)
assumed based on historic milling data</t>
        </r>
      </text>
    </comment>
    <comment ref="BB201" authorId="0" shapeId="0" xr:uid="{00000000-0006-0000-0000-000032060000}">
      <text>
        <r>
          <rPr>
            <sz val="11"/>
            <color theme="1"/>
            <rFont val="Calibri"/>
            <family val="2"/>
            <scheme val="minor"/>
          </rPr>
          <t>======
ID#AAABCyJQh1g
Author    (2023-12-20 21:24:02)
assumed based on historic milling data</t>
        </r>
      </text>
    </comment>
    <comment ref="BJ201" authorId="0" shapeId="0" xr:uid="{00000000-0006-0000-0000-0000DC050000}">
      <text>
        <r>
          <rPr>
            <sz val="11"/>
            <color theme="1"/>
            <rFont val="Calibri"/>
            <family val="2"/>
            <scheme val="minor"/>
          </rPr>
          <t>======
ID#AAABCyJQh_g
Author    (2023-12-20 21:24:02)
assumed based on historic milling data</t>
        </r>
      </text>
    </comment>
    <comment ref="AG202" authorId="0" shapeId="0" xr:uid="{00000000-0006-0000-0000-0000D1030000}">
      <text>
        <r>
          <rPr>
            <sz val="11"/>
            <color theme="1"/>
            <rFont val="Calibri"/>
            <family val="2"/>
            <scheme val="minor"/>
          </rPr>
          <t>======
ID#AAABDDKrP60
Author    (2023-12-20 21:24:03)
assumed based on historic milling data</t>
        </r>
      </text>
    </comment>
    <comment ref="AO202" authorId="0" shapeId="0" xr:uid="{00000000-0006-0000-0000-000074000000}">
      <text>
        <r>
          <rPr>
            <sz val="11"/>
            <color theme="1"/>
            <rFont val="Calibri"/>
            <family val="2"/>
            <scheme val="minor"/>
          </rPr>
          <t>======
ID#AAABDDKrRmg
Author    (2023-12-20 21:24:04)
assumed based on historic milling data</t>
        </r>
      </text>
    </comment>
    <comment ref="BB202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======
ID#AAABDDKrR2I
Author    (2023-12-20 21:24:04)
assumed based on historic milling data</t>
        </r>
      </text>
    </comment>
    <comment ref="BJ202" authorId="0" shapeId="0" xr:uid="{00000000-0006-0000-0000-000005020000}">
      <text>
        <r>
          <rPr>
            <sz val="11"/>
            <color theme="1"/>
            <rFont val="Calibri"/>
            <family val="2"/>
            <scheme val="minor"/>
          </rPr>
          <t>======
ID#AAABDDKrQ0I
Author    (2023-12-20 21:24:04)
assumed based on historic milling data</t>
        </r>
      </text>
    </comment>
    <comment ref="AG203" authorId="0" shapeId="0" xr:uid="{00000000-0006-0000-0000-000058020000}">
      <text>
        <r>
          <rPr>
            <sz val="11"/>
            <color theme="1"/>
            <rFont val="Calibri"/>
            <family val="2"/>
            <scheme val="minor"/>
          </rPr>
          <t>======
ID#AAABDDKrQp4
Author    (2023-12-20 21:24:04)
assumed based on historic milling data</t>
        </r>
      </text>
    </comment>
    <comment ref="AO203" authorId="0" shapeId="0" xr:uid="{00000000-0006-0000-0000-000063030000}">
      <text>
        <r>
          <rPr>
            <sz val="11"/>
            <color theme="1"/>
            <rFont val="Calibri"/>
            <family val="2"/>
            <scheme val="minor"/>
          </rPr>
          <t>======
ID#AAABDDKrQLI
Author    (2023-12-20 21:24:03)
assumed based on historic milling data</t>
        </r>
      </text>
    </comment>
    <comment ref="BB203" authorId="0" shapeId="0" xr:uid="{00000000-0006-0000-0000-00004A040000}">
      <text>
        <r>
          <rPr>
            <sz val="11"/>
            <color theme="1"/>
            <rFont val="Calibri"/>
            <family val="2"/>
            <scheme val="minor"/>
          </rPr>
          <t>======
ID#AAABDDKrPrQ
Author    (2023-12-20 21:24:03)
assumed based on historic milling data</t>
        </r>
      </text>
    </comment>
    <comment ref="BJ203" authorId="0" shapeId="0" xr:uid="{00000000-0006-0000-0000-00002E060000}">
      <text>
        <r>
          <rPr>
            <sz val="11"/>
            <color theme="1"/>
            <rFont val="Calibri"/>
            <family val="2"/>
            <scheme val="minor"/>
          </rPr>
          <t>======
ID#AAABCyJQh1o
Author    (2023-12-20 21:24:02)
assumed based on historic milling data</t>
        </r>
      </text>
    </comment>
    <comment ref="AG204" authorId="0" shapeId="0" xr:uid="{00000000-0006-0000-0000-0000F9000000}">
      <text>
        <r>
          <rPr>
            <sz val="11"/>
            <color theme="1"/>
            <rFont val="Calibri"/>
            <family val="2"/>
            <scheme val="minor"/>
          </rPr>
          <t>======
ID#AAABDDKrRWQ
Author    (2023-12-20 21:24:04)
assumed based on historic milling data</t>
        </r>
      </text>
    </comment>
    <comment ref="AO204" authorId="0" shapeId="0" xr:uid="{00000000-0006-0000-0000-000015060000}">
      <text>
        <r>
          <rPr>
            <sz val="11"/>
            <color theme="1"/>
            <rFont val="Calibri"/>
            <family val="2"/>
            <scheme val="minor"/>
          </rPr>
          <t>======
ID#AAABCyJQh40
Author    (2023-12-20 21:24:02)
assumed based on historic milling data</t>
        </r>
      </text>
    </comment>
    <comment ref="BB204" authorId="0" shapeId="0" xr:uid="{00000000-0006-0000-0000-000001040000}">
      <text>
        <r>
          <rPr>
            <sz val="11"/>
            <color theme="1"/>
            <rFont val="Calibri"/>
            <family val="2"/>
            <scheme val="minor"/>
          </rPr>
          <t>======
ID#AAABDDKrP0Y
Author    (2023-12-20 21:24:03)
assumed based on historic milling data</t>
        </r>
      </text>
    </comment>
    <comment ref="BJ204" authorId="0" shapeId="0" xr:uid="{00000000-0006-0000-0000-00003D020000}">
      <text>
        <r>
          <rPr>
            <sz val="11"/>
            <color theme="1"/>
            <rFont val="Calibri"/>
            <family val="2"/>
            <scheme val="minor"/>
          </rPr>
          <t>======
ID#AAABDDKrQtc
Author    (2023-12-20 21:24:04)
assumed based on historic milling data</t>
        </r>
      </text>
    </comment>
    <comment ref="L205" authorId="0" shapeId="0" xr:uid="{00000000-0006-0000-0000-0000C0010000}">
      <text>
        <r>
          <rPr>
            <sz val="11"/>
            <color theme="1"/>
            <rFont val="Calibri"/>
            <family val="2"/>
            <scheme val="minor"/>
          </rPr>
          <t>======
ID#AAABDDKrQ8Y
Author    (2023-12-20 21:24:04)
assumed based on historic milling data</t>
        </r>
      </text>
    </comment>
    <comment ref="T205" authorId="0" shapeId="0" xr:uid="{00000000-0006-0000-0000-0000D8040000}">
      <text>
        <r>
          <rPr>
            <sz val="11"/>
            <color theme="1"/>
            <rFont val="Calibri"/>
            <family val="2"/>
            <scheme val="minor"/>
          </rPr>
          <t>======
ID#AAABDDKrPZU
Author    (2023-12-20 21:24:03)
assumed based on historic milling data</t>
        </r>
      </text>
    </comment>
    <comment ref="AG205" authorId="0" shapeId="0" xr:uid="{00000000-0006-0000-0000-00000D040000}">
      <text>
        <r>
          <rPr>
            <sz val="11"/>
            <color theme="1"/>
            <rFont val="Calibri"/>
            <family val="2"/>
            <scheme val="minor"/>
          </rPr>
          <t>======
ID#AAABDDKrPyk
Author    (2023-12-20 21:24:03)
assumed based on historic milling data</t>
        </r>
      </text>
    </comment>
    <comment ref="AO205" authorId="0" shapeId="0" xr:uid="{00000000-0006-0000-0000-000077050000}">
      <text>
        <r>
          <rPr>
            <sz val="11"/>
            <color theme="1"/>
            <rFont val="Calibri"/>
            <family val="2"/>
            <scheme val="minor"/>
          </rPr>
          <t>======
ID#AAABDDKrPEM
Author    (2023-12-20 21:24:03)
assumed based on historic milling data</t>
        </r>
      </text>
    </comment>
    <comment ref="BB205" authorId="0" shapeId="0" xr:uid="{00000000-0006-0000-0000-00002F000000}">
      <text>
        <r>
          <rPr>
            <sz val="11"/>
            <color theme="1"/>
            <rFont val="Calibri"/>
            <family val="2"/>
            <scheme val="minor"/>
          </rPr>
          <t>======
ID#AAABDDKrRwQ
Author    (2023-12-20 21:24:04)
assumed based on historic milling data</t>
        </r>
      </text>
    </comment>
    <comment ref="BJ205" authorId="0" shapeId="0" xr:uid="{00000000-0006-0000-0000-00009B020000}">
      <text>
        <r>
          <rPr>
            <sz val="11"/>
            <color theme="1"/>
            <rFont val="Calibri"/>
            <family val="2"/>
            <scheme val="minor"/>
          </rPr>
          <t>======
ID#AAABDDKrQik
Author    (2023-12-20 21:24:04)
assumed based on historic milling data</t>
        </r>
      </text>
    </comment>
    <comment ref="CR205" authorId="0" shapeId="0" xr:uid="{00000000-0006-0000-0000-000090000000}">
      <text>
        <r>
          <rPr>
            <sz val="11"/>
            <color theme="1"/>
            <rFont val="Calibri"/>
            <family val="2"/>
            <scheme val="minor"/>
          </rPr>
          <t>======
ID#AAABDDKrRkE
Author    (2023-12-20 21:24:04)
assumed based on historic milling data</t>
        </r>
      </text>
    </comment>
    <comment ref="CZ205" authorId="0" shapeId="0" xr:uid="{00000000-0006-0000-0000-000040060000}">
      <text>
        <r>
          <rPr>
            <sz val="11"/>
            <color theme="1"/>
            <rFont val="Calibri"/>
            <family val="2"/>
            <scheme val="minor"/>
          </rPr>
          <t>======
ID#AAABCyJQh0E
Author    (2023-12-20 21:24:02)
assumed based on historic milling data</t>
        </r>
      </text>
    </comment>
    <comment ref="C206" authorId="0" shapeId="0" xr:uid="{00000000-0006-0000-0000-00006B050000}">
      <text>
        <r>
          <rPr>
            <sz val="11"/>
            <color theme="1"/>
            <rFont val="Calibri"/>
            <family val="2"/>
            <scheme val="minor"/>
          </rPr>
          <t>======
ID#AAABDDKrPFw
Gavin Mudd    (2023-12-20 21:24:03)
includes Cassini, Burnett, Miitel, Wannaway, Carnilya, Otter Juan, McMahon/Ken, Durkin North, Gellatly, Voyce, Cameron, Stockwell</t>
        </r>
      </text>
    </comment>
    <comment ref="L206" authorId="0" shapeId="0" xr:uid="{00000000-0006-0000-0000-000007010000}">
      <text>
        <r>
          <rPr>
            <sz val="11"/>
            <color theme="1"/>
            <rFont val="Calibri"/>
            <family val="2"/>
            <scheme val="minor"/>
          </rPr>
          <t>======
ID#AAABDDKrRU8
Author    (2023-12-20 21:24:04)
assumed based on historic milling data</t>
        </r>
      </text>
    </comment>
    <comment ref="T206" authorId="0" shapeId="0" xr:uid="{00000000-0006-0000-0000-000061030000}">
      <text>
        <r>
          <rPr>
            <sz val="11"/>
            <color theme="1"/>
            <rFont val="Calibri"/>
            <family val="2"/>
            <scheme val="minor"/>
          </rPr>
          <t>======
ID#AAABDDKrQLo
Author    (2023-12-20 21:24:03)
assumed based on historic milling data</t>
        </r>
      </text>
    </comment>
    <comment ref="AG206" authorId="0" shapeId="0" xr:uid="{00000000-0006-0000-0000-000003030000}">
      <text>
        <r>
          <rPr>
            <sz val="11"/>
            <color theme="1"/>
            <rFont val="Calibri"/>
            <family val="2"/>
            <scheme val="minor"/>
          </rPr>
          <t>======
ID#AAABDDKrQWU
Author    (2023-12-20 21:24:03)
assumed based on historic milling data</t>
        </r>
      </text>
    </comment>
    <comment ref="AO206" authorId="0" shapeId="0" xr:uid="{00000000-0006-0000-0000-0000CC010000}">
      <text>
        <r>
          <rPr>
            <sz val="11"/>
            <color theme="1"/>
            <rFont val="Calibri"/>
            <family val="2"/>
            <scheme val="minor"/>
          </rPr>
          <t>======
ID#AAABDDKrQ64
Author    (2023-12-20 21:24:04)
assumed based on historic milling data</t>
        </r>
      </text>
    </comment>
    <comment ref="BA206" authorId="0" shapeId="0" xr:uid="{00000000-0006-0000-0000-000012010000}">
      <text>
        <r>
          <rPr>
            <sz val="11"/>
            <color theme="1"/>
            <rFont val="Calibri"/>
            <family val="2"/>
            <scheme val="minor"/>
          </rPr>
          <t>======
ID#AAABDDKrRTs
Gavin Mudd    (2023-12-20 21:24:04)
includes Grimsby from WA MINEDEX</t>
        </r>
      </text>
    </comment>
    <comment ref="BB206" authorId="0" shapeId="0" xr:uid="{00000000-0006-0000-0000-00007C040000}">
      <text>
        <r>
          <rPr>
            <sz val="11"/>
            <color theme="1"/>
            <rFont val="Calibri"/>
            <family val="2"/>
            <scheme val="minor"/>
          </rPr>
          <t>======
ID#AAABDDKrPlc
Author    (2023-12-20 21:24:03)
assumed based on historic milling data</t>
        </r>
      </text>
    </comment>
    <comment ref="BI206" authorId="0" shapeId="0" xr:uid="{00000000-0006-0000-0000-0000AD000000}">
      <text>
        <r>
          <rPr>
            <sz val="11"/>
            <color theme="1"/>
            <rFont val="Calibri"/>
            <family val="2"/>
            <scheme val="minor"/>
          </rPr>
          <t>======
ID#AAABDDKrRfk
Gavin Mudd    (2023-12-20 21:24:04)
includes Grimsby from WA MINEDEX</t>
        </r>
      </text>
    </comment>
    <comment ref="BJ206" authorId="0" shapeId="0" xr:uid="{00000000-0006-0000-0000-000039000000}">
      <text>
        <r>
          <rPr>
            <sz val="11"/>
            <color theme="1"/>
            <rFont val="Calibri"/>
            <family val="2"/>
            <scheme val="minor"/>
          </rPr>
          <t>======
ID#AAABDDKrRuQ
Author    (2023-12-20 21:24:04)
assumed based on historic milling data</t>
        </r>
      </text>
    </comment>
    <comment ref="BW206" authorId="0" shapeId="0" xr:uid="{00000000-0006-0000-0000-00002B000000}">
      <text>
        <r>
          <rPr>
            <sz val="11"/>
            <color theme="1"/>
            <rFont val="Calibri"/>
            <family val="2"/>
            <scheme val="minor"/>
          </rPr>
          <t>======
ID#AAABDDKrRwo
Author    (2023-12-20 21:24:04)
assumed based on historic milling data</t>
        </r>
      </text>
    </comment>
    <comment ref="CE206" authorId="0" shapeId="0" xr:uid="{00000000-0006-0000-0000-00007E020000}">
      <text>
        <r>
          <rPr>
            <sz val="11"/>
            <color theme="1"/>
            <rFont val="Calibri"/>
            <family val="2"/>
            <scheme val="minor"/>
          </rPr>
          <t>======
ID#AAABDDKrQmE
Author    (2023-12-20 21:24:04)
assumed based on historic milling data</t>
        </r>
      </text>
    </comment>
    <comment ref="CR206" authorId="0" shapeId="0" xr:uid="{00000000-0006-0000-0000-00009A030000}">
      <text>
        <r>
          <rPr>
            <sz val="11"/>
            <color theme="1"/>
            <rFont val="Calibri"/>
            <family val="2"/>
            <scheme val="minor"/>
          </rPr>
          <t>======
ID#AAABDDKrQBo
Author    (2023-12-20 21:24:03)
assumed based on historic milling data</t>
        </r>
      </text>
    </comment>
    <comment ref="CZ206" authorId="0" shapeId="0" xr:uid="{00000000-0006-0000-0000-000044000000}">
      <text>
        <r>
          <rPr>
            <sz val="11"/>
            <color theme="1"/>
            <rFont val="Calibri"/>
            <family val="2"/>
            <scheme val="minor"/>
          </rPr>
          <t>======
ID#AAABDDKrRsg
Author    (2023-12-20 21:24:04)
assumed based on historic milling data</t>
        </r>
      </text>
    </comment>
    <comment ref="AG207" authorId="0" shapeId="0" xr:uid="{00000000-0006-0000-0000-000005040000}">
      <text>
        <r>
          <rPr>
            <sz val="11"/>
            <color theme="1"/>
            <rFont val="Calibri"/>
            <family val="2"/>
            <scheme val="minor"/>
          </rPr>
          <t>======
ID#AAABDDKrPzo
Author    (2023-12-20 21:24:03)
assumed based on historic milling data</t>
        </r>
      </text>
    </comment>
    <comment ref="AO207" authorId="0" shapeId="0" xr:uid="{00000000-0006-0000-0000-000080030000}">
      <text>
        <r>
          <rPr>
            <sz val="11"/>
            <color theme="1"/>
            <rFont val="Calibri"/>
            <family val="2"/>
            <scheme val="minor"/>
          </rPr>
          <t>======
ID#AAABDDKrQFo
Author    (2023-12-20 21:24:03)
assumed based on historic milling data</t>
        </r>
      </text>
    </comment>
    <comment ref="BB207" authorId="0" shapeId="0" xr:uid="{00000000-0006-0000-0000-00008A020000}">
      <text>
        <r>
          <rPr>
            <sz val="11"/>
            <color theme="1"/>
            <rFont val="Calibri"/>
            <family val="2"/>
            <scheme val="minor"/>
          </rPr>
          <t>======
ID#AAABDDKrQkc
Author    (2023-12-20 21:24:04)
assumed based on historic milling data</t>
        </r>
      </text>
    </comment>
    <comment ref="BJ207" authorId="0" shapeId="0" xr:uid="{00000000-0006-0000-0000-000038030000}">
      <text>
        <r>
          <rPr>
            <sz val="11"/>
            <color theme="1"/>
            <rFont val="Calibri"/>
            <family val="2"/>
            <scheme val="minor"/>
          </rPr>
          <t>======
ID#AAABDDKrQQY
Author    (2023-12-20 21:24:03)
assumed based on historic milling data</t>
        </r>
      </text>
    </comment>
    <comment ref="AG208" authorId="0" shapeId="0" xr:uid="{00000000-0006-0000-0000-000046040000}">
      <text>
        <r>
          <rPr>
            <sz val="11"/>
            <color theme="1"/>
            <rFont val="Calibri"/>
            <family val="2"/>
            <scheme val="minor"/>
          </rPr>
          <t>======
ID#AAABDDKrPrw
Author    (2023-12-20 21:24:03)
assumed based on historic milling data</t>
        </r>
      </text>
    </comment>
    <comment ref="AO208" authorId="0" shapeId="0" xr:uid="{00000000-0006-0000-0000-0000F0030000}">
      <text>
        <r>
          <rPr>
            <sz val="11"/>
            <color theme="1"/>
            <rFont val="Calibri"/>
            <family val="2"/>
            <scheme val="minor"/>
          </rPr>
          <t>======
ID#AAABDDKrP2k
Gavin Mudd    (2023-12-20 21:24:03)
data from WA MINEDEX</t>
        </r>
      </text>
    </comment>
    <comment ref="BB208" authorId="0" shapeId="0" xr:uid="{00000000-0006-0000-0000-000000020000}">
      <text>
        <r>
          <rPr>
            <sz val="11"/>
            <color theme="1"/>
            <rFont val="Calibri"/>
            <family val="2"/>
            <scheme val="minor"/>
          </rPr>
          <t>======
ID#AAABDDKrQ00
Author    (2023-12-20 21:24:04)
assumed based on historic milling data</t>
        </r>
      </text>
    </comment>
    <comment ref="BJ208" authorId="0" shapeId="0" xr:uid="{00000000-0006-0000-0000-000003050000}">
      <text>
        <r>
          <rPr>
            <sz val="11"/>
            <color theme="1"/>
            <rFont val="Calibri"/>
            <family val="2"/>
            <scheme val="minor"/>
          </rPr>
          <t>======
ID#AAABDDKrPTw
Gavin Mudd    (2023-12-20 21:24:03)
data from WA MINEDEX</t>
        </r>
      </text>
    </comment>
    <comment ref="BA209" authorId="0" shapeId="0" xr:uid="{00000000-0006-0000-0000-000026030000}">
      <text>
        <r>
          <rPr>
            <sz val="11"/>
            <color theme="1"/>
            <rFont val="Calibri"/>
            <family val="2"/>
            <scheme val="minor"/>
          </rPr>
          <t>======
ID#AAABDDKrQSU
Gavin Mudd    (2023-12-20 21:24:03)
historic resources (non-compliant with NI43-101) - hence all data allocated as inferred resources only; adjusted for 13 years mining @ ~0.7 Mt ore/yr since 2005</t>
        </r>
      </text>
    </comment>
    <comment ref="BI209" authorId="0" shapeId="0" xr:uid="{00000000-0006-0000-0000-00009B000000}">
      <text>
        <r>
          <rPr>
            <sz val="11"/>
            <color theme="1"/>
            <rFont val="Calibri"/>
            <family val="2"/>
            <scheme val="minor"/>
          </rPr>
          <t>======
ID#AAABDDKrRi8
Gavin Mudd    (2023-12-20 21:24:04)
historic resources (non-compliant with NI43-101) - hence all data allocated as inferred resources only</t>
        </r>
      </text>
    </comment>
    <comment ref="BJ209" authorId="0" shapeId="0" xr:uid="{00000000-0006-0000-0000-0000FE010000}">
      <text>
        <r>
          <rPr>
            <sz val="11"/>
            <color theme="1"/>
            <rFont val="Calibri"/>
            <family val="2"/>
            <scheme val="minor"/>
          </rPr>
          <t>======
ID#AAABDDKrQ08
Gavin Mudd    (2023-12-20 21:24:04)
historic resources (non-compliant with NI43-101) - hence all data allocated as inferred resources only</t>
        </r>
      </text>
    </comment>
    <comment ref="BA210" authorId="0" shapeId="0" xr:uid="{00000000-0006-0000-0000-0000B3000000}">
      <text>
        <r>
          <rPr>
            <sz val="11"/>
            <color theme="1"/>
            <rFont val="Calibri"/>
            <family val="2"/>
            <scheme val="minor"/>
          </rPr>
          <t>======
ID#AAABDDKrRe8
Gavin Mudd    (2023-12-20 21:24:04)
historical resourcs, assumed as inferred resources</t>
        </r>
      </text>
    </comment>
    <comment ref="BI210" authorId="0" shapeId="0" xr:uid="{00000000-0006-0000-0000-000047040000}">
      <text>
        <r>
          <rPr>
            <sz val="11"/>
            <color theme="1"/>
            <rFont val="Calibri"/>
            <family val="2"/>
            <scheme val="minor"/>
          </rPr>
          <t>======
ID#AAABDDKrPrs
Gavin Mudd    (2023-12-20 21:24:03)
historical resourcs, assumed as inferred resources</t>
        </r>
      </text>
    </comment>
    <comment ref="BJ210" authorId="0" shapeId="0" xr:uid="{00000000-0006-0000-0000-00009F050000}">
      <text>
        <r>
          <rPr>
            <sz val="11"/>
            <color theme="1"/>
            <rFont val="Calibri"/>
            <family val="2"/>
            <scheme val="minor"/>
          </rPr>
          <t>======
ID#AAABDDKrO_Y
Gavin Mudd    (2023-12-20 21:24:03)
historical resourcs, assumed as inferred resources</t>
        </r>
      </text>
    </comment>
    <comment ref="BA211" authorId="0" shapeId="0" xr:uid="{00000000-0006-0000-0000-00008E040000}">
      <text>
        <r>
          <rPr>
            <sz val="11"/>
            <color theme="1"/>
            <rFont val="Calibri"/>
            <family val="2"/>
            <scheme val="minor"/>
          </rPr>
          <t>======
ID#AAABDDKrPi4
Gavin Mudd    (2023-12-20 21:24:03)
historic resources (non-compliant with NI43-101) - hence all data allocated as inferred resources only; adjusted for 13 years mining @ ~0.3 Mt ore/yr since 2005</t>
        </r>
      </text>
    </comment>
    <comment ref="BI211" authorId="0" shapeId="0" xr:uid="{00000000-0006-0000-0000-000017060000}">
      <text>
        <r>
          <rPr>
            <sz val="11"/>
            <color theme="1"/>
            <rFont val="Calibri"/>
            <family val="2"/>
            <scheme val="minor"/>
          </rPr>
          <t>======
ID#AAABCyJQh4s
Gavin Mudd    (2023-12-20 21:24:02)
historic resources (non-compliant with NI43-101) - hence all data allocated as inferred resources only</t>
        </r>
      </text>
    </comment>
    <comment ref="H212" authorId="0" shapeId="0" xr:uid="{00000000-0006-0000-0000-000045030000}">
      <text>
        <r>
          <rPr>
            <sz val="11"/>
            <color theme="1"/>
            <rFont val="Calibri"/>
            <family val="2"/>
            <scheme val="minor"/>
          </rPr>
          <t>======
ID#AAABDDKrQO8
Gavin Mudd    (2023-12-20 21:24:03)
previously held by Nortec Minerals Corp, Finore Mining (note: Palladium One was formerly Nickel On Resources)</t>
        </r>
      </text>
    </comment>
    <comment ref="AO212" authorId="0" shapeId="0" xr:uid="{00000000-0006-0000-0000-000034020000}">
      <text>
        <r>
          <rPr>
            <sz val="11"/>
            <color theme="1"/>
            <rFont val="Calibri"/>
            <family val="2"/>
            <scheme val="minor"/>
          </rPr>
          <t>======
ID#AAABDDKrQuQ
Gavin Mudd    (2023-12-20 21:24:04)
from Tech Rep (2011-03)</t>
        </r>
      </text>
    </comment>
    <comment ref="BJ212" authorId="0" shapeId="0" xr:uid="{00000000-0006-0000-0000-000071050000}">
      <text>
        <r>
          <rPr>
            <sz val="11"/>
            <color theme="1"/>
            <rFont val="Calibri"/>
            <family val="2"/>
            <scheme val="minor"/>
          </rPr>
          <t>======
ID#AAABDDKrPFE
Gavin Mudd    (2023-12-20 21:24:03)
from Tech Rep (2011-03)</t>
        </r>
      </text>
    </comment>
    <comment ref="BA214" authorId="0" shapeId="0" xr:uid="{00000000-0006-0000-0000-0000B7050000}">
      <text>
        <r>
          <rPr>
            <sz val="11"/>
            <color theme="1"/>
            <rFont val="Calibri"/>
            <family val="2"/>
            <scheme val="minor"/>
          </rPr>
          <t>======
ID#AAABDDKrO8I
Gavin Mudd    (2023-12-20 21:24:03)
historic resources (non-compliant with NI43-101) - hence all data allocated as inferred resources only; adjusted for 13 years mining @ ~0.3 Mt ore/yr since 2005</t>
        </r>
      </text>
    </comment>
    <comment ref="BI214" authorId="0" shapeId="0" xr:uid="{00000000-0006-0000-0000-000033060000}">
      <text>
        <r>
          <rPr>
            <sz val="11"/>
            <color theme="1"/>
            <rFont val="Calibri"/>
            <family val="2"/>
            <scheme val="minor"/>
          </rPr>
          <t>======
ID#AAABCyJQh1Q
Gavin Mudd    (2023-12-20 21:24:02)
historic resources (non-compliant with NI43-101) - hence all data allocated as inferred resources only</t>
        </r>
      </text>
    </comment>
    <comment ref="BJ214" authorId="0" shapeId="0" xr:uid="{00000000-0006-0000-0000-000069060000}">
      <text>
        <r>
          <rPr>
            <sz val="11"/>
            <color theme="1"/>
            <rFont val="Calibri"/>
            <family val="2"/>
            <scheme val="minor"/>
          </rPr>
          <t>======
ID#AAABCyJQhv4
Gavin Mudd    (2023-12-20 21:24:01)
historic resources (non-compliant with NI43-101) - hence all data allocated as inferred resources only</t>
        </r>
      </text>
    </comment>
    <comment ref="H215" authorId="0" shapeId="0" xr:uid="{00000000-0006-0000-0000-0000A7000000}">
      <text>
        <r>
          <rPr>
            <sz val="11"/>
            <color theme="1"/>
            <rFont val="Calibri"/>
            <family val="2"/>
            <scheme val="minor"/>
          </rPr>
          <t>======
ID#AAABDDKrRgE
Gavin Mudd    (2023-12-20 21:24:04)
previously held by Canadian Arrow Mines</t>
        </r>
      </text>
    </comment>
    <comment ref="DP215" authorId="0" shapeId="0" xr:uid="{00000000-0006-0000-0000-0000EA000000}">
      <text>
        <r>
          <rPr>
            <sz val="11"/>
            <color theme="1"/>
            <rFont val="Calibri"/>
            <family val="2"/>
            <scheme val="minor"/>
          </rPr>
          <t>======
ID#AAABDDKrRX8
Gavin Mudd    (2023-12-20 21:24:04)
data from Canadian Arrow Mines</t>
        </r>
      </text>
    </comment>
    <comment ref="H216" authorId="0" shapeId="0" xr:uid="{00000000-0006-0000-0000-000056060000}">
      <text>
        <r>
          <rPr>
            <sz val="11"/>
            <color theme="1"/>
            <rFont val="Calibri"/>
            <family val="2"/>
            <scheme val="minor"/>
          </rPr>
          <t>======
ID#AAABCyJQhxg
Gavin Mudd    (2023-12-20 21:24:02)
previously owned by First Quantum Minerals</t>
        </r>
      </text>
    </comment>
    <comment ref="K216" authorId="0" shapeId="0" xr:uid="{00000000-0006-0000-0000-00009A040000}">
      <text>
        <r>
          <rPr>
            <sz val="11"/>
            <color theme="1"/>
            <rFont val="Calibri"/>
            <family val="2"/>
            <scheme val="minor"/>
          </rPr>
          <t>======
ID#AAABDDKrPhY
Gavin Mudd    (2023-12-20 21:24:03)
assumes proved reserves plus measured resources</t>
        </r>
      </text>
    </comment>
    <comment ref="L216" authorId="0" shapeId="0" xr:uid="{00000000-0006-0000-0000-00000F020000}">
      <text>
        <r>
          <rPr>
            <sz val="11"/>
            <color theme="1"/>
            <rFont val="Calibri"/>
            <family val="2"/>
            <scheme val="minor"/>
          </rPr>
          <t>======
ID#AAABDDKrQyo
Gavin Mudd    (2023-12-20 21:24:04)
assumes proved reserves plus measured resources</t>
        </r>
      </text>
    </comment>
    <comment ref="M216" authorId="0" shapeId="0" xr:uid="{00000000-0006-0000-0000-0000FB010000}">
      <text>
        <r>
          <rPr>
            <sz val="11"/>
            <color theme="1"/>
            <rFont val="Calibri"/>
            <family val="2"/>
            <scheme val="minor"/>
          </rPr>
          <t>======
ID#AAABDDKrQ1M
Gavin Mudd    (2023-12-20 21:24:04)
assumes proved reserves plus measured resources</t>
        </r>
      </text>
    </comment>
    <comment ref="S216" authorId="0" shapeId="0" xr:uid="{00000000-0006-0000-0000-0000A0020000}">
      <text>
        <r>
          <rPr>
            <sz val="11"/>
            <color theme="1"/>
            <rFont val="Calibri"/>
            <family val="2"/>
            <scheme val="minor"/>
          </rPr>
          <t>======
ID#AAABDDKrQiQ
Gavin Mudd    (2023-12-20 21:24:04)
assumes proved reserves plus measured resources</t>
        </r>
      </text>
    </comment>
    <comment ref="T216" authorId="0" shapeId="0" xr:uid="{00000000-0006-0000-0000-000099030000}">
      <text>
        <r>
          <rPr>
            <sz val="11"/>
            <color theme="1"/>
            <rFont val="Calibri"/>
            <family val="2"/>
            <scheme val="minor"/>
          </rPr>
          <t>======
ID#AAABDDKrQBs
Gavin Mudd    (2023-12-20 21:24:03)
assumes proved reserves plus measured resources</t>
        </r>
      </text>
    </comment>
    <comment ref="U216" authorId="0" shapeId="0" xr:uid="{00000000-0006-0000-0000-000002050000}">
      <text>
        <r>
          <rPr>
            <sz val="11"/>
            <color theme="1"/>
            <rFont val="Calibri"/>
            <family val="2"/>
            <scheme val="minor"/>
          </rPr>
          <t>======
ID#AAABDDKrPT0
Gavin Mudd    (2023-12-20 21:24:03)
assumes proved reserves plus measured resources</t>
        </r>
      </text>
    </comment>
    <comment ref="V216" authorId="0" shapeId="0" xr:uid="{00000000-0006-0000-0000-0000DC030000}">
      <text>
        <r>
          <rPr>
            <sz val="11"/>
            <color theme="1"/>
            <rFont val="Calibri"/>
            <family val="2"/>
            <scheme val="minor"/>
          </rPr>
          <t>======
ID#AAABDDKrP5A
Gavin Mudd    (2023-12-20 21:24:03)
assumes proved reserves plus measured resources</t>
        </r>
      </text>
    </comment>
    <comment ref="AF216" authorId="0" shapeId="0" xr:uid="{00000000-0006-0000-0000-0000B9020000}">
      <text>
        <r>
          <rPr>
            <sz val="11"/>
            <color theme="1"/>
            <rFont val="Calibri"/>
            <family val="2"/>
            <scheme val="minor"/>
          </rPr>
          <t>======
ID#AAABDDKrQew
Gavin Mudd    (2023-12-20 21:24:03)
assumes probable reserves plus indicated resources</t>
        </r>
      </text>
    </comment>
    <comment ref="AG216" authorId="0" shapeId="0" xr:uid="{00000000-0006-0000-0000-00004C040000}">
      <text>
        <r>
          <rPr>
            <sz val="11"/>
            <color theme="1"/>
            <rFont val="Calibri"/>
            <family val="2"/>
            <scheme val="minor"/>
          </rPr>
          <t>======
ID#AAABDDKrPrI
Gavin Mudd    (2023-12-20 21:24:03)
assumes probable reserves plus indicated resources</t>
        </r>
      </text>
    </comment>
    <comment ref="AH216" authorId="0" shapeId="0" xr:uid="{00000000-0006-0000-0000-000006000000}">
      <text>
        <r>
          <rPr>
            <sz val="11"/>
            <color theme="1"/>
            <rFont val="Calibri"/>
            <family val="2"/>
            <scheme val="minor"/>
          </rPr>
          <t>======
ID#AAABDDKrR1Y
Gavin Mudd    (2023-12-20 21:24:04)
assumes probable reserves plus indicated resources</t>
        </r>
      </text>
    </comment>
    <comment ref="AN216" authorId="0" shapeId="0" xr:uid="{00000000-0006-0000-0000-0000CF010000}">
      <text>
        <r>
          <rPr>
            <sz val="11"/>
            <color theme="1"/>
            <rFont val="Calibri"/>
            <family val="2"/>
            <scheme val="minor"/>
          </rPr>
          <t>======
ID#AAABDDKrQ6s
Gavin Mudd    (2023-12-20 21:24:04)
assumes probable reserves plus indicated resources</t>
        </r>
      </text>
    </comment>
    <comment ref="AO216" authorId="0" shapeId="0" xr:uid="{00000000-0006-0000-0000-0000F6020000}">
      <text>
        <r>
          <rPr>
            <sz val="11"/>
            <color theme="1"/>
            <rFont val="Calibri"/>
            <family val="2"/>
            <scheme val="minor"/>
          </rPr>
          <t>======
ID#AAABDDKrQXY
Gavin Mudd    (2023-12-20 21:24:03)
assumes probable reserves plus indicated resources</t>
        </r>
      </text>
    </comment>
    <comment ref="AP216" authorId="0" shapeId="0" xr:uid="{00000000-0006-0000-0000-000035050000}">
      <text>
        <r>
          <rPr>
            <sz val="11"/>
            <color theme="1"/>
            <rFont val="Calibri"/>
            <family val="2"/>
            <scheme val="minor"/>
          </rPr>
          <t>======
ID#AAABDDKrPNI
Gavin Mudd    (2023-12-20 21:24:03)
assumes probable reserves plus indicated resources</t>
        </r>
      </text>
    </comment>
    <comment ref="AQ216" authorId="0" shapeId="0" xr:uid="{00000000-0006-0000-0000-000017030000}">
      <text>
        <r>
          <rPr>
            <sz val="11"/>
            <color theme="1"/>
            <rFont val="Calibri"/>
            <family val="2"/>
            <scheme val="minor"/>
          </rPr>
          <t>======
ID#AAABDDKrQT8
Gavin Mudd    (2023-12-20 21:24:03)
assumes probable reserves plus indicated resources</t>
        </r>
      </text>
    </comment>
    <comment ref="BA217" authorId="0" shapeId="0" xr:uid="{00000000-0006-0000-0000-0000DA040000}">
      <text>
        <r>
          <rPr>
            <sz val="11"/>
            <color theme="1"/>
            <rFont val="Calibri"/>
            <family val="2"/>
            <scheme val="minor"/>
          </rPr>
          <t>======
ID#AAABDDKrPY8
Gavin Mudd    (2023-12-20 21:24:03)
historic resources (non-compliant with NI43-101) - hence all data allocated as inferred resources only</t>
        </r>
      </text>
    </comment>
    <comment ref="BB217" authorId="0" shapeId="0" xr:uid="{00000000-0006-0000-0000-0000BD030000}">
      <text>
        <r>
          <rPr>
            <sz val="11"/>
            <color theme="1"/>
            <rFont val="Calibri"/>
            <family val="2"/>
            <scheme val="minor"/>
          </rPr>
          <t>======
ID#AAABDDKrP9w
Gavin Mudd    (2023-12-20 21:24:03)
historic resources (non-compliant with NI43-101) - hence all data allocated as inferred resources only</t>
        </r>
      </text>
    </comment>
    <comment ref="BI217" authorId="0" shapeId="0" xr:uid="{00000000-0006-0000-0000-0000C7000000}">
      <text>
        <r>
          <rPr>
            <sz val="11"/>
            <color theme="1"/>
            <rFont val="Calibri"/>
            <family val="2"/>
            <scheme val="minor"/>
          </rPr>
          <t>======
ID#AAABDDKrRcs
Gavin Mudd    (2023-12-20 21:24:04)
historic resources (non-compliant with NI43-101) - hence all data allocated as inferred resources only</t>
        </r>
      </text>
    </comment>
    <comment ref="H218" authorId="0" shapeId="0" xr:uid="{00000000-0006-0000-0000-000028030000}">
      <text>
        <r>
          <rPr>
            <sz val="11"/>
            <color theme="1"/>
            <rFont val="Calibri"/>
            <family val="2"/>
            <scheme val="minor"/>
          </rPr>
          <t>======
ID#AAABDDKrQSE
Gavin Mudd    (2023-12-20 21:24:03)
merged in 2013 with Mercator Minerals Ltd, which went bankrupt in 2014</t>
        </r>
      </text>
    </comment>
    <comment ref="H219" authorId="0" shapeId="0" xr:uid="{00000000-0006-0000-0000-00009F040000}">
      <text>
        <r>
          <rPr>
            <sz val="11"/>
            <color theme="1"/>
            <rFont val="Calibri"/>
            <family val="2"/>
            <scheme val="minor"/>
          </rPr>
          <t>======
ID#AAABDDKrPgk
Gavin Mudd    (2023-12-20 21:24:03)
merged in 2013 with Mercator Minerals Ltd, which went bankrupt in 2014</t>
        </r>
      </text>
    </comment>
    <comment ref="H220" authorId="0" shapeId="0" xr:uid="{00000000-0006-0000-0000-00007F040000}">
      <text>
        <r>
          <rPr>
            <sz val="11"/>
            <color theme="1"/>
            <rFont val="Calibri"/>
            <family val="2"/>
            <scheme val="minor"/>
          </rPr>
          <t>======
ID#AAABDDKrPk8
Gavin Mudd    (2023-12-20 21:24:03)
merged in 2013 with Mercator Minerals Ltd, which went bankrupt in 2014</t>
        </r>
      </text>
    </comment>
    <comment ref="H221" authorId="0" shapeId="0" xr:uid="{00000000-0006-0000-0000-0000EE040000}">
      <text>
        <r>
          <rPr>
            <sz val="11"/>
            <color theme="1"/>
            <rFont val="Calibri"/>
            <family val="2"/>
            <scheme val="minor"/>
          </rPr>
          <t>======
ID#AAABDDKrPWs
Gavin Mudd    (2023-12-20 21:24:03)
previously held by Realm Resources Ltd</t>
        </r>
      </text>
    </comment>
    <comment ref="BK231" authorId="0" shapeId="0" xr:uid="{00000000-0006-0000-0000-000095000000}">
      <text>
        <r>
          <rPr>
            <sz val="11"/>
            <color theme="1"/>
            <rFont val="Calibri"/>
            <family val="2"/>
            <scheme val="minor"/>
          </rPr>
          <t>======
ID#AAABDDKrRjw
Gavin Mudd    (2023-12-20 21:24:04)
data from Dec. 2017 quarterly report</t>
        </r>
      </text>
    </comment>
    <comment ref="BL231" authorId="0" shapeId="0" xr:uid="{00000000-0006-0000-0000-0000E8050000}">
      <text>
        <r>
          <rPr>
            <sz val="11"/>
            <color theme="1"/>
            <rFont val="Calibri"/>
            <family val="2"/>
            <scheme val="minor"/>
          </rPr>
          <t>======
ID#AAABCyJQh-E
Gavin Mudd    (2023-12-20 21:24:02)
data from Dec. 2017 quarterly report</t>
        </r>
      </text>
    </comment>
    <comment ref="BS231" authorId="0" shapeId="0" xr:uid="{00000000-0006-0000-0000-000011050000}">
      <text>
        <r>
          <rPr>
            <sz val="11"/>
            <color theme="1"/>
            <rFont val="Calibri"/>
            <family val="2"/>
            <scheme val="minor"/>
          </rPr>
          <t>======
ID#AAABDDKrPRM
Gavin Mudd    (2023-12-20 21:24:03)
data from Dec. 2017 quarterly report</t>
        </r>
      </text>
    </comment>
    <comment ref="BA237" authorId="0" shapeId="0" xr:uid="{00000000-0006-0000-0000-0000F1040000}">
      <text>
        <r>
          <rPr>
            <sz val="11"/>
            <color theme="1"/>
            <rFont val="Calibri"/>
            <family val="2"/>
            <scheme val="minor"/>
          </rPr>
          <t>======
ID#AAABDDKrPWM
Gavin Mudd    (2023-12-20 21:24:03)
historic resources (non-compliant with NI43-101) - hence all data allocated as inferred resources only</t>
        </r>
      </text>
    </comment>
    <comment ref="BB237" authorId="0" shapeId="0" xr:uid="{00000000-0006-0000-0000-00007B050000}">
      <text>
        <r>
          <rPr>
            <sz val="11"/>
            <color theme="1"/>
            <rFont val="Calibri"/>
            <family val="2"/>
            <scheme val="minor"/>
          </rPr>
          <t>======
ID#AAABDDKrPDU
Gavin Mudd    (2023-12-20 21:24:03)
historic resources (non-compliant with NI43-101) - hence all data allocated as inferred resources only</t>
        </r>
      </text>
    </comment>
    <comment ref="BI237" authorId="0" shapeId="0" xr:uid="{00000000-0006-0000-0000-0000DE040000}">
      <text>
        <r>
          <rPr>
            <sz val="11"/>
            <color theme="1"/>
            <rFont val="Calibri"/>
            <family val="2"/>
            <scheme val="minor"/>
          </rPr>
          <t>======
ID#AAABDDKrPYU
Gavin Mudd    (2023-12-20 21:24:03)
historic resources (non-compliant with NI43-101) - hence all data allocated as inferred resources only</t>
        </r>
      </text>
    </comment>
    <comment ref="C238" authorId="0" shapeId="0" xr:uid="{00000000-0006-0000-0000-00007C060000}">
      <text>
        <r>
          <rPr>
            <sz val="11"/>
            <color theme="1"/>
            <rFont val="Calibri"/>
            <family val="2"/>
            <scheme val="minor"/>
          </rPr>
          <t>======
ID#AAABCyJQhtw
Gavin Mudd    (2023-12-20 21:24:01)
includes Kotselvaara-Kammikivi, Semiletka,
Zhdanovskoye, Zapolyarnoye, Bystrinskoye, Tundrovoye, Sputnik and Verkhneye fields</t>
        </r>
      </text>
    </comment>
    <comment ref="K238" authorId="0" shapeId="0" xr:uid="{00000000-0006-0000-0000-000093040000}">
      <text>
        <r>
          <rPr>
            <sz val="11"/>
            <color theme="1"/>
            <rFont val="Calibri"/>
            <family val="2"/>
            <scheme val="minor"/>
          </rPr>
          <t>======
ID#AAABDDKrPig
Gavin Mudd    (2023-12-20 21:24:03)
measured &amp; indicated resources reported together</t>
        </r>
      </text>
    </comment>
    <comment ref="AF238" authorId="0" shapeId="0" xr:uid="{00000000-0006-0000-0000-000038020000}">
      <text>
        <r>
          <rPr>
            <sz val="11"/>
            <color theme="1"/>
            <rFont val="Calibri"/>
            <family val="2"/>
            <scheme val="minor"/>
          </rPr>
          <t>======
ID#AAABDDKrQt4
Gavin Mudd    (2023-12-20 21:24:04)
measured &amp; indicated resources reported together</t>
        </r>
      </text>
    </comment>
    <comment ref="AO238" authorId="0" shapeId="0" xr:uid="{00000000-0006-0000-0000-0000BB010000}">
      <text>
        <r>
          <rPr>
            <sz val="11"/>
            <color theme="1"/>
            <rFont val="Calibri"/>
            <family val="2"/>
            <scheme val="minor"/>
          </rPr>
          <t>======
ID#AAABDDKrQ88
Gavin Mudd    (2023-12-20 21:24:04)
value from FODD (2017)</t>
        </r>
      </text>
    </comment>
    <comment ref="BJ238" authorId="0" shapeId="0" xr:uid="{00000000-0006-0000-0000-0000E2040000}">
      <text>
        <r>
          <rPr>
            <sz val="11"/>
            <color theme="1"/>
            <rFont val="Calibri"/>
            <family val="2"/>
            <scheme val="minor"/>
          </rPr>
          <t>======
ID#AAABDDKrPYE
Gavin Mudd    (2023-12-20 21:24:03)
value from FODD (2017)</t>
        </r>
      </text>
    </comment>
    <comment ref="CE238" authorId="0" shapeId="0" xr:uid="{00000000-0006-0000-0000-0000E4020000}">
      <text>
        <r>
          <rPr>
            <sz val="11"/>
            <color theme="1"/>
            <rFont val="Calibri"/>
            <family val="2"/>
            <scheme val="minor"/>
          </rPr>
          <t>======
ID#AAABDDKrQZw
Gavin Mudd    (2023-12-20 21:24:03)
value from FODD (2017)</t>
        </r>
      </text>
    </comment>
    <comment ref="CZ238" authorId="0" shapeId="0" xr:uid="{00000000-0006-0000-0000-00008E060000}">
      <text>
        <r>
          <rPr>
            <sz val="11"/>
            <color theme="1"/>
            <rFont val="Calibri"/>
            <family val="2"/>
            <scheme val="minor"/>
          </rPr>
          <t>======
ID#AAABCxlEys4
Gavin Mudd    (2023-12-20 21:24:01)
value from FODD (2017)</t>
        </r>
      </text>
    </comment>
    <comment ref="X241" authorId="0" shapeId="0" xr:uid="{00000000-0006-0000-0000-0000A0000000}">
      <text>
        <r>
          <rPr>
            <sz val="11"/>
            <color theme="1"/>
            <rFont val="Calibri"/>
            <family val="2"/>
            <scheme val="minor"/>
          </rPr>
          <t>======
ID#AAABDDKrRiE
Gavin Mudd    (2023-12-20 21:24:04)
g/t Ru</t>
        </r>
      </text>
    </comment>
    <comment ref="Y241" authorId="0" shapeId="0" xr:uid="{00000000-0006-0000-0000-000003060000}">
      <text>
        <r>
          <rPr>
            <sz val="11"/>
            <color theme="1"/>
            <rFont val="Calibri"/>
            <family val="2"/>
            <scheme val="minor"/>
          </rPr>
          <t>======
ID#AAABCyJQh6w
Gavin Mudd    (2023-12-20 21:24:02)
g/t Ir</t>
        </r>
      </text>
    </comment>
    <comment ref="AS241" authorId="0" shapeId="0" xr:uid="{00000000-0006-0000-0000-000093000000}">
      <text>
        <r>
          <rPr>
            <sz val="11"/>
            <color theme="1"/>
            <rFont val="Calibri"/>
            <family val="2"/>
            <scheme val="minor"/>
          </rPr>
          <t>======
ID#AAABDDKrRj4
Gavin Mudd    (2023-12-20 21:24:04)
g/t Ru</t>
        </r>
      </text>
    </comment>
    <comment ref="AT241" authorId="0" shapeId="0" xr:uid="{00000000-0006-0000-0000-0000E3000000}">
      <text>
        <r>
          <rPr>
            <sz val="11"/>
            <color theme="1"/>
            <rFont val="Calibri"/>
            <family val="2"/>
            <scheme val="minor"/>
          </rPr>
          <t>======
ID#AAABDDKrRZA
Gavin Mudd    (2023-12-20 21:24:04)
g/t Ir</t>
        </r>
      </text>
    </comment>
    <comment ref="CI241" authorId="0" shapeId="0" xr:uid="{00000000-0006-0000-0000-00007E050000}">
      <text>
        <r>
          <rPr>
            <sz val="11"/>
            <color theme="1"/>
            <rFont val="Calibri"/>
            <family val="2"/>
            <scheme val="minor"/>
          </rPr>
          <t>======
ID#AAABDDKrPDA
Gavin Mudd    (2023-12-20 21:24:03)
g/t Ru</t>
        </r>
      </text>
    </comment>
    <comment ref="CJ241" authorId="0" shapeId="0" xr:uid="{00000000-0006-0000-0000-0000A6030000}">
      <text>
        <r>
          <rPr>
            <sz val="11"/>
            <color theme="1"/>
            <rFont val="Calibri"/>
            <family val="2"/>
            <scheme val="minor"/>
          </rPr>
          <t>======
ID#AAABDDKrQAU
Gavin Mudd    (2023-12-20 21:24:03)
g/t Ir</t>
        </r>
      </text>
    </comment>
    <comment ref="H243" authorId="0" shapeId="0" xr:uid="{00000000-0006-0000-0000-000076060000}">
      <text>
        <r>
          <rPr>
            <sz val="11"/>
            <color theme="1"/>
            <rFont val="Calibri"/>
            <family val="2"/>
            <scheme val="minor"/>
          </rPr>
          <t>======
ID#AAABCyJQhuM
Gavin Mudd    (2023-12-20 21:24:01)
previously owned by Altona Mining</t>
        </r>
      </text>
    </comment>
    <comment ref="H244" authorId="0" shapeId="0" xr:uid="{00000000-0006-0000-0000-00009B010000}">
      <text>
        <r>
          <rPr>
            <sz val="11"/>
            <color theme="1"/>
            <rFont val="Calibri"/>
            <family val="2"/>
            <scheme val="minor"/>
          </rPr>
          <t>======
ID#AAABDDKrRAw
Gavin Mudd    (2023-12-20 21:24:04)
previously owned by Altona Mining</t>
        </r>
      </text>
    </comment>
    <comment ref="AP244" authorId="0" shapeId="0" xr:uid="{00000000-0006-0000-0000-00000E030000}">
      <text>
        <r>
          <rPr>
            <sz val="11"/>
            <color theme="1"/>
            <rFont val="Calibri"/>
            <family val="2"/>
            <scheme val="minor"/>
          </rPr>
          <t>======
ID#AAABDDKrQVY
Gavin Mudd    (2023-12-20 21:24:03)
data from Altona Mining Ltd, Annual Report 2013</t>
        </r>
      </text>
    </comment>
    <comment ref="AQ244" authorId="0" shapeId="0" xr:uid="{00000000-0006-0000-0000-000027010000}">
      <text>
        <r>
          <rPr>
            <sz val="11"/>
            <color theme="1"/>
            <rFont val="Calibri"/>
            <family val="2"/>
            <scheme val="minor"/>
          </rPr>
          <t>======
ID#AAABDDKrRRQ
Gavin Mudd    (2023-12-20 21:24:04)
data from Altona Mining Ltd, Annual Report 2013</t>
        </r>
      </text>
    </comment>
    <comment ref="BK244" authorId="0" shapeId="0" xr:uid="{00000000-0006-0000-0000-00004B040000}">
      <text>
        <r>
          <rPr>
            <sz val="11"/>
            <color theme="1"/>
            <rFont val="Calibri"/>
            <family val="2"/>
            <scheme val="minor"/>
          </rPr>
          <t>======
ID#AAABDDKrPrM
Gavin Mudd    (2023-12-20 21:24:03)
data from Altona Mining Ltd, Annual Report 2013</t>
        </r>
      </text>
    </comment>
    <comment ref="BL244" authorId="0" shapeId="0" xr:uid="{00000000-0006-0000-0000-000053000000}">
      <text>
        <r>
          <rPr>
            <sz val="11"/>
            <color theme="1"/>
            <rFont val="Calibri"/>
            <family val="2"/>
            <scheme val="minor"/>
          </rPr>
          <t>======
ID#AAABDDKrRqY
Gavin Mudd    (2023-12-20 21:24:04)
data from Altona Mining Ltd, Annual Report 2013</t>
        </r>
      </text>
    </comment>
    <comment ref="BA245" authorId="0" shapeId="0" xr:uid="{00000000-0006-0000-0000-0000DF010000}">
      <text>
        <r>
          <rPr>
            <sz val="11"/>
            <color theme="1"/>
            <rFont val="Calibri"/>
            <family val="2"/>
            <scheme val="minor"/>
          </rPr>
          <t>======
ID#AAABDDKrQ4M
Gavin Mudd    (2023-12-20 21:24:04)
historic resources (non-compliant with NI43-101) - hence all data allocated as inferred resources only</t>
        </r>
      </text>
    </comment>
    <comment ref="BI245" authorId="0" shapeId="0" xr:uid="{00000000-0006-0000-0000-0000EB010000}">
      <text>
        <r>
          <rPr>
            <sz val="11"/>
            <color theme="1"/>
            <rFont val="Calibri"/>
            <family val="2"/>
            <scheme val="minor"/>
          </rPr>
          <t>======
ID#AAABDDKrQ20
Gavin Mudd    (2023-12-20 21:24:04)
historic resources (non-compliant with NI43-101) - hence all data allocated as inferred resources only</t>
        </r>
      </text>
    </comment>
    <comment ref="H246" authorId="0" shapeId="0" xr:uid="{00000000-0006-0000-0000-000088060000}">
      <text>
        <r>
          <rPr>
            <sz val="11"/>
            <color theme="1"/>
            <rFont val="Calibri"/>
            <family val="2"/>
            <scheme val="minor"/>
          </rPr>
          <t>======
ID#AAABCyJQhss
Gavin Mudd    (2023-12-20 21:24:01)
previously owned by Altona Mining</t>
        </r>
      </text>
    </comment>
    <comment ref="AP246" authorId="0" shapeId="0" xr:uid="{00000000-0006-0000-0000-000092020000}">
      <text>
        <r>
          <rPr>
            <sz val="11"/>
            <color theme="1"/>
            <rFont val="Calibri"/>
            <family val="2"/>
            <scheme val="minor"/>
          </rPr>
          <t>======
ID#AAABDDKrQjg
Gavin Mudd    (2023-12-20 21:24:04)
data from Altona Mining Ltd, Annual Report 2013</t>
        </r>
      </text>
    </comment>
    <comment ref="AQ246" authorId="0" shapeId="0" xr:uid="{00000000-0006-0000-0000-00007A050000}">
      <text>
        <r>
          <rPr>
            <sz val="11"/>
            <color theme="1"/>
            <rFont val="Calibri"/>
            <family val="2"/>
            <scheme val="minor"/>
          </rPr>
          <t>======
ID#AAABDDKrPDs
Gavin Mudd    (2023-12-20 21:24:03)
data from Altona Mining Ltd, Annual Report 2013</t>
        </r>
      </text>
    </comment>
    <comment ref="BK246" authorId="0" shapeId="0" xr:uid="{00000000-0006-0000-0000-000079020000}">
      <text>
        <r>
          <rPr>
            <sz val="11"/>
            <color theme="1"/>
            <rFont val="Calibri"/>
            <family val="2"/>
            <scheme val="minor"/>
          </rPr>
          <t>======
ID#AAABDDKrQmk
Gavin Mudd    (2023-12-20 21:24:04)
data from Altona Mining Ltd, Annual Report 2013</t>
        </r>
      </text>
    </comment>
    <comment ref="BL246" authorId="0" shapeId="0" xr:uid="{00000000-0006-0000-0000-0000E7040000}">
      <text>
        <r>
          <rPr>
            <sz val="11"/>
            <color theme="1"/>
            <rFont val="Calibri"/>
            <family val="2"/>
            <scheme val="minor"/>
          </rPr>
          <t>======
ID#AAABDDKrPXg
Gavin Mudd    (2023-12-20 21:24:03)
data from Altona Mining Ltd, Annual Report 2013</t>
        </r>
      </text>
    </comment>
    <comment ref="H247" authorId="0" shapeId="0" xr:uid="{00000000-0006-0000-0000-000078000000}">
      <text>
        <r>
          <rPr>
            <sz val="11"/>
            <color theme="1"/>
            <rFont val="Calibri"/>
            <family val="2"/>
            <scheme val="minor"/>
          </rPr>
          <t>======
ID#AAABDDKrRmE
Gavin Mudd    (2023-12-20 21:24:04)
previously owned by Altona Mining</t>
        </r>
      </text>
    </comment>
    <comment ref="H248" authorId="0" shapeId="0" xr:uid="{00000000-0006-0000-0000-0000B1020000}">
      <text>
        <r>
          <rPr>
            <sz val="11"/>
            <color theme="1"/>
            <rFont val="Calibri"/>
            <family val="2"/>
            <scheme val="minor"/>
          </rPr>
          <t>======
ID#AAABDDKrQfs
Gavin Mudd    (2023-12-20 21:24:03)
previously owned by Altona Mining</t>
        </r>
      </text>
    </comment>
    <comment ref="DP248" authorId="0" shapeId="0" xr:uid="{00000000-0006-0000-0000-0000C0040000}">
      <text>
        <r>
          <rPr>
            <sz val="11"/>
            <color theme="1"/>
            <rFont val="Calibri"/>
            <family val="2"/>
            <scheme val="minor"/>
          </rPr>
          <t>======
ID#AAABDDKrPcA
Gavin Mudd    (2023-12-20 21:24:03)
data from Vulcan Resources</t>
        </r>
      </text>
    </comment>
    <comment ref="C249" authorId="0" shapeId="0" xr:uid="{00000000-0006-0000-0000-000039060000}">
      <text>
        <r>
          <rPr>
            <sz val="11"/>
            <color theme="1"/>
            <rFont val="Calibri"/>
            <family val="2"/>
            <scheme val="minor"/>
          </rPr>
          <t>======
ID#AAABCyJQh0g
Gavin Mudd    (2023-12-20 21:24:02)
includes Trull-Surroj, Mamez, Namen (Nome)-Arren</t>
        </r>
      </text>
    </comment>
    <comment ref="H249" authorId="0" shapeId="0" xr:uid="{00000000-0006-0000-0000-0000B1050000}">
      <text>
        <r>
          <rPr>
            <sz val="11"/>
            <color theme="1"/>
            <rFont val="Calibri"/>
            <family val="2"/>
            <scheme val="minor"/>
          </rPr>
          <t>======
ID#AAABDDKrO8s
Gavin Mudd    (2023-12-20 21:24:03)
previously held by Balkan Resources, which became Arian Resources</t>
        </r>
      </text>
    </comment>
    <comment ref="BA249" authorId="0" shapeId="0" xr:uid="{00000000-0006-0000-0000-000033030000}">
      <text>
        <r>
          <rPr>
            <sz val="11"/>
            <color theme="1"/>
            <rFont val="Calibri"/>
            <family val="2"/>
            <scheme val="minor"/>
          </rPr>
          <t>======
ID#AAABDDKrQRA
Gavin Mudd    (2023-12-20 21:24:03)
historic resources (non-compliant with NI43-101) - hence all data allocated as inferred resources only</t>
        </r>
      </text>
    </comment>
    <comment ref="BI249" authorId="0" shapeId="0" xr:uid="{00000000-0006-0000-0000-000039020000}">
      <text>
        <r>
          <rPr>
            <sz val="11"/>
            <color theme="1"/>
            <rFont val="Calibri"/>
            <family val="2"/>
            <scheme val="minor"/>
          </rPr>
          <t>======
ID#AAABDDKrQt0
Gavin Mudd    (2023-12-20 21:24:04)
historic resources (non-compliant with NI43-101) - hence all data allocated as inferred resources only</t>
        </r>
      </text>
    </comment>
    <comment ref="BJ249" authorId="0" shapeId="0" xr:uid="{00000000-0006-0000-0000-00004C010000}">
      <text>
        <r>
          <rPr>
            <sz val="11"/>
            <color theme="1"/>
            <rFont val="Calibri"/>
            <family val="2"/>
            <scheme val="minor"/>
          </rPr>
          <t>======
ID#AAABDDKrRLU
Gavin Mudd    (2023-12-20 21:24:04)
historic resources (non-compliant with NI43-101) - hence all data allocated as inferred resources only</t>
        </r>
      </text>
    </comment>
    <comment ref="BP249" authorId="0" shapeId="0" xr:uid="{00000000-0006-0000-0000-00005C030000}">
      <text>
        <r>
          <rPr>
            <sz val="11"/>
            <color theme="1"/>
            <rFont val="Calibri"/>
            <family val="2"/>
            <scheme val="minor"/>
          </rPr>
          <t>======
ID#AAABDDKrQME
Gavin Mudd    (2023-12-20 21:24:03)
historic resources (non-compliant with NI43-101) - hence all data allocated as inferred resources only</t>
        </r>
      </text>
    </comment>
    <comment ref="BQ249" authorId="0" shapeId="0" xr:uid="{00000000-0006-0000-0000-00000D060000}">
      <text>
        <r>
          <rPr>
            <sz val="11"/>
            <color theme="1"/>
            <rFont val="Calibri"/>
            <family val="2"/>
            <scheme val="minor"/>
          </rPr>
          <t>======
ID#AAABCyJQh5g
Gavin Mudd    (2023-12-20 21:24:02)
historic resources (non-compliant with NI43-101) - hence all data allocated as inferred resources only</t>
        </r>
      </text>
    </comment>
    <comment ref="BA250" authorId="0" shapeId="0" xr:uid="{00000000-0006-0000-0000-0000F2030000}">
      <text>
        <r>
          <rPr>
            <sz val="11"/>
            <color theme="1"/>
            <rFont val="Calibri"/>
            <family val="2"/>
            <scheme val="minor"/>
          </rPr>
          <t>======
ID#AAABDDKrP2I
Gavin Mudd    (2023-12-20 21:24:03)
historic resources (non-compliant with NI43-101) - hence all data allocated as inferred resources only</t>
        </r>
      </text>
    </comment>
    <comment ref="BB250" authorId="0" shapeId="0" xr:uid="{00000000-0006-0000-0000-000082060000}">
      <text>
        <r>
          <rPr>
            <sz val="11"/>
            <color theme="1"/>
            <rFont val="Calibri"/>
            <family val="2"/>
            <scheme val="minor"/>
          </rPr>
          <t>======
ID#AAABCyJQhtM
Gavin Mudd    (2023-12-20 21:24:01)
historic resources (non-compliant with NI43-101) - hence all data allocated as inferred resources only</t>
        </r>
      </text>
    </comment>
    <comment ref="BI250" authorId="0" shapeId="0" xr:uid="{00000000-0006-0000-0000-000043010000}">
      <text>
        <r>
          <rPr>
            <sz val="11"/>
            <color theme="1"/>
            <rFont val="Calibri"/>
            <family val="2"/>
            <scheme val="minor"/>
          </rPr>
          <t>======
ID#AAABDDKrRMs
Gavin Mudd    (2023-12-20 21:24:04)
historic resources (non-compliant with NI43-101) - hence all data allocated as inferred resources only</t>
        </r>
      </text>
    </comment>
    <comment ref="C251" authorId="0" shapeId="0" xr:uid="{00000000-0006-0000-0000-000019050000}">
      <text>
        <r>
          <rPr>
            <sz val="11"/>
            <color theme="1"/>
            <rFont val="Calibri"/>
            <family val="2"/>
            <scheme val="minor"/>
          </rPr>
          <t>======
ID#AAABDDKrPQQ
Author    (2023-12-20 21:24:03)
includes Kubuk, Gorny, Ikenskoe / Sobolevsky, Vodorazdelny, Maly Kurumkon / Flangovy</t>
        </r>
      </text>
    </comment>
    <comment ref="CQ251" authorId="0" shapeId="0" xr:uid="{00000000-0006-0000-0000-000045000000}">
      <text>
        <r>
          <rPr>
            <sz val="11"/>
            <color theme="1"/>
            <rFont val="Calibri"/>
            <family val="2"/>
            <scheme val="minor"/>
          </rPr>
          <t>======
ID#AAABDDKrRsU
Gavin Mudd    (2023-12-20 21:24:04)
based on website data (not formally included in annual report)</t>
        </r>
      </text>
    </comment>
    <comment ref="CR251" authorId="0" shapeId="0" xr:uid="{00000000-0006-0000-0000-00001A020000}">
      <text>
        <r>
          <rPr>
            <sz val="11"/>
            <color theme="1"/>
            <rFont val="Calibri"/>
            <family val="2"/>
            <scheme val="minor"/>
          </rPr>
          <t>======
ID#AAABDDKrQxo
Gavin Mudd    (2023-12-20 21:24:04)
based on website data (not formally included in annual report)</t>
        </r>
      </text>
    </comment>
    <comment ref="CY251" authorId="0" shapeId="0" xr:uid="{00000000-0006-0000-0000-000029060000}">
      <text>
        <r>
          <rPr>
            <sz val="11"/>
            <color theme="1"/>
            <rFont val="Calibri"/>
            <family val="2"/>
            <scheme val="minor"/>
          </rPr>
          <t>======
ID#AAABCyJQh2A
Gavin Mudd    (2023-12-20 21:24:02)
based on website data (not formally included in annual report)</t>
        </r>
      </text>
    </comment>
    <comment ref="CZ251" authorId="0" shapeId="0" xr:uid="{00000000-0006-0000-0000-00003F000000}">
      <text>
        <r>
          <rPr>
            <sz val="11"/>
            <color theme="1"/>
            <rFont val="Calibri"/>
            <family val="2"/>
            <scheme val="minor"/>
          </rPr>
          <t>======
ID#AAABDDKrRtE
Gavin Mudd    (2023-12-20 21:24:04)
assumed from indicated resources</t>
        </r>
      </text>
    </comment>
    <comment ref="DA251" authorId="0" shapeId="0" xr:uid="{00000000-0006-0000-0000-0000A2050000}">
      <text>
        <r>
          <rPr>
            <sz val="11"/>
            <color theme="1"/>
            <rFont val="Calibri"/>
            <family val="2"/>
            <scheme val="minor"/>
          </rPr>
          <t>======
ID#AAABDDKrO-k
Gavin Mudd    (2023-12-20 21:24:03)
assumed from indicated resources</t>
        </r>
      </text>
    </comment>
    <comment ref="DB251" authorId="0" shapeId="0" xr:uid="{00000000-0006-0000-0000-000006020000}">
      <text>
        <r>
          <rPr>
            <sz val="11"/>
            <color theme="1"/>
            <rFont val="Calibri"/>
            <family val="2"/>
            <scheme val="minor"/>
          </rPr>
          <t>======
ID#AAABDDKrQ0A
Gavin Mudd    (2023-12-20 21:24:04)
assumed from indicated resources</t>
        </r>
      </text>
    </comment>
    <comment ref="H255" authorId="0" shapeId="0" xr:uid="{00000000-0006-0000-0000-00008B040000}">
      <text>
        <r>
          <rPr>
            <sz val="11"/>
            <color theme="1"/>
            <rFont val="Calibri"/>
            <family val="2"/>
            <scheme val="minor"/>
          </rPr>
          <t>======
ID#AAABDDKrPj0
Gavin Mudd    (2023-12-20 21:24:03)
previously owned by Altona Mining</t>
        </r>
      </text>
    </comment>
    <comment ref="K255" authorId="0" shapeId="0" xr:uid="{00000000-0006-0000-0000-00002C000000}">
      <text>
        <r>
          <rPr>
            <sz val="11"/>
            <color theme="1"/>
            <rFont val="Calibri"/>
            <family val="2"/>
            <scheme val="minor"/>
          </rPr>
          <t>======
ID#AAABDDKrRwk
Gavin Mudd    (2023-12-20 21:24:04)
assumes proved reserves plus measured resources</t>
        </r>
      </text>
    </comment>
    <comment ref="L255" authorId="0" shapeId="0" xr:uid="{00000000-0006-0000-0000-0000EB050000}">
      <text>
        <r>
          <rPr>
            <sz val="11"/>
            <color theme="1"/>
            <rFont val="Calibri"/>
            <family val="2"/>
            <scheme val="minor"/>
          </rPr>
          <t>======
ID#AAABCyJQh90
Gavin Mudd    (2023-12-20 21:24:02)
assumes proved reserves plus measured resources</t>
        </r>
      </text>
    </comment>
    <comment ref="M255" authorId="0" shapeId="0" xr:uid="{00000000-0006-0000-0000-00000F050000}">
      <text>
        <r>
          <rPr>
            <sz val="11"/>
            <color theme="1"/>
            <rFont val="Calibri"/>
            <family val="2"/>
            <scheme val="minor"/>
          </rPr>
          <t>======
ID#AAABDDKrPRY
Gavin Mudd    (2023-12-20 21:24:03)
assumes proved reserves plus measured resources</t>
        </r>
      </text>
    </comment>
    <comment ref="S255" authorId="0" shapeId="0" xr:uid="{00000000-0006-0000-0000-000054040000}">
      <text>
        <r>
          <rPr>
            <sz val="11"/>
            <color theme="1"/>
            <rFont val="Calibri"/>
            <family val="2"/>
            <scheme val="minor"/>
          </rPr>
          <t>======
ID#AAABDDKrPp8
Gavin Mudd    (2023-12-20 21:24:03)
assumes proved reserves plus measured resources</t>
        </r>
      </text>
    </comment>
    <comment ref="T255" authorId="0" shapeId="0" xr:uid="{00000000-0006-0000-0000-000076020000}">
      <text>
        <r>
          <rPr>
            <sz val="11"/>
            <color theme="1"/>
            <rFont val="Calibri"/>
            <family val="2"/>
            <scheme val="minor"/>
          </rPr>
          <t>======
ID#AAABDDKrQms
Gavin Mudd    (2023-12-20 21:24:04)
assumes proved reserves plus measured resources</t>
        </r>
      </text>
    </comment>
    <comment ref="AF255" authorId="0" shapeId="0" xr:uid="{00000000-0006-0000-0000-0000F9020000}">
      <text>
        <r>
          <rPr>
            <sz val="11"/>
            <color theme="1"/>
            <rFont val="Calibri"/>
            <family val="2"/>
            <scheme val="minor"/>
          </rPr>
          <t>======
ID#AAABDDKrQXI
Gavin Mudd    (2023-12-20 21:24:03)
assumes probable reserves plus indicated resources</t>
        </r>
      </text>
    </comment>
    <comment ref="AG255" authorId="0" shapeId="0" xr:uid="{00000000-0006-0000-0000-000072020000}">
      <text>
        <r>
          <rPr>
            <sz val="11"/>
            <color theme="1"/>
            <rFont val="Calibri"/>
            <family val="2"/>
            <scheme val="minor"/>
          </rPr>
          <t>======
ID#AAABDDKrQnI
Gavin Mudd    (2023-12-20 21:24:04)
assumes probable reserves plus indicated resources</t>
        </r>
      </text>
    </comment>
    <comment ref="AH255" authorId="0" shapeId="0" xr:uid="{00000000-0006-0000-0000-000082010000}">
      <text>
        <r>
          <rPr>
            <sz val="11"/>
            <color theme="1"/>
            <rFont val="Calibri"/>
            <family val="2"/>
            <scheme val="minor"/>
          </rPr>
          <t>======
ID#AAABDDKrREU
Gavin Mudd    (2023-12-20 21:24:04)
assumes probable reserves plus indicated resources</t>
        </r>
      </text>
    </comment>
    <comment ref="AN255" authorId="0" shapeId="0" xr:uid="{00000000-0006-0000-0000-0000F9030000}">
      <text>
        <r>
          <rPr>
            <sz val="11"/>
            <color theme="1"/>
            <rFont val="Calibri"/>
            <family val="2"/>
            <scheme val="minor"/>
          </rPr>
          <t>======
ID#AAABDDKrP1E
Gavin Mudd    (2023-12-20 21:24:03)
assumes probable reserves plus indicated resources</t>
        </r>
      </text>
    </comment>
    <comment ref="AO255" authorId="0" shapeId="0" xr:uid="{00000000-0006-0000-0000-00003C000000}">
      <text>
        <r>
          <rPr>
            <sz val="11"/>
            <color theme="1"/>
            <rFont val="Calibri"/>
            <family val="2"/>
            <scheme val="minor"/>
          </rPr>
          <t>======
ID#AAABDDKrRto
Gavin Mudd    (2023-12-20 21:24:04)
assumes probable reserves plus indicated resources</t>
        </r>
      </text>
    </comment>
    <comment ref="H256" authorId="0" shapeId="0" xr:uid="{00000000-0006-0000-0000-0000AE030000}">
      <text>
        <r>
          <rPr>
            <sz val="11"/>
            <color theme="1"/>
            <rFont val="Calibri"/>
            <family val="2"/>
            <scheme val="minor"/>
          </rPr>
          <t>======
ID#AAABDDKrP_g
Gavin Mudd    (2023-12-20 21:24:03)
taken over by Sibanye-Stillwater in mid-2019</t>
        </r>
      </text>
    </comment>
    <comment ref="T256" authorId="0" shapeId="0" xr:uid="{00000000-0006-0000-0000-00007B010000}">
      <text>
        <r>
          <rPr>
            <sz val="11"/>
            <color theme="1"/>
            <rFont val="Calibri"/>
            <family val="2"/>
            <scheme val="minor"/>
          </rPr>
          <t>======
ID#AAABDDKrRFk
Gavin Mudd    (2023-12-20 21:24:04)
value from Tech Rep (2014-03)</t>
        </r>
      </text>
    </comment>
    <comment ref="AO256" authorId="0" shapeId="0" xr:uid="{00000000-0006-0000-0000-000049010000}">
      <text>
        <r>
          <rPr>
            <sz val="11"/>
            <color theme="1"/>
            <rFont val="Calibri"/>
            <family val="2"/>
            <scheme val="minor"/>
          </rPr>
          <t>======
ID#AAABDDKrRLg
Gavin Mudd    (2023-12-20 21:24:04)
value from Tech Rep (2014-03)</t>
        </r>
      </text>
    </comment>
    <comment ref="BJ256" authorId="0" shapeId="0" xr:uid="{00000000-0006-0000-0000-000007030000}">
      <text>
        <r>
          <rPr>
            <sz val="11"/>
            <color theme="1"/>
            <rFont val="Calibri"/>
            <family val="2"/>
            <scheme val="minor"/>
          </rPr>
          <t>======
ID#AAABDDKrQWA
Gavin Mudd    (2023-12-20 21:24:03)
value from Tech Rep (2014-03)</t>
        </r>
      </text>
    </comment>
    <comment ref="CE256" authorId="0" shapeId="0" xr:uid="{00000000-0006-0000-0000-00003A010000}">
      <text>
        <r>
          <rPr>
            <sz val="11"/>
            <color theme="1"/>
            <rFont val="Calibri"/>
            <family val="2"/>
            <scheme val="minor"/>
          </rPr>
          <t>======
ID#AAABDDKrRN0
Gavin Mudd    (2023-12-20 21:24:04)
value from Tech Rep (2014-03)</t>
        </r>
      </text>
    </comment>
    <comment ref="CZ256" authorId="0" shapeId="0" xr:uid="{00000000-0006-0000-0000-0000DC010000}">
      <text>
        <r>
          <rPr>
            <sz val="11"/>
            <color theme="1"/>
            <rFont val="Calibri"/>
            <family val="2"/>
            <scheme val="minor"/>
          </rPr>
          <t>======
ID#AAABDDKrQ4k
Gavin Mudd    (2023-12-20 21:24:04)
value from Tech Rep (2014-03)</t>
        </r>
      </text>
    </comment>
    <comment ref="BA257" authorId="0" shapeId="0" xr:uid="{00000000-0006-0000-0000-0000EC000000}">
      <text>
        <r>
          <rPr>
            <sz val="11"/>
            <color theme="1"/>
            <rFont val="Calibri"/>
            <family val="2"/>
            <scheme val="minor"/>
          </rPr>
          <t>======
ID#AAABDDKrRXs
Gavin Mudd    (2023-12-20 21:24:04)
historic resource, non-code compliant</t>
        </r>
      </text>
    </comment>
    <comment ref="BB257" authorId="0" shapeId="0" xr:uid="{00000000-0006-0000-0000-00006C020000}">
      <text>
        <r>
          <rPr>
            <sz val="11"/>
            <color theme="1"/>
            <rFont val="Calibri"/>
            <family val="2"/>
            <scheme val="minor"/>
          </rPr>
          <t>======
ID#AAABDDKrQn8
Gavin Mudd    (2023-12-20 21:24:04)
historic resource, non-code compliant</t>
        </r>
      </text>
    </comment>
    <comment ref="BI257" authorId="0" shapeId="0" xr:uid="{00000000-0006-0000-0000-000009010000}">
      <text>
        <r>
          <rPr>
            <sz val="11"/>
            <color theme="1"/>
            <rFont val="Calibri"/>
            <family val="2"/>
            <scheme val="minor"/>
          </rPr>
          <t>======
ID#AAABDDKrRU0
Gavin Mudd    (2023-12-20 21:24:04)
historic resource, non-code compliant</t>
        </r>
      </text>
    </comment>
    <comment ref="BK257" authorId="0" shapeId="0" xr:uid="{00000000-0006-0000-0000-0000A5050000}">
      <text>
        <r>
          <rPr>
            <sz val="11"/>
            <color theme="1"/>
            <rFont val="Calibri"/>
            <family val="2"/>
            <scheme val="minor"/>
          </rPr>
          <t>======
ID#AAABDDKrO-M
Gavin Mudd    (2023-12-20 21:24:03)
historic resource, non-code compliant</t>
        </r>
      </text>
    </comment>
    <comment ref="BL257" authorId="0" shapeId="0" xr:uid="{00000000-0006-0000-0000-00003F050000}">
      <text>
        <r>
          <rPr>
            <sz val="11"/>
            <color theme="1"/>
            <rFont val="Calibri"/>
            <family val="2"/>
            <scheme val="minor"/>
          </rPr>
          <t>======
ID#AAABDDKrPLw
Gavin Mudd    (2023-12-20 21:24:03)
historic resource, non-code compliant</t>
        </r>
      </text>
    </comment>
    <comment ref="H258" authorId="0" shapeId="0" xr:uid="{00000000-0006-0000-0000-00008D040000}">
      <text>
        <r>
          <rPr>
            <sz val="11"/>
            <color theme="1"/>
            <rFont val="Calibri"/>
            <family val="2"/>
            <scheme val="minor"/>
          </rPr>
          <t>======
ID#AAABDDKrPjc
Gavin Mudd    (2023-12-20 21:24:03)
initially held by Nemaska Exploration, which apparently became Monarques Resources, but is now Nemasaka Lithium</t>
        </r>
      </text>
    </comment>
    <comment ref="BA261" authorId="0" shapeId="0" xr:uid="{00000000-0006-0000-0000-0000E0030000}">
      <text>
        <r>
          <rPr>
            <sz val="11"/>
            <color theme="1"/>
            <rFont val="Calibri"/>
            <family val="2"/>
            <scheme val="minor"/>
          </rPr>
          <t>======
ID#AAABDDKrP4c
Gavin Mudd    (2023-12-20 21:24:03)
older data, but only data available</t>
        </r>
      </text>
    </comment>
    <comment ref="BI261" authorId="0" shapeId="0" xr:uid="{00000000-0006-0000-0000-000047060000}">
      <text>
        <r>
          <rPr>
            <sz val="11"/>
            <color theme="1"/>
            <rFont val="Calibri"/>
            <family val="2"/>
            <scheme val="minor"/>
          </rPr>
          <t>======
ID#AAABCyJQhzI
Gavin Mudd    (2023-12-20 21:24:02)
older data, but only data available</t>
        </r>
      </text>
    </comment>
    <comment ref="H262" authorId="0" shapeId="0" xr:uid="{00000000-0006-0000-0000-0000DB040000}">
      <text>
        <r>
          <rPr>
            <sz val="11"/>
            <color theme="1"/>
            <rFont val="Calibri"/>
            <family val="2"/>
            <scheme val="minor"/>
          </rPr>
          <t>======
ID#AAABDDKrPYw
Gavin Mudd    (2023-12-20 21:24:03)
previously held by Blackstone Ventures</t>
        </r>
      </text>
    </comment>
    <comment ref="BC262" authorId="0" shapeId="0" xr:uid="{00000000-0006-0000-0000-000041060000}">
      <text>
        <r>
          <rPr>
            <sz val="11"/>
            <color theme="1"/>
            <rFont val="Calibri"/>
            <family val="2"/>
            <scheme val="minor"/>
          </rPr>
          <t>======
ID#AAABCyJQhz8
Gavin Mudd    (2023-12-20 21:24:02)
data from FODD (2017)</t>
        </r>
      </text>
    </comment>
    <comment ref="BK262" authorId="0" shapeId="0" xr:uid="{00000000-0006-0000-0000-0000F3020000}">
      <text>
        <r>
          <rPr>
            <sz val="11"/>
            <color theme="1"/>
            <rFont val="Calibri"/>
            <family val="2"/>
            <scheme val="minor"/>
          </rPr>
          <t>======
ID#AAABDDKrQYA
Gavin Mudd    (2023-12-20 21:24:03)
data from FODD (2017)</t>
        </r>
      </text>
    </comment>
    <comment ref="BL262" authorId="0" shapeId="0" xr:uid="{00000000-0006-0000-0000-000010000000}">
      <text>
        <r>
          <rPr>
            <sz val="11"/>
            <color theme="1"/>
            <rFont val="Calibri"/>
            <family val="2"/>
            <scheme val="minor"/>
          </rPr>
          <t>======
ID#AAABDDKrR0g
Gavin Mudd    (2023-12-20 21:24:04)
data from FODD (2017)</t>
        </r>
      </text>
    </comment>
    <comment ref="DP262" authorId="0" shapeId="0" xr:uid="{00000000-0006-0000-0000-0000B4000000}">
      <text>
        <r>
          <rPr>
            <sz val="11"/>
            <color theme="1"/>
            <rFont val="Calibri"/>
            <family val="2"/>
            <scheme val="minor"/>
          </rPr>
          <t>======
ID#AAABDDKrRe4
Author    (2023-12-20 21:24:04)
data from Blackstone Ventures</t>
        </r>
      </text>
    </comment>
    <comment ref="H263" authorId="0" shapeId="0" xr:uid="{00000000-0006-0000-0000-0000AA020000}">
      <text>
        <r>
          <rPr>
            <sz val="11"/>
            <color theme="1"/>
            <rFont val="Calibri"/>
            <family val="2"/>
            <scheme val="minor"/>
          </rPr>
          <t>======
ID#AAABDDKrQhA
Gavin Mudd    (2023-12-20 21:24:04)
various owners previously</t>
        </r>
      </text>
    </comment>
    <comment ref="AG264" authorId="0" shapeId="0" xr:uid="{00000000-0006-0000-0000-0000B6030000}">
      <text>
        <r>
          <rPr>
            <sz val="11"/>
            <color theme="1"/>
            <rFont val="Calibri"/>
            <family val="2"/>
            <scheme val="minor"/>
          </rPr>
          <t>======
ID#AAABDDKrP-s
Gavin Mudd    (2023-12-20 21:24:03)
grade for indicated &amp; inferred only</t>
        </r>
      </text>
    </comment>
    <comment ref="AO264" authorId="0" shapeId="0" xr:uid="{00000000-0006-0000-0000-000011020000}">
      <text>
        <r>
          <rPr>
            <sz val="11"/>
            <color theme="1"/>
            <rFont val="Calibri"/>
            <family val="2"/>
            <scheme val="minor"/>
          </rPr>
          <t>======
ID#AAABDDKrQyc
Gavin Mudd    (2023-12-20 21:24:04)
grade for indicated &amp; inferred only</t>
        </r>
      </text>
    </comment>
    <comment ref="BB264" authorId="0" shapeId="0" xr:uid="{00000000-0006-0000-0000-000095010000}">
      <text>
        <r>
          <rPr>
            <sz val="11"/>
            <color theme="1"/>
            <rFont val="Calibri"/>
            <family val="2"/>
            <scheme val="minor"/>
          </rPr>
          <t>======
ID#AAABDDKrRBg
Gavin Mudd    (2023-12-20 21:24:04)
grade for indicated &amp; inferred only</t>
        </r>
      </text>
    </comment>
    <comment ref="BJ264" authorId="0" shapeId="0" xr:uid="{00000000-0006-0000-0000-0000C2030000}">
      <text>
        <r>
          <rPr>
            <sz val="11"/>
            <color theme="1"/>
            <rFont val="Calibri"/>
            <family val="2"/>
            <scheme val="minor"/>
          </rPr>
          <t>======
ID#AAABDDKrP9Q
Gavin Mudd    (2023-12-20 21:24:03)
grade for indicated &amp; inferred only</t>
        </r>
      </text>
    </comment>
    <comment ref="BA266" authorId="0" shapeId="0" xr:uid="{00000000-0006-0000-0000-00001A050000}">
      <text>
        <r>
          <rPr>
            <sz val="11"/>
            <color theme="1"/>
            <rFont val="Calibri"/>
            <family val="2"/>
            <scheme val="minor"/>
          </rPr>
          <t>======
ID#AAABDDKrPQM
Gavin Mudd    (2023-12-20 21:24:03)
not JORC-code compliant</t>
        </r>
      </text>
    </comment>
    <comment ref="BI266" authorId="0" shapeId="0" xr:uid="{00000000-0006-0000-0000-00009C010000}">
      <text>
        <r>
          <rPr>
            <sz val="11"/>
            <color theme="1"/>
            <rFont val="Calibri"/>
            <family val="2"/>
            <scheme val="minor"/>
          </rPr>
          <t>======
ID#AAABDDKrRAk
Gavin Mudd    (2023-12-20 21:24:04)
not JORC-code compliant</t>
        </r>
      </text>
    </comment>
    <comment ref="BA267" authorId="0" shapeId="0" xr:uid="{00000000-0006-0000-0000-00005E030000}">
      <text>
        <r>
          <rPr>
            <sz val="11"/>
            <color theme="1"/>
            <rFont val="Calibri"/>
            <family val="2"/>
            <scheme val="minor"/>
          </rPr>
          <t>======
ID#AAABDDKrQL0
Gavin Mudd    (2023-12-20 21:24:03)
historic resources (non-compliant with NI43-101) - hence all data allocated as inferred resources only</t>
        </r>
      </text>
    </comment>
    <comment ref="BI267" authorId="0" shapeId="0" xr:uid="{00000000-0006-0000-0000-0000A6050000}">
      <text>
        <r>
          <rPr>
            <sz val="11"/>
            <color theme="1"/>
            <rFont val="Calibri"/>
            <family val="2"/>
            <scheme val="minor"/>
          </rPr>
          <t>======
ID#AAABDDKrO-E
Gavin Mudd    (2023-12-20 21:24:03)
historic resources (non-compliant with NI43-101) - hence all data allocated as inferred resources only</t>
        </r>
      </text>
    </comment>
    <comment ref="H268" authorId="0" shapeId="0" xr:uid="{00000000-0006-0000-0000-000075030000}">
      <text>
        <r>
          <rPr>
            <sz val="11"/>
            <color theme="1"/>
            <rFont val="Calibri"/>
            <family val="2"/>
            <scheme val="minor"/>
          </rPr>
          <t>======
ID#AAABDDKrQH0
Gavin Mudd    (2023-12-20 21:24:03)
previously held by Blackstone Ventures</t>
        </r>
      </text>
    </comment>
    <comment ref="DP268" authorId="0" shapeId="0" xr:uid="{00000000-0006-0000-0000-0000A3040000}">
      <text>
        <r>
          <rPr>
            <sz val="11"/>
            <color theme="1"/>
            <rFont val="Calibri"/>
            <family val="2"/>
            <scheme val="minor"/>
          </rPr>
          <t>======
ID#AAABDDKrPfw
Author    (2023-12-20 21:24:03)
data from Blackstone Ventures</t>
        </r>
      </text>
    </comment>
    <comment ref="BA271" authorId="0" shapeId="0" xr:uid="{00000000-0006-0000-0000-00008D060000}">
      <text>
        <r>
          <rPr>
            <sz val="11"/>
            <color theme="1"/>
            <rFont val="Calibri"/>
            <family val="2"/>
            <scheme val="minor"/>
          </rPr>
          <t>======
ID#AAABCxlEytE
Gavin Mudd    (2023-12-20 21:24:01)
only total resources reported, assumed as inferred</t>
        </r>
      </text>
    </comment>
    <comment ref="BI271" authorId="0" shapeId="0" xr:uid="{00000000-0006-0000-0000-0000BD000000}">
      <text>
        <r>
          <rPr>
            <sz val="11"/>
            <color theme="1"/>
            <rFont val="Calibri"/>
            <family val="2"/>
            <scheme val="minor"/>
          </rPr>
          <t>======
ID#AAABDDKrRd4
Gavin Mudd    (2023-12-20 21:24:04)
only total resources reported, assumed as inferred</t>
        </r>
      </text>
    </comment>
    <comment ref="BJ271" authorId="0" shapeId="0" xr:uid="{00000000-0006-0000-0000-000059050000}">
      <text>
        <r>
          <rPr>
            <sz val="11"/>
            <color theme="1"/>
            <rFont val="Calibri"/>
            <family val="2"/>
            <scheme val="minor"/>
          </rPr>
          <t>======
ID#AAABDDKrPIw
Gavin Mudd    (2023-12-20 21:24:03)
only total resources reported, assumed as inferred</t>
        </r>
      </text>
    </comment>
    <comment ref="BA272" authorId="0" shapeId="0" xr:uid="{00000000-0006-0000-0000-000017040000}">
      <text>
        <r>
          <rPr>
            <sz val="11"/>
            <color theme="1"/>
            <rFont val="Calibri"/>
            <family val="2"/>
            <scheme val="minor"/>
          </rPr>
          <t>======
ID#AAABDDKrPxU
Gavin Mudd    (2023-12-20 21:24:03)
historic resources (non-compliant with NI43-101) - hence all data allocated as inferred resources only</t>
        </r>
      </text>
    </comment>
    <comment ref="BB272" authorId="0" shapeId="0" xr:uid="{00000000-0006-0000-0000-0000B5000000}">
      <text>
        <r>
          <rPr>
            <sz val="11"/>
            <color theme="1"/>
            <rFont val="Calibri"/>
            <family val="2"/>
            <scheme val="minor"/>
          </rPr>
          <t>======
ID#AAABDDKrRe0
Gavin Mudd    (2023-12-20 21:24:04)
historic resources (non-compliant with NI43-101) - hence all data allocated as inferred resources only</t>
        </r>
      </text>
    </comment>
    <comment ref="BI272" authorId="0" shapeId="0" xr:uid="{00000000-0006-0000-0000-000083020000}">
      <text>
        <r>
          <rPr>
            <sz val="11"/>
            <color theme="1"/>
            <rFont val="Calibri"/>
            <family val="2"/>
            <scheme val="minor"/>
          </rPr>
          <t>======
ID#AAABDDKrQlU
Gavin Mudd    (2023-12-20 21:24:04)
historic resources (non-compliant with NI43-101) - hence all data allocated as inferred resources only</t>
        </r>
      </text>
    </comment>
    <comment ref="BA274" authorId="0" shapeId="0" xr:uid="{00000000-0006-0000-0000-00007D060000}">
      <text>
        <r>
          <rPr>
            <sz val="11"/>
            <color theme="1"/>
            <rFont val="Calibri"/>
            <family val="2"/>
            <scheme val="minor"/>
          </rPr>
          <t>======
ID#AAABCyJQhts
Gavin Mudd    (2023-12-20 21:24:01)
historic resources (non-compliant with NI43-101) - hence all data allocated as inferred resources only</t>
        </r>
      </text>
    </comment>
    <comment ref="BB274" authorId="0" shapeId="0" xr:uid="{00000000-0006-0000-0000-00000D010000}">
      <text>
        <r>
          <rPr>
            <sz val="11"/>
            <color theme="1"/>
            <rFont val="Calibri"/>
            <family val="2"/>
            <scheme val="minor"/>
          </rPr>
          <t>======
ID#AAABDDKrRUQ
Gavin Mudd    (2023-12-20 21:24:04)
historic resources (non-compliant with NI43-101) - hence all data allocated as inferred resources only</t>
        </r>
      </text>
    </comment>
    <comment ref="BI274" authorId="0" shapeId="0" xr:uid="{00000000-0006-0000-0000-000011000000}">
      <text>
        <r>
          <rPr>
            <sz val="11"/>
            <color theme="1"/>
            <rFont val="Calibri"/>
            <family val="2"/>
            <scheme val="minor"/>
          </rPr>
          <t>======
ID#AAABDDKrR0Y
Gavin Mudd    (2023-12-20 21:24:04)
historic resources (non-compliant with NI43-101) - hence all data allocated as inferred resources only</t>
        </r>
      </text>
    </comment>
    <comment ref="BA277" authorId="0" shapeId="0" xr:uid="{00000000-0006-0000-0000-00005A040000}">
      <text>
        <r>
          <rPr>
            <sz val="11"/>
            <color theme="1"/>
            <rFont val="Calibri"/>
            <family val="2"/>
            <scheme val="minor"/>
          </rPr>
          <t>======
ID#AAABDDKrPpQ
Gavin Mudd    (2023-12-20 21:24:03)
historic resources (non-compliant with NI43-101) - hence all data allocated as inferred resources only</t>
        </r>
      </text>
    </comment>
    <comment ref="BI277" authorId="0" shapeId="0" xr:uid="{00000000-0006-0000-0000-0000D6040000}">
      <text>
        <r>
          <rPr>
            <sz val="11"/>
            <color theme="1"/>
            <rFont val="Calibri"/>
            <family val="2"/>
            <scheme val="minor"/>
          </rPr>
          <t>======
ID#AAABDDKrPZY
Gavin Mudd    (2023-12-20 21:24:03)
historic resources (non-compliant with NI43-101) - hence all data allocated as inferred resources only</t>
        </r>
      </text>
    </comment>
    <comment ref="H278" authorId="0" shapeId="0" xr:uid="{00000000-0006-0000-0000-00003D030000}">
      <text>
        <r>
          <rPr>
            <sz val="11"/>
            <color theme="1"/>
            <rFont val="Calibri"/>
            <family val="2"/>
            <scheme val="minor"/>
          </rPr>
          <t>======
ID#AAABDDKrQPs
Gavin Mudd    (2023-12-20 21:24:03)
74% interest held by Village Main Reef, but they appear to be bankrupt ...</t>
        </r>
      </text>
    </comment>
    <comment ref="H279" authorId="0" shapeId="0" xr:uid="{00000000-0006-0000-0000-000054010000}">
      <text>
        <r>
          <rPr>
            <sz val="11"/>
            <color theme="1"/>
            <rFont val="Calibri"/>
            <family val="2"/>
            <scheme val="minor"/>
          </rPr>
          <t>======
ID#AAABDDKrRKc
Gavin Mudd    (2023-12-20 21:24:04)
previously held by Balkan Resources, which became Arian Resources</t>
        </r>
      </text>
    </comment>
    <comment ref="BA279" authorId="0" shapeId="0" xr:uid="{00000000-0006-0000-0000-0000F5050000}">
      <text>
        <r>
          <rPr>
            <sz val="11"/>
            <color theme="1"/>
            <rFont val="Calibri"/>
            <family val="2"/>
            <scheme val="minor"/>
          </rPr>
          <t>======
ID#AAABCyJQh8k
Gavin Mudd    (2023-12-20 21:24:02)
historic resources (non-compliant with NI43-101) - hence all data allocated as inferred resources only</t>
        </r>
      </text>
    </comment>
    <comment ref="BI279" authorId="0" shapeId="0" xr:uid="{00000000-0006-0000-0000-000099000000}">
      <text>
        <r>
          <rPr>
            <sz val="11"/>
            <color theme="1"/>
            <rFont val="Calibri"/>
            <family val="2"/>
            <scheme val="minor"/>
          </rPr>
          <t>======
ID#AAABDDKrRjI
Gavin Mudd    (2023-12-20 21:24:04)
historic resources (non-compliant with NI43-101) - hence all data allocated as inferred resources only</t>
        </r>
      </text>
    </comment>
    <comment ref="BJ279" authorId="0" shapeId="0" xr:uid="{00000000-0006-0000-0000-000060010000}">
      <text>
        <r>
          <rPr>
            <sz val="11"/>
            <color theme="1"/>
            <rFont val="Calibri"/>
            <family val="2"/>
            <scheme val="minor"/>
          </rPr>
          <t>======
ID#AAABDDKrRJA
Gavin Mudd    (2023-12-20 21:24:04)
historic resources (non-compliant with NI43-101) - hence all data allocated as inferred resources only</t>
        </r>
      </text>
    </comment>
    <comment ref="BP279" authorId="0" shapeId="0" xr:uid="{00000000-0006-0000-0000-0000DF000000}">
      <text>
        <r>
          <rPr>
            <sz val="11"/>
            <color theme="1"/>
            <rFont val="Calibri"/>
            <family val="2"/>
            <scheme val="minor"/>
          </rPr>
          <t>======
ID#AAABDDKrRZc
Gavin Mudd    (2023-12-20 21:24:04)
historic resources (non-compliant with NI43-101) - hence all data allocated as inferred resources only</t>
        </r>
      </text>
    </comment>
    <comment ref="BQ279" authorId="0" shapeId="0" xr:uid="{00000000-0006-0000-0000-0000D7010000}">
      <text>
        <r>
          <rPr>
            <sz val="11"/>
            <color theme="1"/>
            <rFont val="Calibri"/>
            <family val="2"/>
            <scheme val="minor"/>
          </rPr>
          <t>======
ID#AAABDDKrQ5Y
Gavin Mudd    (2023-12-20 21:24:04)
historic resources (non-compliant with NI43-101) - hence all data allocated as inferred resources only</t>
        </r>
      </text>
    </comment>
    <comment ref="H280" authorId="0" shapeId="0" xr:uid="{00000000-0006-0000-0000-0000A4020000}">
      <text>
        <r>
          <rPr>
            <sz val="11"/>
            <color theme="1"/>
            <rFont val="Calibri"/>
            <family val="2"/>
            <scheme val="minor"/>
          </rPr>
          <t>======
ID#AAABDDKrQhs
Gavin Mudd    (2023-12-20 21:24:04)
Platfields Ltd went bankrupt; current owner unclear</t>
        </r>
      </text>
    </comment>
    <comment ref="K281" authorId="0" shapeId="0" xr:uid="{00000000-0006-0000-0000-0000F5010000}">
      <text>
        <r>
          <rPr>
            <sz val="11"/>
            <color theme="1"/>
            <rFont val="Calibri"/>
            <family val="2"/>
            <scheme val="minor"/>
          </rPr>
          <t>======
ID#AAABDDKrQ18
Gavin Mudd    (2023-12-20 21:24:04)
only total resources are reported</t>
        </r>
      </text>
    </comment>
    <comment ref="AF281" authorId="0" shapeId="0" xr:uid="{00000000-0006-0000-0000-000067030000}">
      <text>
        <r>
          <rPr>
            <sz val="11"/>
            <color theme="1"/>
            <rFont val="Calibri"/>
            <family val="2"/>
            <scheme val="minor"/>
          </rPr>
          <t>======
ID#AAABDDKrQKo
Gavin Mudd    (2023-12-20 21:24:03)
only total resources are reported</t>
        </r>
      </text>
    </comment>
    <comment ref="BA281" authorId="0" shapeId="0" xr:uid="{00000000-0006-0000-0000-00002A020000}">
      <text>
        <r>
          <rPr>
            <sz val="11"/>
            <color theme="1"/>
            <rFont val="Calibri"/>
            <family val="2"/>
            <scheme val="minor"/>
          </rPr>
          <t>======
ID#AAABDDKrQvw
Gavin Mudd    (2023-12-20 21:24:04)
only total resources are reported</t>
        </r>
      </text>
    </comment>
    <comment ref="BB281" authorId="0" shapeId="0" xr:uid="{00000000-0006-0000-0000-00009D030000}">
      <text>
        <r>
          <rPr>
            <sz val="11"/>
            <color theme="1"/>
            <rFont val="Calibri"/>
            <family val="2"/>
            <scheme val="minor"/>
          </rPr>
          <t>======
ID#AAABDDKrQBU
Gavin Mudd    (2023-12-20 21:24:03)
only total resources are reported</t>
        </r>
      </text>
    </comment>
    <comment ref="BI281" authorId="0" shapeId="0" xr:uid="{00000000-0006-0000-0000-0000F8010000}">
      <text>
        <r>
          <rPr>
            <sz val="11"/>
            <color theme="1"/>
            <rFont val="Calibri"/>
            <family val="2"/>
            <scheme val="minor"/>
          </rPr>
          <t>======
ID#AAABDDKrQ1c
Gavin Mudd    (2023-12-20 21:24:04)
only total resources are reported</t>
        </r>
      </text>
    </comment>
    <comment ref="H282" authorId="0" shapeId="0" xr:uid="{00000000-0006-0000-0000-00008A060000}">
      <text>
        <r>
          <rPr>
            <sz val="11"/>
            <color theme="1"/>
            <rFont val="Calibri"/>
            <family val="2"/>
            <scheme val="minor"/>
          </rPr>
          <t>======
ID#AAABCxlEytc
Gavin Mudd    (2023-12-20 21:24:01)
possibly Clean Power Pty Ltd, then MinRex Resources Ltd - but current ownwer unknown</t>
        </r>
      </text>
    </comment>
    <comment ref="DP282" authorId="0" shapeId="0" xr:uid="{00000000-0006-0000-0000-000013020000}">
      <text>
        <r>
          <rPr>
            <sz val="11"/>
            <color theme="1"/>
            <rFont val="Calibri"/>
            <family val="2"/>
            <scheme val="minor"/>
          </rPr>
          <t>======
ID#AAABDDKrQyI
Gavin Mudd    (2023-12-20 21:24:04)
"Final Report On Exploration Licences 4964, 5185, 5315 Lake Innes, N.S.W.  Nickel/Cobalt/Scandium Laterite Project for Jervois Mining"</t>
        </r>
      </text>
    </comment>
    <comment ref="BA285" authorId="0" shapeId="0" xr:uid="{00000000-0006-0000-0000-0000B1030000}">
      <text>
        <r>
          <rPr>
            <sz val="11"/>
            <color theme="1"/>
            <rFont val="Calibri"/>
            <family val="2"/>
            <scheme val="minor"/>
          </rPr>
          <t>======
ID#AAABDDKrP_M
Gavin Mudd    (2023-12-20 21:24:03)
historic resources (non-compliant with NI43-101) - hence all data allocated as inferred resources only</t>
        </r>
      </text>
    </comment>
    <comment ref="BB285" authorId="0" shapeId="0" xr:uid="{00000000-0006-0000-0000-00006B020000}">
      <text>
        <r>
          <rPr>
            <sz val="11"/>
            <color theme="1"/>
            <rFont val="Calibri"/>
            <family val="2"/>
            <scheme val="minor"/>
          </rPr>
          <t>======
ID#AAABDDKrQn0
Gavin Mudd    (2023-12-20 21:24:04)
historic resources (non-compliant with NI43-101) - hence all data allocated as inferred resources only</t>
        </r>
      </text>
    </comment>
    <comment ref="BI285" authorId="0" shapeId="0" xr:uid="{00000000-0006-0000-0000-0000E9030000}">
      <text>
        <r>
          <rPr>
            <sz val="11"/>
            <color theme="1"/>
            <rFont val="Calibri"/>
            <family val="2"/>
            <scheme val="minor"/>
          </rPr>
          <t>======
ID#AAABDDKrP3Q
Gavin Mudd    (2023-12-20 21:24:03)
historic resources (non-compliant with NI43-101) - hence all data allocated as inferred resources only</t>
        </r>
      </text>
    </comment>
    <comment ref="BA286" authorId="0" shapeId="0" xr:uid="{00000000-0006-0000-0000-0000AF040000}">
      <text>
        <r>
          <rPr>
            <sz val="11"/>
            <color theme="1"/>
            <rFont val="Calibri"/>
            <family val="2"/>
            <scheme val="minor"/>
          </rPr>
          <t>======
ID#AAABDDKrPeM
Gavin Mudd    (2023-12-20 21:24:03)
historic resources (non-compliant with NI43-101) - hence all data allocated as inferred resources only</t>
        </r>
      </text>
    </comment>
    <comment ref="BB286" authorId="0" shapeId="0" xr:uid="{00000000-0006-0000-0000-000014050000}">
      <text>
        <r>
          <rPr>
            <sz val="11"/>
            <color theme="1"/>
            <rFont val="Calibri"/>
            <family val="2"/>
            <scheme val="minor"/>
          </rPr>
          <t>======
ID#AAABDDKrPQo
Gavin Mudd    (2023-12-20 21:24:03)
historic resources (non-compliant with NI43-101) - hence all data allocated as inferred resources only</t>
        </r>
      </text>
    </comment>
    <comment ref="BI286" authorId="0" shapeId="0" xr:uid="{00000000-0006-0000-0000-000019000000}">
      <text>
        <r>
          <rPr>
            <sz val="11"/>
            <color theme="1"/>
            <rFont val="Calibri"/>
            <family val="2"/>
            <scheme val="minor"/>
          </rPr>
          <t>======
ID#AAABDDKrRzU
Gavin Mudd    (2023-12-20 21:24:04)
historic resources (non-compliant with NI43-101) - hence all data allocated as inferred resources only</t>
        </r>
      </text>
    </comment>
    <comment ref="H287" authorId="0" shapeId="0" xr:uid="{00000000-0006-0000-0000-0000DE020000}">
      <text>
        <r>
          <rPr>
            <sz val="11"/>
            <color theme="1"/>
            <rFont val="Calibri"/>
            <family val="2"/>
            <scheme val="minor"/>
          </rPr>
          <t>======
ID#AAABDDKrQag
Gavin Mudd    (2023-12-20 21:24:03)
previously held by Anglo American Plc</t>
        </r>
      </text>
    </comment>
    <comment ref="K287" authorId="0" shapeId="0" xr:uid="{00000000-0006-0000-0000-000062000000}">
      <text>
        <r>
          <rPr>
            <sz val="11"/>
            <color theme="1"/>
            <rFont val="Calibri"/>
            <family val="2"/>
            <scheme val="minor"/>
          </rPr>
          <t>======
ID#AAABDDKrRok
Gavin Mudd    (2023-12-20 21:24:04)
no reserves formally reported; assumes left-over mineralisation</t>
        </r>
      </text>
    </comment>
    <comment ref="AF287" authorId="0" shapeId="0" xr:uid="{00000000-0006-0000-0000-000003020000}">
      <text>
        <r>
          <rPr>
            <sz val="11"/>
            <color theme="1"/>
            <rFont val="Calibri"/>
            <family val="2"/>
            <scheme val="minor"/>
          </rPr>
          <t>======
ID#AAABDDKrQ0Q
Gavin Mudd    (2023-12-20 21:24:04)
no reserves formally reported; assumes left-over mineralisation</t>
        </r>
      </text>
    </comment>
    <comment ref="BA287" authorId="0" shapeId="0" xr:uid="{00000000-0006-0000-0000-00009C050000}">
      <text>
        <r>
          <rPr>
            <sz val="11"/>
            <color theme="1"/>
            <rFont val="Calibri"/>
            <family val="2"/>
            <scheme val="minor"/>
          </rPr>
          <t>======
ID#AAABDDKrO_g
Gavin Mudd    (2023-12-20 21:24:03)
no reserves formally reported; assumes left-over mineralisation</t>
        </r>
      </text>
    </comment>
    <comment ref="BI287" authorId="0" shapeId="0" xr:uid="{00000000-0006-0000-0000-0000A3020000}">
      <text>
        <r>
          <rPr>
            <sz val="11"/>
            <color theme="1"/>
            <rFont val="Calibri"/>
            <family val="2"/>
            <scheme val="minor"/>
          </rPr>
          <t>======
ID#AAABDDKrQh0
Gavin Mudd    (2023-12-20 21:24:04)
no reserves formally reported; assumes left-over mineralisation</t>
        </r>
      </text>
    </comment>
    <comment ref="BV287" authorId="0" shapeId="0" xr:uid="{00000000-0006-0000-0000-00003F010000}">
      <text>
        <r>
          <rPr>
            <sz val="11"/>
            <color theme="1"/>
            <rFont val="Calibri"/>
            <family val="2"/>
            <scheme val="minor"/>
          </rPr>
          <t>======
ID#AAABDDKrRNU
Gavin Mudd    (2023-12-20 21:24:04)
no reserves formally reported; assumes left-over mineralisation</t>
        </r>
      </text>
    </comment>
    <comment ref="CQ287" authorId="0" shapeId="0" xr:uid="{00000000-0006-0000-0000-000094060000}">
      <text>
        <r>
          <rPr>
            <sz val="11"/>
            <color theme="1"/>
            <rFont val="Calibri"/>
            <family val="2"/>
            <scheme val="minor"/>
          </rPr>
          <t>======
ID#AAABCxlEysE
Gavin Mudd    (2023-12-20 21:24:01)
no reserves formally reported; assumes left-over mineralisation</t>
        </r>
      </text>
    </comment>
    <comment ref="BA288" authorId="0" shapeId="0" xr:uid="{00000000-0006-0000-0000-000091050000}">
      <text>
        <r>
          <rPr>
            <sz val="11"/>
            <color theme="1"/>
            <rFont val="Calibri"/>
            <family val="2"/>
            <scheme val="minor"/>
          </rPr>
          <t>======
ID#AAABDDKrPBA
Gavin Mudd    (2023-12-20 21:24:03)
code basis unclear, assumed as inferred, non-code compliant</t>
        </r>
      </text>
    </comment>
    <comment ref="BI288" authorId="0" shapeId="0" xr:uid="{00000000-0006-0000-0000-0000F3050000}">
      <text>
        <r>
          <rPr>
            <sz val="11"/>
            <color theme="1"/>
            <rFont val="Calibri"/>
            <family val="2"/>
            <scheme val="minor"/>
          </rPr>
          <t>======
ID#AAABCyJQh8w
Gavin Mudd    (2023-12-20 21:24:02)
code basis unclear, assumed as inferred, non-code compliant</t>
        </r>
      </text>
    </comment>
    <comment ref="BB289" authorId="0" shapeId="0" xr:uid="{00000000-0006-0000-0000-000073020000}">
      <text>
        <r>
          <rPr>
            <sz val="11"/>
            <color theme="1"/>
            <rFont val="Calibri"/>
            <family val="2"/>
            <scheme val="minor"/>
          </rPr>
          <t>======
ID#AAABDDKrQm8
Gavin Mudd    (2023-12-20 21:24:04)
data from Sedibelo</t>
        </r>
      </text>
    </comment>
    <comment ref="BC289" authorId="0" shapeId="0" xr:uid="{00000000-0006-0000-0000-000052020000}">
      <text>
        <r>
          <rPr>
            <sz val="11"/>
            <color theme="1"/>
            <rFont val="Calibri"/>
            <family val="2"/>
            <scheme val="minor"/>
          </rPr>
          <t>======
ID#AAABDDKrQqs
Gavin Mudd    (2023-12-20 21:24:04)
data from Sedibelo</t>
        </r>
      </text>
    </comment>
    <comment ref="BI289" authorId="0" shapeId="0" xr:uid="{00000000-0006-0000-0000-0000F2050000}">
      <text>
        <r>
          <rPr>
            <sz val="11"/>
            <color theme="1"/>
            <rFont val="Calibri"/>
            <family val="2"/>
            <scheme val="minor"/>
          </rPr>
          <t>======
ID#AAABCyJQh84
Gavin Mudd    (2023-12-20 21:24:02)
data from Sedibelo</t>
        </r>
      </text>
    </comment>
    <comment ref="BK289" authorId="0" shapeId="0" xr:uid="{00000000-0006-0000-0000-000032020000}">
      <text>
        <r>
          <rPr>
            <sz val="11"/>
            <color theme="1"/>
            <rFont val="Calibri"/>
            <family val="2"/>
            <scheme val="minor"/>
          </rPr>
          <t>======
ID#AAABDDKrQuk
Gavin Mudd    (2023-12-20 21:24:04)
data from Sedibelo</t>
        </r>
      </text>
    </comment>
    <comment ref="BL289" authorId="0" shapeId="0" xr:uid="{00000000-0006-0000-0000-0000E3050000}">
      <text>
        <r>
          <rPr>
            <sz val="11"/>
            <color theme="1"/>
            <rFont val="Calibri"/>
            <family val="2"/>
            <scheme val="minor"/>
          </rPr>
          <t>======
ID#AAABCyJQh-0
Gavin Mudd    (2023-12-20 21:24:02)
data from Sedibelo</t>
        </r>
      </text>
    </comment>
    <comment ref="BA290" authorId="0" shapeId="0" xr:uid="{00000000-0006-0000-0000-0000B0000000}">
      <text>
        <r>
          <rPr>
            <sz val="11"/>
            <color theme="1"/>
            <rFont val="Calibri"/>
            <family val="2"/>
            <scheme val="minor"/>
          </rPr>
          <t>======
ID#AAABDDKrRfM
Gavin Mudd    (2023-12-20 21:24:04)
historic resources (non-compliant with NI43-101) - hence all data allocated as inferred resources only</t>
        </r>
      </text>
    </comment>
    <comment ref="BC290" authorId="0" shapeId="0" xr:uid="{00000000-0006-0000-0000-000065040000}">
      <text>
        <r>
          <rPr>
            <sz val="11"/>
            <color theme="1"/>
            <rFont val="Calibri"/>
            <family val="2"/>
            <scheme val="minor"/>
          </rPr>
          <t>======
ID#AAABDDKrPoU
Gavin Mudd    (2023-12-20 21:24:03)
historic resources (non-compliant with NI43-101) - hence all data allocated as inferred resources only</t>
        </r>
      </text>
    </comment>
    <comment ref="BI290" authorId="0" shapeId="0" xr:uid="{00000000-0006-0000-0000-0000F8050000}">
      <text>
        <r>
          <rPr>
            <sz val="11"/>
            <color theme="1"/>
            <rFont val="Calibri"/>
            <family val="2"/>
            <scheme val="minor"/>
          </rPr>
          <t>======
ID#AAABCyJQh8U
Gavin Mudd    (2023-12-20 21:24:02)
historic resources (non-compliant with NI43-101) - hence all data allocated as inferred resources only</t>
        </r>
      </text>
    </comment>
    <comment ref="BA291" authorId="0" shapeId="0" xr:uid="{00000000-0006-0000-0000-00002D040000}">
      <text>
        <r>
          <rPr>
            <sz val="11"/>
            <color theme="1"/>
            <rFont val="Calibri"/>
            <family val="2"/>
            <scheme val="minor"/>
          </rPr>
          <t>======
ID#AAABDDKrPuk
Gavin Mudd    (2023-12-20 21:24:03)
historic resources (non-compliant with NI43-101) - hence all data allocated as inferred resources only</t>
        </r>
      </text>
    </comment>
    <comment ref="BB291" authorId="0" shapeId="0" xr:uid="{00000000-0006-0000-0000-000006060000}">
      <text>
        <r>
          <rPr>
            <sz val="11"/>
            <color theme="1"/>
            <rFont val="Calibri"/>
            <family val="2"/>
            <scheme val="minor"/>
          </rPr>
          <t>======
ID#AAABCyJQh6U
Gavin Mudd    (2023-12-20 21:24:02)
historic resources (non-compliant with NI43-101) - hence all data allocated as inferred resources only</t>
        </r>
      </text>
    </comment>
    <comment ref="BI291" authorId="0" shapeId="0" xr:uid="{00000000-0006-0000-0000-000057060000}">
      <text>
        <r>
          <rPr>
            <sz val="11"/>
            <color theme="1"/>
            <rFont val="Calibri"/>
            <family val="2"/>
            <scheme val="minor"/>
          </rPr>
          <t>======
ID#AAABCyJQhxc
Gavin Mudd    (2023-12-20 21:24:02)
historic resources (non-compliant with NI43-101) - hence all data allocated as inferred resources only</t>
        </r>
      </text>
    </comment>
    <comment ref="BA292" authorId="0" shapeId="0" xr:uid="{00000000-0006-0000-0000-000097050000}">
      <text>
        <r>
          <rPr>
            <sz val="11"/>
            <color theme="1"/>
            <rFont val="Calibri"/>
            <family val="2"/>
            <scheme val="minor"/>
          </rPr>
          <t>======
ID#AAABDDKrPAg
Gavin Mudd    (2023-12-20 21:24:03)
historic resources (non-compliant with NI43-101) - hence all data allocated as inferred resources only</t>
        </r>
      </text>
    </comment>
    <comment ref="BB292" authorId="0" shapeId="0" xr:uid="{00000000-0006-0000-0000-000041010000}">
      <text>
        <r>
          <rPr>
            <sz val="11"/>
            <color theme="1"/>
            <rFont val="Calibri"/>
            <family val="2"/>
            <scheme val="minor"/>
          </rPr>
          <t>======
ID#AAABDDKrRNE
Gavin Mudd    (2023-12-20 21:24:04)
historic resources (non-compliant with NI43-101) - hence all data allocated as inferred resources only</t>
        </r>
      </text>
    </comment>
    <comment ref="BI292" authorId="0" shapeId="0" xr:uid="{00000000-0006-0000-0000-000097040000}">
      <text>
        <r>
          <rPr>
            <sz val="11"/>
            <color theme="1"/>
            <rFont val="Calibri"/>
            <family val="2"/>
            <scheme val="minor"/>
          </rPr>
          <t>======
ID#AAABDDKrPho
Gavin Mudd    (2023-12-20 21:24:03)
historic resources (non-compliant with NI43-101) - hence all data allocated as inferred resources only</t>
        </r>
      </text>
    </comment>
    <comment ref="BJ292" authorId="0" shapeId="0" xr:uid="{00000000-0006-0000-0000-0000A9030000}">
      <text>
        <r>
          <rPr>
            <sz val="11"/>
            <color theme="1"/>
            <rFont val="Calibri"/>
            <family val="2"/>
            <scheme val="minor"/>
          </rPr>
          <t>======
ID#AAABDDKrP_8
Gavin Mudd    (2023-12-20 21:24:03)
historic resources (non-compliant with NI43-101) - hence all data allocated as inferred resources only</t>
        </r>
      </text>
    </comment>
    <comment ref="BA293" authorId="0" shapeId="0" xr:uid="{00000000-0006-0000-0000-00002C040000}">
      <text>
        <r>
          <rPr>
            <sz val="11"/>
            <color theme="1"/>
            <rFont val="Calibri"/>
            <family val="2"/>
            <scheme val="minor"/>
          </rPr>
          <t>======
ID#AAABDDKrPuo
Gavin Mudd    (2023-12-20 21:24:03)
historic resources (non-compliant with NI43-101) - hence all data allocated as inferred resources only</t>
        </r>
      </text>
    </comment>
    <comment ref="BB293" authorId="0" shapeId="0" xr:uid="{00000000-0006-0000-0000-0000AA030000}">
      <text>
        <r>
          <rPr>
            <sz val="11"/>
            <color theme="1"/>
            <rFont val="Calibri"/>
            <family val="2"/>
            <scheme val="minor"/>
          </rPr>
          <t>======
ID#AAABDDKrP_4
Gavin Mudd    (2023-12-20 21:24:03)
historic resources (non-compliant with NI43-101) - hence all data allocated as inferred resources only</t>
        </r>
      </text>
    </comment>
    <comment ref="BI293" authorId="0" shapeId="0" xr:uid="{00000000-0006-0000-0000-00007D020000}">
      <text>
        <r>
          <rPr>
            <sz val="11"/>
            <color theme="1"/>
            <rFont val="Calibri"/>
            <family val="2"/>
            <scheme val="minor"/>
          </rPr>
          <t>======
ID#AAABDDKrQmI
Gavin Mudd    (2023-12-20 21:24:04)
historic resources (non-compliant with NI43-101) - hence all data allocated as inferred resources only</t>
        </r>
      </text>
    </comment>
    <comment ref="H296" authorId="0" shapeId="0" xr:uid="{00000000-0006-0000-0000-0000C7020000}">
      <text>
        <r>
          <rPr>
            <sz val="11"/>
            <color theme="1"/>
            <rFont val="Calibri"/>
            <family val="2"/>
            <scheme val="minor"/>
          </rPr>
          <t>======
ID#AAABDDKrQc4
Gavin Mudd    (2023-12-20 21:24:03)
formerly known as Mustang Minerals Corp</t>
        </r>
      </text>
    </comment>
    <comment ref="BA297" authorId="0" shapeId="0" xr:uid="{00000000-0006-0000-0000-0000D6000000}">
      <text>
        <r>
          <rPr>
            <sz val="11"/>
            <color theme="1"/>
            <rFont val="Calibri"/>
            <family val="2"/>
            <scheme val="minor"/>
          </rPr>
          <t>======
ID#AAABDDKrRa8
Gavin Mudd    (2023-12-20 21:24:04)
all resources assumed to be equivalent to inferred</t>
        </r>
      </text>
    </comment>
    <comment ref="AF298" authorId="0" shapeId="0" xr:uid="{00000000-0006-0000-0000-000039050000}">
      <text>
        <r>
          <rPr>
            <sz val="11"/>
            <color theme="1"/>
            <rFont val="Calibri"/>
            <family val="2"/>
            <scheme val="minor"/>
          </rPr>
          <t>======
ID#AAABDDKrPMk
Gavin Mudd    (2023-12-20 21:24:03)
only total indicaed &amp; inferred resources are reported</t>
        </r>
      </text>
    </comment>
    <comment ref="BA298" authorId="0" shapeId="0" xr:uid="{00000000-0006-0000-0000-00008F050000}">
      <text>
        <r>
          <rPr>
            <sz val="11"/>
            <color theme="1"/>
            <rFont val="Calibri"/>
            <family val="2"/>
            <scheme val="minor"/>
          </rPr>
          <t>======
ID#AAABDDKrPBQ
Gavin Mudd    (2023-12-20 21:24:03)
only total indicaed &amp; inferred resources are reported</t>
        </r>
      </text>
    </comment>
    <comment ref="BI298" authorId="0" shapeId="0" xr:uid="{00000000-0006-0000-0000-000004040000}">
      <text>
        <r>
          <rPr>
            <sz val="11"/>
            <color theme="1"/>
            <rFont val="Calibri"/>
            <family val="2"/>
            <scheme val="minor"/>
          </rPr>
          <t>======
ID#AAABDDKrPz8
Gavin Mudd    (2023-12-20 21:24:03)
only total indicaed &amp; inferred resources are reported</t>
        </r>
      </text>
    </comment>
    <comment ref="BJ298" authorId="0" shapeId="0" xr:uid="{00000000-0006-0000-0000-00009D050000}">
      <text>
        <r>
          <rPr>
            <sz val="11"/>
            <color theme="1"/>
            <rFont val="Calibri"/>
            <family val="2"/>
            <scheme val="minor"/>
          </rPr>
          <t>======
ID#AAABDDKrO_k
Gavin Mudd    (2023-12-20 21:24:03)
only total indicaed &amp; inferred resources are reported</t>
        </r>
      </text>
    </comment>
    <comment ref="DP298" authorId="0" shapeId="0" xr:uid="{00000000-0006-0000-0000-00006E010000}">
      <text>
        <r>
          <rPr>
            <sz val="11"/>
            <color theme="1"/>
            <rFont val="Calibri"/>
            <family val="2"/>
            <scheme val="minor"/>
          </rPr>
          <t>======
ID#AAABDDKrRHE
Gavin Mudd    (2023-12-20 21:24:04)
data from Regency Mines plc</t>
        </r>
      </text>
    </comment>
    <comment ref="BA299" authorId="0" shapeId="0" xr:uid="{00000000-0006-0000-0000-000040030000}">
      <text>
        <r>
          <rPr>
            <sz val="11"/>
            <color theme="1"/>
            <rFont val="Calibri"/>
            <family val="2"/>
            <scheme val="minor"/>
          </rPr>
          <t>======
ID#AAABDDKrQPQ
Gavin Mudd    (2023-12-20 21:24:03)
code basis unclear, assumed as inferred, non-code compliant</t>
        </r>
      </text>
    </comment>
    <comment ref="BI299" authorId="0" shapeId="0" xr:uid="{00000000-0006-0000-0000-0000BF020000}">
      <text>
        <r>
          <rPr>
            <sz val="11"/>
            <color theme="1"/>
            <rFont val="Calibri"/>
            <family val="2"/>
            <scheme val="minor"/>
          </rPr>
          <t>======
ID#AAABDDKrQeM
Gavin Mudd    (2023-12-20 21:24:03)
code basis unclear, assumed as inferred, non-code compliant</t>
        </r>
      </text>
    </comment>
    <comment ref="BA300" authorId="0" shapeId="0" xr:uid="{00000000-0006-0000-0000-000056020000}">
      <text>
        <r>
          <rPr>
            <sz val="11"/>
            <color theme="1"/>
            <rFont val="Calibri"/>
            <family val="2"/>
            <scheme val="minor"/>
          </rPr>
          <t>======
ID#AAABDDKrQqE
Gavin Mudd    (2023-12-20 21:24:04)
originally reported as probable reserves, but assued as inferred resources due to failure of project</t>
        </r>
      </text>
    </comment>
    <comment ref="BI300" authorId="0" shapeId="0" xr:uid="{00000000-0006-0000-0000-00003A020000}">
      <text>
        <r>
          <rPr>
            <sz val="11"/>
            <color theme="1"/>
            <rFont val="Calibri"/>
            <family val="2"/>
            <scheme val="minor"/>
          </rPr>
          <t>======
ID#AAABDDKrQtw
Gavin Mudd    (2023-12-20 21:24:04)
originally reported as probable reserves, but assued as inferred resources due to failure of project</t>
        </r>
      </text>
    </comment>
    <comment ref="DP300" authorId="0" shapeId="0" xr:uid="{00000000-0006-0000-0000-0000A0040000}">
      <text>
        <r>
          <rPr>
            <sz val="11"/>
            <color theme="1"/>
            <rFont val="Calibri"/>
            <family val="2"/>
            <scheme val="minor"/>
          </rPr>
          <t>======
ID#AAABDDKrPgY
Gavin Mudd    (2023-12-20 21:24:03)
data from European Nickel Plc</t>
        </r>
      </text>
    </comment>
    <comment ref="H301" authorId="0" shapeId="0" xr:uid="{00000000-0006-0000-0000-000001060000}">
      <text>
        <r>
          <rPr>
            <sz val="11"/>
            <color theme="1"/>
            <rFont val="Calibri"/>
            <family val="2"/>
            <scheme val="minor"/>
          </rPr>
          <t>======
ID#AAABCyJQh7A
Gavin Mudd    (2023-12-20 21:24:02)
previously held by European Nickel Plc</t>
        </r>
      </text>
    </comment>
    <comment ref="BA301" authorId="0" shapeId="0" xr:uid="{00000000-0006-0000-0000-0000B9040000}">
      <text>
        <r>
          <rPr>
            <sz val="11"/>
            <color theme="1"/>
            <rFont val="Calibri"/>
            <family val="2"/>
            <scheme val="minor"/>
          </rPr>
          <t>======
ID#AAABDDKrPco
Gavin Mudd    (2023-12-20 21:24:03)
originally reported as probable reserves, but assued as inferred resources due to failure of project</t>
        </r>
      </text>
    </comment>
    <comment ref="BI301" authorId="0" shapeId="0" xr:uid="{00000000-0006-0000-0000-00002E040000}">
      <text>
        <r>
          <rPr>
            <sz val="11"/>
            <color theme="1"/>
            <rFont val="Calibri"/>
            <family val="2"/>
            <scheme val="minor"/>
          </rPr>
          <t>======
ID#AAABDDKrPug
Gavin Mudd    (2023-12-20 21:24:03)
originally reported as probable reserves, but assued as inferred resources due to failure of project</t>
        </r>
      </text>
    </comment>
    <comment ref="DP301" authorId="0" shapeId="0" xr:uid="{00000000-0006-0000-0000-000058040000}">
      <text>
        <r>
          <rPr>
            <sz val="11"/>
            <color theme="1"/>
            <rFont val="Calibri"/>
            <family val="2"/>
            <scheme val="minor"/>
          </rPr>
          <t>======
ID#AAABDDKrPpg
Gavin Mudd    (2023-12-20 21:24:03)
data from European Nickel Plc</t>
        </r>
      </text>
    </comment>
    <comment ref="H303" authorId="0" shapeId="0" xr:uid="{00000000-0006-0000-0000-000040010000}">
      <text>
        <r>
          <rPr>
            <sz val="11"/>
            <color theme="1"/>
            <rFont val="Calibri"/>
            <family val="2"/>
            <scheme val="minor"/>
          </rPr>
          <t>======
ID#AAABDDKrRNM
Gavin Mudd    (2023-12-20 21:24:04)
previously held by Royal Nickel Corp (which is now RNC Minerals)</t>
        </r>
      </text>
    </comment>
    <comment ref="K303" authorId="0" shapeId="0" xr:uid="{00000000-0006-0000-0000-000096000000}">
      <text>
        <r>
          <rPr>
            <sz val="11"/>
            <color theme="1"/>
            <rFont val="Calibri"/>
            <family val="2"/>
            <scheme val="minor"/>
          </rPr>
          <t>======
ID#AAABDDKrRjU
Gavin Mudd    (2023-12-20 21:24:04)
historic resources (non-compliant with NI43-101) - hence all data allocated as inferred resources only</t>
        </r>
      </text>
    </comment>
    <comment ref="AF303" authorId="0" shapeId="0" xr:uid="{00000000-0006-0000-0000-0000B1000000}">
      <text>
        <r>
          <rPr>
            <sz val="11"/>
            <color theme="1"/>
            <rFont val="Calibri"/>
            <family val="2"/>
            <scheme val="minor"/>
          </rPr>
          <t>======
ID#AAABDDKrRfI
Gavin Mudd    (2023-12-20 21:24:04)
historic resources (non-compliant with NI43-101) - hence all data allocated as inferred resources only</t>
        </r>
      </text>
    </comment>
    <comment ref="BA303" authorId="0" shapeId="0" xr:uid="{00000000-0006-0000-0000-000044030000}">
      <text>
        <r>
          <rPr>
            <sz val="11"/>
            <color theme="1"/>
            <rFont val="Calibri"/>
            <family val="2"/>
            <scheme val="minor"/>
          </rPr>
          <t>======
ID#AAABDDKrQO4
Gavin Mudd    (2023-12-20 21:24:03)
historic resources (non-compliant with NI43-101) - hence all data allocated as inferred resources only</t>
        </r>
      </text>
    </comment>
    <comment ref="BI303" authorId="0" shapeId="0" xr:uid="{00000000-0006-0000-0000-00002B010000}">
      <text>
        <r>
          <rPr>
            <sz val="11"/>
            <color theme="1"/>
            <rFont val="Calibri"/>
            <family val="2"/>
            <scheme val="minor"/>
          </rPr>
          <t>======
ID#AAABDDKrRQs
Gavin Mudd    (2023-12-20 21:24:04)
historic resources (non-compliant with NI43-101) - hence all data allocated as inferred resources only</t>
        </r>
      </text>
    </comment>
    <comment ref="DP303" authorId="0" shapeId="0" xr:uid="{00000000-0006-0000-0000-0000C4020000}">
      <text>
        <r>
          <rPr>
            <sz val="11"/>
            <color theme="1"/>
            <rFont val="Calibri"/>
            <family val="2"/>
            <scheme val="minor"/>
          </rPr>
          <t>======
ID#AAABDDKrQdM
Gavin Mudd    (2023-12-20 21:24:03)
data from Royal Nickel Corp</t>
        </r>
      </text>
    </comment>
    <comment ref="C304" authorId="0" shapeId="0" xr:uid="{00000000-0006-0000-0000-00007C020000}">
      <text>
        <r>
          <rPr>
            <sz val="11"/>
            <color theme="1"/>
            <rFont val="Calibri"/>
            <family val="2"/>
            <scheme val="minor"/>
          </rPr>
          <t>======
ID#AAABDDKrQmQ
Gavin Mudd    (2023-12-20 21:24:04)
BRC - Brightgreen Resources Corp</t>
        </r>
      </text>
    </comment>
    <comment ref="BA306" authorId="0" shapeId="0" xr:uid="{00000000-0006-0000-0000-0000C7040000}">
      <text>
        <r>
          <rPr>
            <sz val="11"/>
            <color theme="1"/>
            <rFont val="Calibri"/>
            <family val="2"/>
            <scheme val="minor"/>
          </rPr>
          <t>======
ID#AAABDDKrPbA
Gavin Mudd    (2023-12-20 21:24:03)
historic resources (non-compliant with NI43-101) - hence all data allocated as inferred resources only</t>
        </r>
      </text>
    </comment>
    <comment ref="BI306" authorId="0" shapeId="0" xr:uid="{00000000-0006-0000-0000-000034060000}">
      <text>
        <r>
          <rPr>
            <sz val="11"/>
            <color theme="1"/>
            <rFont val="Calibri"/>
            <family val="2"/>
            <scheme val="minor"/>
          </rPr>
          <t>======
ID#AAABCyJQh1A
Gavin Mudd    (2023-12-20 21:24:02)
historic resources (non-compliant with NI43-101) - hence all data allocated as inferred resources only</t>
        </r>
      </text>
    </comment>
    <comment ref="BJ306" authorId="0" shapeId="0" xr:uid="{00000000-0006-0000-0000-0000D9050000}">
      <text>
        <r>
          <rPr>
            <sz val="11"/>
            <color theme="1"/>
            <rFont val="Calibri"/>
            <family val="2"/>
            <scheme val="minor"/>
          </rPr>
          <t>======
ID#AAABCyJQiAA
Gavin Mudd    (2023-12-20 21:24:02)
historic resources (non-compliant with NI43-101) - hence all data allocated as inferred resources only</t>
        </r>
      </text>
    </comment>
    <comment ref="BP306" authorId="0" shapeId="0" xr:uid="{00000000-0006-0000-0000-0000EA010000}">
      <text>
        <r>
          <rPr>
            <sz val="11"/>
            <color theme="1"/>
            <rFont val="Calibri"/>
            <family val="2"/>
            <scheme val="minor"/>
          </rPr>
          <t>======
ID#AAABDDKrQ3A
Gavin Mudd    (2023-12-20 21:24:04)
historic resources (non-compliant with NI43-101) - hence all data allocated as inferred resources only</t>
        </r>
      </text>
    </comment>
    <comment ref="BQ306" authorId="0" shapeId="0" xr:uid="{00000000-0006-0000-0000-000056030000}">
      <text>
        <r>
          <rPr>
            <sz val="11"/>
            <color theme="1"/>
            <rFont val="Calibri"/>
            <family val="2"/>
            <scheme val="minor"/>
          </rPr>
          <t>======
ID#AAABDDKrQM0
Gavin Mudd    (2023-12-20 21:24:03)
historic resources (non-compliant with NI43-101) - hence all data allocated as inferred resources only</t>
        </r>
      </text>
    </comment>
    <comment ref="H307" authorId="0" shapeId="0" xr:uid="{00000000-0006-0000-0000-0000D6010000}">
      <text>
        <r>
          <rPr>
            <sz val="11"/>
            <color theme="1"/>
            <rFont val="Calibri"/>
            <family val="2"/>
            <scheme val="minor"/>
          </rPr>
          <t>======
ID#AAABDDKrQ5w
Gavin Mudd    (2023-12-20 21:24:04)
now part of Sibanye-Stillwater</t>
        </r>
      </text>
    </comment>
    <comment ref="X307" authorId="0" shapeId="0" xr:uid="{00000000-0006-0000-0000-000016020000}">
      <text>
        <r>
          <rPr>
            <sz val="11"/>
            <color theme="1"/>
            <rFont val="Calibri"/>
            <family val="2"/>
            <scheme val="minor"/>
          </rPr>
          <t>======
ID#AAABDDKrQx8
Gavin Mudd    (2023-12-20 21:24:04)
g/t Ru</t>
        </r>
      </text>
    </comment>
    <comment ref="Y307" authorId="0" shapeId="0" xr:uid="{00000000-0006-0000-0000-000036050000}">
      <text>
        <r>
          <rPr>
            <sz val="11"/>
            <color theme="1"/>
            <rFont val="Calibri"/>
            <family val="2"/>
            <scheme val="minor"/>
          </rPr>
          <t>======
ID#AAABDDKrPM8
Gavin Mudd    (2023-12-20 21:24:03)
g/t Ir</t>
        </r>
      </text>
    </comment>
    <comment ref="AS307" authorId="0" shapeId="0" xr:uid="{00000000-0006-0000-0000-0000EC020000}">
      <text>
        <r>
          <rPr>
            <sz val="11"/>
            <color theme="1"/>
            <rFont val="Calibri"/>
            <family val="2"/>
            <scheme val="minor"/>
          </rPr>
          <t>======
ID#AAABDDKrQY0
Gavin Mudd    (2023-12-20 21:24:03)
g/t Ru</t>
        </r>
      </text>
    </comment>
    <comment ref="AT307" authorId="0" shapeId="0" xr:uid="{00000000-0006-0000-0000-000037050000}">
      <text>
        <r>
          <rPr>
            <sz val="11"/>
            <color theme="1"/>
            <rFont val="Calibri"/>
            <family val="2"/>
            <scheme val="minor"/>
          </rPr>
          <t>======
ID#AAABDDKrPMw
Gavin Mudd    (2023-12-20 21:24:03)
g/t Ir</t>
        </r>
      </text>
    </comment>
    <comment ref="BN307" authorId="0" shapeId="0" xr:uid="{00000000-0006-0000-0000-0000ED030000}">
      <text>
        <r>
          <rPr>
            <sz val="11"/>
            <color theme="1"/>
            <rFont val="Calibri"/>
            <family val="2"/>
            <scheme val="minor"/>
          </rPr>
          <t>======
ID#AAABDDKrP2w
Gavin Mudd    (2023-12-20 21:24:03)
g/t Ru</t>
        </r>
      </text>
    </comment>
    <comment ref="BO307" authorId="0" shapeId="0" xr:uid="{00000000-0006-0000-0000-0000E4040000}">
      <text>
        <r>
          <rPr>
            <sz val="11"/>
            <color theme="1"/>
            <rFont val="Calibri"/>
            <family val="2"/>
            <scheme val="minor"/>
          </rPr>
          <t>======
ID#AAABDDKrPX4
Gavin Mudd    (2023-12-20 21:24:03)
g/t Ir</t>
        </r>
      </text>
    </comment>
    <comment ref="CI307" authorId="0" shapeId="0" xr:uid="{00000000-0006-0000-0000-00002D010000}">
      <text>
        <r>
          <rPr>
            <sz val="11"/>
            <color theme="1"/>
            <rFont val="Calibri"/>
            <family val="2"/>
            <scheme val="minor"/>
          </rPr>
          <t>======
ID#AAABDDKrRQk
Gavin Mudd    (2023-12-20 21:24:04)
g/t Ru</t>
        </r>
      </text>
    </comment>
    <comment ref="CJ307" authorId="0" shapeId="0" xr:uid="{00000000-0006-0000-0000-0000AB000000}">
      <text>
        <r>
          <rPr>
            <sz val="11"/>
            <color theme="1"/>
            <rFont val="Calibri"/>
            <family val="2"/>
            <scheme val="minor"/>
          </rPr>
          <t>======
ID#AAABDDKrRf0
Gavin Mudd    (2023-12-20 21:24:04)
g/t Ir</t>
        </r>
      </text>
    </comment>
    <comment ref="DD307" authorId="0" shapeId="0" xr:uid="{00000000-0006-0000-0000-00009F010000}">
      <text>
        <r>
          <rPr>
            <sz val="11"/>
            <color theme="1"/>
            <rFont val="Calibri"/>
            <family val="2"/>
            <scheme val="minor"/>
          </rPr>
          <t>======
ID#AAABDDKrRAY
Gavin Mudd    (2023-12-20 21:24:04)
g/t Ru</t>
        </r>
      </text>
    </comment>
    <comment ref="DE307" authorId="0" shapeId="0" xr:uid="{00000000-0006-0000-0000-000084020000}">
      <text>
        <r>
          <rPr>
            <sz val="11"/>
            <color theme="1"/>
            <rFont val="Calibri"/>
            <family val="2"/>
            <scheme val="minor"/>
          </rPr>
          <t>======
ID#AAABDDKrQlE
Gavin Mudd    (2023-12-20 21:24:04)
g/t Ir</t>
        </r>
      </text>
    </comment>
    <comment ref="H310" authorId="0" shapeId="0" xr:uid="{00000000-0006-0000-0000-00005A020000}">
      <text>
        <r>
          <rPr>
            <sz val="11"/>
            <color theme="1"/>
            <rFont val="Calibri"/>
            <family val="2"/>
            <scheme val="minor"/>
          </rPr>
          <t>======
ID#AAABDDKrQps
Gavin Mudd    (2023-12-20 21:24:04)
previously held by Minara Resources (Anaconda Nickel), now part of Glencore</t>
        </r>
      </text>
    </comment>
    <comment ref="X311" authorId="0" shapeId="0" xr:uid="{00000000-0006-0000-0000-00007E060000}">
      <text>
        <r>
          <rPr>
            <sz val="11"/>
            <color theme="1"/>
            <rFont val="Calibri"/>
            <family val="2"/>
            <scheme val="minor"/>
          </rPr>
          <t>======
ID#AAABCyJQhto
Gavin Mudd    (2023-12-20 21:24:01)
g/t Ru</t>
        </r>
      </text>
    </comment>
    <comment ref="Y311" authorId="0" shapeId="0" xr:uid="{00000000-0006-0000-0000-0000ED010000}">
      <text>
        <r>
          <rPr>
            <sz val="11"/>
            <color theme="1"/>
            <rFont val="Calibri"/>
            <family val="2"/>
            <scheme val="minor"/>
          </rPr>
          <t>======
ID#AAABDDKrQ2o
Gavin Mudd    (2023-12-20 21:24:04)
g/t Ir</t>
        </r>
      </text>
    </comment>
    <comment ref="AS311" authorId="0" shapeId="0" xr:uid="{00000000-0006-0000-0000-000031020000}">
      <text>
        <r>
          <rPr>
            <sz val="11"/>
            <color theme="1"/>
            <rFont val="Calibri"/>
            <family val="2"/>
            <scheme val="minor"/>
          </rPr>
          <t>======
ID#AAABDDKrQu4
Gavin Mudd    (2023-12-20 21:24:04)
g/t Ru</t>
        </r>
      </text>
    </comment>
    <comment ref="AT311" authorId="0" shapeId="0" xr:uid="{00000000-0006-0000-0000-0000C8040000}">
      <text>
        <r>
          <rPr>
            <sz val="11"/>
            <color theme="1"/>
            <rFont val="Calibri"/>
            <family val="2"/>
            <scheme val="minor"/>
          </rPr>
          <t>======
ID#AAABDDKrPa8
Gavin Mudd    (2023-12-20 21:24:03)
g/t Ir</t>
        </r>
      </text>
    </comment>
    <comment ref="BN311" authorId="0" shapeId="0" xr:uid="{00000000-0006-0000-0000-0000DA000000}">
      <text>
        <r>
          <rPr>
            <sz val="11"/>
            <color theme="1"/>
            <rFont val="Calibri"/>
            <family val="2"/>
            <scheme val="minor"/>
          </rPr>
          <t>======
ID#AAABDDKrRaI
Gavin Mudd    (2023-12-20 21:24:04)
g/t Ru</t>
        </r>
      </text>
    </comment>
    <comment ref="BO311" authorId="0" shapeId="0" xr:uid="{00000000-0006-0000-0000-0000F4000000}">
      <text>
        <r>
          <rPr>
            <sz val="11"/>
            <color theme="1"/>
            <rFont val="Calibri"/>
            <family val="2"/>
            <scheme val="minor"/>
          </rPr>
          <t>======
ID#AAABDDKrRW8
Gavin Mudd    (2023-12-20 21:24:04)
g/t Ir</t>
        </r>
      </text>
    </comment>
    <comment ref="CI311" authorId="0" shapeId="0" xr:uid="{00000000-0006-0000-0000-000051060000}">
      <text>
        <r>
          <rPr>
            <sz val="11"/>
            <color theme="1"/>
            <rFont val="Calibri"/>
            <family val="2"/>
            <scheme val="minor"/>
          </rPr>
          <t>======
ID#AAABCyJQhyI
Gavin Mudd    (2023-12-20 21:24:02)
g/t Ru</t>
        </r>
      </text>
    </comment>
    <comment ref="CJ311" authorId="0" shapeId="0" xr:uid="{00000000-0006-0000-0000-0000BA040000}">
      <text>
        <r>
          <rPr>
            <sz val="11"/>
            <color theme="1"/>
            <rFont val="Calibri"/>
            <family val="2"/>
            <scheme val="minor"/>
          </rPr>
          <t>======
ID#AAABDDKrPck
Gavin Mudd    (2023-12-20 21:24:03)
g/t Ir</t>
        </r>
      </text>
    </comment>
    <comment ref="DD311" authorId="0" shapeId="0" xr:uid="{00000000-0006-0000-0000-00006B060000}">
      <text>
        <r>
          <rPr>
            <sz val="11"/>
            <color theme="1"/>
            <rFont val="Calibri"/>
            <family val="2"/>
            <scheme val="minor"/>
          </rPr>
          <t>======
ID#AAABCyJQhv0
Gavin Mudd    (2023-12-20 21:24:01)
g/t Ru</t>
        </r>
      </text>
    </comment>
    <comment ref="DE311" authorId="0" shapeId="0" xr:uid="{00000000-0006-0000-0000-000067020000}">
      <text>
        <r>
          <rPr>
            <sz val="11"/>
            <color theme="1"/>
            <rFont val="Calibri"/>
            <family val="2"/>
            <scheme val="minor"/>
          </rPr>
          <t>======
ID#AAABDDKrQoY
Gavin Mudd    (2023-12-20 21:24:04)
g/t Ir</t>
        </r>
      </text>
    </comment>
    <comment ref="H312" authorId="0" shapeId="0" xr:uid="{00000000-0006-0000-0000-0000A3030000}">
      <text>
        <r>
          <rPr>
            <sz val="11"/>
            <color theme="1"/>
            <rFont val="Calibri"/>
            <family val="2"/>
            <scheme val="minor"/>
          </rPr>
          <t>======
ID#AAABDDKrQA4
Gavin Mudd    (2023-12-20 21:24:03)
previously Wesizwe Pt Ltd</t>
        </r>
      </text>
    </comment>
    <comment ref="DP312" authorId="0" shapeId="0" xr:uid="{00000000-0006-0000-0000-0000F5000000}">
      <text>
        <r>
          <rPr>
            <sz val="11"/>
            <color theme="1"/>
            <rFont val="Calibri"/>
            <family val="2"/>
            <scheme val="minor"/>
          </rPr>
          <t>======
ID#AAABDDKrRWw
Gavin Mudd    (2023-12-20 21:24:04)
data from Wesizwe Pt Ltd</t>
        </r>
      </text>
    </comment>
    <comment ref="BA313" authorId="0" shapeId="0" xr:uid="{00000000-0006-0000-0000-0000EA020000}">
      <text>
        <r>
          <rPr>
            <sz val="11"/>
            <color theme="1"/>
            <rFont val="Calibri"/>
            <family val="2"/>
            <scheme val="minor"/>
          </rPr>
          <t>======
ID#AAABDDKrQZQ
Gavin Mudd    (2023-12-20 21:24:03)
code basis unclear, assumed as inferred, non-code compliant</t>
        </r>
      </text>
    </comment>
    <comment ref="BI313" authorId="0" shapeId="0" xr:uid="{00000000-0006-0000-0000-000024050000}">
      <text>
        <r>
          <rPr>
            <sz val="11"/>
            <color theme="1"/>
            <rFont val="Calibri"/>
            <family val="2"/>
            <scheme val="minor"/>
          </rPr>
          <t>======
ID#AAABDDKrPPE
Gavin Mudd    (2023-12-20 21:24:03)
code basis unclear, assumed as inferred, non-code compliant</t>
        </r>
      </text>
    </comment>
    <comment ref="K314" authorId="0" shapeId="0" xr:uid="{00000000-0006-0000-0000-0000BF000000}">
      <text>
        <r>
          <rPr>
            <sz val="11"/>
            <color theme="1"/>
            <rFont val="Calibri"/>
            <family val="2"/>
            <scheme val="minor"/>
          </rPr>
          <t>======
ID#AAABDDKrRd0
Gavin Mudd    (2023-12-20 21:24:04)
only total resources given, no categories assigned - all assumed as indicated resources</t>
        </r>
      </text>
    </comment>
    <comment ref="AF314" authorId="0" shapeId="0" xr:uid="{00000000-0006-0000-0000-00006E000000}">
      <text>
        <r>
          <rPr>
            <sz val="11"/>
            <color theme="1"/>
            <rFont val="Calibri"/>
            <family val="2"/>
            <scheme val="minor"/>
          </rPr>
          <t>======
ID#AAABDDKrRnQ
Gavin Mudd    (2023-12-20 21:24:04)
only total resources given, no categories assigned - all assumed as indicated resources</t>
        </r>
      </text>
    </comment>
    <comment ref="BA314" authorId="0" shapeId="0" xr:uid="{00000000-0006-0000-0000-000096060000}">
      <text>
        <r>
          <rPr>
            <sz val="11"/>
            <color theme="1"/>
            <rFont val="Calibri"/>
            <family val="2"/>
            <scheme val="minor"/>
          </rPr>
          <t>======
ID#AAABCxlEyr4
Gavin Mudd    (2023-12-20 21:24:01)
only total resources given, no categories assigned - all assumed as indicated resources</t>
        </r>
      </text>
    </comment>
    <comment ref="CQ314" authorId="0" shapeId="0" xr:uid="{00000000-0006-0000-0000-000024040000}">
      <text>
        <r>
          <rPr>
            <sz val="11"/>
            <color theme="1"/>
            <rFont val="Calibri"/>
            <family val="2"/>
            <scheme val="minor"/>
          </rPr>
          <t>======
ID#AAABDDKrPv0
Gavin Mudd    (2023-12-20 21:24:03)
only total resources given, no categories assigned - all assumed as indicated resources</t>
        </r>
      </text>
    </comment>
    <comment ref="M315" authorId="0" shapeId="0" xr:uid="{00000000-0006-0000-0000-00005C000000}">
      <text>
        <r>
          <rPr>
            <sz val="11"/>
            <color theme="1"/>
            <rFont val="Calibri"/>
            <family val="2"/>
            <scheme val="minor"/>
          </rPr>
          <t>======
ID#AAABDDKrRpQ
Gavin Mudd    (2023-12-20 21:24:04)
value from Tech Rep (2014-10)</t>
        </r>
      </text>
    </comment>
    <comment ref="N315" authorId="0" shapeId="0" xr:uid="{00000000-0006-0000-0000-00001C030000}">
      <text>
        <r>
          <rPr>
            <sz val="11"/>
            <color theme="1"/>
            <rFont val="Calibri"/>
            <family val="2"/>
            <scheme val="minor"/>
          </rPr>
          <t>======
ID#AAABDDKrQTo
Gavin Mudd    (2023-12-20 21:24:03)
value from Tech Rep (2014-10)</t>
        </r>
      </text>
    </comment>
    <comment ref="T315" authorId="0" shapeId="0" xr:uid="{00000000-0006-0000-0000-000076010000}">
      <text>
        <r>
          <rPr>
            <sz val="11"/>
            <color theme="1"/>
            <rFont val="Calibri"/>
            <family val="2"/>
            <scheme val="minor"/>
          </rPr>
          <t>======
ID#AAABDDKrRGI
Gavin Mudd    (2023-12-20 21:24:04)
value from Tech Rep (2014-10)</t>
        </r>
      </text>
    </comment>
    <comment ref="U315" authorId="0" shapeId="0" xr:uid="{00000000-0006-0000-0000-000066030000}">
      <text>
        <r>
          <rPr>
            <sz val="11"/>
            <color theme="1"/>
            <rFont val="Calibri"/>
            <family val="2"/>
            <scheme val="minor"/>
          </rPr>
          <t>======
ID#AAABDDKrQK0
Gavin Mudd    (2023-12-20 21:24:03)
value from Tech Rep (2014-10)</t>
        </r>
      </text>
    </comment>
    <comment ref="V315" authorId="0" shapeId="0" xr:uid="{00000000-0006-0000-0000-0000FF050000}">
      <text>
        <r>
          <rPr>
            <sz val="11"/>
            <color theme="1"/>
            <rFont val="Calibri"/>
            <family val="2"/>
            <scheme val="minor"/>
          </rPr>
          <t>======
ID#AAABCyJQh7I
Gavin Mudd    (2023-12-20 21:24:02)
value from Tech Rep (2014-10)</t>
        </r>
      </text>
    </comment>
    <comment ref="AH315" authorId="0" shapeId="0" xr:uid="{00000000-0006-0000-0000-000057000000}">
      <text>
        <r>
          <rPr>
            <sz val="11"/>
            <color theme="1"/>
            <rFont val="Calibri"/>
            <family val="2"/>
            <scheme val="minor"/>
          </rPr>
          <t>======
ID#AAABDDKrRpw
Gavin Mudd    (2023-12-20 21:24:04)
value from Tech Rep (2014-10)</t>
        </r>
      </text>
    </comment>
    <comment ref="AI315" authorId="0" shapeId="0" xr:uid="{00000000-0006-0000-0000-0000DF020000}">
      <text>
        <r>
          <rPr>
            <sz val="11"/>
            <color theme="1"/>
            <rFont val="Calibri"/>
            <family val="2"/>
            <scheme val="minor"/>
          </rPr>
          <t>======
ID#AAABDDKrQaQ
Gavin Mudd    (2023-12-20 21:24:03)
value from Tech Rep (2014-10)</t>
        </r>
      </text>
    </comment>
    <comment ref="AO315" authorId="0" shapeId="0" xr:uid="{00000000-0006-0000-0000-0000F2020000}">
      <text>
        <r>
          <rPr>
            <sz val="11"/>
            <color theme="1"/>
            <rFont val="Calibri"/>
            <family val="2"/>
            <scheme val="minor"/>
          </rPr>
          <t>======
ID#AAABDDKrQYM
Gavin Mudd    (2023-12-20 21:24:03)
value from Tech Rep (2014-10)</t>
        </r>
      </text>
    </comment>
    <comment ref="AP315" authorId="0" shapeId="0" xr:uid="{00000000-0006-0000-0000-0000F1010000}">
      <text>
        <r>
          <rPr>
            <sz val="11"/>
            <color theme="1"/>
            <rFont val="Calibri"/>
            <family val="2"/>
            <scheme val="minor"/>
          </rPr>
          <t>======
ID#AAABDDKrQ2Q
Gavin Mudd    (2023-12-20 21:24:04)
value from Tech Rep (2014-10)</t>
        </r>
      </text>
    </comment>
    <comment ref="AQ315" authorId="0" shapeId="0" xr:uid="{00000000-0006-0000-0000-0000AA040000}">
      <text>
        <r>
          <rPr>
            <sz val="11"/>
            <color theme="1"/>
            <rFont val="Calibri"/>
            <family val="2"/>
            <scheme val="minor"/>
          </rPr>
          <t>======
ID#AAABDDKrPes
Gavin Mudd    (2023-12-20 21:24:03)
value from Tech Rep (2014-10)</t>
        </r>
      </text>
    </comment>
    <comment ref="BC315" authorId="0" shapeId="0" xr:uid="{00000000-0006-0000-0000-000042000000}">
      <text>
        <r>
          <rPr>
            <sz val="11"/>
            <color theme="1"/>
            <rFont val="Calibri"/>
            <family val="2"/>
            <scheme val="minor"/>
          </rPr>
          <t>======
ID#AAABDDKrRss
Gavin Mudd    (2023-12-20 21:24:04)
value from Tech Rep (2014-10)</t>
        </r>
      </text>
    </comment>
    <comment ref="BD315" authorId="0" shapeId="0" xr:uid="{00000000-0006-0000-0000-0000FE050000}">
      <text>
        <r>
          <rPr>
            <sz val="11"/>
            <color theme="1"/>
            <rFont val="Calibri"/>
            <family val="2"/>
            <scheme val="minor"/>
          </rPr>
          <t>======
ID#AAABCyJQh7U
Gavin Mudd    (2023-12-20 21:24:02)
value from Tech Rep (2014-10)</t>
        </r>
      </text>
    </comment>
    <comment ref="BJ315" authorId="0" shapeId="0" xr:uid="{00000000-0006-0000-0000-0000BA020000}">
      <text>
        <r>
          <rPr>
            <sz val="11"/>
            <color theme="1"/>
            <rFont val="Calibri"/>
            <family val="2"/>
            <scheme val="minor"/>
          </rPr>
          <t>======
ID#AAABDDKrQeo
Gavin Mudd    (2023-12-20 21:24:03)
value from Tech Rep (2014-10)</t>
        </r>
      </text>
    </comment>
    <comment ref="BK315" authorId="0" shapeId="0" xr:uid="{00000000-0006-0000-0000-0000C6020000}">
      <text>
        <r>
          <rPr>
            <sz val="11"/>
            <color theme="1"/>
            <rFont val="Calibri"/>
            <family val="2"/>
            <scheme val="minor"/>
          </rPr>
          <t>======
ID#AAABDDKrQc8
Gavin Mudd    (2023-12-20 21:24:03)
value from Tech Rep (2014-10)</t>
        </r>
      </text>
    </comment>
    <comment ref="BL315" authorId="0" shapeId="0" xr:uid="{00000000-0006-0000-0000-0000D1050000}">
      <text>
        <r>
          <rPr>
            <sz val="11"/>
            <color theme="1"/>
            <rFont val="Calibri"/>
            <family val="2"/>
            <scheme val="minor"/>
          </rPr>
          <t>======
ID#AAABCyJQiA0
Gavin Mudd    (2023-12-20 21:24:02)
value from Tech Rep (2014-10)</t>
        </r>
      </text>
    </comment>
    <comment ref="AH316" authorId="0" shapeId="0" xr:uid="{00000000-0006-0000-0000-00006F050000}">
      <text>
        <r>
          <rPr>
            <sz val="11"/>
            <color theme="1"/>
            <rFont val="Calibri"/>
            <family val="2"/>
            <scheme val="minor"/>
          </rPr>
          <t>======
ID#AAABDDKrPFM
Gavin Mudd    (2023-12-20 21:24:03)
value from Tech Rep (2014-10)</t>
        </r>
      </text>
    </comment>
    <comment ref="AI316" authorId="0" shapeId="0" xr:uid="{00000000-0006-0000-0000-0000FA010000}">
      <text>
        <r>
          <rPr>
            <sz val="11"/>
            <color theme="1"/>
            <rFont val="Calibri"/>
            <family val="2"/>
            <scheme val="minor"/>
          </rPr>
          <t>======
ID#AAABDDKrQ1U
Gavin Mudd    (2023-12-20 21:24:04)
value from Tech Rep (2014-10)</t>
        </r>
      </text>
    </comment>
    <comment ref="AO316" authorId="0" shapeId="0" xr:uid="{00000000-0006-0000-0000-00008E010000}">
      <text>
        <r>
          <rPr>
            <sz val="11"/>
            <color theme="1"/>
            <rFont val="Calibri"/>
            <family val="2"/>
            <scheme val="minor"/>
          </rPr>
          <t>======
ID#AAABDDKrRCY
Gavin Mudd    (2023-12-20 21:24:04)
value from Tech Rep (2014-10)</t>
        </r>
      </text>
    </comment>
    <comment ref="AP316" authorId="0" shapeId="0" xr:uid="{00000000-0006-0000-0000-000070000000}">
      <text>
        <r>
          <rPr>
            <sz val="11"/>
            <color theme="1"/>
            <rFont val="Calibri"/>
            <family val="2"/>
            <scheme val="minor"/>
          </rPr>
          <t>======
ID#AAABDDKrRmw
Gavin Mudd    (2023-12-20 21:24:04)
value from Tech Rep (2014-10)</t>
        </r>
      </text>
    </comment>
    <comment ref="AQ316" authorId="0" shapeId="0" xr:uid="{00000000-0006-0000-0000-000061050000}">
      <text>
        <r>
          <rPr>
            <sz val="11"/>
            <color theme="1"/>
            <rFont val="Calibri"/>
            <family val="2"/>
            <scheme val="minor"/>
          </rPr>
          <t>======
ID#AAABDDKrPH4
Gavin Mudd    (2023-12-20 21:24:03)
value from Tech Rep (2014-10)</t>
        </r>
      </text>
    </comment>
    <comment ref="BC316" authorId="0" shapeId="0" xr:uid="{00000000-0006-0000-0000-000030010000}">
      <text>
        <r>
          <rPr>
            <sz val="11"/>
            <color theme="1"/>
            <rFont val="Calibri"/>
            <family val="2"/>
            <scheme val="minor"/>
          </rPr>
          <t>======
ID#AAABDDKrRPo
Gavin Mudd    (2023-12-20 21:24:04)
value from Tech Rep (2014-10)</t>
        </r>
      </text>
    </comment>
    <comment ref="BD316" authorId="0" shapeId="0" xr:uid="{00000000-0006-0000-0000-000068000000}">
      <text>
        <r>
          <rPr>
            <sz val="11"/>
            <color theme="1"/>
            <rFont val="Calibri"/>
            <family val="2"/>
            <scheme val="minor"/>
          </rPr>
          <t>======
ID#AAABDDKrRns
Gavin Mudd    (2023-12-20 21:24:04)
value from Tech Rep (2014-10)</t>
        </r>
      </text>
    </comment>
    <comment ref="BJ316" authorId="0" shapeId="0" xr:uid="{00000000-0006-0000-0000-0000B9030000}">
      <text>
        <r>
          <rPr>
            <sz val="11"/>
            <color theme="1"/>
            <rFont val="Calibri"/>
            <family val="2"/>
            <scheme val="minor"/>
          </rPr>
          <t>======
ID#AAABDDKrP-Q
Gavin Mudd    (2023-12-20 21:24:03)
value from Tech Rep (2014-10)</t>
        </r>
      </text>
    </comment>
    <comment ref="BK316" authorId="0" shapeId="0" xr:uid="{00000000-0006-0000-0000-00005F030000}">
      <text>
        <r>
          <rPr>
            <sz val="11"/>
            <color theme="1"/>
            <rFont val="Calibri"/>
            <family val="2"/>
            <scheme val="minor"/>
          </rPr>
          <t>======
ID#AAABDDKrQL4
Gavin Mudd    (2023-12-20 21:24:03)
value from Tech Rep (2014-10)</t>
        </r>
      </text>
    </comment>
    <comment ref="BL316" authorId="0" shapeId="0" xr:uid="{00000000-0006-0000-0000-000022030000}">
      <text>
        <r>
          <rPr>
            <sz val="11"/>
            <color theme="1"/>
            <rFont val="Calibri"/>
            <family val="2"/>
            <scheme val="minor"/>
          </rPr>
          <t>======
ID#AAABDDKrQSg
Gavin Mudd    (2023-12-20 21:24:03)
value from Tech Rep (2014-10)</t>
        </r>
      </text>
    </comment>
    <comment ref="H317" authorId="0" shapeId="0" xr:uid="{00000000-0006-0000-0000-000027020000}">
      <text>
        <r>
          <rPr>
            <sz val="11"/>
            <color theme="1"/>
            <rFont val="Calibri"/>
            <family val="2"/>
            <scheme val="minor"/>
          </rPr>
          <t>======
ID#AAABDDKrQwI
Gavin Mudd    (2023-12-20 21:24:04)
previously held by Anfield Nickel Corp</t>
        </r>
      </text>
    </comment>
    <comment ref="H318" authorId="0" shapeId="0" xr:uid="{00000000-0006-0000-0000-000096030000}">
      <text>
        <r>
          <rPr>
            <sz val="11"/>
            <color theme="1"/>
            <rFont val="Calibri"/>
            <family val="2"/>
            <scheme val="minor"/>
          </rPr>
          <t>======
ID#AAABDDKrQCQ
Gavin Mudd    (2023-12-20 21:24:03)
formerly known as Mustang Minerals Corp</t>
        </r>
      </text>
    </comment>
    <comment ref="H320" authorId="0" shapeId="0" xr:uid="{00000000-0006-0000-0000-0000C3020000}">
      <text>
        <r>
          <rPr>
            <sz val="11"/>
            <color theme="1"/>
            <rFont val="Calibri"/>
            <family val="2"/>
            <scheme val="minor"/>
          </rPr>
          <t>======
ID#AAABDDKrQdI
Gavin Mudd    (2023-12-20 21:24:03)
previously held by Allegiance Mining, then then Zinifex, then OZ Minerals, then MMG, now Dundas Mining</t>
        </r>
      </text>
    </comment>
    <comment ref="DP320" authorId="0" shapeId="0" xr:uid="{00000000-0006-0000-0000-000046050000}">
      <text>
        <r>
          <rPr>
            <sz val="11"/>
            <color theme="1"/>
            <rFont val="Calibri"/>
            <family val="2"/>
            <scheme val="minor"/>
          </rPr>
          <t>======
ID#AAABDDKrPLQ
Gavin Mudd    (2023-12-20 21:24:03)
data from former owner Allegiance Mining</t>
        </r>
      </text>
    </comment>
    <comment ref="K321" authorId="0" shapeId="0" xr:uid="{00000000-0006-0000-0000-0000F7040000}">
      <text>
        <r>
          <rPr>
            <sz val="11"/>
            <color theme="1"/>
            <rFont val="Calibri"/>
            <family val="2"/>
            <scheme val="minor"/>
          </rPr>
          <t>======
ID#AAABDDKrPVw
Gavin Mudd    (2023-12-20 21:24:03)
historic resource data, assumed all as inferred</t>
        </r>
      </text>
    </comment>
    <comment ref="AF321" authorId="0" shapeId="0" xr:uid="{00000000-0006-0000-0000-000062010000}">
      <text>
        <r>
          <rPr>
            <sz val="11"/>
            <color theme="1"/>
            <rFont val="Calibri"/>
            <family val="2"/>
            <scheme val="minor"/>
          </rPr>
          <t>======
ID#AAABDDKrRIo
Gavin Mudd    (2023-12-20 21:24:04)
historic resource data, assumed all as inferred</t>
        </r>
      </text>
    </comment>
    <comment ref="BA321" authorId="0" shapeId="0" xr:uid="{00000000-0006-0000-0000-0000E7020000}">
      <text>
        <r>
          <rPr>
            <sz val="11"/>
            <color theme="1"/>
            <rFont val="Calibri"/>
            <family val="2"/>
            <scheme val="minor"/>
          </rPr>
          <t>======
ID#AAABDDKrQZk
Gavin Mudd    (2023-12-20 21:24:03)
historic resource data, assumed all as inferred</t>
        </r>
      </text>
    </comment>
    <comment ref="BB321" authorId="0" shapeId="0" xr:uid="{00000000-0006-0000-0000-000056050000}">
      <text>
        <r>
          <rPr>
            <sz val="11"/>
            <color theme="1"/>
            <rFont val="Calibri"/>
            <family val="2"/>
            <scheme val="minor"/>
          </rPr>
          <t>======
ID#AAABDDKrPJE
Gavin Mudd    (2023-12-20 21:24:03)
historic resource data, assumed all as inferred</t>
        </r>
      </text>
    </comment>
    <comment ref="BC321" authorId="0" shapeId="0" xr:uid="{00000000-0006-0000-0000-0000A1030000}">
      <text>
        <r>
          <rPr>
            <sz val="11"/>
            <color theme="1"/>
            <rFont val="Calibri"/>
            <family val="2"/>
            <scheme val="minor"/>
          </rPr>
          <t>======
ID#AAABDDKrQBE
Gavin Mudd    (2023-12-20 21:24:03)
based on metallurgical test work</t>
        </r>
      </text>
    </comment>
    <comment ref="BI321" authorId="0" shapeId="0" xr:uid="{00000000-0006-0000-0000-000068060000}">
      <text>
        <r>
          <rPr>
            <sz val="11"/>
            <color theme="1"/>
            <rFont val="Calibri"/>
            <family val="2"/>
            <scheme val="minor"/>
          </rPr>
          <t>======
ID#AAABCyJQhwA
Gavin Mudd    (2023-12-20 21:24:01)
historic resource data, assumed all as inferred</t>
        </r>
      </text>
    </comment>
    <comment ref="BJ321" authorId="0" shapeId="0" xr:uid="{00000000-0006-0000-0000-00001E010000}">
      <text>
        <r>
          <rPr>
            <sz val="11"/>
            <color theme="1"/>
            <rFont val="Calibri"/>
            <family val="2"/>
            <scheme val="minor"/>
          </rPr>
          <t>======
ID#AAABDDKrRSU
Gavin Mudd    (2023-12-20 21:24:04)
based on metallurgical test work</t>
        </r>
      </text>
    </comment>
    <comment ref="BK321" authorId="0" shapeId="0" xr:uid="{00000000-0006-0000-0000-0000BE030000}">
      <text>
        <r>
          <rPr>
            <sz val="11"/>
            <color theme="1"/>
            <rFont val="Calibri"/>
            <family val="2"/>
            <scheme val="minor"/>
          </rPr>
          <t>======
ID#AAABDDKrP9k
Gavin Mudd    (2023-12-20 21:24:03)
based on metallurgical test work</t>
        </r>
      </text>
    </comment>
    <comment ref="BL321" authorId="0" shapeId="0" xr:uid="{00000000-0006-0000-0000-000000040000}">
      <text>
        <r>
          <rPr>
            <sz val="11"/>
            <color theme="1"/>
            <rFont val="Calibri"/>
            <family val="2"/>
            <scheme val="minor"/>
          </rPr>
          <t>======
ID#AAABDDKrP0c
Gavin Mudd    (2023-12-20 21:24:03)
based on metallurgical test work</t>
        </r>
      </text>
    </comment>
    <comment ref="H322" authorId="0" shapeId="0" xr:uid="{00000000-0006-0000-0000-00004F040000}">
      <text>
        <r>
          <rPr>
            <sz val="11"/>
            <color theme="1"/>
            <rFont val="Calibri"/>
            <family val="2"/>
            <scheme val="minor"/>
          </rPr>
          <t>======
ID#AAABDDKrPq4
Gavin Mudd    (2023-12-20 21:24:03)
previously Aquiarius Platinum Ltd, now part of Sibanye-Stillwater Ltd</t>
        </r>
      </text>
    </comment>
    <comment ref="DP322" authorId="0" shapeId="0" xr:uid="{00000000-0006-0000-0000-000010060000}">
      <text>
        <r>
          <rPr>
            <sz val="11"/>
            <color theme="1"/>
            <rFont val="Calibri"/>
            <family val="2"/>
            <scheme val="minor"/>
          </rPr>
          <t>======
ID#AAABCyJQh5M
Gavin Mudd    (2023-12-20 21:24:02)
2015 Aquarius Platinum data</t>
        </r>
      </text>
    </comment>
    <comment ref="X323" authorId="0" shapeId="0" xr:uid="{00000000-0006-0000-0000-000018060000}">
      <text>
        <r>
          <rPr>
            <sz val="11"/>
            <color theme="1"/>
            <rFont val="Calibri"/>
            <family val="2"/>
            <scheme val="minor"/>
          </rPr>
          <t>======
ID#AAABCyJQh4o
Gavin Mudd    (2023-12-20 21:24:02)
g/t Ru</t>
        </r>
      </text>
    </comment>
    <comment ref="Y323" authorId="0" shapeId="0" xr:uid="{00000000-0006-0000-0000-000059010000}">
      <text>
        <r>
          <rPr>
            <sz val="11"/>
            <color theme="1"/>
            <rFont val="Calibri"/>
            <family val="2"/>
            <scheme val="minor"/>
          </rPr>
          <t>======
ID#AAABDDKrRKA
Gavin Mudd    (2023-12-20 21:24:04)
g/t Ir</t>
        </r>
      </text>
    </comment>
    <comment ref="AS323" authorId="0" shapeId="0" xr:uid="{00000000-0006-0000-0000-00003F030000}">
      <text>
        <r>
          <rPr>
            <sz val="11"/>
            <color theme="1"/>
            <rFont val="Calibri"/>
            <family val="2"/>
            <scheme val="minor"/>
          </rPr>
          <t>======
ID#AAABDDKrQPU
Gavin Mudd    (2023-12-20 21:24:03)
g/t Ru</t>
        </r>
      </text>
    </comment>
    <comment ref="AT323" authorId="0" shapeId="0" xr:uid="{00000000-0006-0000-0000-000078040000}">
      <text>
        <r>
          <rPr>
            <sz val="11"/>
            <color theme="1"/>
            <rFont val="Calibri"/>
            <family val="2"/>
            <scheme val="minor"/>
          </rPr>
          <t>======
ID#AAABDDKrPl4
Gavin Mudd    (2023-12-20 21:24:03)
g/t Ir</t>
        </r>
      </text>
    </comment>
    <comment ref="BN323" authorId="0" shapeId="0" xr:uid="{00000000-0006-0000-0000-000008030000}">
      <text>
        <r>
          <rPr>
            <sz val="11"/>
            <color theme="1"/>
            <rFont val="Calibri"/>
            <family val="2"/>
            <scheme val="minor"/>
          </rPr>
          <t>======
ID#AAABDDKrQV8
Gavin Mudd    (2023-12-20 21:24:03)
g/t Ru</t>
        </r>
      </text>
    </comment>
    <comment ref="BO323" authorId="0" shapeId="0" xr:uid="{00000000-0006-0000-0000-0000C5020000}">
      <text>
        <r>
          <rPr>
            <sz val="11"/>
            <color theme="1"/>
            <rFont val="Calibri"/>
            <family val="2"/>
            <scheme val="minor"/>
          </rPr>
          <t>======
ID#AAABDDKrQdA
Gavin Mudd    (2023-12-20 21:24:03)
g/t Ir</t>
        </r>
      </text>
    </comment>
    <comment ref="CI323" authorId="0" shapeId="0" xr:uid="{00000000-0006-0000-0000-00003D050000}">
      <text>
        <r>
          <rPr>
            <sz val="11"/>
            <color theme="1"/>
            <rFont val="Calibri"/>
            <family val="2"/>
            <scheme val="minor"/>
          </rPr>
          <t>======
ID#AAABDDKrPME
Gavin Mudd    (2023-12-20 21:24:03)
g/t Ru</t>
        </r>
      </text>
    </comment>
    <comment ref="CJ323" authorId="0" shapeId="0" xr:uid="{00000000-0006-0000-0000-0000EE010000}">
      <text>
        <r>
          <rPr>
            <sz val="11"/>
            <color theme="1"/>
            <rFont val="Calibri"/>
            <family val="2"/>
            <scheme val="minor"/>
          </rPr>
          <t>======
ID#AAABDDKrQ2g
Gavin Mudd    (2023-12-20 21:24:04)
g/t Ir</t>
        </r>
      </text>
    </comment>
    <comment ref="DD323" authorId="0" shapeId="0" xr:uid="{00000000-0006-0000-0000-0000E3040000}">
      <text>
        <r>
          <rPr>
            <sz val="11"/>
            <color theme="1"/>
            <rFont val="Calibri"/>
            <family val="2"/>
            <scheme val="minor"/>
          </rPr>
          <t>======
ID#AAABDDKrPX8
Gavin Mudd    (2023-12-20 21:24:03)
g/t Ru</t>
        </r>
      </text>
    </comment>
    <comment ref="DE323" authorId="0" shapeId="0" xr:uid="{00000000-0006-0000-0000-00006A050000}">
      <text>
        <r>
          <rPr>
            <sz val="11"/>
            <color theme="1"/>
            <rFont val="Calibri"/>
            <family val="2"/>
            <scheme val="minor"/>
          </rPr>
          <t>======
ID#AAABDDKrPGA
Gavin Mudd    (2023-12-20 21:24:03)
g/t Ir</t>
        </r>
      </text>
    </comment>
    <comment ref="K325" authorId="0" shapeId="0" xr:uid="{00000000-0006-0000-0000-00001D010000}">
      <text>
        <r>
          <rPr>
            <sz val="11"/>
            <color theme="1"/>
            <rFont val="Calibri"/>
            <family val="2"/>
            <scheme val="minor"/>
          </rPr>
          <t>======
ID#AAABDDKrRSY
Gavin Mudd    (2023-12-20 21:24:04)
only total measured &amp; indicated resources reported</t>
        </r>
      </text>
    </comment>
    <comment ref="AF325" authorId="0" shapeId="0" xr:uid="{00000000-0006-0000-0000-000027030000}">
      <text>
        <r>
          <rPr>
            <sz val="11"/>
            <color theme="1"/>
            <rFont val="Calibri"/>
            <family val="2"/>
            <scheme val="minor"/>
          </rPr>
          <t>======
ID#AAABDDKrQSM
Gavin Mudd    (2023-12-20 21:24:03)
only total measured &amp; indicated resources reported</t>
        </r>
      </text>
    </comment>
    <comment ref="BA325" authorId="0" shapeId="0" xr:uid="{00000000-0006-0000-0000-0000CC050000}">
      <text>
        <r>
          <rPr>
            <sz val="11"/>
            <color theme="1"/>
            <rFont val="Calibri"/>
            <family val="2"/>
            <scheme val="minor"/>
          </rPr>
          <t>======
ID#AAABDDKrO5w
Gavin Mudd    (2023-12-20 21:24:02)
only total measured &amp; indicated resources reported</t>
        </r>
      </text>
    </comment>
    <comment ref="BV325" authorId="0" shapeId="0" xr:uid="{00000000-0006-0000-0000-0000DD040000}">
      <text>
        <r>
          <rPr>
            <sz val="11"/>
            <color theme="1"/>
            <rFont val="Calibri"/>
            <family val="2"/>
            <scheme val="minor"/>
          </rPr>
          <t>======
ID#AAABDDKrPYo
Gavin Mudd    (2023-12-20 21:24:03)
only total proved &amp; probable reserves reported</t>
        </r>
      </text>
    </comment>
    <comment ref="CQ325" authorId="0" shapeId="0" xr:uid="{00000000-0006-0000-0000-000061000000}">
      <text>
        <r>
          <rPr>
            <sz val="11"/>
            <color theme="1"/>
            <rFont val="Calibri"/>
            <family val="2"/>
            <scheme val="minor"/>
          </rPr>
          <t>======
ID#AAABDDKrRoo
Gavin Mudd    (2023-12-20 21:24:04)
only total proved &amp; probable reserves reported</t>
        </r>
      </text>
    </comment>
    <comment ref="BA326" authorId="0" shapeId="0" xr:uid="{00000000-0006-0000-0000-000015050000}">
      <text>
        <r>
          <rPr>
            <sz val="11"/>
            <color theme="1"/>
            <rFont val="Calibri"/>
            <family val="2"/>
            <scheme val="minor"/>
          </rPr>
          <t>======
ID#AAABDDKrPQk
Gavin Mudd    (2023-12-20 21:24:03)
historic resources (non-compliant with NI43-101) - hence all data allocated as inferred resources only</t>
        </r>
      </text>
    </comment>
    <comment ref="BB326" authorId="0" shapeId="0" xr:uid="{00000000-0006-0000-0000-000000050000}">
      <text>
        <r>
          <rPr>
            <sz val="11"/>
            <color theme="1"/>
            <rFont val="Calibri"/>
            <family val="2"/>
            <scheme val="minor"/>
          </rPr>
          <t>======
ID#AAABDDKrPUA
Gavin Mudd    (2023-12-20 21:24:03)
historic resources (non-compliant with NI43-101) - hence all data allocated as inferred resources only; data from Singer et al (2009)</t>
        </r>
      </text>
    </comment>
    <comment ref="BG326" authorId="0" shapeId="0" xr:uid="{00000000-0006-0000-0000-0000D9000000}">
      <text>
        <r>
          <rPr>
            <sz val="11"/>
            <color theme="1"/>
            <rFont val="Calibri"/>
            <family val="2"/>
            <scheme val="minor"/>
          </rPr>
          <t>======
ID#AAABDDKrRaE
Gavin Mudd    (2023-12-20 21:24:04)
historic resources (non-compliant with NI43-101) - hence all data allocated as inferred resources only; data from Singer et al (2009)</t>
        </r>
      </text>
    </comment>
    <comment ref="BI326" authorId="0" shapeId="0" xr:uid="{00000000-0006-0000-0000-0000D2040000}">
      <text>
        <r>
          <rPr>
            <sz val="11"/>
            <color theme="1"/>
            <rFont val="Calibri"/>
            <family val="2"/>
            <scheme val="minor"/>
          </rPr>
          <t>======
ID#AAABDDKrPZw
Gavin Mudd    (2023-12-20 21:24:03)
historic resources (non-compliant with NI43-101) - hence all data allocated as inferred resources only</t>
        </r>
      </text>
    </comment>
    <comment ref="BJ326" authorId="0" shapeId="0" xr:uid="{00000000-0006-0000-0000-000042060000}">
      <text>
        <r>
          <rPr>
            <sz val="11"/>
            <color theme="1"/>
            <rFont val="Calibri"/>
            <family val="2"/>
            <scheme val="minor"/>
          </rPr>
          <t>======
ID#AAABCyJQhz0
Gavin Mudd    (2023-12-20 21:24:02)
historic resources (non-compliant with NI43-101) - hence all data allocated as inferred resources only; data from Singer et al (2009)</t>
        </r>
      </text>
    </comment>
    <comment ref="BA328" authorId="0" shapeId="0" xr:uid="{00000000-0006-0000-0000-00009E040000}">
      <text>
        <r>
          <rPr>
            <sz val="11"/>
            <color theme="1"/>
            <rFont val="Calibri"/>
            <family val="2"/>
            <scheme val="minor"/>
          </rPr>
          <t>======
ID#AAABDDKrPgs
Gavin Mudd    (2023-12-20 21:24:03)
historic resources (non-compliant with NI43-101) - hence all data allocated as inferred resources only</t>
        </r>
      </text>
    </comment>
    <comment ref="BB328" authorId="0" shapeId="0" xr:uid="{00000000-0006-0000-0000-00003A040000}">
      <text>
        <r>
          <rPr>
            <sz val="11"/>
            <color theme="1"/>
            <rFont val="Calibri"/>
            <family val="2"/>
            <scheme val="minor"/>
          </rPr>
          <t>======
ID#AAABDDKrPs8
Gavin Mudd    (2023-12-20 21:24:03)
historic resources (non-compliant with NI43-101) - hence all data allocated as inferred resources only</t>
        </r>
      </text>
    </comment>
    <comment ref="BI328" authorId="0" shapeId="0" xr:uid="{00000000-0006-0000-0000-000025010000}">
      <text>
        <r>
          <rPr>
            <sz val="11"/>
            <color theme="1"/>
            <rFont val="Calibri"/>
            <family val="2"/>
            <scheme val="minor"/>
          </rPr>
          <t>======
ID#AAABDDKrRRY
Gavin Mudd    (2023-12-20 21:24:04)
historic resources (non-compliant with NI43-101) - hence all data allocated as inferred resources only</t>
        </r>
      </text>
    </comment>
    <comment ref="BA329" authorId="0" shapeId="0" xr:uid="{00000000-0006-0000-0000-0000E7000000}">
      <text>
        <r>
          <rPr>
            <sz val="11"/>
            <color theme="1"/>
            <rFont val="Calibri"/>
            <family val="2"/>
            <scheme val="minor"/>
          </rPr>
          <t>======
ID#AAABDDKrRYo
Gavin Mudd    (2023-12-20 21:24:04)
historic resources (non-compliant with NI43-101) - hence all data allocated as inferred resources only</t>
        </r>
      </text>
    </comment>
    <comment ref="BB329" authorId="0" shapeId="0" xr:uid="{00000000-0006-0000-0000-000078050000}">
      <text>
        <r>
          <rPr>
            <sz val="11"/>
            <color theme="1"/>
            <rFont val="Calibri"/>
            <family val="2"/>
            <scheme val="minor"/>
          </rPr>
          <t>======
ID#AAABDDKrPD8
Gavin Mudd    (2023-12-20 21:24:03)
historic resources (non-compliant with NI43-101) - hence all data allocated as inferred resources only</t>
        </r>
      </text>
    </comment>
    <comment ref="BI329" authorId="0" shapeId="0" xr:uid="{00000000-0006-0000-0000-000099040000}">
      <text>
        <r>
          <rPr>
            <sz val="11"/>
            <color theme="1"/>
            <rFont val="Calibri"/>
            <family val="2"/>
            <scheme val="minor"/>
          </rPr>
          <t>======
ID#AAABDDKrPhc
Gavin Mudd    (2023-12-20 21:24:03)
historic resources (non-compliant with NI43-101) - hence all data allocated as inferred resources only</t>
        </r>
      </text>
    </comment>
    <comment ref="BJ329" authorId="0" shapeId="0" xr:uid="{00000000-0006-0000-0000-00001F040000}">
      <text>
        <r>
          <rPr>
            <sz val="11"/>
            <color theme="1"/>
            <rFont val="Calibri"/>
            <family val="2"/>
            <scheme val="minor"/>
          </rPr>
          <t>======
ID#AAABDDKrPwM
Gavin Mudd    (2023-12-20 21:24:03)
historic resources (non-compliant with NI43-101) - hence all data allocated as inferred resources only</t>
        </r>
      </text>
    </comment>
    <comment ref="C330" authorId="0" shapeId="0" xr:uid="{00000000-0006-0000-0000-0000D3050000}">
      <text>
        <r>
          <rPr>
            <sz val="11"/>
            <color theme="1"/>
            <rFont val="Calibri"/>
            <family val="2"/>
            <scheme val="minor"/>
          </rPr>
          <t>======
ID#AAABCyJQiAk
Gavin Mudd    (2023-12-20 21:24:02)
MMDC - Marcventures Mining &amp; Development Corp</t>
        </r>
      </text>
    </comment>
    <comment ref="K330" authorId="0" shapeId="0" xr:uid="{00000000-0006-0000-0000-000075010000}">
      <text>
        <r>
          <rPr>
            <sz val="11"/>
            <color theme="1"/>
            <rFont val="Calibri"/>
            <family val="2"/>
            <scheme val="minor"/>
          </rPr>
          <t>======
ID#AAABDDKrRGQ
Gavin Mudd    (2023-12-20 21:24:04)
only total measured &amp; indicated resources reported</t>
        </r>
      </text>
    </comment>
    <comment ref="AF330" authorId="0" shapeId="0" xr:uid="{00000000-0006-0000-0000-00002E010000}">
      <text>
        <r>
          <rPr>
            <sz val="11"/>
            <color theme="1"/>
            <rFont val="Calibri"/>
            <family val="2"/>
            <scheme val="minor"/>
          </rPr>
          <t>======
ID#AAABDDKrRQg
Gavin Mudd    (2023-12-20 21:24:04)
only total measured &amp; indicated resources reported</t>
        </r>
      </text>
    </comment>
    <comment ref="AN330" authorId="0" shapeId="0" xr:uid="{00000000-0006-0000-0000-000093020000}">
      <text>
        <r>
          <rPr>
            <sz val="11"/>
            <color theme="1"/>
            <rFont val="Calibri"/>
            <family val="2"/>
            <scheme val="minor"/>
          </rPr>
          <t>======
ID#AAABDDKrQjc
Gavin Mudd    (2023-12-20 21:24:04)
only total measured &amp; indicated resources reported</t>
        </r>
      </text>
    </comment>
    <comment ref="AV330" authorId="0" shapeId="0" xr:uid="{00000000-0006-0000-0000-00001B010000}">
      <text>
        <r>
          <rPr>
            <sz val="11"/>
            <color theme="1"/>
            <rFont val="Calibri"/>
            <family val="2"/>
            <scheme val="minor"/>
          </rPr>
          <t>======
ID#AAABDDKrRS4
Gavin Mudd    (2023-12-20 21:24:04)
only total measured &amp; indicated resources reported</t>
        </r>
      </text>
    </comment>
    <comment ref="C331" authorId="0" shapeId="0" xr:uid="{00000000-0006-0000-0000-0000FD000000}">
      <text>
        <r>
          <rPr>
            <sz val="11"/>
            <color theme="1"/>
            <rFont val="Calibri"/>
            <family val="2"/>
            <scheme val="minor"/>
          </rPr>
          <t>======
ID#AAABDDKrRV4
Gavin Mudd    (2023-12-20 21:24:04)
includes Oriental, Yagrumaje Oeste, Playa La Vaca y Zona Septentrional, Zona Central, Zona A, Zona A Oeste, Sector 11 Bloques (Yamanigüey Ferroniquel), Sector 5 Bloques (Yamanigüey Ferroniquel), Slurry Plant Road, Zona Sur FerroNi I and II</t>
        </r>
      </text>
    </comment>
    <comment ref="C333" authorId="0" shapeId="0" xr:uid="{00000000-0006-0000-0000-000024000000}">
      <text>
        <r>
          <rPr>
            <sz val="11"/>
            <color theme="1"/>
            <rFont val="Calibri"/>
            <family val="2"/>
            <scheme val="minor"/>
          </rPr>
          <t>======
ID#AAABDDKrRx8
Gavin Mudd    (2023-12-20 21:24:04)
includes La Delta, Centarrana, Santa Teresita</t>
        </r>
      </text>
    </comment>
    <comment ref="H336" authorId="0" shapeId="0" xr:uid="{00000000-0006-0000-0000-000017010000}">
      <text>
        <r>
          <rPr>
            <sz val="11"/>
            <color theme="1"/>
            <rFont val="Calibri"/>
            <family val="2"/>
            <scheme val="minor"/>
          </rPr>
          <t>======
ID#AAABDDKrRTQ
Gavin Mudd    (2023-12-20 21:24:04)
previously held by Blackstone Ventures</t>
        </r>
      </text>
    </comment>
    <comment ref="BA336" authorId="0" shapeId="0" xr:uid="{00000000-0006-0000-0000-000034010000}">
      <text>
        <r>
          <rPr>
            <sz val="11"/>
            <color theme="1"/>
            <rFont val="Calibri"/>
            <family val="2"/>
            <scheme val="minor"/>
          </rPr>
          <t>======
ID#AAABDDKrROw
Gavin Mudd    (2023-12-20 21:24:04)
historic resources (non-compliant with NI43-101) - hence all data allocated as inferred resources only</t>
        </r>
      </text>
    </comment>
    <comment ref="BB336" authorId="0" shapeId="0" xr:uid="{00000000-0006-0000-0000-00003C060000}">
      <text>
        <r>
          <rPr>
            <sz val="11"/>
            <color theme="1"/>
            <rFont val="Calibri"/>
            <family val="2"/>
            <scheme val="minor"/>
          </rPr>
          <t>======
ID#AAABCyJQh0U
Gavin Mudd    (2023-12-20 21:24:02)
historic resources (non-compliant with NI43-101) - hence all data allocated as inferred resources only</t>
        </r>
      </text>
    </comment>
    <comment ref="BI336" authorId="0" shapeId="0" xr:uid="{00000000-0006-0000-0000-0000F3040000}">
      <text>
        <r>
          <rPr>
            <sz val="11"/>
            <color theme="1"/>
            <rFont val="Calibri"/>
            <family val="2"/>
            <scheme val="minor"/>
          </rPr>
          <t>======
ID#AAABDDKrPWA
Gavin Mudd    (2023-12-20 21:24:03)
historic resources (non-compliant with NI43-101) - hence all data allocated as inferred resources only</t>
        </r>
      </text>
    </comment>
    <comment ref="H337" authorId="0" shapeId="0" xr:uid="{00000000-0006-0000-0000-0000FC050000}">
      <text>
        <r>
          <rPr>
            <sz val="11"/>
            <color theme="1"/>
            <rFont val="Calibri"/>
            <family val="2"/>
            <scheme val="minor"/>
          </rPr>
          <t>======
ID#AAABCyJQh7g
Gavin Mudd    (2023-12-20 21:24:02)
previously held Blackthorn Resources; data from BR 2009 AnnRep</t>
        </r>
      </text>
    </comment>
    <comment ref="DP337" authorId="0" shapeId="0" xr:uid="{00000000-0006-0000-0000-0000AF030000}">
      <text>
        <r>
          <rPr>
            <sz val="11"/>
            <color theme="1"/>
            <rFont val="Calibri"/>
            <family val="2"/>
            <scheme val="minor"/>
          </rPr>
          <t>======
ID#AAABDDKrP_U
Gavin Mudd    (2023-12-20 21:24:03)
data from Blackthorn Resources Ltd</t>
        </r>
      </text>
    </comment>
    <comment ref="BA338" authorId="0" shapeId="0" xr:uid="{00000000-0006-0000-0000-0000FA000000}">
      <text>
        <r>
          <rPr>
            <sz val="11"/>
            <color theme="1"/>
            <rFont val="Calibri"/>
            <family val="2"/>
            <scheme val="minor"/>
          </rPr>
          <t>======
ID#AAABDDKrRWM
Gavin Mudd    (2023-12-20 21:24:04)
historic resources (non-compliant with NI43-101) - hence all data allocated as inferred resources only</t>
        </r>
      </text>
    </comment>
    <comment ref="BI338" authorId="0" shapeId="0" xr:uid="{00000000-0006-0000-0000-00000A000000}">
      <text>
        <r>
          <rPr>
            <sz val="11"/>
            <color theme="1"/>
            <rFont val="Calibri"/>
            <family val="2"/>
            <scheme val="minor"/>
          </rPr>
          <t>======
ID#AAABDDKrR08
Gavin Mudd    (2023-12-20 21:24:04)
historic resources (non-compliant with NI43-101) - hence all data allocated as inferred resources only</t>
        </r>
      </text>
    </comment>
    <comment ref="BP338" authorId="0" shapeId="0" xr:uid="{00000000-0006-0000-0000-000086050000}">
      <text>
        <r>
          <rPr>
            <sz val="11"/>
            <color theme="1"/>
            <rFont val="Calibri"/>
            <family val="2"/>
            <scheme val="minor"/>
          </rPr>
          <t>======
ID#AAABDDKrPCQ
Gavin Mudd    (2023-12-20 21:24:03)
historic resources (non-compliant with NI43-101) - hence all data allocated as inferred resources only</t>
        </r>
      </text>
    </comment>
    <comment ref="BQ338" authorId="0" shapeId="0" xr:uid="{00000000-0006-0000-0000-000016060000}">
      <text>
        <r>
          <rPr>
            <sz val="11"/>
            <color theme="1"/>
            <rFont val="Calibri"/>
            <family val="2"/>
            <scheme val="minor"/>
          </rPr>
          <t>======
ID#AAABCyJQh4w
Gavin Mudd    (2023-12-20 21:24:02)
historic resources (non-compliant with NI43-101) - hence all data allocated as inferred resources only</t>
        </r>
      </text>
    </comment>
    <comment ref="BA339" authorId="0" shapeId="0" xr:uid="{00000000-0006-0000-0000-0000E0000000}">
      <text>
        <r>
          <rPr>
            <sz val="11"/>
            <color theme="1"/>
            <rFont val="Calibri"/>
            <family val="2"/>
            <scheme val="minor"/>
          </rPr>
          <t>======
ID#AAABDDKrRZI
Gavin Mudd    (2023-12-20 21:24:04)
historic resources (non-compliant with NI43-101) - hence all data allocated as inferred resources only</t>
        </r>
      </text>
    </comment>
    <comment ref="BB339" authorId="0" shapeId="0" xr:uid="{00000000-0006-0000-0000-0000DE000000}">
      <text>
        <r>
          <rPr>
            <sz val="11"/>
            <color theme="1"/>
            <rFont val="Calibri"/>
            <family val="2"/>
            <scheme val="minor"/>
          </rPr>
          <t>======
ID#AAABDDKrRZg
Gavin Mudd    (2023-12-20 21:24:04)
historic resources (non-compliant with NI43-101) - hence all data allocated as inferred resources only</t>
        </r>
      </text>
    </comment>
    <comment ref="BI339" authorId="0" shapeId="0" xr:uid="{00000000-0006-0000-0000-000039040000}">
      <text>
        <r>
          <rPr>
            <sz val="11"/>
            <color theme="1"/>
            <rFont val="Calibri"/>
            <family val="2"/>
            <scheme val="minor"/>
          </rPr>
          <t>======
ID#AAABDDKrPtU
Gavin Mudd    (2023-12-20 21:24:03)
historic resources (non-compliant with NI43-101) - hence all data allocated as inferred resources only</t>
        </r>
      </text>
    </comment>
    <comment ref="BA340" authorId="0" shapeId="0" xr:uid="{00000000-0006-0000-0000-0000E4000000}">
      <text>
        <r>
          <rPr>
            <sz val="11"/>
            <color theme="1"/>
            <rFont val="Calibri"/>
            <family val="2"/>
            <scheme val="minor"/>
          </rPr>
          <t>======
ID#AAABDDKrRY4
Gavin Mudd    (2023-12-20 21:24:04)
historic resources (non-compliant with NI43-101) - hence all data allocated as inferred resources only</t>
        </r>
      </text>
    </comment>
    <comment ref="BB340" authorId="0" shapeId="0" xr:uid="{00000000-0006-0000-0000-000052000000}">
      <text>
        <r>
          <rPr>
            <sz val="11"/>
            <color theme="1"/>
            <rFont val="Calibri"/>
            <family val="2"/>
            <scheme val="minor"/>
          </rPr>
          <t>======
ID#AAABDDKrRqc
Gavin Mudd    (2023-12-20 21:24:04)
historic resources (non-compliant with NI43-101) - hence all data allocated as inferred resources only</t>
        </r>
      </text>
    </comment>
    <comment ref="BC340" authorId="0" shapeId="0" xr:uid="{00000000-0006-0000-0000-0000A5040000}">
      <text>
        <r>
          <rPr>
            <sz val="11"/>
            <color theme="1"/>
            <rFont val="Calibri"/>
            <family val="2"/>
            <scheme val="minor"/>
          </rPr>
          <t>======
ID#AAABDDKrPfY
Gavin Mudd    (2023-12-20 21:24:03)
historic resources (non-compliant with NI43-101) - hence all data allocated as inferred resources only</t>
        </r>
      </text>
    </comment>
    <comment ref="BD340" authorId="0" shapeId="0" xr:uid="{00000000-0006-0000-0000-000022010000}">
      <text>
        <r>
          <rPr>
            <sz val="11"/>
            <color theme="1"/>
            <rFont val="Calibri"/>
            <family val="2"/>
            <scheme val="minor"/>
          </rPr>
          <t>======
ID#AAABDDKrRR4
Gavin Mudd    (2023-12-20 21:24:04)
historic resources (non-compliant with NI43-101) - hence all data allocated as inferred resources only</t>
        </r>
      </text>
    </comment>
    <comment ref="BI340" authorId="0" shapeId="0" xr:uid="{00000000-0006-0000-0000-000052030000}">
      <text>
        <r>
          <rPr>
            <sz val="11"/>
            <color theme="1"/>
            <rFont val="Calibri"/>
            <family val="2"/>
            <scheme val="minor"/>
          </rPr>
          <t>======
ID#AAABDDKrQNc
Gavin Mudd    (2023-12-20 21:24:03)
historic resources (non-compliant with NI43-101) - hence all data allocated as inferred resources only</t>
        </r>
      </text>
    </comment>
    <comment ref="BJ340" authorId="0" shapeId="0" xr:uid="{00000000-0006-0000-0000-000059020000}">
      <text>
        <r>
          <rPr>
            <sz val="11"/>
            <color theme="1"/>
            <rFont val="Calibri"/>
            <family val="2"/>
            <scheme val="minor"/>
          </rPr>
          <t>======
ID#AAABDDKrQp0
Gavin Mudd    (2023-12-20 21:24:04)
historic resources (non-compliant with NI43-101) - hence all data allocated as inferred resources only</t>
        </r>
      </text>
    </comment>
    <comment ref="BA341" authorId="0" shapeId="0" xr:uid="{00000000-0006-0000-0000-000001020000}">
      <text>
        <r>
          <rPr>
            <sz val="11"/>
            <color theme="1"/>
            <rFont val="Calibri"/>
            <family val="2"/>
            <scheme val="minor"/>
          </rPr>
          <t>======
ID#AAABDDKrQ0o
Gavin Mudd    (2023-12-20 21:24:04)
historic resources (non-compliant with NI43-101) - hence all data allocated as inferred resources only</t>
        </r>
      </text>
    </comment>
    <comment ref="BB341" authorId="0" shapeId="0" xr:uid="{00000000-0006-0000-0000-0000EE030000}">
      <text>
        <r>
          <rPr>
            <sz val="11"/>
            <color theme="1"/>
            <rFont val="Calibri"/>
            <family val="2"/>
            <scheme val="minor"/>
          </rPr>
          <t>======
ID#AAABDDKrP2s
Gavin Mudd    (2023-12-20 21:24:03)
historic resources (non-compliant with NI43-101) - hence all data allocated as inferred resources only</t>
        </r>
      </text>
    </comment>
    <comment ref="BC341" authorId="0" shapeId="0" xr:uid="{00000000-0006-0000-0000-00002E000000}">
      <text>
        <r>
          <rPr>
            <sz val="11"/>
            <color theme="1"/>
            <rFont val="Calibri"/>
            <family val="2"/>
            <scheme val="minor"/>
          </rPr>
          <t>======
ID#AAABDDKrRwY
Gavin Mudd    (2023-12-20 21:24:04)
historic resources (non-compliant with NI43-101) - hence all data allocated as inferred resources only</t>
        </r>
      </text>
    </comment>
    <comment ref="BD341" authorId="0" shapeId="0" xr:uid="{00000000-0006-0000-0000-000091000000}">
      <text>
        <r>
          <rPr>
            <sz val="11"/>
            <color theme="1"/>
            <rFont val="Calibri"/>
            <family val="2"/>
            <scheme val="minor"/>
          </rPr>
          <t>======
ID#AAABDDKrRkA
Gavin Mudd    (2023-12-20 21:24:04)
historic resources (non-compliant with NI43-101) - hence all data allocated as inferred resources only</t>
        </r>
      </text>
    </comment>
    <comment ref="BI341" authorId="0" shapeId="0" xr:uid="{00000000-0006-0000-0000-00001C050000}">
      <text>
        <r>
          <rPr>
            <sz val="11"/>
            <color theme="1"/>
            <rFont val="Calibri"/>
            <family val="2"/>
            <scheme val="minor"/>
          </rPr>
          <t>======
ID#AAABDDKrPQA
Gavin Mudd    (2023-12-20 21:24:03)
historic resources (non-compliant with NI43-101) - hence all data allocated as inferred resources only</t>
        </r>
      </text>
    </comment>
    <comment ref="BJ341" authorId="0" shapeId="0" xr:uid="{00000000-0006-0000-0000-000049020000}">
      <text>
        <r>
          <rPr>
            <sz val="11"/>
            <color theme="1"/>
            <rFont val="Calibri"/>
            <family val="2"/>
            <scheme val="minor"/>
          </rPr>
          <t>======
ID#AAABDDKrQr4
Gavin Mudd    (2023-12-20 21:24:04)
historic resources (non-compliant with NI43-101) - hence all data allocated as inferred resources only</t>
        </r>
      </text>
    </comment>
    <comment ref="BA342" authorId="0" shapeId="0" xr:uid="{00000000-0006-0000-0000-00004C000000}">
      <text>
        <r>
          <rPr>
            <sz val="11"/>
            <color theme="1"/>
            <rFont val="Calibri"/>
            <family val="2"/>
            <scheme val="minor"/>
          </rPr>
          <t>======
ID#AAABDDKrRrM
Gavin Mudd    (2023-12-20 21:24:04)
historic resources (non-compliant with NI43-101) - hence all data allocated as inferred resources only</t>
        </r>
      </text>
    </comment>
    <comment ref="BB342" authorId="0" shapeId="0" xr:uid="{00000000-0006-0000-0000-000050020000}">
      <text>
        <r>
          <rPr>
            <sz val="11"/>
            <color theme="1"/>
            <rFont val="Calibri"/>
            <family val="2"/>
            <scheme val="minor"/>
          </rPr>
          <t>======
ID#AAABDDKrQq0
Gavin Mudd    (2023-12-20 21:24:04)
historic resources (non-compliant with NI43-101) - hence all data allocated as inferred resources only</t>
        </r>
      </text>
    </comment>
    <comment ref="BI342" authorId="0" shapeId="0" xr:uid="{00000000-0006-0000-0000-000001010000}">
      <text>
        <r>
          <rPr>
            <sz val="11"/>
            <color theme="1"/>
            <rFont val="Calibri"/>
            <family val="2"/>
            <scheme val="minor"/>
          </rPr>
          <t>======
ID#AAABDDKrRVo
Gavin Mudd    (2023-12-20 21:24:04)
historic resources (non-compliant with NI43-101) - hence all data allocated as inferred resources only</t>
        </r>
      </text>
    </comment>
    <comment ref="BJ342" authorId="0" shapeId="0" xr:uid="{00000000-0006-0000-0000-000050050000}">
      <text>
        <r>
          <rPr>
            <sz val="11"/>
            <color theme="1"/>
            <rFont val="Calibri"/>
            <family val="2"/>
            <scheme val="minor"/>
          </rPr>
          <t>======
ID#AAABDDKrPKA
Gavin Mudd    (2023-12-20 21:24:03)
historic resources (non-compliant with NI43-101) - hence all data allocated as inferred resources only</t>
        </r>
      </text>
    </comment>
    <comment ref="BA343" authorId="0" shapeId="0" xr:uid="{00000000-0006-0000-0000-00006C030000}">
      <text>
        <r>
          <rPr>
            <sz val="11"/>
            <color theme="1"/>
            <rFont val="Calibri"/>
            <family val="2"/>
            <scheme val="minor"/>
          </rPr>
          <t>======
ID#AAABDDKrQKA
Gavin Mudd    (2023-12-20 21:24:03)
historic resources, assumed as inferred</t>
        </r>
      </text>
    </comment>
    <comment ref="BI343" authorId="0" shapeId="0" xr:uid="{00000000-0006-0000-0000-000064030000}">
      <text>
        <r>
          <rPr>
            <sz val="11"/>
            <color theme="1"/>
            <rFont val="Calibri"/>
            <family val="2"/>
            <scheme val="minor"/>
          </rPr>
          <t>======
ID#AAABDDKrQLA
Gavin Mudd    (2023-12-20 21:24:03)
historic resources, assumed as inferred</t>
        </r>
      </text>
    </comment>
    <comment ref="H344" authorId="0" shapeId="0" xr:uid="{00000000-0006-0000-0000-000042030000}">
      <text>
        <r>
          <rPr>
            <sz val="11"/>
            <color theme="1"/>
            <rFont val="Calibri"/>
            <family val="2"/>
            <scheme val="minor"/>
          </rPr>
          <t>======
ID#AAABDDKrQPE
Gavin Mudd    (2023-12-20 21:24:03)
previously held by Toledo Mining Corp, which was taken over by DMCI Holdings</t>
        </r>
      </text>
    </comment>
    <comment ref="BA344" authorId="0" shapeId="0" xr:uid="{00000000-0006-0000-0000-0000AA050000}">
      <text>
        <r>
          <rPr>
            <sz val="11"/>
            <color theme="1"/>
            <rFont val="Calibri"/>
            <family val="2"/>
            <scheme val="minor"/>
          </rPr>
          <t>======
ID#AAABDDKrO9s
Gavin Mudd    (2023-12-20 21:24:03)
older data, but only data available</t>
        </r>
      </text>
    </comment>
    <comment ref="BI344" authorId="0" shapeId="0" xr:uid="{00000000-0006-0000-0000-000096040000}">
      <text>
        <r>
          <rPr>
            <sz val="11"/>
            <color theme="1"/>
            <rFont val="Calibri"/>
            <family val="2"/>
            <scheme val="minor"/>
          </rPr>
          <t>======
ID#AAABDDKrPh4
Gavin Mudd    (2023-12-20 21:24:03)
older data, but only data available</t>
        </r>
      </text>
    </comment>
    <comment ref="DP344" authorId="0" shapeId="0" xr:uid="{00000000-0006-0000-0000-000082020000}">
      <text>
        <r>
          <rPr>
            <sz val="11"/>
            <color theme="1"/>
            <rFont val="Calibri"/>
            <family val="2"/>
            <scheme val="minor"/>
          </rPr>
          <t>======
ID#AAABDDKrQls
Gavin Mudd    (2023-12-20 21:24:04)
data from Toledo Mining Corp.</t>
        </r>
      </text>
    </comment>
    <comment ref="BA345" authorId="0" shapeId="0" xr:uid="{00000000-0006-0000-0000-0000CC000000}">
      <text>
        <r>
          <rPr>
            <sz val="11"/>
            <color theme="1"/>
            <rFont val="Calibri"/>
            <family val="2"/>
            <scheme val="minor"/>
          </rPr>
          <t>======
ID#AAABDDKrRcA
Gavin Mudd    (2023-12-20 21:24:04)
only total resources reported, assumed as inferred</t>
        </r>
      </text>
    </comment>
    <comment ref="BI345" authorId="0" shapeId="0" xr:uid="{00000000-0006-0000-0000-000078030000}">
      <text>
        <r>
          <rPr>
            <sz val="11"/>
            <color theme="1"/>
            <rFont val="Calibri"/>
            <family val="2"/>
            <scheme val="minor"/>
          </rPr>
          <t>======
ID#AAABDDKrQHU
Gavin Mudd    (2023-12-20 21:24:03)
only total resources reported, assumed as inferred</t>
        </r>
      </text>
    </comment>
    <comment ref="BA346" authorId="0" shapeId="0" xr:uid="{00000000-0006-0000-0000-000066060000}">
      <text>
        <r>
          <rPr>
            <sz val="11"/>
            <color theme="1"/>
            <rFont val="Calibri"/>
            <family val="2"/>
            <scheme val="minor"/>
          </rPr>
          <t>======
ID#AAABCyJQhwI
Gavin Mudd    (2023-12-20 21:24:01)
only total resources reported, assumed as inferred</t>
        </r>
      </text>
    </comment>
    <comment ref="BI346" authorId="0" shapeId="0" xr:uid="{00000000-0006-0000-0000-000049040000}">
      <text>
        <r>
          <rPr>
            <sz val="11"/>
            <color theme="1"/>
            <rFont val="Calibri"/>
            <family val="2"/>
            <scheme val="minor"/>
          </rPr>
          <t>======
ID#AAABDDKrPrU
Gavin Mudd    (2023-12-20 21:24:03)
only total resources reported, assumed as inferred</t>
        </r>
      </text>
    </comment>
    <comment ref="BA347" authorId="0" shapeId="0" xr:uid="{00000000-0006-0000-0000-000047030000}">
      <text>
        <r>
          <rPr>
            <sz val="11"/>
            <color theme="1"/>
            <rFont val="Calibri"/>
            <family val="2"/>
            <scheme val="minor"/>
          </rPr>
          <t>======
ID#AAABDDKrQOk
Gavin Mudd    (2023-12-20 21:24:03)
historic resources, assumed as inferred</t>
        </r>
      </text>
    </comment>
    <comment ref="BI347" authorId="0" shapeId="0" xr:uid="{00000000-0006-0000-0000-0000D8010000}">
      <text>
        <r>
          <rPr>
            <sz val="11"/>
            <color theme="1"/>
            <rFont val="Calibri"/>
            <family val="2"/>
            <scheme val="minor"/>
          </rPr>
          <t>======
ID#AAABDDKrQ5U
Gavin Mudd    (2023-12-20 21:24:04)
historic resources, assumed as inferred</t>
        </r>
      </text>
    </comment>
    <comment ref="H349" authorId="0" shapeId="0" xr:uid="{00000000-0006-0000-0000-000020010000}">
      <text>
        <r>
          <rPr>
            <sz val="11"/>
            <color theme="1"/>
            <rFont val="Calibri"/>
            <family val="2"/>
            <scheme val="minor"/>
          </rPr>
          <t>======
ID#AAABDDKrRR8
Author    (2023-12-20 21:24:04)
formerly Nevoro, which became Starfield Resources - now bankrupt</t>
        </r>
      </text>
    </comment>
    <comment ref="BA349" authorId="0" shapeId="0" xr:uid="{00000000-0006-0000-0000-0000D7040000}">
      <text>
        <r>
          <rPr>
            <sz val="11"/>
            <color theme="1"/>
            <rFont val="Calibri"/>
            <family val="2"/>
            <scheme val="minor"/>
          </rPr>
          <t>======
ID#AAABDDKrPZM
Gavin Mudd    (2023-12-20 21:24:03)
historic resources (non-compliant with NI43-101) - hence all data allocated as inferred resources only</t>
        </r>
      </text>
    </comment>
    <comment ref="BB349" authorId="0" shapeId="0" xr:uid="{00000000-0006-0000-0000-0000DD030000}">
      <text>
        <r>
          <rPr>
            <sz val="11"/>
            <color theme="1"/>
            <rFont val="Calibri"/>
            <family val="2"/>
            <scheme val="minor"/>
          </rPr>
          <t>======
ID#AAABDDKrP48
Gavin Mudd    (2023-12-20 21:24:03)
historic resources (non-compliant with NI43-101) - hence all data allocated as inferred resources only</t>
        </r>
      </text>
    </comment>
    <comment ref="BI349" authorId="0" shapeId="0" xr:uid="{00000000-0006-0000-0000-00005E040000}">
      <text>
        <r>
          <rPr>
            <sz val="11"/>
            <color theme="1"/>
            <rFont val="Calibri"/>
            <family val="2"/>
            <scheme val="minor"/>
          </rPr>
          <t>======
ID#AAABDDKrPo8
Gavin Mudd    (2023-12-20 21:24:03)
historic resources (non-compliant with NI43-101) - hence all data allocated as inferred resources only</t>
        </r>
      </text>
    </comment>
    <comment ref="H352" authorId="0" shapeId="0" xr:uid="{00000000-0006-0000-0000-000093050000}">
      <text>
        <r>
          <rPr>
            <sz val="11"/>
            <color theme="1"/>
            <rFont val="Calibri"/>
            <family val="2"/>
            <scheme val="minor"/>
          </rPr>
          <t>======
ID#AAABDDKrPA4
Gavin Mudd    (2023-12-20 21:24:03)
previously Hunnan Australia Resources, which was recently taken over by China Minmetals; before this the project was owned by Compass Resources</t>
        </r>
      </text>
    </comment>
    <comment ref="DP352" authorId="0" shapeId="0" xr:uid="{00000000-0006-0000-0000-0000AF020000}">
      <text>
        <r>
          <rPr>
            <sz val="11"/>
            <color theme="1"/>
            <rFont val="Calibri"/>
            <family val="2"/>
            <scheme val="minor"/>
          </rPr>
          <t>======
ID#AAABDDKrQf8
Gavin Mudd    (2023-12-20 21:24:03)
from earlier owner Compass Resources</t>
        </r>
      </text>
    </comment>
    <comment ref="H356" authorId="0" shapeId="0" xr:uid="{00000000-0006-0000-0000-000090020000}">
      <text>
        <r>
          <rPr>
            <sz val="11"/>
            <color theme="1"/>
            <rFont val="Calibri"/>
            <family val="2"/>
            <scheme val="minor"/>
          </rPr>
          <t>======
ID#AAABDDKrQjk
Gavin Mudd    (2023-12-20 21:24:04)
previously held by Lithic Metals &amp; Energy</t>
        </r>
      </text>
    </comment>
    <comment ref="BA356" authorId="0" shapeId="0" xr:uid="{00000000-0006-0000-0000-000032040000}">
      <text>
        <r>
          <rPr>
            <sz val="11"/>
            <color theme="1"/>
            <rFont val="Calibri"/>
            <family val="2"/>
            <scheme val="minor"/>
          </rPr>
          <t>======
ID#AAABDDKrPuQ
Gavin Mudd    (2023-12-20 21:24:03)
historic resources (non-compliant with NI43-101) - hence all data allocated as inferred resources only</t>
        </r>
      </text>
    </comment>
    <comment ref="BI356" authorId="0" shapeId="0" xr:uid="{00000000-0006-0000-0000-0000EE020000}">
      <text>
        <r>
          <rPr>
            <sz val="11"/>
            <color theme="1"/>
            <rFont val="Calibri"/>
            <family val="2"/>
            <scheme val="minor"/>
          </rPr>
          <t>======
ID#AAABDDKrQYg
Gavin Mudd    (2023-12-20 21:24:03)
historic resources (non-compliant with NI43-101) - hence all data allocated as inferred resources only</t>
        </r>
      </text>
    </comment>
    <comment ref="BJ356" authorId="0" shapeId="0" xr:uid="{00000000-0006-0000-0000-0000D3010000}">
      <text>
        <r>
          <rPr>
            <sz val="11"/>
            <color theme="1"/>
            <rFont val="Calibri"/>
            <family val="2"/>
            <scheme val="minor"/>
          </rPr>
          <t>======
ID#AAABDDKrQ6E
Gavin Mudd    (2023-12-20 21:24:04)
historic resources (non-compliant with NI43-101) - hence all data allocated as inferred resources only</t>
        </r>
      </text>
    </comment>
    <comment ref="AF360" authorId="0" shapeId="0" xr:uid="{00000000-0006-0000-0000-00003F060000}">
      <text>
        <r>
          <rPr>
            <sz val="11"/>
            <color theme="1"/>
            <rFont val="Calibri"/>
            <family val="2"/>
            <scheme val="minor"/>
          </rPr>
          <t>======
ID#AAABCyJQh0A
Gavin Mudd    (2023-12-20 21:24:02)
only total resources presented, assumed as indicated resources</t>
        </r>
      </text>
    </comment>
    <comment ref="AG360" authorId="0" shapeId="0" xr:uid="{00000000-0006-0000-0000-0000FA030000}">
      <text>
        <r>
          <rPr>
            <sz val="11"/>
            <color theme="1"/>
            <rFont val="Calibri"/>
            <family val="2"/>
            <scheme val="minor"/>
          </rPr>
          <t>======
ID#AAABDDKrP1I
Gavin Mudd    (2023-12-20 21:24:03)
only total resources presented, assumed as indicated resources</t>
        </r>
      </text>
    </comment>
    <comment ref="AN360" authorId="0" shapeId="0" xr:uid="{00000000-0006-0000-0000-0000FF030000}">
      <text>
        <r>
          <rPr>
            <sz val="11"/>
            <color theme="1"/>
            <rFont val="Calibri"/>
            <family val="2"/>
            <scheme val="minor"/>
          </rPr>
          <t>======
ID#AAABDDKrP0k
Gavin Mudd    (2023-12-20 21:24:03)
only total resources presented, assumed as indicated resources</t>
        </r>
      </text>
    </comment>
    <comment ref="AP360" authorId="0" shapeId="0" xr:uid="{00000000-0006-0000-0000-000056040000}">
      <text>
        <r>
          <rPr>
            <sz val="11"/>
            <color theme="1"/>
            <rFont val="Calibri"/>
            <family val="2"/>
            <scheme val="minor"/>
          </rPr>
          <t>======
ID#AAABDDKrPp0
Gavin Mudd    (2023-12-20 21:24:03)
only total resources presented, assumed as indicated resources; 3E g/t - 35% assumed as Pt</t>
        </r>
      </text>
    </comment>
    <comment ref="AQ360" authorId="0" shapeId="0" xr:uid="{00000000-0006-0000-0000-00004A000000}">
      <text>
        <r>
          <rPr>
            <sz val="11"/>
            <color theme="1"/>
            <rFont val="Calibri"/>
            <family val="2"/>
            <scheme val="minor"/>
          </rPr>
          <t>======
ID#AAABDDKrRrc
Gavin Mudd    (2023-12-20 21:24:04)
only total resources presented, assumed as indicated resources; 3E g/t - 55% assumed as Pd</t>
        </r>
      </text>
    </comment>
    <comment ref="AX363" authorId="0" shapeId="0" xr:uid="{00000000-0006-0000-0000-00001C020000}">
      <text>
        <r>
          <rPr>
            <sz val="11"/>
            <color theme="1"/>
            <rFont val="Calibri"/>
            <family val="2"/>
            <scheme val="minor"/>
          </rPr>
          <t>======
ID#AAABDDKrQxc
Gavin Mudd    (2023-12-20 21:24:04)
ASX announcement, 17 Sept. 2015</t>
        </r>
      </text>
    </comment>
    <comment ref="BS363" authorId="0" shapeId="0" xr:uid="{00000000-0006-0000-0000-000098020000}">
      <text>
        <r>
          <rPr>
            <sz val="11"/>
            <color theme="1"/>
            <rFont val="Calibri"/>
            <family val="2"/>
            <scheme val="minor"/>
          </rPr>
          <t>======
ID#AAABDDKrQi4
Gavin Mudd    (2023-12-20 21:24:04)
ASX announcement, 17 Sept. 2015</t>
        </r>
      </text>
    </comment>
    <comment ref="D364" authorId="0" shapeId="0" xr:uid="{00000000-0006-0000-0000-00006D030000}">
      <text>
        <r>
          <rPr>
            <sz val="11"/>
            <color theme="1"/>
            <rFont val="Calibri"/>
            <family val="2"/>
            <scheme val="minor"/>
          </rPr>
          <t>======
ID#AAABDDKrQJ0
Gavin Mudd    (2023-12-20 21:24:03)
restarted early 2019</t>
        </r>
      </text>
    </comment>
    <comment ref="H364" authorId="0" shapeId="0" xr:uid="{00000000-0006-0000-0000-00007E030000}">
      <text>
        <r>
          <rPr>
            <sz val="11"/>
            <color theme="1"/>
            <rFont val="Calibri"/>
            <family val="2"/>
            <scheme val="minor"/>
          </rPr>
          <t>======
ID#AAABDDKrQF0
Gavin Mudd    (2023-12-20 21:24:03)
previously interests include Albidon Ltd, Intrepid Mines Ltd, then Consolidated Mining &amp; Investments Plc</t>
        </r>
      </text>
    </comment>
    <comment ref="K364" authorId="0" shapeId="0" xr:uid="{00000000-0006-0000-0000-000037000000}">
      <text>
        <r>
          <rPr>
            <sz val="11"/>
            <color theme="1"/>
            <rFont val="Calibri"/>
            <family val="2"/>
            <scheme val="minor"/>
          </rPr>
          <t>======
ID#AAABDDKrRuY
Gavin Mudd    (2023-12-20 21:24:04)
only measured &amp; indicated resources reported; based on Albidon's Tech Rep (2012-10) - which shows no measured resources</t>
        </r>
      </text>
    </comment>
    <comment ref="AG364" authorId="0" shapeId="0" xr:uid="{00000000-0006-0000-0000-00002D000000}">
      <text>
        <r>
          <rPr>
            <sz val="11"/>
            <color theme="1"/>
            <rFont val="Calibri"/>
            <family val="2"/>
            <scheme val="minor"/>
          </rPr>
          <t>======
ID#AAABDDKrRwc
Gavin Mudd    (2023-12-20 21:24:04)
data from Haldar (2017)</t>
        </r>
      </text>
    </comment>
    <comment ref="AO364" authorId="0" shapeId="0" xr:uid="{00000000-0006-0000-0000-000049060000}">
      <text>
        <r>
          <rPr>
            <sz val="11"/>
            <color theme="1"/>
            <rFont val="Calibri"/>
            <family val="2"/>
            <scheme val="minor"/>
          </rPr>
          <t>======
ID#AAABCyJQhzE
Gavin Mudd    (2023-12-20 21:24:02)
data from Haldar (2017)</t>
        </r>
      </text>
    </comment>
    <comment ref="AP364" authorId="0" shapeId="0" xr:uid="{00000000-0006-0000-0000-00004C060000}">
      <text>
        <r>
          <rPr>
            <sz val="11"/>
            <color theme="1"/>
            <rFont val="Calibri"/>
            <family val="2"/>
            <scheme val="minor"/>
          </rPr>
          <t>======
ID#AAABCyJQhy4
Gavin Mudd    (2023-12-20 21:24:02)
data from Haldar (2017)</t>
        </r>
      </text>
    </comment>
    <comment ref="AQ364" authorId="0" shapeId="0" xr:uid="{00000000-0006-0000-0000-000086010000}">
      <text>
        <r>
          <rPr>
            <sz val="11"/>
            <color theme="1"/>
            <rFont val="Calibri"/>
            <family val="2"/>
            <scheme val="minor"/>
          </rPr>
          <t>======
ID#AAABDDKrRDo
Gavin Mudd    (2023-12-20 21:24:04)
data from Haldar (2017)</t>
        </r>
      </text>
    </comment>
    <comment ref="BB364" authorId="0" shapeId="0" xr:uid="{00000000-0006-0000-0000-0000C6040000}">
      <text>
        <r>
          <rPr>
            <sz val="11"/>
            <color theme="1"/>
            <rFont val="Calibri"/>
            <family val="2"/>
            <scheme val="minor"/>
          </rPr>
          <t>======
ID#AAABDDKrPbM
Gavin Mudd    (2023-12-20 21:24:03)
data from Haldar (2017)</t>
        </r>
      </text>
    </comment>
    <comment ref="BJ364" authorId="0" shapeId="0" xr:uid="{00000000-0006-0000-0000-000005060000}">
      <text>
        <r>
          <rPr>
            <sz val="11"/>
            <color theme="1"/>
            <rFont val="Calibri"/>
            <family val="2"/>
            <scheme val="minor"/>
          </rPr>
          <t>======
ID#AAABCyJQh6g
Gavin Mudd    (2023-12-20 21:24:02)
data from Haldar (2017)</t>
        </r>
      </text>
    </comment>
    <comment ref="BK364" authorId="0" shapeId="0" xr:uid="{00000000-0006-0000-0000-00001D060000}">
      <text>
        <r>
          <rPr>
            <sz val="11"/>
            <color theme="1"/>
            <rFont val="Calibri"/>
            <family val="2"/>
            <scheme val="minor"/>
          </rPr>
          <t>======
ID#AAABCyJQh3w
Gavin Mudd    (2023-12-20 21:24:02)
data from Haldar (2017)</t>
        </r>
      </text>
    </comment>
    <comment ref="BL364" authorId="0" shapeId="0" xr:uid="{00000000-0006-0000-0000-00009D040000}">
      <text>
        <r>
          <rPr>
            <sz val="11"/>
            <color theme="1"/>
            <rFont val="Calibri"/>
            <family val="2"/>
            <scheme val="minor"/>
          </rPr>
          <t>======
ID#AAABDDKrPg0
Gavin Mudd    (2023-12-20 21:24:03)
data from Haldar (2017)</t>
        </r>
      </text>
    </comment>
    <comment ref="DP367" authorId="0" shapeId="0" xr:uid="{00000000-0006-0000-0000-000048050000}">
      <text>
        <r>
          <rPr>
            <sz val="11"/>
            <color theme="1"/>
            <rFont val="Calibri"/>
            <family val="2"/>
            <scheme val="minor"/>
          </rPr>
          <t>======
ID#AAABDDKrPK8
Gavin Mudd    (2023-12-20 21:24:03)
Platina Resources</t>
        </r>
      </text>
    </comment>
    <comment ref="BA370" authorId="0" shapeId="0" xr:uid="{00000000-0006-0000-0000-0000ED020000}">
      <text>
        <r>
          <rPr>
            <sz val="11"/>
            <color theme="1"/>
            <rFont val="Calibri"/>
            <family val="2"/>
            <scheme val="minor"/>
          </rPr>
          <t>======
ID#AAABDDKrQYo
Gavin Mudd    (2023-12-20 21:24:03)
historic resources (non-compliant with NI43-101) - hence all data allocated as inferred resources only</t>
        </r>
      </text>
    </comment>
    <comment ref="BI370" authorId="0" shapeId="0" xr:uid="{00000000-0006-0000-0000-00007F030000}">
      <text>
        <r>
          <rPr>
            <sz val="11"/>
            <color theme="1"/>
            <rFont val="Calibri"/>
            <family val="2"/>
            <scheme val="minor"/>
          </rPr>
          <t>======
ID#AAABDDKrQFk
Gavin Mudd    (2023-12-20 21:24:03)
historic resources (non-compliant with NI43-101) - hence all data allocated as inferred resources only</t>
        </r>
      </text>
    </comment>
    <comment ref="M371" authorId="0" shapeId="0" xr:uid="{00000000-0006-0000-0000-000077000000}">
      <text>
        <r>
          <rPr>
            <sz val="11"/>
            <color theme="1"/>
            <rFont val="Calibri"/>
            <family val="2"/>
            <scheme val="minor"/>
          </rPr>
          <t>======
ID#AAABDDKrRmU
Gavin Mudd    (2023-12-20 21:24:04)
data from Tech Rep (2012-11)</t>
        </r>
      </text>
    </comment>
    <comment ref="U371" authorId="0" shapeId="0" xr:uid="{00000000-0006-0000-0000-0000E0050000}">
      <text>
        <r>
          <rPr>
            <sz val="11"/>
            <color theme="1"/>
            <rFont val="Calibri"/>
            <family val="2"/>
            <scheme val="minor"/>
          </rPr>
          <t>======
ID#AAABCyJQh_U
Gavin Mudd    (2023-12-20 21:24:02)
data from Tech Rep (2012-11)</t>
        </r>
      </text>
    </comment>
    <comment ref="V371" authorId="0" shapeId="0" xr:uid="{00000000-0006-0000-0000-00005F050000}">
      <text>
        <r>
          <rPr>
            <sz val="11"/>
            <color theme="1"/>
            <rFont val="Calibri"/>
            <family val="2"/>
            <scheme val="minor"/>
          </rPr>
          <t>======
ID#AAABDDKrPIE
Gavin Mudd    (2023-12-20 21:24:03)
data from Tech Rep (2012-11)</t>
        </r>
      </text>
    </comment>
    <comment ref="AH371" authorId="0" shapeId="0" xr:uid="{00000000-0006-0000-0000-000002020000}">
      <text>
        <r>
          <rPr>
            <sz val="11"/>
            <color theme="1"/>
            <rFont val="Calibri"/>
            <family val="2"/>
            <scheme val="minor"/>
          </rPr>
          <t>======
ID#AAABDDKrQ0g
Gavin Mudd    (2023-12-20 21:24:04)
data from Tech Rep (2012-11)</t>
        </r>
      </text>
    </comment>
    <comment ref="AP371" authorId="0" shapeId="0" xr:uid="{00000000-0006-0000-0000-000021020000}">
      <text>
        <r>
          <rPr>
            <sz val="11"/>
            <color theme="1"/>
            <rFont val="Calibri"/>
            <family val="2"/>
            <scheme val="minor"/>
          </rPr>
          <t>======
ID#AAABDDKrQw8
Gavin Mudd    (2023-12-20 21:24:04)
data from Tech Rep (2012-11)</t>
        </r>
      </text>
    </comment>
    <comment ref="AQ371" authorId="0" shapeId="0" xr:uid="{00000000-0006-0000-0000-00008B060000}">
      <text>
        <r>
          <rPr>
            <sz val="11"/>
            <color theme="1"/>
            <rFont val="Calibri"/>
            <family val="2"/>
            <scheme val="minor"/>
          </rPr>
          <t>======
ID#AAABCxlEytI
Gavin Mudd    (2023-12-20 21:24:01)
data from Tech Rep (2012-11)</t>
        </r>
      </text>
    </comment>
    <comment ref="BC371" authorId="0" shapeId="0" xr:uid="{00000000-0006-0000-0000-0000E8000000}">
      <text>
        <r>
          <rPr>
            <sz val="11"/>
            <color theme="1"/>
            <rFont val="Calibri"/>
            <family val="2"/>
            <scheme val="minor"/>
          </rPr>
          <t>======
ID#AAABDDKrRYY
Gavin Mudd    (2023-12-20 21:24:04)
data from Tech Rep (2012-11)</t>
        </r>
      </text>
    </comment>
    <comment ref="BK371" authorId="0" shapeId="0" xr:uid="{00000000-0006-0000-0000-000091020000}">
      <text>
        <r>
          <rPr>
            <sz val="11"/>
            <color theme="1"/>
            <rFont val="Calibri"/>
            <family val="2"/>
            <scheme val="minor"/>
          </rPr>
          <t>======
ID#AAABDDKrQjs
Gavin Mudd    (2023-12-20 21:24:04)
data from Tech Rep (2012-11)</t>
        </r>
      </text>
    </comment>
    <comment ref="BL371" authorId="0" shapeId="0" xr:uid="{00000000-0006-0000-0000-000048020000}">
      <text>
        <r>
          <rPr>
            <sz val="11"/>
            <color theme="1"/>
            <rFont val="Calibri"/>
            <family val="2"/>
            <scheme val="minor"/>
          </rPr>
          <t>======
ID#AAABDDKrQsI
Gavin Mudd    (2023-12-20 21:24:04)
data from Tech Rep (2012-11)</t>
        </r>
      </text>
    </comment>
    <comment ref="H372" authorId="0" shapeId="0" xr:uid="{00000000-0006-0000-0000-00008B010000}">
      <text>
        <r>
          <rPr>
            <sz val="11"/>
            <color theme="1"/>
            <rFont val="Calibri"/>
            <family val="2"/>
            <scheme val="minor"/>
          </rPr>
          <t>======
ID#AAABDDKrRC0
Gavin Mudd    (2023-12-20 21:24:04)
previously held by Caledonia Mining Corp</t>
        </r>
      </text>
    </comment>
    <comment ref="H375" authorId="0" shapeId="0" xr:uid="{00000000-0006-0000-0000-0000C9030000}">
      <text>
        <r>
          <rPr>
            <sz val="11"/>
            <color theme="1"/>
            <rFont val="Calibri"/>
            <family val="2"/>
            <scheme val="minor"/>
          </rPr>
          <t>======
ID#AAABDDKrP8g
Gavin Mudd    (2023-12-20 21:24:03)
previously held by Solomon Gold Plc (which became SolGold)</t>
        </r>
      </text>
    </comment>
    <comment ref="AF375" authorId="0" shapeId="0" xr:uid="{00000000-0006-0000-0000-0000B0050000}">
      <text>
        <r>
          <rPr>
            <sz val="11"/>
            <color theme="1"/>
            <rFont val="Calibri"/>
            <family val="2"/>
            <scheme val="minor"/>
          </rPr>
          <t>======
ID#AAABDDKrO84
Gavin Mudd    (2023-12-20 21:24:03)
although stated as 'indicate and inferred' resources, no split provided - assumed all as inferred</t>
        </r>
      </text>
    </comment>
    <comment ref="BA375" authorId="0" shapeId="0" xr:uid="{00000000-0006-0000-0000-000028020000}">
      <text>
        <r>
          <rPr>
            <sz val="11"/>
            <color theme="1"/>
            <rFont val="Calibri"/>
            <family val="2"/>
            <scheme val="minor"/>
          </rPr>
          <t>======
ID#AAABDDKrQwE
Gavin Mudd    (2023-12-20 21:24:04)
although stated as 'indicate and inferred' resources, no split provided - assumed all as inferred</t>
        </r>
      </text>
    </comment>
    <comment ref="BI375" authorId="0" shapeId="0" xr:uid="{00000000-0006-0000-0000-000073060000}">
      <text>
        <r>
          <rPr>
            <sz val="11"/>
            <color theme="1"/>
            <rFont val="Calibri"/>
            <family val="2"/>
            <scheme val="minor"/>
          </rPr>
          <t>======
ID#AAABCyJQhuw
Gavin Mudd    (2023-12-20 21:24:01)
although stated as 'indicate and inferred' resources, no split provided - assumed all as inferred</t>
        </r>
      </text>
    </comment>
    <comment ref="BJ375" authorId="0" shapeId="0" xr:uid="{00000000-0006-0000-0000-00005D060000}">
      <text>
        <r>
          <rPr>
            <sz val="11"/>
            <color theme="1"/>
            <rFont val="Calibri"/>
            <family val="2"/>
            <scheme val="minor"/>
          </rPr>
          <t>======
ID#AAABCyJQhxE
Gavin Mudd    (2023-12-20 21:24:02)
although stated as 'indicate and inferred' resources, no split provided - assumed all as inferred</t>
        </r>
      </text>
    </comment>
    <comment ref="DP375" authorId="0" shapeId="0" xr:uid="{00000000-0006-0000-0000-0000FE040000}">
      <text>
        <r>
          <rPr>
            <sz val="11"/>
            <color theme="1"/>
            <rFont val="Calibri"/>
            <family val="2"/>
            <scheme val="minor"/>
          </rPr>
          <t>======
ID#AAABDDKrPUM
Gavin Mudd    (2023-12-20 21:24:03)
data from Solomon Gold Plc (which became SolGold)</t>
        </r>
      </text>
    </comment>
    <comment ref="BA376" authorId="0" shapeId="0" xr:uid="{00000000-0006-0000-0000-000089010000}">
      <text>
        <r>
          <rPr>
            <sz val="11"/>
            <color theme="1"/>
            <rFont val="Calibri"/>
            <family val="2"/>
            <scheme val="minor"/>
          </rPr>
          <t>======
ID#AAABDDKrRDY
Gavin Mudd    (2023-12-20 21:24:04)
historic resources (non-compliant with NI43-101) - hence all data allocated as inferred resources only</t>
        </r>
      </text>
    </comment>
    <comment ref="BI376" authorId="0" shapeId="0" xr:uid="{00000000-0006-0000-0000-00005A010000}">
      <text>
        <r>
          <rPr>
            <sz val="11"/>
            <color theme="1"/>
            <rFont val="Calibri"/>
            <family val="2"/>
            <scheme val="minor"/>
          </rPr>
          <t>======
ID#AAABDDKrRJw
Gavin Mudd    (2023-12-20 21:24:04)
historic resources (non-compliant with NI43-101) - hence all data allocated as inferred resources only</t>
        </r>
      </text>
    </comment>
    <comment ref="BJ376" authorId="0" shapeId="0" xr:uid="{00000000-0006-0000-0000-0000E3020000}">
      <text>
        <r>
          <rPr>
            <sz val="11"/>
            <color theme="1"/>
            <rFont val="Calibri"/>
            <family val="2"/>
            <scheme val="minor"/>
          </rPr>
          <t>======
ID#AAABDDKrQZ4
Gavin Mudd    (2023-12-20 21:24:03)
historic resources (non-compliant with NI43-101) - hence all data allocated as inferred resources only</t>
        </r>
      </text>
    </comment>
    <comment ref="BS378" authorId="0" shapeId="0" xr:uid="{00000000-0006-0000-0000-0000C1050000}">
      <text>
        <r>
          <rPr>
            <sz val="11"/>
            <color theme="1"/>
            <rFont val="Calibri"/>
            <family val="2"/>
            <scheme val="minor"/>
          </rPr>
          <t>======
ID#AAABDDKrO7I
Gavin Mudd    (2023-12-20 21:24:02)
not JORC-code compliant</t>
        </r>
      </text>
    </comment>
    <comment ref="BS379" authorId="0" shapeId="0" xr:uid="{00000000-0006-0000-0000-000010020000}">
      <text>
        <r>
          <rPr>
            <sz val="11"/>
            <color theme="1"/>
            <rFont val="Calibri"/>
            <family val="2"/>
            <scheme val="minor"/>
          </rPr>
          <t>======
ID#AAABDDKrQyg
Gavin Mudd    (2023-12-20 21:24:04)
not JORC-code compliant</t>
        </r>
      </text>
    </comment>
    <comment ref="BA380" authorId="0" shapeId="0" xr:uid="{00000000-0006-0000-0000-0000E9050000}">
      <text>
        <r>
          <rPr>
            <sz val="11"/>
            <color theme="1"/>
            <rFont val="Calibri"/>
            <family val="2"/>
            <scheme val="minor"/>
          </rPr>
          <t>======
ID#AAABCyJQh-A
Gavin Mudd    (2023-12-20 21:24:02)
historic resources (non-compliant with NI43-101) - hence all data allocated as inferred resources only</t>
        </r>
      </text>
    </comment>
    <comment ref="BB380" authorId="0" shapeId="0" xr:uid="{00000000-0006-0000-0000-0000A8040000}">
      <text>
        <r>
          <rPr>
            <sz val="11"/>
            <color theme="1"/>
            <rFont val="Calibri"/>
            <family val="2"/>
            <scheme val="minor"/>
          </rPr>
          <t>======
ID#AAABDDKrPe4
Gavin Mudd    (2023-12-20 21:24:03)
historic resources (non-compliant with NI43-101) - hence all data allocated as inferred resources only</t>
        </r>
      </text>
    </comment>
    <comment ref="BI380" authorId="0" shapeId="0" xr:uid="{00000000-0006-0000-0000-000031060000}">
      <text>
        <r>
          <rPr>
            <sz val="11"/>
            <color theme="1"/>
            <rFont val="Calibri"/>
            <family val="2"/>
            <scheme val="minor"/>
          </rPr>
          <t>======
ID#AAABCyJQh1Y
Gavin Mudd    (2023-12-20 21:24:02)
historic resources (non-compliant with NI43-101) - hence all data allocated as inferred resources only</t>
        </r>
      </text>
    </comment>
    <comment ref="C381" authorId="0" shapeId="0" xr:uid="{00000000-0006-0000-0000-000009050000}">
      <text>
        <r>
          <rPr>
            <sz val="11"/>
            <color theme="1"/>
            <rFont val="Calibri"/>
            <family val="2"/>
            <scheme val="minor"/>
          </rPr>
          <t>======
ID#AAABDDKrPSs
Gavin Mudd    (2023-12-20 21:24:03)
includes John Ellis, Merv Daw</t>
        </r>
      </text>
    </comment>
    <comment ref="K382" authorId="0" shapeId="0" xr:uid="{00000000-0006-0000-0000-00004D060000}">
      <text>
        <r>
          <rPr>
            <sz val="11"/>
            <color theme="1"/>
            <rFont val="Calibri"/>
            <family val="2"/>
            <scheme val="minor"/>
          </rPr>
          <t>======
ID#AAABCyJQhys
Gavin Mudd    (2023-12-20 21:24:02)
assumes proved reserves plus measured resources</t>
        </r>
      </text>
    </comment>
    <comment ref="AF382" authorId="0" shapeId="0" xr:uid="{00000000-0006-0000-0000-000038050000}">
      <text>
        <r>
          <rPr>
            <sz val="11"/>
            <color theme="1"/>
            <rFont val="Calibri"/>
            <family val="2"/>
            <scheme val="minor"/>
          </rPr>
          <t>======
ID#AAABDDKrPMs
Gavin Mudd    (2023-12-20 21:24:03)
assumes probable reserves plus indicated resources</t>
        </r>
      </text>
    </comment>
    <comment ref="AN382" authorId="0" shapeId="0" xr:uid="{00000000-0006-0000-0000-000043000000}">
      <text>
        <r>
          <rPr>
            <sz val="11"/>
            <color theme="1"/>
            <rFont val="Calibri"/>
            <family val="2"/>
            <scheme val="minor"/>
          </rPr>
          <t>======
ID#AAABDDKrRsk
Gavin Mudd    (2023-12-20 21:24:04)
assumes probable reserves plus indicated resources</t>
        </r>
      </text>
    </comment>
    <comment ref="BV391" authorId="0" shapeId="0" xr:uid="{00000000-0006-0000-0000-00008F020000}">
      <text>
        <r>
          <rPr>
            <sz val="11"/>
            <color theme="1"/>
            <rFont val="Calibri"/>
            <family val="2"/>
            <scheme val="minor"/>
          </rPr>
          <t>======
ID#AAABDDKrQjw
Gavin Mudd    (2023-12-20 21:24:04)
only total proven &amp; probable reserves given</t>
        </r>
      </text>
    </comment>
    <comment ref="CQ391" authorId="0" shapeId="0" xr:uid="{00000000-0006-0000-0000-0000D6030000}">
      <text>
        <r>
          <rPr>
            <sz val="11"/>
            <color theme="1"/>
            <rFont val="Calibri"/>
            <family val="2"/>
            <scheme val="minor"/>
          </rPr>
          <t>======
ID#AAABDDKrP6E
Gavin Mudd    (2023-12-20 21:24:03)
only total proven &amp; probable reserves given</t>
        </r>
      </text>
    </comment>
    <comment ref="CY391" authorId="0" shapeId="0" xr:uid="{00000000-0006-0000-0000-000034040000}">
      <text>
        <r>
          <rPr>
            <sz val="11"/>
            <color theme="1"/>
            <rFont val="Calibri"/>
            <family val="2"/>
            <scheme val="minor"/>
          </rPr>
          <t>======
ID#AAABDDKrPt4
Gavin Mudd    (2023-12-20 21:24:03)
only total proven &amp; probable reserves given</t>
        </r>
      </text>
    </comment>
    <comment ref="CZ391" authorId="0" shapeId="0" xr:uid="{00000000-0006-0000-0000-0000A2010000}">
      <text>
        <r>
          <rPr>
            <sz val="11"/>
            <color theme="1"/>
            <rFont val="Calibri"/>
            <family val="2"/>
            <scheme val="minor"/>
          </rPr>
          <t>======
ID#AAABDDKrRAA
Gavin Mudd    (2023-12-20 21:24:04)
only total proven &amp; probable reserves given</t>
        </r>
      </text>
    </comment>
    <comment ref="M392" authorId="0" shapeId="0" xr:uid="{00000000-0006-0000-0000-0000D5010000}">
      <text>
        <r>
          <rPr>
            <sz val="11"/>
            <color theme="1"/>
            <rFont val="Calibri"/>
            <family val="2"/>
            <scheme val="minor"/>
          </rPr>
          <t>======
ID#AAABDDKrQ50
Gavin Mudd    (2023-12-20 21:24:04)
assumes difference in 4E prill split is 50% Au, 50% Rh</t>
        </r>
      </text>
    </comment>
    <comment ref="U392" authorId="0" shapeId="0" xr:uid="{00000000-0006-0000-0000-000042010000}">
      <text>
        <r>
          <rPr>
            <sz val="11"/>
            <color theme="1"/>
            <rFont val="Calibri"/>
            <family val="2"/>
            <scheme val="minor"/>
          </rPr>
          <t>======
ID#AAABDDKrRM4
Gavin Mudd    (2023-12-20 21:24:04)
assumes 75% Pt recovery from recent processing data</t>
        </r>
      </text>
    </comment>
    <comment ref="V392" authorId="0" shapeId="0" xr:uid="{00000000-0006-0000-0000-000068020000}">
      <text>
        <r>
          <rPr>
            <sz val="11"/>
            <color theme="1"/>
            <rFont val="Calibri"/>
            <family val="2"/>
            <scheme val="minor"/>
          </rPr>
          <t>======
ID#AAABDDKrQoM
Gavin Mudd    (2023-12-20 21:24:04)
assumes 75% Pd recovery from recent processing data</t>
        </r>
      </text>
    </comment>
    <comment ref="W392" authorId="0" shapeId="0" xr:uid="{00000000-0006-0000-0000-000067060000}">
      <text>
        <r>
          <rPr>
            <sz val="11"/>
            <color theme="1"/>
            <rFont val="Calibri"/>
            <family val="2"/>
            <scheme val="minor"/>
          </rPr>
          <t>======
ID#AAABCyJQhwE
Gavin Mudd    (2023-12-20 21:24:01)
assumes difference in 4E prill split is 50% Au, 50% Rh</t>
        </r>
      </text>
    </comment>
    <comment ref="AH392" authorId="0" shapeId="0" xr:uid="{00000000-0006-0000-0000-0000FF040000}">
      <text>
        <r>
          <rPr>
            <sz val="11"/>
            <color theme="1"/>
            <rFont val="Calibri"/>
            <family val="2"/>
            <scheme val="minor"/>
          </rPr>
          <t>======
ID#AAABDDKrPUI
Gavin Mudd    (2023-12-20 21:24:03)
assumes difference in 4E prill split is 50% Au, 50% Rh</t>
        </r>
      </text>
    </comment>
    <comment ref="AP392" authorId="0" shapeId="0" xr:uid="{00000000-0006-0000-0000-0000D7050000}">
      <text>
        <r>
          <rPr>
            <sz val="11"/>
            <color theme="1"/>
            <rFont val="Calibri"/>
            <family val="2"/>
            <scheme val="minor"/>
          </rPr>
          <t>======
ID#AAABCyJQiAQ
Gavin Mudd    (2023-12-20 21:24:02)
assumes 75% Pt recovery from recent processing data</t>
        </r>
      </text>
    </comment>
    <comment ref="AQ392" authorId="0" shapeId="0" xr:uid="{00000000-0006-0000-0000-00009C030000}">
      <text>
        <r>
          <rPr>
            <sz val="11"/>
            <color theme="1"/>
            <rFont val="Calibri"/>
            <family val="2"/>
            <scheme val="minor"/>
          </rPr>
          <t>======
ID#AAABDDKrQBY
Gavin Mudd    (2023-12-20 21:24:03)
assumes 75% Pd recovery from recent processing data</t>
        </r>
      </text>
    </comment>
    <comment ref="AR392" authorId="0" shapeId="0" xr:uid="{00000000-0006-0000-0000-000069050000}">
      <text>
        <r>
          <rPr>
            <sz val="11"/>
            <color theme="1"/>
            <rFont val="Calibri"/>
            <family val="2"/>
            <scheme val="minor"/>
          </rPr>
          <t>======
ID#AAABDDKrPF8
Gavin Mudd    (2023-12-20 21:24:03)
assumes difference in 4E prill split is 50% Au, 50% Rh</t>
        </r>
      </text>
    </comment>
    <comment ref="BC392" authorId="0" shapeId="0" xr:uid="{00000000-0006-0000-0000-0000D4010000}">
      <text>
        <r>
          <rPr>
            <sz val="11"/>
            <color theme="1"/>
            <rFont val="Calibri"/>
            <family val="2"/>
            <scheme val="minor"/>
          </rPr>
          <t>======
ID#AAABDDKrQ6A
Gavin Mudd    (2023-12-20 21:24:04)
assumes difference in 4E prill split is 50% Au, 50% Rh</t>
        </r>
      </text>
    </comment>
    <comment ref="BK392" authorId="0" shapeId="0" xr:uid="{00000000-0006-0000-0000-00002A050000}">
      <text>
        <r>
          <rPr>
            <sz val="11"/>
            <color theme="1"/>
            <rFont val="Calibri"/>
            <family val="2"/>
            <scheme val="minor"/>
          </rPr>
          <t>======
ID#AAABDDKrPOU
Gavin Mudd    (2023-12-20 21:24:03)
assumes 75% Pt recovery from recent processing data</t>
        </r>
      </text>
    </comment>
    <comment ref="BL392" authorId="0" shapeId="0" xr:uid="{00000000-0006-0000-0000-000085020000}">
      <text>
        <r>
          <rPr>
            <sz val="11"/>
            <color theme="1"/>
            <rFont val="Calibri"/>
            <family val="2"/>
            <scheme val="minor"/>
          </rPr>
          <t>======
ID#AAABDDKrQk8
Gavin Mudd    (2023-12-20 21:24:04)
assumes 75% Pd recovery from recent processing data</t>
        </r>
      </text>
    </comment>
    <comment ref="BM392" authorId="0" shapeId="0" xr:uid="{00000000-0006-0000-0000-0000D2020000}">
      <text>
        <r>
          <rPr>
            <sz val="11"/>
            <color theme="1"/>
            <rFont val="Calibri"/>
            <family val="2"/>
            <scheme val="minor"/>
          </rPr>
          <t>======
ID#AAABDDKrQb8
Gavin Mudd    (2023-12-20 21:24:03)
assumes difference in 4E prill split is 50% Au, 50% Rh</t>
        </r>
      </text>
    </comment>
    <comment ref="BX392" authorId="0" shapeId="0" xr:uid="{00000000-0006-0000-0000-0000E6040000}">
      <text>
        <r>
          <rPr>
            <sz val="11"/>
            <color theme="1"/>
            <rFont val="Calibri"/>
            <family val="2"/>
            <scheme val="minor"/>
          </rPr>
          <t>======
ID#AAABDDKrPXo
Gavin Mudd    (2023-12-20 21:24:03)
assumes difference in 4E prill split is 50% Au, 50% Rh</t>
        </r>
      </text>
    </comment>
    <comment ref="CF392" authorId="0" shapeId="0" xr:uid="{00000000-0006-0000-0000-000011030000}">
      <text>
        <r>
          <rPr>
            <sz val="11"/>
            <color theme="1"/>
            <rFont val="Calibri"/>
            <family val="2"/>
            <scheme val="minor"/>
          </rPr>
          <t>======
ID#AAABDDKrQU4
Gavin Mudd    (2023-12-20 21:24:03)
assumes 75% Pt recovery from recent processing data</t>
        </r>
      </text>
    </comment>
    <comment ref="CG392" authorId="0" shapeId="0" xr:uid="{00000000-0006-0000-0000-0000FE030000}">
      <text>
        <r>
          <rPr>
            <sz val="11"/>
            <color theme="1"/>
            <rFont val="Calibri"/>
            <family val="2"/>
            <scheme val="minor"/>
          </rPr>
          <t>======
ID#AAABDDKrP0o
Gavin Mudd    (2023-12-20 21:24:03)
assumes 75% Pd recovery from recent processing data</t>
        </r>
      </text>
    </comment>
    <comment ref="CH392" authorId="0" shapeId="0" xr:uid="{00000000-0006-0000-0000-000089060000}">
      <text>
        <r>
          <rPr>
            <sz val="11"/>
            <color theme="1"/>
            <rFont val="Calibri"/>
            <family val="2"/>
            <scheme val="minor"/>
          </rPr>
          <t>======
ID#AAABCxlEytg
Gavin Mudd    (2023-12-20 21:24:01)
assumes difference in 4E prill split is 50% Au, 50% Rh</t>
        </r>
      </text>
    </comment>
    <comment ref="CS392" authorId="0" shapeId="0" xr:uid="{00000000-0006-0000-0000-000082000000}">
      <text>
        <r>
          <rPr>
            <sz val="11"/>
            <color theme="1"/>
            <rFont val="Calibri"/>
            <family val="2"/>
            <scheme val="minor"/>
          </rPr>
          <t>======
ID#AAABDDKrRlI
Gavin Mudd    (2023-12-20 21:24:04)
assumes difference in 4E prill split is 50% Au, 50% Rh</t>
        </r>
      </text>
    </comment>
    <comment ref="DA392" authorId="0" shapeId="0" xr:uid="{00000000-0006-0000-0000-000091060000}">
      <text>
        <r>
          <rPr>
            <sz val="11"/>
            <color theme="1"/>
            <rFont val="Calibri"/>
            <family val="2"/>
            <scheme val="minor"/>
          </rPr>
          <t>======
ID#AAABCxlEysg
Gavin Mudd    (2023-12-20 21:24:01)
assumes 75% Pt recovery from recent processing data</t>
        </r>
      </text>
    </comment>
    <comment ref="DB392" authorId="0" shapeId="0" xr:uid="{00000000-0006-0000-0000-00001D000000}">
      <text>
        <r>
          <rPr>
            <sz val="11"/>
            <color theme="1"/>
            <rFont val="Calibri"/>
            <family val="2"/>
            <scheme val="minor"/>
          </rPr>
          <t>======
ID#AAABDDKrRy8
Gavin Mudd    (2023-12-20 21:24:04)
assumes 75% Pd recovery from recent processing data</t>
        </r>
      </text>
    </comment>
    <comment ref="DC392" authorId="0" shapeId="0" xr:uid="{00000000-0006-0000-0000-00006D060000}">
      <text>
        <r>
          <rPr>
            <sz val="11"/>
            <color theme="1"/>
            <rFont val="Calibri"/>
            <family val="2"/>
            <scheme val="minor"/>
          </rPr>
          <t>======
ID#AAABCyJQhvs
Gavin Mudd    (2023-12-20 21:24:01)
assumes difference in 4E prill split is 50% Au, 50% Rh</t>
        </r>
      </text>
    </comment>
    <comment ref="BA393" authorId="0" shapeId="0" xr:uid="{00000000-0006-0000-0000-0000CA020000}">
      <text>
        <r>
          <rPr>
            <sz val="11"/>
            <color theme="1"/>
            <rFont val="Calibri"/>
            <family val="2"/>
            <scheme val="minor"/>
          </rPr>
          <t>======
ID#AAABDDKrQck
Gavin Mudd    (2023-12-20 21:24:03)
code basis unclear, assumed as inferred, non-code compliant</t>
        </r>
      </text>
    </comment>
    <comment ref="BI393" authorId="0" shapeId="0" xr:uid="{00000000-0006-0000-0000-00006B010000}">
      <text>
        <r>
          <rPr>
            <sz val="11"/>
            <color theme="1"/>
            <rFont val="Calibri"/>
            <family val="2"/>
            <scheme val="minor"/>
          </rPr>
          <t>======
ID#AAABDDKrRHg
Gavin Mudd    (2023-12-20 21:24:04)
code basis unclear, assumed as inferred, non-code compliant</t>
        </r>
      </text>
    </comment>
    <comment ref="BJ393" authorId="0" shapeId="0" xr:uid="{00000000-0006-0000-0000-0000D1010000}">
      <text>
        <r>
          <rPr>
            <sz val="11"/>
            <color theme="1"/>
            <rFont val="Calibri"/>
            <family val="2"/>
            <scheme val="minor"/>
          </rPr>
          <t>======
ID#AAABDDKrQ6g
Gavin Mudd    (2023-12-20 21:24:04)
code basis unclear, assumed as inferred, non-code compliant</t>
        </r>
      </text>
    </comment>
    <comment ref="AF394" authorId="0" shapeId="0" xr:uid="{00000000-0006-0000-0000-000021030000}">
      <text>
        <r>
          <rPr>
            <sz val="11"/>
            <color theme="1"/>
            <rFont val="Calibri"/>
            <family val="2"/>
            <scheme val="minor"/>
          </rPr>
          <t>======
ID#AAABDDKrQSw
Gavin Mudd    (2023-12-20 21:24:03)
only total resources presented, assumed as indicated resources</t>
        </r>
      </text>
    </comment>
    <comment ref="AG394" authorId="0" shapeId="0" xr:uid="{00000000-0006-0000-0000-000087000000}">
      <text>
        <r>
          <rPr>
            <sz val="11"/>
            <color theme="1"/>
            <rFont val="Calibri"/>
            <family val="2"/>
            <scheme val="minor"/>
          </rPr>
          <t>======
ID#AAABDDKrRks
Gavin Mudd    (2023-12-20 21:24:04)
only total resources presented, assumed as indicated resources</t>
        </r>
      </text>
    </comment>
    <comment ref="AH394" authorId="0" shapeId="0" xr:uid="{00000000-0006-0000-0000-0000BC030000}">
      <text>
        <r>
          <rPr>
            <sz val="11"/>
            <color theme="1"/>
            <rFont val="Calibri"/>
            <family val="2"/>
            <scheme val="minor"/>
          </rPr>
          <t>======
ID#AAABDDKrP94
Gavin Mudd    (2023-12-20 21:24:03)
only total resources presented, assumed as indicated resources; 3E g/t - 10% assumed as Au</t>
        </r>
      </text>
    </comment>
    <comment ref="AN394" authorId="0" shapeId="0" xr:uid="{00000000-0006-0000-0000-0000B6050000}">
      <text>
        <r>
          <rPr>
            <sz val="11"/>
            <color theme="1"/>
            <rFont val="Calibri"/>
            <family val="2"/>
            <scheme val="minor"/>
          </rPr>
          <t>======
ID#AAABDDKrO8Q
Gavin Mudd    (2023-12-20 21:24:03)
only total resources presented, assumed as indicated resources</t>
        </r>
      </text>
    </comment>
    <comment ref="AP394" authorId="0" shapeId="0" xr:uid="{00000000-0006-0000-0000-000092040000}">
      <text>
        <r>
          <rPr>
            <sz val="11"/>
            <color theme="1"/>
            <rFont val="Calibri"/>
            <family val="2"/>
            <scheme val="minor"/>
          </rPr>
          <t>======
ID#AAABDDKrPik
Gavin Mudd    (2023-12-20 21:24:03)
only total resources presented, assumed as indicated resources; 3E g/t - 40% assumed as Pt</t>
        </r>
      </text>
    </comment>
    <comment ref="AQ394" authorId="0" shapeId="0" xr:uid="{00000000-0006-0000-0000-00004F060000}">
      <text>
        <r>
          <rPr>
            <sz val="11"/>
            <color theme="1"/>
            <rFont val="Calibri"/>
            <family val="2"/>
            <scheme val="minor"/>
          </rPr>
          <t>======
ID#AAABCyJQhyc
Gavin Mudd    (2023-12-20 21:24:02)
only total resources presented, assumed as indicated resources; 3E g/t - 60% assumed as Pd</t>
        </r>
      </text>
    </comment>
    <comment ref="H395" authorId="0" shapeId="0" xr:uid="{00000000-0006-0000-0000-000087060000}">
      <text>
        <r>
          <rPr>
            <sz val="11"/>
            <color theme="1"/>
            <rFont val="Calibri"/>
            <family val="2"/>
            <scheme val="minor"/>
          </rPr>
          <t>======
ID#AAABCyJQhsw
Gavin Mudd    (2023-12-20 21:24:01)
Hanking satte they owj 52.5% of the joint venture but do not state partners</t>
        </r>
      </text>
    </comment>
    <comment ref="BA395" authorId="0" shapeId="0" xr:uid="{00000000-0006-0000-0000-000049000000}">
      <text>
        <r>
          <rPr>
            <sz val="11"/>
            <color theme="1"/>
            <rFont val="Calibri"/>
            <family val="2"/>
            <scheme val="minor"/>
          </rPr>
          <t>======
ID#AAABDDKrRrw
Gavin Mudd    (2023-12-20 21:24:04)
includes low grade ore targetted for nickel pig iron (NPI)</t>
        </r>
      </text>
    </comment>
    <comment ref="BI395" authorId="0" shapeId="0" xr:uid="{00000000-0006-0000-0000-0000E2050000}">
      <text>
        <r>
          <rPr>
            <sz val="11"/>
            <color theme="1"/>
            <rFont val="Calibri"/>
            <family val="2"/>
            <scheme val="minor"/>
          </rPr>
          <t>======
ID#AAABCyJQh_A
Gavin Mudd    (2023-12-20 21:24:02)
includes low grade ore targetted for nickel pig iron (NPI)</t>
        </r>
      </text>
    </comment>
    <comment ref="DP395" authorId="0" shapeId="0" xr:uid="{00000000-0006-0000-0000-000012060000}">
      <text>
        <r>
          <rPr>
            <sz val="11"/>
            <color theme="1"/>
            <rFont val="Calibri"/>
            <family val="2"/>
            <scheme val="minor"/>
          </rPr>
          <t>======
ID#AAABCyJQh5E
Gavin Mudd    (2023-12-20 21:24:02)
China Hanking sold to Tuochuan Capital in July 2018</t>
        </r>
      </text>
    </comment>
    <comment ref="C396" authorId="0" shapeId="0" xr:uid="{00000000-0006-0000-0000-000004060000}">
      <text>
        <r>
          <rPr>
            <sz val="11"/>
            <color theme="1"/>
            <rFont val="Calibri"/>
            <family val="2"/>
            <scheme val="minor"/>
          </rPr>
          <t>======
ID#AAABCyJQh6o
Gavin Mudd    (2023-12-20 21:24:02)
includes Lasolo Lalindu, Bahubulu, Tapunopaka, Mandiodo</t>
        </r>
      </text>
    </comment>
    <comment ref="C397" authorId="0" shapeId="0" xr:uid="{00000000-0006-0000-0000-0000E0010000}">
      <text>
        <r>
          <rPr>
            <sz val="11"/>
            <color theme="1"/>
            <rFont val="Calibri"/>
            <family val="2"/>
            <scheme val="minor"/>
          </rPr>
          <t>======
ID#AAABDDKrQ4I
Gavin Mudd    (2023-12-20 21:24:04)
includes Lasolo Lalindu, Bahubulu, Tapunopaka, Mandiodo</t>
        </r>
      </text>
    </comment>
    <comment ref="BA401" authorId="0" shapeId="0" xr:uid="{00000000-0006-0000-0000-0000D8000000}">
      <text>
        <r>
          <rPr>
            <sz val="11"/>
            <color theme="1"/>
            <rFont val="Calibri"/>
            <family val="2"/>
            <scheme val="minor"/>
          </rPr>
          <t>======
ID#AAABDDKrRaQ
Gavin Mudd    (2023-12-20 21:24:04)
historical resourcs, assumed as inferred resources</t>
        </r>
      </text>
    </comment>
    <comment ref="BI401" authorId="0" shapeId="0" xr:uid="{00000000-0006-0000-0000-00003C030000}">
      <text>
        <r>
          <rPr>
            <sz val="11"/>
            <color theme="1"/>
            <rFont val="Calibri"/>
            <family val="2"/>
            <scheme val="minor"/>
          </rPr>
          <t>======
ID#AAABDDKrQP4
Gavin Mudd    (2023-12-20 21:24:03)
historical resourcs, assumed as inferred resources</t>
        </r>
      </text>
    </comment>
    <comment ref="BJ401" authorId="0" shapeId="0" xr:uid="{00000000-0006-0000-0000-00000F010000}">
      <text>
        <r>
          <rPr>
            <sz val="11"/>
            <color theme="1"/>
            <rFont val="Calibri"/>
            <family val="2"/>
            <scheme val="minor"/>
          </rPr>
          <t>======
ID#AAABDDKrRUE
Gavin Mudd    (2023-12-20 21:24:04)
value from Berger et al (2011)</t>
        </r>
      </text>
    </comment>
    <comment ref="H402" authorId="0" shapeId="0" xr:uid="{00000000-0006-0000-0000-000076000000}">
      <text>
        <r>
          <rPr>
            <sz val="11"/>
            <color theme="1"/>
            <rFont val="Calibri"/>
            <family val="2"/>
            <scheme val="minor"/>
          </rPr>
          <t>======
ID#AAABDDKrRmY
Author    (2023-12-20 21:24:04)
formerly Nevoro, which became Starfield Resources - now bankrupt</t>
        </r>
      </text>
    </comment>
    <comment ref="BA402" authorId="0" shapeId="0" xr:uid="{00000000-0006-0000-0000-00001F000000}">
      <text>
        <r>
          <rPr>
            <sz val="11"/>
            <color theme="1"/>
            <rFont val="Calibri"/>
            <family val="2"/>
            <scheme val="minor"/>
          </rPr>
          <t>======
ID#AAABDDKrRyw
Gavin Mudd    (2023-12-20 21:24:04)
historic resources (non-compliant with NI43-101) - hence all data allocated as inferred resources only</t>
        </r>
      </text>
    </comment>
    <comment ref="BB402" authorId="0" shapeId="0" xr:uid="{00000000-0006-0000-0000-0000AF010000}">
      <text>
        <r>
          <rPr>
            <sz val="11"/>
            <color theme="1"/>
            <rFont val="Calibri"/>
            <family val="2"/>
            <scheme val="minor"/>
          </rPr>
          <t>======
ID#AAABDDKrQ-k
Gavin Mudd    (2023-12-20 21:24:04)
historic resources (non-compliant with NI43-101) - hence all data allocated as inferred resources only</t>
        </r>
      </text>
    </comment>
    <comment ref="BI402" authorId="0" shapeId="0" xr:uid="{00000000-0006-0000-0000-000050010000}">
      <text>
        <r>
          <rPr>
            <sz val="11"/>
            <color theme="1"/>
            <rFont val="Calibri"/>
            <family val="2"/>
            <scheme val="minor"/>
          </rPr>
          <t>======
ID#AAABDDKrRK4
Gavin Mudd    (2023-12-20 21:24:04)
historic resources (non-compliant with NI43-101) - hence all data allocated as inferred resources only</t>
        </r>
      </text>
    </comment>
    <comment ref="H405" authorId="0" shapeId="0" xr:uid="{00000000-0006-0000-0000-000023050000}">
      <text>
        <r>
          <rPr>
            <sz val="11"/>
            <color theme="1"/>
            <rFont val="Calibri"/>
            <family val="2"/>
            <scheme val="minor"/>
          </rPr>
          <t>======
ID#AAABDDKrPPM
Gavin Mudd    (2023-12-20 21:24:03)
current (late 2019) ownership remains unclear</t>
        </r>
      </text>
    </comment>
    <comment ref="BA405" authorId="0" shapeId="0" xr:uid="{00000000-0006-0000-0000-0000DD050000}">
      <text>
        <r>
          <rPr>
            <sz val="11"/>
            <color theme="1"/>
            <rFont val="Calibri"/>
            <family val="2"/>
            <scheme val="minor"/>
          </rPr>
          <t>======
ID#AAABCyJQh_k
Gavin Mudd    (2023-12-20 21:24:02)
historical data, not code-compliant</t>
        </r>
      </text>
    </comment>
    <comment ref="BI405" authorId="0" shapeId="0" xr:uid="{00000000-0006-0000-0000-0000CD000000}">
      <text>
        <r>
          <rPr>
            <sz val="11"/>
            <color theme="1"/>
            <rFont val="Calibri"/>
            <family val="2"/>
            <scheme val="minor"/>
          </rPr>
          <t>======
ID#AAABDDKrRcI
Gavin Mudd    (2023-12-20 21:24:04)
historical data, not code-compliant</t>
        </r>
      </text>
    </comment>
    <comment ref="K407" authorId="0" shapeId="0" xr:uid="{00000000-0006-0000-0000-00005C050000}">
      <text>
        <r>
          <rPr>
            <sz val="11"/>
            <color theme="1"/>
            <rFont val="Calibri"/>
            <family val="2"/>
            <scheme val="minor"/>
          </rPr>
          <t>======
ID#AAABDDKrPIY
Gavin Mudd    (2023-12-20 21:24:03)
proved oer reserves assumed same as measured resources (due to lack of total mineral resources data)</t>
        </r>
      </text>
    </comment>
    <comment ref="S407" authorId="0" shapeId="0" xr:uid="{00000000-0006-0000-0000-000035040000}">
      <text>
        <r>
          <rPr>
            <sz val="11"/>
            <color theme="1"/>
            <rFont val="Calibri"/>
            <family val="2"/>
            <scheme val="minor"/>
          </rPr>
          <t>======
ID#AAABDDKrPtw
Gavin Mudd    (2023-12-20 21:24:03)
proved oer reserves assumed same as measured resources (due to lack of total mineral resources data)</t>
        </r>
      </text>
    </comment>
    <comment ref="T407" authorId="0" shapeId="0" xr:uid="{00000000-0006-0000-0000-00003F040000}">
      <text>
        <r>
          <rPr>
            <sz val="11"/>
            <color theme="1"/>
            <rFont val="Calibri"/>
            <family val="2"/>
            <scheme val="minor"/>
          </rPr>
          <t>======
ID#AAABDDKrPsg
Gavin Mudd    (2023-12-20 21:24:03)
proved oer reserves assumed same as measured resources (due to lack of total mineral resources data)</t>
        </r>
      </text>
    </comment>
    <comment ref="AF407" authorId="0" shapeId="0" xr:uid="{00000000-0006-0000-0000-0000ED000000}">
      <text>
        <r>
          <rPr>
            <sz val="11"/>
            <color theme="1"/>
            <rFont val="Calibri"/>
            <family val="2"/>
            <scheme val="minor"/>
          </rPr>
          <t>======
ID#AAABDDKrRXo
Gavin Mudd    (2023-12-20 21:24:04)
probable oer reserves assumed same as indicated resources (due to lack of total mineral resources data)</t>
        </r>
      </text>
    </comment>
    <comment ref="AN407" authorId="0" shapeId="0" xr:uid="{00000000-0006-0000-0000-000034030000}">
      <text>
        <r>
          <rPr>
            <sz val="11"/>
            <color theme="1"/>
            <rFont val="Calibri"/>
            <family val="2"/>
            <scheme val="minor"/>
          </rPr>
          <t>======
ID#AAABDDKrQQ0
Gavin Mudd    (2023-12-20 21:24:03)
probable oer reserves assumed same as indicated resources (due to lack of total mineral resources data)</t>
        </r>
      </text>
    </comment>
    <comment ref="AO407" authorId="0" shapeId="0" xr:uid="{00000000-0006-0000-0000-000029020000}">
      <text>
        <r>
          <rPr>
            <sz val="11"/>
            <color theme="1"/>
            <rFont val="Calibri"/>
            <family val="2"/>
            <scheme val="minor"/>
          </rPr>
          <t>======
ID#AAABDDKrQwA
Gavin Mudd    (2023-12-20 21:24:04)
probable oer reserves assumed same as indicated resources (due to lack of total mineral resources data)</t>
        </r>
      </text>
    </comment>
    <comment ref="BA408" authorId="0" shapeId="0" xr:uid="{00000000-0006-0000-0000-0000CD050000}">
      <text>
        <r>
          <rPr>
            <sz val="11"/>
            <color theme="1"/>
            <rFont val="Calibri"/>
            <family val="2"/>
            <scheme val="minor"/>
          </rPr>
          <t>======
ID#AAABDDKrO5s
Gavin Mudd    (2023-12-20 21:24:02)
historic resources (non-compliant with NI43-101) - hence all data allocated as inferred resources only</t>
        </r>
      </text>
    </comment>
    <comment ref="BB408" authorId="0" shapeId="0" xr:uid="{00000000-0006-0000-0000-0000A7050000}">
      <text>
        <r>
          <rPr>
            <sz val="11"/>
            <color theme="1"/>
            <rFont val="Calibri"/>
            <family val="2"/>
            <scheme val="minor"/>
          </rPr>
          <t>======
ID#AAABDDKrO98
Gavin Mudd    (2023-12-20 21:24:03)
historic resources (non-compliant with NI43-101) - hence all data allocated as inferred resources only</t>
        </r>
      </text>
    </comment>
    <comment ref="BI408" authorId="0" shapeId="0" xr:uid="{00000000-0006-0000-0000-0000A6010000}">
      <text>
        <r>
          <rPr>
            <sz val="11"/>
            <color theme="1"/>
            <rFont val="Calibri"/>
            <family val="2"/>
            <scheme val="minor"/>
          </rPr>
          <t>======
ID#AAABDDKrQ_s
Gavin Mudd    (2023-12-20 21:24:04)
historic resources (non-compliant with NI43-101) - hence all data allocated as inferred resources only</t>
        </r>
      </text>
    </comment>
    <comment ref="BJ408" authorId="0" shapeId="0" xr:uid="{00000000-0006-0000-0000-0000A9010000}">
      <text>
        <r>
          <rPr>
            <sz val="11"/>
            <color theme="1"/>
            <rFont val="Calibri"/>
            <family val="2"/>
            <scheme val="minor"/>
          </rPr>
          <t>======
ID#AAABDDKrQ_E
Gavin Mudd    (2023-12-20 21:24:04)
historic resources (non-compliant with NI43-101) - hence all data allocated as inferred resources only</t>
        </r>
      </text>
    </comment>
    <comment ref="H409" authorId="0" shapeId="0" xr:uid="{00000000-0006-0000-0000-00006F000000}">
      <text>
        <r>
          <rPr>
            <sz val="11"/>
            <color theme="1"/>
            <rFont val="Calibri"/>
            <family val="2"/>
            <scheme val="minor"/>
          </rPr>
          <t>======
ID#AAABDDKrRnM
Gavin Mudd    (2023-12-20 21:24:04)
previously owned by Altona Mining</t>
        </r>
      </text>
    </comment>
    <comment ref="K409" authorId="0" shapeId="0" xr:uid="{00000000-0006-0000-0000-000078010000}">
      <text>
        <r>
          <rPr>
            <sz val="11"/>
            <color theme="1"/>
            <rFont val="Calibri"/>
            <family val="2"/>
            <scheme val="minor"/>
          </rPr>
          <t>======
ID#AAABDDKrRF0
Gavin Mudd    (2023-12-20 21:24:04)
data from Altona Mining Ltd, Annual Report 2013</t>
        </r>
      </text>
    </comment>
    <comment ref="L409" authorId="0" shapeId="0" xr:uid="{00000000-0006-0000-0000-000011010000}">
      <text>
        <r>
          <rPr>
            <sz val="11"/>
            <color theme="1"/>
            <rFont val="Calibri"/>
            <family val="2"/>
            <scheme val="minor"/>
          </rPr>
          <t>======
ID#AAABDDKrRT4
Gavin Mudd    (2023-12-20 21:24:04)
data from Altona Mining Ltd, Annual Report 2013</t>
        </r>
      </text>
    </comment>
    <comment ref="R409" authorId="0" shapeId="0" xr:uid="{00000000-0006-0000-0000-000083000000}">
      <text>
        <r>
          <rPr>
            <sz val="11"/>
            <color theme="1"/>
            <rFont val="Calibri"/>
            <family val="2"/>
            <scheme val="minor"/>
          </rPr>
          <t>======
ID#AAABDDKrRlE
Gavin Mudd    (2023-12-20 21:24:04)
data from Altona Mining Ltd, Annual Report 2013</t>
        </r>
      </text>
    </comment>
    <comment ref="S409" authorId="0" shapeId="0" xr:uid="{00000000-0006-0000-0000-000082040000}">
      <text>
        <r>
          <rPr>
            <sz val="11"/>
            <color theme="1"/>
            <rFont val="Calibri"/>
            <family val="2"/>
            <scheme val="minor"/>
          </rPr>
          <t>======
ID#AAABDDKrPko
Gavin Mudd    (2023-12-20 21:24:03)
data from Altona Mining Ltd, Annual Report 2013</t>
        </r>
      </text>
    </comment>
    <comment ref="T409" authorId="0" shapeId="0" xr:uid="{00000000-0006-0000-0000-0000E9020000}">
      <text>
        <r>
          <rPr>
            <sz val="11"/>
            <color theme="1"/>
            <rFont val="Calibri"/>
            <family val="2"/>
            <scheme val="minor"/>
          </rPr>
          <t>======
ID#AAABDDKrQZY
Gavin Mudd    (2023-12-20 21:24:03)
data from Altona Mining Ltd, Annual Report 2013</t>
        </r>
      </text>
    </comment>
    <comment ref="AF409" authorId="0" shapeId="0" xr:uid="{00000000-0006-0000-0000-00007A060000}">
      <text>
        <r>
          <rPr>
            <sz val="11"/>
            <color theme="1"/>
            <rFont val="Calibri"/>
            <family val="2"/>
            <scheme val="minor"/>
          </rPr>
          <t>======
ID#AAABCyJQht4
Gavin Mudd    (2023-12-20 21:24:01)
data from Altona Mining Ltd, Annual Report 2013</t>
        </r>
      </text>
    </comment>
    <comment ref="AG409" authorId="0" shapeId="0" xr:uid="{00000000-0006-0000-0000-000088000000}">
      <text>
        <r>
          <rPr>
            <sz val="11"/>
            <color theme="1"/>
            <rFont val="Calibri"/>
            <family val="2"/>
            <scheme val="minor"/>
          </rPr>
          <t>======
ID#AAABDDKrRko
Gavin Mudd    (2023-12-20 21:24:04)
data from Altona Mining Ltd, Annual Report 2013</t>
        </r>
      </text>
    </comment>
    <comment ref="AM409" authorId="0" shapeId="0" xr:uid="{00000000-0006-0000-0000-000071030000}">
      <text>
        <r>
          <rPr>
            <sz val="11"/>
            <color theme="1"/>
            <rFont val="Calibri"/>
            <family val="2"/>
            <scheme val="minor"/>
          </rPr>
          <t>======
ID#AAABDDKrQJM
Gavin Mudd    (2023-12-20 21:24:03)
data from Altona Mining Ltd, Annual Report 2013</t>
        </r>
      </text>
    </comment>
    <comment ref="AN409" authorId="0" shapeId="0" xr:uid="{00000000-0006-0000-0000-00004F020000}">
      <text>
        <r>
          <rPr>
            <sz val="11"/>
            <color theme="1"/>
            <rFont val="Calibri"/>
            <family val="2"/>
            <scheme val="minor"/>
          </rPr>
          <t>======
ID#AAABDDKrQrA
Gavin Mudd    (2023-12-20 21:24:04)
data from Altona Mining Ltd, Annual Report 2013</t>
        </r>
      </text>
    </comment>
    <comment ref="AO409" authorId="0" shapeId="0" xr:uid="{00000000-0006-0000-0000-0000DB000000}">
      <text>
        <r>
          <rPr>
            <sz val="11"/>
            <color theme="1"/>
            <rFont val="Calibri"/>
            <family val="2"/>
            <scheme val="minor"/>
          </rPr>
          <t>======
ID#AAABDDKrRaA
Gavin Mudd    (2023-12-20 21:24:04)
data from Altona Mining Ltd, Annual Report 2013</t>
        </r>
      </text>
    </comment>
    <comment ref="BA409" authorId="0" shapeId="0" xr:uid="{00000000-0006-0000-0000-000018040000}">
      <text>
        <r>
          <rPr>
            <sz val="11"/>
            <color theme="1"/>
            <rFont val="Calibri"/>
            <family val="2"/>
            <scheme val="minor"/>
          </rPr>
          <t>======
ID#AAABDDKrPw8
Gavin Mudd    (2023-12-20 21:24:03)
data from Altona Mining Ltd, Annual Report 2013</t>
        </r>
      </text>
    </comment>
    <comment ref="BB409" authorId="0" shapeId="0" xr:uid="{00000000-0006-0000-0000-0000AC010000}">
      <text>
        <r>
          <rPr>
            <sz val="11"/>
            <color theme="1"/>
            <rFont val="Calibri"/>
            <family val="2"/>
            <scheme val="minor"/>
          </rPr>
          <t>======
ID#AAABDDKrQ_A
Gavin Mudd    (2023-12-20 21:24:04)
data from Altona Mining Ltd, Annual Report 2013</t>
        </r>
      </text>
    </comment>
    <comment ref="BH409" authorId="0" shapeId="0" xr:uid="{00000000-0006-0000-0000-000031000000}">
      <text>
        <r>
          <rPr>
            <sz val="11"/>
            <color theme="1"/>
            <rFont val="Calibri"/>
            <family val="2"/>
            <scheme val="minor"/>
          </rPr>
          <t>======
ID#AAABDDKrRvY
Gavin Mudd    (2023-12-20 21:24:04)
data from Altona Mining Ltd, Annual Report 2013</t>
        </r>
      </text>
    </comment>
    <comment ref="BI409" authorId="0" shapeId="0" xr:uid="{00000000-0006-0000-0000-000025060000}">
      <text>
        <r>
          <rPr>
            <sz val="11"/>
            <color theme="1"/>
            <rFont val="Calibri"/>
            <family val="2"/>
            <scheme val="minor"/>
          </rPr>
          <t>======
ID#AAABCyJQh2o
Gavin Mudd    (2023-12-20 21:24:02)
data from Altona Mining Ltd, Annual Report 2013</t>
        </r>
      </text>
    </comment>
    <comment ref="BJ409" authorId="0" shapeId="0" xr:uid="{00000000-0006-0000-0000-00006D010000}">
      <text>
        <r>
          <rPr>
            <sz val="11"/>
            <color theme="1"/>
            <rFont val="Calibri"/>
            <family val="2"/>
            <scheme val="minor"/>
          </rPr>
          <t>======
ID#AAABDDKrRHQ
Gavin Mudd    (2023-12-20 21:24:04)
data from Altona Mining Ltd, Annual Report 2013</t>
        </r>
      </text>
    </comment>
    <comment ref="H410" authorId="0" shapeId="0" xr:uid="{00000000-0006-0000-0000-00001C000000}">
      <text>
        <r>
          <rPr>
            <sz val="11"/>
            <color theme="1"/>
            <rFont val="Calibri"/>
            <family val="2"/>
            <scheme val="minor"/>
          </rPr>
          <t>======
ID#AAABDDKrRzA
Gavin Mudd    (2023-12-20 21:24:04)
previously owned by Altona Mining</t>
        </r>
      </text>
    </comment>
    <comment ref="BA410" authorId="0" shapeId="0" xr:uid="{00000000-0006-0000-0000-000033010000}">
      <text>
        <r>
          <rPr>
            <sz val="11"/>
            <color theme="1"/>
            <rFont val="Calibri"/>
            <family val="2"/>
            <scheme val="minor"/>
          </rPr>
          <t>======
ID#AAABDDKrRO4
Gavin Mudd    (2023-12-20 21:24:04)
data from FODD (2017 edition) (GTK, 2018)</t>
        </r>
      </text>
    </comment>
    <comment ref="BB410" authorId="0" shapeId="0" xr:uid="{00000000-0006-0000-0000-0000F2010000}">
      <text>
        <r>
          <rPr>
            <sz val="11"/>
            <color theme="1"/>
            <rFont val="Calibri"/>
            <family val="2"/>
            <scheme val="minor"/>
          </rPr>
          <t>======
ID#AAABDDKrQ2M
Gavin Mudd    (2023-12-20 21:24:04)
data from FODD (2017 edition) (GTK, 2018)</t>
        </r>
      </text>
    </comment>
    <comment ref="BC410" authorId="0" shapeId="0" xr:uid="{00000000-0006-0000-0000-0000A3050000}">
      <text>
        <r>
          <rPr>
            <sz val="11"/>
            <color theme="1"/>
            <rFont val="Calibri"/>
            <family val="2"/>
            <scheme val="minor"/>
          </rPr>
          <t>======
ID#AAABDDKrO-g
Gavin Mudd    (2023-12-20 21:24:03)
data from FODD (2017 edition) (GTK, 2018)</t>
        </r>
      </text>
    </comment>
    <comment ref="BD410" authorId="0" shapeId="0" xr:uid="{00000000-0006-0000-0000-0000E6000000}">
      <text>
        <r>
          <rPr>
            <sz val="11"/>
            <color theme="1"/>
            <rFont val="Calibri"/>
            <family val="2"/>
            <scheme val="minor"/>
          </rPr>
          <t>======
ID#AAABDDKrRYw
Gavin Mudd    (2023-12-20 21:24:04)
data from FODD (2017 edition) (GTK, 2018)</t>
        </r>
      </text>
    </comment>
    <comment ref="BI410" authorId="0" shapeId="0" xr:uid="{00000000-0006-0000-0000-000086030000}">
      <text>
        <r>
          <rPr>
            <sz val="11"/>
            <color theme="1"/>
            <rFont val="Calibri"/>
            <family val="2"/>
            <scheme val="minor"/>
          </rPr>
          <t>======
ID#AAABDDKrQEQ
Gavin Mudd    (2023-12-20 21:24:03)
data from FODD (2017 edition) (GTK, 2018)</t>
        </r>
      </text>
    </comment>
    <comment ref="BJ410" authorId="0" shapeId="0" xr:uid="{00000000-0006-0000-0000-000069040000}">
      <text>
        <r>
          <rPr>
            <sz val="11"/>
            <color theme="1"/>
            <rFont val="Calibri"/>
            <family val="2"/>
            <scheme val="minor"/>
          </rPr>
          <t>======
ID#AAABDDKrPn8
Gavin Mudd    (2023-12-20 21:24:03)
data from FODD (2017 edition) (GTK, 2018)</t>
        </r>
      </text>
    </comment>
    <comment ref="H411" authorId="0" shapeId="0" xr:uid="{00000000-0006-0000-0000-0000A7040000}">
      <text>
        <r>
          <rPr>
            <sz val="11"/>
            <color theme="1"/>
            <rFont val="Calibri"/>
            <family val="2"/>
            <scheme val="minor"/>
          </rPr>
          <t>======
ID#AAABDDKrPfE
Gavin Mudd    (2023-12-20 21:24:03)
previously owned by Altona Mining</t>
        </r>
      </text>
    </comment>
    <comment ref="H412" authorId="0" shapeId="0" xr:uid="{00000000-0006-0000-0000-0000CD040000}">
      <text>
        <r>
          <rPr>
            <sz val="11"/>
            <color theme="1"/>
            <rFont val="Calibri"/>
            <family val="2"/>
            <scheme val="minor"/>
          </rPr>
          <t>======
ID#AAABDDKrPaY
Gavin Mudd    (2023-12-20 21:24:03)
previously owned by Altona Mining</t>
        </r>
      </text>
    </comment>
    <comment ref="BJ412" authorId="0" shapeId="0" xr:uid="{00000000-0006-0000-0000-000019010000}">
      <text>
        <r>
          <rPr>
            <sz val="11"/>
            <color theme="1"/>
            <rFont val="Calibri"/>
            <family val="2"/>
            <scheme val="minor"/>
          </rPr>
          <t>======
ID#AAABDDKrRTE
Gavin Mudd    (2023-12-20 21:24:04)
data from FODD (2017 edition) (GTK, 2018)</t>
        </r>
      </text>
    </comment>
    <comment ref="H413" authorId="0" shapeId="0" xr:uid="{00000000-0006-0000-0000-00004D030000}">
      <text>
        <r>
          <rPr>
            <sz val="11"/>
            <color theme="1"/>
            <rFont val="Calibri"/>
            <family val="2"/>
            <scheme val="minor"/>
          </rPr>
          <t>======
ID#AAABDDKrQN8
Gavin Mudd    (2023-12-20 21:24:03)
previously owned by Altona Mining</t>
        </r>
      </text>
    </comment>
    <comment ref="H414" authorId="0" shapeId="0" xr:uid="{00000000-0006-0000-0000-000031030000}">
      <text>
        <r>
          <rPr>
            <sz val="11"/>
            <color theme="1"/>
            <rFont val="Calibri"/>
            <family val="2"/>
            <scheme val="minor"/>
          </rPr>
          <t>======
ID#AAABDDKrQRQ
Gavin Mudd    (2023-12-20 21:24:03)
previously owned by Altona Mining</t>
        </r>
      </text>
    </comment>
    <comment ref="H415" authorId="0" shapeId="0" xr:uid="{00000000-0006-0000-0000-0000A5010000}">
      <text>
        <r>
          <rPr>
            <sz val="11"/>
            <color theme="1"/>
            <rFont val="Calibri"/>
            <family val="2"/>
            <scheme val="minor"/>
          </rPr>
          <t>======
ID#AAABDDKrQ_0
Gavin Mudd    (2023-12-20 21:24:04)
previously owned by Altona Mining</t>
        </r>
      </text>
    </comment>
    <comment ref="BC415" authorId="0" shapeId="0" xr:uid="{00000000-0006-0000-0000-0000FA040000}">
      <text>
        <r>
          <rPr>
            <sz val="11"/>
            <color theme="1"/>
            <rFont val="Calibri"/>
            <family val="2"/>
            <scheme val="minor"/>
          </rPr>
          <t>======
ID#AAABDDKrPU8
Gavin Mudd    (2023-12-20 21:24:03)
data from FODD (2017 edition) (GTK, 2018)</t>
        </r>
      </text>
    </comment>
    <comment ref="BD415" authorId="0" shapeId="0" xr:uid="{00000000-0006-0000-0000-00002A030000}">
      <text>
        <r>
          <rPr>
            <sz val="11"/>
            <color theme="1"/>
            <rFont val="Calibri"/>
            <family val="2"/>
            <scheme val="minor"/>
          </rPr>
          <t>======
ID#AAABDDKrQRw
Gavin Mudd    (2023-12-20 21:24:03)
data from FODD (2017 edition) (GTK, 2018)</t>
        </r>
      </text>
    </comment>
    <comment ref="BI415" authorId="0" shapeId="0" xr:uid="{00000000-0006-0000-0000-000025050000}">
      <text>
        <r>
          <rPr>
            <sz val="11"/>
            <color theme="1"/>
            <rFont val="Calibri"/>
            <family val="2"/>
            <scheme val="minor"/>
          </rPr>
          <t>======
ID#AAABDDKrPPA
Gavin Mudd    (2023-12-20 21:24:03)
data from FODD (2017 edition) (GTK, 2018)</t>
        </r>
      </text>
    </comment>
    <comment ref="BA416" authorId="0" shapeId="0" xr:uid="{00000000-0006-0000-0000-000004010000}">
      <text>
        <r>
          <rPr>
            <sz val="11"/>
            <color theme="1"/>
            <rFont val="Calibri"/>
            <family val="2"/>
            <scheme val="minor"/>
          </rPr>
          <t>======
ID#AAABDDKrRVI
Gavin Mudd    (2023-12-20 21:24:04)
historic resources (non-compliant with NI43-101) - hence all data allocated as inferred resources only</t>
        </r>
      </text>
    </comment>
    <comment ref="BB416" authorId="0" shapeId="0" xr:uid="{00000000-0006-0000-0000-00008B000000}">
      <text>
        <r>
          <rPr>
            <sz val="11"/>
            <color theme="1"/>
            <rFont val="Calibri"/>
            <family val="2"/>
            <scheme val="minor"/>
          </rPr>
          <t>======
ID#AAABDDKrRkY
Gavin Mudd    (2023-12-20 21:24:04)
historic resources (non-compliant with NI43-101) - hence all data allocated as inferred resources only</t>
        </r>
      </text>
    </comment>
    <comment ref="BI416" authorId="0" shapeId="0" xr:uid="{00000000-0006-0000-0000-0000C9020000}">
      <text>
        <r>
          <rPr>
            <sz val="11"/>
            <color theme="1"/>
            <rFont val="Calibri"/>
            <family val="2"/>
            <scheme val="minor"/>
          </rPr>
          <t>======
ID#AAABDDKrQco
Gavin Mudd    (2023-12-20 21:24:03)
historic resources (non-compliant with NI43-101) - hence all data allocated as inferred resources only</t>
        </r>
      </text>
    </comment>
    <comment ref="H418" authorId="0" shapeId="0" xr:uid="{00000000-0006-0000-0000-0000C5050000}">
      <text>
        <r>
          <rPr>
            <sz val="11"/>
            <color theme="1"/>
            <rFont val="Calibri"/>
            <family val="2"/>
            <scheme val="minor"/>
          </rPr>
          <t>======
ID#AAABDDKrO6Q
Gavin Mudd    (2023-12-20 21:24:02)
possibly Clean Power Pty Ltd, then MinRex Resources Ltd - but current ownwer unknown</t>
        </r>
      </text>
    </comment>
    <comment ref="K419" authorId="0" shapeId="0" xr:uid="{00000000-0006-0000-0000-0000CE020000}">
      <text>
        <r>
          <rPr>
            <sz val="11"/>
            <color theme="1"/>
            <rFont val="Calibri"/>
            <family val="2"/>
            <scheme val="minor"/>
          </rPr>
          <t>======
ID#AAABDDKrQcQ
Gavin Mudd    (2023-12-20 21:24:03)
stated as reserves only with no additional resources, hece assumed as measured resources</t>
        </r>
      </text>
    </comment>
    <comment ref="L419" authorId="0" shapeId="0" xr:uid="{00000000-0006-0000-0000-000074060000}">
      <text>
        <r>
          <rPr>
            <sz val="11"/>
            <color theme="1"/>
            <rFont val="Calibri"/>
            <family val="2"/>
            <scheme val="minor"/>
          </rPr>
          <t>======
ID#AAABCyJQhuk
Gavin Mudd    (2023-12-20 21:24:01)
stated as reserves only with no additional resources, hece assumed as measured resources</t>
        </r>
      </text>
    </comment>
    <comment ref="M419" authorId="0" shapeId="0" xr:uid="{00000000-0006-0000-0000-00006E040000}">
      <text>
        <r>
          <rPr>
            <sz val="11"/>
            <color theme="1"/>
            <rFont val="Calibri"/>
            <family val="2"/>
            <scheme val="minor"/>
          </rPr>
          <t>======
ID#AAABDDKrPnU
Gavin Mudd    (2023-12-20 21:24:03)
stated as reserves only with no additional resources, hece assumed as measured resources</t>
        </r>
      </text>
    </comment>
    <comment ref="S419" authorId="0" shapeId="0" xr:uid="{00000000-0006-0000-0000-000069010000}">
      <text>
        <r>
          <rPr>
            <sz val="11"/>
            <color theme="1"/>
            <rFont val="Calibri"/>
            <family val="2"/>
            <scheme val="minor"/>
          </rPr>
          <t>======
ID#AAABDDKrRHs
Gavin Mudd    (2023-12-20 21:24:04)
stated as reserves only with no additional resources, hece assumed as measured resources</t>
        </r>
      </text>
    </comment>
    <comment ref="U419" authorId="0" shapeId="0" xr:uid="{00000000-0006-0000-0000-00006E060000}">
      <text>
        <r>
          <rPr>
            <sz val="11"/>
            <color theme="1"/>
            <rFont val="Calibri"/>
            <family val="2"/>
            <scheme val="minor"/>
          </rPr>
          <t>======
ID#AAABCyJQhvg
Gavin Mudd    (2023-12-20 21:24:01)
only total resources presented, assumed as indicated resources; 3E g/t - 40% assumed as Pt</t>
        </r>
      </text>
    </comment>
    <comment ref="V419" authorId="0" shapeId="0" xr:uid="{00000000-0006-0000-0000-000022020000}">
      <text>
        <r>
          <rPr>
            <sz val="11"/>
            <color theme="1"/>
            <rFont val="Calibri"/>
            <family val="2"/>
            <scheme val="minor"/>
          </rPr>
          <t>======
ID#AAABDDKrQw4
Gavin Mudd    (2023-12-20 21:24:04)
only total resources presented, assumed as indicated resources; 3E g/t - 60% assumed as Pd</t>
        </r>
      </text>
    </comment>
    <comment ref="CF419" authorId="0" shapeId="0" xr:uid="{00000000-0006-0000-0000-00006A000000}">
      <text>
        <r>
          <rPr>
            <sz val="11"/>
            <color theme="1"/>
            <rFont val="Calibri"/>
            <family val="2"/>
            <scheme val="minor"/>
          </rPr>
          <t>======
ID#AAABDDKrRno
Gavin Mudd    (2023-12-20 21:24:04)
only total resources presented, assumed as indicated resources; 3E g/t - 40% assumed as Pt</t>
        </r>
      </text>
    </comment>
    <comment ref="CG419" authorId="0" shapeId="0" xr:uid="{00000000-0006-0000-0000-00008B020000}">
      <text>
        <r>
          <rPr>
            <sz val="11"/>
            <color theme="1"/>
            <rFont val="Calibri"/>
            <family val="2"/>
            <scheme val="minor"/>
          </rPr>
          <t>======
ID#AAABDDKrQkY
Gavin Mudd    (2023-12-20 21:24:04)
only total resources presented, assumed as indicated resources; 3E g/t - 60% assumed as Pd</t>
        </r>
      </text>
    </comment>
    <comment ref="K420" authorId="0" shapeId="0" xr:uid="{00000000-0006-0000-0000-00001F030000}">
      <text>
        <r>
          <rPr>
            <sz val="11"/>
            <color theme="1"/>
            <rFont val="Calibri"/>
            <family val="2"/>
            <scheme val="minor"/>
          </rPr>
          <t>======
ID#AAABDDKrQTA
Gavin Mudd    (2023-12-20 21:24:03)
stated as reserves only with no additional resources, hece assumed as measured resources</t>
        </r>
      </text>
    </comment>
    <comment ref="L420" authorId="0" shapeId="0" xr:uid="{00000000-0006-0000-0000-0000E0020000}">
      <text>
        <r>
          <rPr>
            <sz val="11"/>
            <color theme="1"/>
            <rFont val="Calibri"/>
            <family val="2"/>
            <scheme val="minor"/>
          </rPr>
          <t>======
ID#AAABDDKrQaI
Gavin Mudd    (2023-12-20 21:24:03)
stated as reserves only with no additional resources, hece assumed as measured resources</t>
        </r>
      </text>
    </comment>
    <comment ref="M420" authorId="0" shapeId="0" xr:uid="{00000000-0006-0000-0000-00002F040000}">
      <text>
        <r>
          <rPr>
            <sz val="11"/>
            <color theme="1"/>
            <rFont val="Calibri"/>
            <family val="2"/>
            <scheme val="minor"/>
          </rPr>
          <t>======
ID#AAABDDKrPuc
Gavin Mudd    (2023-12-20 21:24:03)
stated as reserves only with no additional resources, hece assumed as measured resources</t>
        </r>
      </text>
    </comment>
    <comment ref="S420" authorId="0" shapeId="0" xr:uid="{00000000-0006-0000-0000-00005F040000}">
      <text>
        <r>
          <rPr>
            <sz val="11"/>
            <color theme="1"/>
            <rFont val="Calibri"/>
            <family val="2"/>
            <scheme val="minor"/>
          </rPr>
          <t>======
ID#AAABDDKrPow
Gavin Mudd    (2023-12-20 21:24:03)
stated as reserves only with no additional resources, hece assumed as measured resources</t>
        </r>
      </text>
    </comment>
    <comment ref="U420" authorId="0" shapeId="0" xr:uid="{00000000-0006-0000-0000-0000CD020000}">
      <text>
        <r>
          <rPr>
            <sz val="11"/>
            <color theme="1"/>
            <rFont val="Calibri"/>
            <family val="2"/>
            <scheme val="minor"/>
          </rPr>
          <t>======
ID#AAABDDKrQcU
Gavin Mudd    (2023-12-20 21:24:03)
only total resources presented, assumed as indicated resources; 3E g/t - 40% assumed as Pt</t>
        </r>
      </text>
    </comment>
    <comment ref="V420" authorId="0" shapeId="0" xr:uid="{00000000-0006-0000-0000-000097030000}">
      <text>
        <r>
          <rPr>
            <sz val="11"/>
            <color theme="1"/>
            <rFont val="Calibri"/>
            <family val="2"/>
            <scheme val="minor"/>
          </rPr>
          <t>======
ID#AAABDDKrQCM
Gavin Mudd    (2023-12-20 21:24:03)
only total resources presented, assumed as indicated resources; 3E g/t - 60% assumed as Pd</t>
        </r>
      </text>
    </comment>
    <comment ref="CF420" authorId="0" shapeId="0" xr:uid="{00000000-0006-0000-0000-00006F030000}">
      <text>
        <r>
          <rPr>
            <sz val="11"/>
            <color theme="1"/>
            <rFont val="Calibri"/>
            <family val="2"/>
            <scheme val="minor"/>
          </rPr>
          <t>======
ID#AAABDDKrQJU
Gavin Mudd    (2023-12-20 21:24:03)
only total resources presented, assumed as indicated resources; 3E g/t - 40% assumed as Pt</t>
        </r>
      </text>
    </comment>
    <comment ref="CG420" authorId="0" shapeId="0" xr:uid="{00000000-0006-0000-0000-0000B3010000}">
      <text>
        <r>
          <rPr>
            <sz val="11"/>
            <color theme="1"/>
            <rFont val="Calibri"/>
            <family val="2"/>
            <scheme val="minor"/>
          </rPr>
          <t>======
ID#AAABDDKrQ-I
Gavin Mudd    (2023-12-20 21:24:04)
only total resources presented, assumed as indicated resources; 3E g/t - 60% assumed as Pd</t>
        </r>
      </text>
    </comment>
    <comment ref="H425" authorId="0" shapeId="0" xr:uid="{00000000-0006-0000-0000-000026060000}">
      <text>
        <r>
          <rPr>
            <sz val="11"/>
            <color theme="1"/>
            <rFont val="Calibri"/>
            <family val="2"/>
            <scheme val="minor"/>
          </rPr>
          <t>======
ID#AAABCyJQh2k
Gavin Mudd    (2023-12-20 21:24:02)
previously held by an Anglo Am Pt / Solitario joint venture; then Jaganda Mines, now ValOre</t>
        </r>
      </text>
    </comment>
    <comment ref="BB425" authorId="0" shapeId="0" xr:uid="{00000000-0006-0000-0000-000091040000}">
      <text>
        <r>
          <rPr>
            <sz val="11"/>
            <color theme="1"/>
            <rFont val="Calibri"/>
            <family val="2"/>
            <scheme val="minor"/>
          </rPr>
          <t>======
ID#AAABDDKrPio
Gavin Mudd    (2023-12-20 21:24:03)
from Jangada Mines presentation (Q4 2018)</t>
        </r>
      </text>
    </comment>
    <comment ref="BI425" authorId="0" shapeId="0" xr:uid="{00000000-0006-0000-0000-000042050000}">
      <text>
        <r>
          <rPr>
            <sz val="11"/>
            <color theme="1"/>
            <rFont val="Calibri"/>
            <family val="2"/>
            <scheme val="minor"/>
          </rPr>
          <t>======
ID#AAABDDKrPLg
Gavin Mudd    (2023-12-20 21:24:03)
from Jangada Mines presentation (Q4 2018)</t>
        </r>
      </text>
    </comment>
    <comment ref="BJ425" authorId="0" shapeId="0" xr:uid="{00000000-0006-0000-0000-00003B020000}">
      <text>
        <r>
          <rPr>
            <sz val="11"/>
            <color theme="1"/>
            <rFont val="Calibri"/>
            <family val="2"/>
            <scheme val="minor"/>
          </rPr>
          <t>======
ID#AAABDDKrQto
Gavin Mudd    (2023-12-20 21:24:04)
from Jangada Mines presentation (Q4 2018)</t>
        </r>
      </text>
    </comment>
    <comment ref="BP425" authorId="0" shapeId="0" xr:uid="{00000000-0006-0000-0000-000028060000}">
      <text>
        <r>
          <rPr>
            <sz val="11"/>
            <color theme="1"/>
            <rFont val="Calibri"/>
            <family val="2"/>
            <scheme val="minor"/>
          </rPr>
          <t>======
ID#AAABCyJQh2M
Gavin Mudd    (2023-12-20 21:24:02)
from Jangada Mines presentation (Q4 2018)</t>
        </r>
      </text>
    </comment>
    <comment ref="BA427" authorId="0" shapeId="0" xr:uid="{00000000-0006-0000-0000-000035020000}">
      <text>
        <r>
          <rPr>
            <sz val="11"/>
            <color theme="1"/>
            <rFont val="Calibri"/>
            <family val="2"/>
            <scheme val="minor"/>
          </rPr>
          <t>======
ID#AAABDDKrQuM
Gavin Mudd    (2023-12-20 21:24:04)
historic resources (non-compliant with NI43-101) - hence all data allocated as inferred resources only</t>
        </r>
      </text>
    </comment>
    <comment ref="BB427" authorId="0" shapeId="0" xr:uid="{00000000-0006-0000-0000-00009F020000}">
      <text>
        <r>
          <rPr>
            <sz val="11"/>
            <color theme="1"/>
            <rFont val="Calibri"/>
            <family val="2"/>
            <scheme val="minor"/>
          </rPr>
          <t>======
ID#AAABDDKrQiU
Gavin Mudd    (2023-12-20 21:24:04)
historic resources (non-compliant with NI43-101) - hence all data allocated as inferred resources only</t>
        </r>
      </text>
    </comment>
    <comment ref="BH427" authorId="0" shapeId="0" xr:uid="{00000000-0006-0000-0000-0000C7010000}">
      <text>
        <r>
          <rPr>
            <sz val="11"/>
            <color theme="1"/>
            <rFont val="Calibri"/>
            <family val="2"/>
            <scheme val="minor"/>
          </rPr>
          <t>======
ID#AAABDDKrQ7c
Gavin Mudd    (2023-12-20 21:24:04)
historic resources (non-compliant with NI43-101) - hence all data allocated as inferred resources only</t>
        </r>
      </text>
    </comment>
    <comment ref="BI427" authorId="0" shapeId="0" xr:uid="{00000000-0006-0000-0000-00006C000000}">
      <text>
        <r>
          <rPr>
            <sz val="11"/>
            <color theme="1"/>
            <rFont val="Calibri"/>
            <family val="2"/>
            <scheme val="minor"/>
          </rPr>
          <t>======
ID#AAABDDKrRnY
Gavin Mudd    (2023-12-20 21:24:04)
historic resources (non-compliant with NI43-101) - hence all data allocated as inferred resources only</t>
        </r>
      </text>
    </comment>
    <comment ref="BJ427" authorId="0" shapeId="0" xr:uid="{00000000-0006-0000-0000-0000D2030000}">
      <text>
        <r>
          <rPr>
            <sz val="11"/>
            <color theme="1"/>
            <rFont val="Calibri"/>
            <family val="2"/>
            <scheme val="minor"/>
          </rPr>
          <t>======
ID#AAABDDKrP6w
Gavin Mudd    (2023-12-20 21:24:03)
historic resources (non-compliant with NI43-101) - hence all data allocated as inferred resources only</t>
        </r>
      </text>
    </comment>
    <comment ref="H428" authorId="0" shapeId="0" xr:uid="{00000000-0006-0000-0000-00007F010000}">
      <text>
        <r>
          <rPr>
            <sz val="11"/>
            <color theme="1"/>
            <rFont val="Calibri"/>
            <family val="2"/>
            <scheme val="minor"/>
          </rPr>
          <t>======
ID#AAABDDKrREs
Gavin Mudd    (2023-12-20 21:24:04)
commonly known as Bamangwato Concessions Ltd - but specific corporate name is BCL Ltd</t>
        </r>
      </text>
    </comment>
    <comment ref="K428" authorId="0" shapeId="0" xr:uid="{00000000-0006-0000-0000-000013040000}">
      <text>
        <r>
          <rPr>
            <sz val="11"/>
            <color theme="1"/>
            <rFont val="Calibri"/>
            <family val="2"/>
            <scheme val="minor"/>
          </rPr>
          <t>======
ID#AAABDDKrPyA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AF428" authorId="0" shapeId="0" xr:uid="{00000000-0006-0000-0000-000070040000}">
      <text>
        <r>
          <rPr>
            <sz val="11"/>
            <color theme="1"/>
            <rFont val="Calibri"/>
            <family val="2"/>
            <scheme val="minor"/>
          </rPr>
          <t>======
ID#AAABDDKrPnM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BA428" authorId="0" shapeId="0" xr:uid="{00000000-0006-0000-0000-000066010000}">
      <text>
        <r>
          <rPr>
            <sz val="11"/>
            <color theme="1"/>
            <rFont val="Calibri"/>
            <family val="2"/>
            <scheme val="minor"/>
          </rPr>
          <t>======
ID#AAABDDKrRH8
Gavin Mudd    (2023-12-20 21:24:04)
given old nature and uncertainty around BCL's status, all resources allocated as inferred resources only - with the data for reserves excluded (given the closed / bankrupt status of BCL)</t>
        </r>
      </text>
    </comment>
    <comment ref="BB428" authorId="0" shapeId="0" xr:uid="{00000000-0006-0000-0000-0000AB040000}">
      <text>
        <r>
          <rPr>
            <sz val="11"/>
            <color theme="1"/>
            <rFont val="Calibri"/>
            <family val="2"/>
            <scheme val="minor"/>
          </rPr>
          <t>======
ID#AAABDDKrPeg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BI428" authorId="0" shapeId="0" xr:uid="{00000000-0006-0000-0000-0000B2050000}">
      <text>
        <r>
          <rPr>
            <sz val="11"/>
            <color theme="1"/>
            <rFont val="Calibri"/>
            <family val="2"/>
            <scheme val="minor"/>
          </rPr>
          <t>======
ID#AAABDDKrO8k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BV428" authorId="0" shapeId="0" xr:uid="{00000000-0006-0000-0000-00004A020000}">
      <text>
        <r>
          <rPr>
            <sz val="11"/>
            <color theme="1"/>
            <rFont val="Calibri"/>
            <family val="2"/>
            <scheme val="minor"/>
          </rPr>
          <t>======
ID#AAABDDKrQrs
Gavin Mudd    (2023-12-20 21:24:04)
given old nature and uncertainty around BCL's status, all resources allocated as inferred resources only - with the data for reserves excluded (given the closed / bankrupt status of BCL)</t>
        </r>
      </text>
    </comment>
    <comment ref="CQ428" authorId="0" shapeId="0" xr:uid="{00000000-0006-0000-0000-00007C050000}">
      <text>
        <r>
          <rPr>
            <sz val="11"/>
            <color theme="1"/>
            <rFont val="Calibri"/>
            <family val="2"/>
            <scheme val="minor"/>
          </rPr>
          <t>======
ID#AAABDDKrPDI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K429" authorId="0" shapeId="0" xr:uid="{00000000-0006-0000-0000-000051000000}">
      <text>
        <r>
          <rPr>
            <sz val="11"/>
            <color theme="1"/>
            <rFont val="Calibri"/>
            <family val="2"/>
            <scheme val="minor"/>
          </rPr>
          <t>======
ID#AAABDDKrRqg
Gavin Mudd    (2023-12-20 21:24:04)
only total resources are reported</t>
        </r>
      </text>
    </comment>
    <comment ref="AF429" authorId="0" shapeId="0" xr:uid="{00000000-0006-0000-0000-00003D060000}">
      <text>
        <r>
          <rPr>
            <sz val="11"/>
            <color theme="1"/>
            <rFont val="Calibri"/>
            <family val="2"/>
            <scheme val="minor"/>
          </rPr>
          <t>======
ID#AAABCyJQh0Q
Gavin Mudd    (2023-12-20 21:24:02)
only total resources are reported</t>
        </r>
      </text>
    </comment>
    <comment ref="BA429" authorId="0" shapeId="0" xr:uid="{00000000-0006-0000-0000-0000AB020000}">
      <text>
        <r>
          <rPr>
            <sz val="11"/>
            <color theme="1"/>
            <rFont val="Calibri"/>
            <family val="2"/>
            <scheme val="minor"/>
          </rPr>
          <t>======
ID#AAABDDKrQg4
Gavin Mudd    (2023-12-20 21:24:04)
only total resources are reported</t>
        </r>
      </text>
    </comment>
    <comment ref="BB429" authorId="0" shapeId="0" xr:uid="{00000000-0006-0000-0000-0000A2020000}">
      <text>
        <r>
          <rPr>
            <sz val="11"/>
            <color theme="1"/>
            <rFont val="Calibri"/>
            <family val="2"/>
            <scheme val="minor"/>
          </rPr>
          <t>======
ID#AAABDDKrQh8
Gavin Mudd    (2023-12-20 21:24:04)
only total resources are reported</t>
        </r>
      </text>
    </comment>
    <comment ref="BI429" authorId="0" shapeId="0" xr:uid="{00000000-0006-0000-0000-000092030000}">
      <text>
        <r>
          <rPr>
            <sz val="11"/>
            <color theme="1"/>
            <rFont val="Calibri"/>
            <family val="2"/>
            <scheme val="minor"/>
          </rPr>
          <t>======
ID#AAABDDKrQCw
Gavin Mudd    (2023-12-20 21:24:03)
only total resources are reported</t>
        </r>
      </text>
    </comment>
    <comment ref="BA432" authorId="0" shapeId="0" xr:uid="{00000000-0006-0000-0000-0000EB020000}">
      <text>
        <r>
          <rPr>
            <sz val="11"/>
            <color theme="1"/>
            <rFont val="Calibri"/>
            <family val="2"/>
            <scheme val="minor"/>
          </rPr>
          <t>======
ID#AAABDDKrQZA
Gavin Mudd    (2023-12-20 21:24:03)
historic resources (non-compliant with NI43-101) - hence all data allocated as inferred resources only</t>
        </r>
      </text>
    </comment>
    <comment ref="BI432" authorId="0" shapeId="0" xr:uid="{00000000-0006-0000-0000-0000E9040000}">
      <text>
        <r>
          <rPr>
            <sz val="11"/>
            <color theme="1"/>
            <rFont val="Calibri"/>
            <family val="2"/>
            <scheme val="minor"/>
          </rPr>
          <t>======
ID#AAABDDKrPXI
Gavin Mudd    (2023-12-20 21:24:03)
historic resources (non-compliant with NI43-101) - hence all data allocated as inferred resources only</t>
        </r>
      </text>
    </comment>
    <comment ref="BJ432" authorId="0" shapeId="0" xr:uid="{00000000-0006-0000-0000-000015030000}">
      <text>
        <r>
          <rPr>
            <sz val="11"/>
            <color theme="1"/>
            <rFont val="Calibri"/>
            <family val="2"/>
            <scheme val="minor"/>
          </rPr>
          <t>======
ID#AAABDDKrQUQ
Gavin Mudd    (2023-12-20 21:24:03)
historic resources (non-compliant with NI43-101) - hence all data allocated as inferred resources only. Co value from Cabri et al (2017)</t>
        </r>
      </text>
    </comment>
    <comment ref="H433" authorId="0" shapeId="0" xr:uid="{00000000-0006-0000-0000-0000AD040000}">
      <text>
        <r>
          <rPr>
            <sz val="11"/>
            <color theme="1"/>
            <rFont val="Calibri"/>
            <family val="2"/>
            <scheme val="minor"/>
          </rPr>
          <t>======
ID#AAABDDKrPeU
Gavin Mudd    (2023-12-20 21:24:03)
possibly Clean Power Pty Ltd, then MinRex Resources Ltd - but current ownwer unknown</t>
        </r>
      </text>
    </comment>
    <comment ref="DP433" authorId="0" shapeId="0" xr:uid="{00000000-0006-0000-0000-000051020000}">
      <text>
        <r>
          <rPr>
            <sz val="11"/>
            <color theme="1"/>
            <rFont val="Calibri"/>
            <family val="2"/>
            <scheme val="minor"/>
          </rPr>
          <t>======
ID#AAABDDKrQqw
Gavin Mudd    (2023-12-20 21:24:04)
"Final Report On Exploration Licences 4964, 5185, 5315 Lake Innes, N.S.W.  Nickel/Cobalt/Scandium Laterite Project for Jervois Mining"</t>
        </r>
      </text>
    </comment>
    <comment ref="BA437" authorId="0" shapeId="0" xr:uid="{00000000-0006-0000-0000-0000C5040000}">
      <text>
        <r>
          <rPr>
            <sz val="11"/>
            <color theme="1"/>
            <rFont val="Calibri"/>
            <family val="2"/>
            <scheme val="minor"/>
          </rPr>
          <t>======
ID#AAABDDKrPbQ
Gavin Mudd    (2023-12-20 21:24:03)
historic resources (non-compliant with NI43-101) - hence all data allocated as inferred resources only</t>
        </r>
      </text>
    </comment>
    <comment ref="BI437" authorId="0" shapeId="0" xr:uid="{00000000-0006-0000-0000-000079060000}">
      <text>
        <r>
          <rPr>
            <sz val="11"/>
            <color theme="1"/>
            <rFont val="Calibri"/>
            <family val="2"/>
            <scheme val="minor"/>
          </rPr>
          <t>======
ID#AAABCyJQht8
Gavin Mudd    (2023-12-20 21:24:01)
historic resources (non-compliant with NI43-101) - hence all data allocated as inferred resources only</t>
        </r>
      </text>
    </comment>
    <comment ref="DP438" authorId="0" shapeId="0" xr:uid="{00000000-0006-0000-0000-000018020000}">
      <text>
        <r>
          <rPr>
            <sz val="11"/>
            <color theme="1"/>
            <rFont val="Calibri"/>
            <family val="2"/>
            <scheme val="minor"/>
          </rPr>
          <t>======
ID#AAABDDKrQx0
Gavin Mudd    (2023-12-20 21:24:04)
data from former owner Goldstake Explorations Inc.</t>
        </r>
      </text>
    </comment>
    <comment ref="BA439" authorId="0" shapeId="0" xr:uid="{00000000-0006-0000-0000-000089030000}">
      <text>
        <r>
          <rPr>
            <sz val="11"/>
            <color theme="1"/>
            <rFont val="Calibri"/>
            <family val="2"/>
            <scheme val="minor"/>
          </rPr>
          <t>======
ID#AAABDDKrQEE
Gavin Mudd    (2023-12-20 21:24:03)
code basis unclear, assumed as inferred, non-code compliant</t>
        </r>
      </text>
    </comment>
    <comment ref="BI439" authorId="0" shapeId="0" xr:uid="{00000000-0006-0000-0000-000085060000}">
      <text>
        <r>
          <rPr>
            <sz val="11"/>
            <color theme="1"/>
            <rFont val="Calibri"/>
            <family val="2"/>
            <scheme val="minor"/>
          </rPr>
          <t>======
ID#AAABCyJQhs4
Gavin Mudd    (2023-12-20 21:24:01)
code basis unclear, assumed as inferred, non-code compliant</t>
        </r>
      </text>
    </comment>
    <comment ref="BJ439" authorId="0" shapeId="0" xr:uid="{00000000-0006-0000-0000-000098030000}">
      <text>
        <r>
          <rPr>
            <sz val="11"/>
            <color theme="1"/>
            <rFont val="Calibri"/>
            <family val="2"/>
            <scheme val="minor"/>
          </rPr>
          <t>======
ID#AAABDDKrQCE
Gavin Mudd    (2023-12-20 21:24:03)
average Co value from Cabri et al (2017)</t>
        </r>
      </text>
    </comment>
    <comment ref="BA443" authorId="0" shapeId="0" xr:uid="{00000000-0006-0000-0000-000030020000}">
      <text>
        <r>
          <rPr>
            <sz val="11"/>
            <color theme="1"/>
            <rFont val="Calibri"/>
            <family val="2"/>
            <scheme val="minor"/>
          </rPr>
          <t>======
ID#AAABDDKrQvA
Gavin Mudd    (2023-12-20 21:24:04)
historic resources (non-compliant with NI43-101) - hence all data allocated as inferred resources only</t>
        </r>
      </text>
    </comment>
    <comment ref="BI443" authorId="0" shapeId="0" xr:uid="{00000000-0006-0000-0000-0000E1050000}">
      <text>
        <r>
          <rPr>
            <sz val="11"/>
            <color theme="1"/>
            <rFont val="Calibri"/>
            <family val="2"/>
            <scheme val="minor"/>
          </rPr>
          <t>======
ID#AAABCyJQh_M
Gavin Mudd    (2023-12-20 21:24:02)
historic resources (non-compliant with NI43-101) - hence all data allocated as inferred resources only</t>
        </r>
      </text>
    </comment>
    <comment ref="BJ443" authorId="0" shapeId="0" xr:uid="{00000000-0006-0000-0000-000090010000}">
      <text>
        <r>
          <rPr>
            <sz val="11"/>
            <color theme="1"/>
            <rFont val="Calibri"/>
            <family val="2"/>
            <scheme val="minor"/>
          </rPr>
          <t>======
ID#AAABDDKrRCQ
Gavin Mudd    (2023-12-20 21:24:04)
historic resources (non-compliant with NI43-101) - hence all data allocated as inferred resources only</t>
        </r>
      </text>
    </comment>
    <comment ref="BA444" authorId="0" shapeId="0" xr:uid="{00000000-0006-0000-0000-000006030000}">
      <text>
        <r>
          <rPr>
            <sz val="11"/>
            <color theme="1"/>
            <rFont val="Calibri"/>
            <family val="2"/>
            <scheme val="minor"/>
          </rPr>
          <t>======
ID#AAABDDKrQWE
Gavin Mudd    (2023-12-20 21:24:03)
historic resources (non-compliant with NI43-101) - hence all data allocated as inferred resources only</t>
        </r>
      </text>
    </comment>
    <comment ref="BB444" authorId="0" shapeId="0" xr:uid="{00000000-0006-0000-0000-000081010000}">
      <text>
        <r>
          <rPr>
            <sz val="11"/>
            <color theme="1"/>
            <rFont val="Calibri"/>
            <family val="2"/>
            <scheme val="minor"/>
          </rPr>
          <t>======
ID#AAABDDKrREY
Gavin Mudd    (2023-12-20 21:24:04)
historic resources (non-compliant with NI43-101) - hence all data allocated as inferred resources only</t>
        </r>
      </text>
    </comment>
    <comment ref="BI444" authorId="0" shapeId="0" xr:uid="{00000000-0006-0000-0000-000036040000}">
      <text>
        <r>
          <rPr>
            <sz val="11"/>
            <color theme="1"/>
            <rFont val="Calibri"/>
            <family val="2"/>
            <scheme val="minor"/>
          </rPr>
          <t>======
ID#AAABDDKrPts
Gavin Mudd    (2023-12-20 21:24:03)
historic resources (non-compliant with NI43-101) - hence all data allocated as inferred resources only</t>
        </r>
      </text>
    </comment>
    <comment ref="AO447" authorId="0" shapeId="0" xr:uid="{00000000-0006-0000-0000-000068050000}">
      <text>
        <r>
          <rPr>
            <sz val="11"/>
            <color theme="1"/>
            <rFont val="Calibri"/>
            <family val="2"/>
            <scheme val="minor"/>
          </rPr>
          <t>======
ID#AAABDDKrPGQ
Gavin Mudd    (2023-12-20 21:24:03)
data from WA MINEDEX</t>
        </r>
      </text>
    </comment>
    <comment ref="AQ447" authorId="0" shapeId="0" xr:uid="{00000000-0006-0000-0000-0000B4040000}">
      <text>
        <r>
          <rPr>
            <sz val="11"/>
            <color theme="1"/>
            <rFont val="Calibri"/>
            <family val="2"/>
            <scheme val="minor"/>
          </rPr>
          <t>======
ID#AAABDDKrPdk
Gavin Mudd    (2023-12-20 21:24:03)
data from WA MINEDEX</t>
        </r>
      </text>
    </comment>
    <comment ref="BJ447" authorId="0" shapeId="0" xr:uid="{00000000-0006-0000-0000-0000ED040000}">
      <text>
        <r>
          <rPr>
            <sz val="11"/>
            <color theme="1"/>
            <rFont val="Calibri"/>
            <family val="2"/>
            <scheme val="minor"/>
          </rPr>
          <t>======
ID#AAABDDKrPW0
Gavin Mudd    (2023-12-20 21:24:03)
data from WA MINEDEX</t>
        </r>
      </text>
    </comment>
    <comment ref="BL447" authorId="0" shapeId="0" xr:uid="{00000000-0006-0000-0000-00006A020000}">
      <text>
        <r>
          <rPr>
            <sz val="11"/>
            <color theme="1"/>
            <rFont val="Calibri"/>
            <family val="2"/>
            <scheme val="minor"/>
          </rPr>
          <t>======
ID#AAABDDKrQoE
Gavin Mudd    (2023-12-20 21:24:04)
data from WA MINEDEX</t>
        </r>
      </text>
    </comment>
    <comment ref="C449" authorId="0" shapeId="0" xr:uid="{00000000-0006-0000-0000-000010010000}">
      <text>
        <r>
          <rPr>
            <sz val="11"/>
            <color theme="1"/>
            <rFont val="Calibri"/>
            <family val="2"/>
            <scheme val="minor"/>
          </rPr>
          <t>======
ID#AAABDDKrRT8
Gavin Mudd    (2023-12-20 21:24:04)
includes Expo, Mesamax, Mequillon, Ivakkak, Allammaq, Puimajuq deposits</t>
        </r>
      </text>
    </comment>
    <comment ref="H449" authorId="0" shapeId="0" xr:uid="{00000000-0006-0000-0000-000082030000}">
      <text>
        <r>
          <rPr>
            <sz val="11"/>
            <color theme="1"/>
            <rFont val="Calibri"/>
            <family val="2"/>
            <scheme val="minor"/>
          </rPr>
          <t>======
ID#AAABDDKrQFU
Gavin Mudd    (2023-12-20 21:24:03)
previously held by Goldbrook Ventures, which was taken over by Jilin Jien Nickel in March 2012 - JJN was bankrupt ~2018</t>
        </r>
      </text>
    </comment>
    <comment ref="K449" authorId="0" shapeId="0" xr:uid="{00000000-0006-0000-0000-0000FB040000}">
      <text>
        <r>
          <rPr>
            <sz val="11"/>
            <color theme="1"/>
            <rFont val="Calibri"/>
            <family val="2"/>
            <scheme val="minor"/>
          </rPr>
          <t>======
ID#AAABDDKrPU0
Gavin Mudd    (2023-12-20 21:24:03)
includes Expo, Mesamax, Mequillon, Ivakkak, Allammaq, Puimajuq deposits</t>
        </r>
      </text>
    </comment>
    <comment ref="L449" authorId="0" shapeId="0" xr:uid="{00000000-0006-0000-0000-00004A010000}">
      <text>
        <r>
          <rPr>
            <sz val="11"/>
            <color theme="1"/>
            <rFont val="Calibri"/>
            <family val="2"/>
            <scheme val="minor"/>
          </rPr>
          <t>======
ID#AAABDDKrRLc
Gavin Mudd    (2023-12-20 21:24:04)
includes Expo, Mesamax, Mequillon, Ivakkak, Allammaq, Puimajuq deposits</t>
        </r>
      </text>
    </comment>
    <comment ref="M449" authorId="0" shapeId="0" xr:uid="{00000000-0006-0000-0000-0000A2000000}">
      <text>
        <r>
          <rPr>
            <sz val="11"/>
            <color theme="1"/>
            <rFont val="Calibri"/>
            <family val="2"/>
            <scheme val="minor"/>
          </rPr>
          <t>======
ID#AAABDDKrRhc
Gavin Mudd    (2023-12-20 21:24:04)
includes Expo, Mesamax, Mequillon, Ivakkak, Allammaq, Puimajuq deposits</t>
        </r>
      </text>
    </comment>
    <comment ref="S449" authorId="0" shapeId="0" xr:uid="{00000000-0006-0000-0000-000051040000}">
      <text>
        <r>
          <rPr>
            <sz val="11"/>
            <color theme="1"/>
            <rFont val="Calibri"/>
            <family val="2"/>
            <scheme val="minor"/>
          </rPr>
          <t>======
ID#AAABDDKrPqs
Gavin Mudd    (2023-12-20 21:24:03)
includes Expo, Mesamax, Mequillon, Ivakkak, Allammaq, Puimajuq deposits</t>
        </r>
      </text>
    </comment>
    <comment ref="T449" authorId="0" shapeId="0" xr:uid="{00000000-0006-0000-0000-000038000000}">
      <text>
        <r>
          <rPr>
            <sz val="11"/>
            <color theme="1"/>
            <rFont val="Calibri"/>
            <family val="2"/>
            <scheme val="minor"/>
          </rPr>
          <t>======
ID#AAABDDKrRuU
Gavin Mudd    (2023-12-20 21:24:04)
includes Expo, Mesamax, Mequillon, Ivakkak, Allammaq, Puimajuq deposits</t>
        </r>
      </text>
    </comment>
    <comment ref="U449" authorId="0" shapeId="0" xr:uid="{00000000-0006-0000-0000-000019040000}">
      <text>
        <r>
          <rPr>
            <sz val="11"/>
            <color theme="1"/>
            <rFont val="Calibri"/>
            <family val="2"/>
            <scheme val="minor"/>
          </rPr>
          <t>======
ID#AAABDDKrPw4
Gavin Mudd    (2023-12-20 21:24:03)
includes Expo, Mesamax, Mequillon, Ivakkak, Allammaq, Puimajuq deposits</t>
        </r>
      </text>
    </comment>
    <comment ref="V449" authorId="0" shapeId="0" xr:uid="{00000000-0006-0000-0000-000016040000}">
      <text>
        <r>
          <rPr>
            <sz val="11"/>
            <color theme="1"/>
            <rFont val="Calibri"/>
            <family val="2"/>
            <scheme val="minor"/>
          </rPr>
          <t>======
ID#AAABDDKrPxs
Gavin Mudd    (2023-12-20 21:24:03)
includes Expo, Mesamax, Mequillon, Ivakkak, Allammaq, Puimajuq deposits</t>
        </r>
      </text>
    </comment>
    <comment ref="AF449" authorId="0" shapeId="0" xr:uid="{00000000-0006-0000-0000-000013050000}">
      <text>
        <r>
          <rPr>
            <sz val="11"/>
            <color theme="1"/>
            <rFont val="Calibri"/>
            <family val="2"/>
            <scheme val="minor"/>
          </rPr>
          <t>======
ID#AAABDDKrPQ0
Gavin Mudd    (2023-12-20 21:24:03)
includes Expo, Mesamax, Mequillon, Ivakkak, Allammaq, Puimajuq deposits</t>
        </r>
      </text>
    </comment>
    <comment ref="AG449" authorId="0" shapeId="0" xr:uid="{00000000-0006-0000-0000-00008A040000}">
      <text>
        <r>
          <rPr>
            <sz val="11"/>
            <color theme="1"/>
            <rFont val="Calibri"/>
            <family val="2"/>
            <scheme val="minor"/>
          </rPr>
          <t>======
ID#AAABDDKrPj4
Gavin Mudd    (2023-12-20 21:24:03)
includes Expo, Mesamax, Mequillon, Ivakkak, Allammaq, Puimajuq deposits</t>
        </r>
      </text>
    </comment>
    <comment ref="AH449" authorId="0" shapeId="0" xr:uid="{00000000-0006-0000-0000-000027040000}">
      <text>
        <r>
          <rPr>
            <sz val="11"/>
            <color theme="1"/>
            <rFont val="Calibri"/>
            <family val="2"/>
            <scheme val="minor"/>
          </rPr>
          <t>======
ID#AAABDDKrPvU
Gavin Mudd    (2023-12-20 21:24:03)
includes Expo, Mesamax, Mequillon, Ivakkak, Allammaq, Puimajuq deposits</t>
        </r>
      </text>
    </comment>
    <comment ref="AN449" authorId="0" shapeId="0" xr:uid="{00000000-0006-0000-0000-0000FB020000}">
      <text>
        <r>
          <rPr>
            <sz val="11"/>
            <color theme="1"/>
            <rFont val="Calibri"/>
            <family val="2"/>
            <scheme val="minor"/>
          </rPr>
          <t>======
ID#AAABDDKrQW8
Gavin Mudd    (2023-12-20 21:24:03)
includes Expo, Mesamax, Mequillon, Ivakkak, Allammaq, Puimajuq deposits</t>
        </r>
      </text>
    </comment>
    <comment ref="AO449" authorId="0" shapeId="0" xr:uid="{00000000-0006-0000-0000-000094010000}">
      <text>
        <r>
          <rPr>
            <sz val="11"/>
            <color theme="1"/>
            <rFont val="Calibri"/>
            <family val="2"/>
            <scheme val="minor"/>
          </rPr>
          <t>======
ID#AAABDDKrRBw
Gavin Mudd    (2023-12-20 21:24:04)
includes Expo, Mesamax, Mequillon, Ivakkak, Allammaq, Puimajuq deposits</t>
        </r>
      </text>
    </comment>
    <comment ref="AP449" authorId="0" shapeId="0" xr:uid="{00000000-0006-0000-0000-000014060000}">
      <text>
        <r>
          <rPr>
            <sz val="11"/>
            <color theme="1"/>
            <rFont val="Calibri"/>
            <family val="2"/>
            <scheme val="minor"/>
          </rPr>
          <t>======
ID#AAABCyJQh48
Gavin Mudd    (2023-12-20 21:24:02)
includes Expo, Mesamax, Mequillon, Ivakkak, Allammaq, Puimajuq deposits</t>
        </r>
      </text>
    </comment>
    <comment ref="AQ449" authorId="0" shapeId="0" xr:uid="{00000000-0006-0000-0000-000096010000}">
      <text>
        <r>
          <rPr>
            <sz val="11"/>
            <color theme="1"/>
            <rFont val="Calibri"/>
            <family val="2"/>
            <scheme val="minor"/>
          </rPr>
          <t>======
ID#AAABDDKrRBc
Gavin Mudd    (2023-12-20 21:24:04)
includes Expo, Mesamax, Mequillon, Ivakkak, Allammaq, Puimajuq deposits</t>
        </r>
      </text>
    </comment>
    <comment ref="BA449" authorId="0" shapeId="0" xr:uid="{00000000-0006-0000-0000-00002B050000}">
      <text>
        <r>
          <rPr>
            <sz val="11"/>
            <color theme="1"/>
            <rFont val="Calibri"/>
            <family val="2"/>
            <scheme val="minor"/>
          </rPr>
          <t>======
ID#AAABDDKrPOQ
Gavin Mudd    (2023-12-20 21:24:03)
includes Expo, Mesamax, Mequillon, Ivakkak, Allammaq, Puimajuq deposits</t>
        </r>
      </text>
    </comment>
    <comment ref="BB449" authorId="0" shapeId="0" xr:uid="{00000000-0006-0000-0000-0000FF020000}">
      <text>
        <r>
          <rPr>
            <sz val="11"/>
            <color theme="1"/>
            <rFont val="Calibri"/>
            <family val="2"/>
            <scheme val="minor"/>
          </rPr>
          <t>======
ID#AAABDDKrQWo
Gavin Mudd    (2023-12-20 21:24:03)
includes Expo, Mesamax, Mequillon, Ivakkak, Allammaq, Puimajuq deposits</t>
        </r>
      </text>
    </comment>
    <comment ref="BC449" authorId="0" shapeId="0" xr:uid="{00000000-0006-0000-0000-0000F0000000}">
      <text>
        <r>
          <rPr>
            <sz val="11"/>
            <color theme="1"/>
            <rFont val="Calibri"/>
            <family val="2"/>
            <scheme val="minor"/>
          </rPr>
          <t>======
ID#AAABDDKrRXY
Gavin Mudd    (2023-12-20 21:24:04)
includes Expo, Mesamax, Mequillon, Ivakkak, Allammaq, Puimajuq deposits</t>
        </r>
      </text>
    </comment>
    <comment ref="BI449" authorId="0" shapeId="0" xr:uid="{00000000-0006-0000-0000-000081030000}">
      <text>
        <r>
          <rPr>
            <sz val="11"/>
            <color theme="1"/>
            <rFont val="Calibri"/>
            <family val="2"/>
            <scheme val="minor"/>
          </rPr>
          <t>======
ID#AAABDDKrQFY
Gavin Mudd    (2023-12-20 21:24:03)
includes Expo, Mesamax, Mequillon, Ivakkak, Allammaq, Puimajuq deposits</t>
        </r>
      </text>
    </comment>
    <comment ref="BJ449" authorId="0" shapeId="0" xr:uid="{00000000-0006-0000-0000-000090060000}">
      <text>
        <r>
          <rPr>
            <sz val="11"/>
            <color theme="1"/>
            <rFont val="Calibri"/>
            <family val="2"/>
            <scheme val="minor"/>
          </rPr>
          <t>======
ID#AAABCxlEyso
Gavin Mudd    (2023-12-20 21:24:01)
includes Expo, Mesamax, Mequillon, Ivakkak, Allammaq, Puimajuq deposits</t>
        </r>
      </text>
    </comment>
    <comment ref="BK449" authorId="0" shapeId="0" xr:uid="{00000000-0006-0000-0000-0000C1000000}">
      <text>
        <r>
          <rPr>
            <sz val="11"/>
            <color theme="1"/>
            <rFont val="Calibri"/>
            <family val="2"/>
            <scheme val="minor"/>
          </rPr>
          <t>======
ID#AAABDDKrRdY
Gavin Mudd    (2023-12-20 21:24:04)
includes Expo, Mesamax, Mequillon, Ivakkak, Allammaq, Puimajuq deposits</t>
        </r>
      </text>
    </comment>
    <comment ref="BL449" authorId="0" shapeId="0" xr:uid="{00000000-0006-0000-0000-0000CB050000}">
      <text>
        <r>
          <rPr>
            <sz val="11"/>
            <color theme="1"/>
            <rFont val="Calibri"/>
            <family val="2"/>
            <scheme val="minor"/>
          </rPr>
          <t>======
ID#AAABDDKrO54
Gavin Mudd    (2023-12-20 21:24:02)
includes Expo, Mesamax, Mequillon, Ivakkak, Allammaq, Puimajuq deposits</t>
        </r>
      </text>
    </comment>
    <comment ref="DP449" authorId="0" shapeId="0" xr:uid="{00000000-0006-0000-0000-0000B2010000}">
      <text>
        <r>
          <rPr>
            <sz val="11"/>
            <color theme="1"/>
            <rFont val="Calibri"/>
            <family val="2"/>
            <scheme val="minor"/>
          </rPr>
          <t>======
ID#AAABDDKrQ-Y
Author    (2023-12-20 21:24:04)
formerly Goldbrook Ventures (taken over by Jilin Jien Nickel)</t>
        </r>
      </text>
    </comment>
    <comment ref="C450" authorId="0" shapeId="0" xr:uid="{00000000-0006-0000-0000-00002B020000}">
      <text>
        <r>
          <rPr>
            <sz val="11"/>
            <color theme="1"/>
            <rFont val="Calibri"/>
            <family val="2"/>
            <scheme val="minor"/>
          </rPr>
          <t>======
ID#AAABDDKrQvs
Gavin Mudd    (2023-12-20 21:24:04)
includes Bravo, Getty, Mystery, Pad, Timtu, Sylvie deposits</t>
        </r>
      </text>
    </comment>
    <comment ref="H450" authorId="0" shapeId="0" xr:uid="{00000000-0006-0000-0000-000067000000}">
      <text>
        <r>
          <rPr>
            <sz val="11"/>
            <color theme="1"/>
            <rFont val="Calibri"/>
            <family val="2"/>
            <scheme val="minor"/>
          </rPr>
          <t>======
ID#AAABDDKrRn0
Gavin Mudd    (2023-12-20 21:24:04)
previously held by Goldbrook Ventures, which was taken over by Jilin Jien Nickel in March 2012 - JJN was bankrupt ~2018</t>
        </r>
      </text>
    </comment>
    <comment ref="AF450" authorId="0" shapeId="0" xr:uid="{00000000-0006-0000-0000-00001C060000}">
      <text>
        <r>
          <rPr>
            <sz val="11"/>
            <color theme="1"/>
            <rFont val="Calibri"/>
            <family val="2"/>
            <scheme val="minor"/>
          </rPr>
          <t>======
ID#AAABCyJQh4I
Gavin Mudd    (2023-12-20 21:24:02)
includes Bravo, Getty, Mystery, Pad, Timtu, Sylvie deposits</t>
        </r>
      </text>
    </comment>
    <comment ref="AG450" authorId="0" shapeId="0" xr:uid="{00000000-0006-0000-0000-0000D3030000}">
      <text>
        <r>
          <rPr>
            <sz val="11"/>
            <color theme="1"/>
            <rFont val="Calibri"/>
            <family val="2"/>
            <scheme val="minor"/>
          </rPr>
          <t>======
ID#AAABDDKrP6k
Gavin Mudd    (2023-12-20 21:24:03)
includes Bravo, Getty, Mystery, Pad, Timtu, Sylvie deposits</t>
        </r>
      </text>
    </comment>
    <comment ref="AH450" authorId="0" shapeId="0" xr:uid="{00000000-0006-0000-0000-000094040000}">
      <text>
        <r>
          <rPr>
            <sz val="11"/>
            <color theme="1"/>
            <rFont val="Calibri"/>
            <family val="2"/>
            <scheme val="minor"/>
          </rPr>
          <t>======
ID#AAABDDKrPiM
Gavin Mudd    (2023-12-20 21:24:03)
includes Bravo, Getty, Mystery, Pad, Timtu, Sylvie deposits</t>
        </r>
      </text>
    </comment>
    <comment ref="AN450" authorId="0" shapeId="0" xr:uid="{00000000-0006-0000-0000-0000C0050000}">
      <text>
        <r>
          <rPr>
            <sz val="11"/>
            <color theme="1"/>
            <rFont val="Calibri"/>
            <family val="2"/>
            <scheme val="minor"/>
          </rPr>
          <t>======
ID#AAABDDKrO7M
Gavin Mudd    (2023-12-20 21:24:03)
includes Bravo, Getty, Mystery, Pad, Timtu, Sylvie deposits</t>
        </r>
      </text>
    </comment>
    <comment ref="AO450" authorId="0" shapeId="0" xr:uid="{00000000-0006-0000-0000-00005D020000}">
      <text>
        <r>
          <rPr>
            <sz val="11"/>
            <color theme="1"/>
            <rFont val="Calibri"/>
            <family val="2"/>
            <scheme val="minor"/>
          </rPr>
          <t>======
ID#AAABDDKrQpY
Gavin Mudd    (2023-12-20 21:24:04)
includes Bravo, Getty, Mystery, Pad, Timtu, Sylvie deposits</t>
        </r>
      </text>
    </comment>
    <comment ref="AP450" authorId="0" shapeId="0" xr:uid="{00000000-0006-0000-0000-00002C050000}">
      <text>
        <r>
          <rPr>
            <sz val="11"/>
            <color theme="1"/>
            <rFont val="Calibri"/>
            <family val="2"/>
            <scheme val="minor"/>
          </rPr>
          <t>======
ID#AAABDDKrPOM
Gavin Mudd    (2023-12-20 21:24:03)
includes Bravo, Getty, Mystery, Pad, Timtu, Sylvie deposits</t>
        </r>
      </text>
    </comment>
    <comment ref="AQ450" authorId="0" shapeId="0" xr:uid="{00000000-0006-0000-0000-0000BF040000}">
      <text>
        <r>
          <rPr>
            <sz val="11"/>
            <color theme="1"/>
            <rFont val="Calibri"/>
            <family val="2"/>
            <scheme val="minor"/>
          </rPr>
          <t>======
ID#AAABDDKrPcI
Gavin Mudd    (2023-12-20 21:24:03)
includes Bravo, Getty, Mystery, Pad, Timtu, Sylvie deposits</t>
        </r>
      </text>
    </comment>
    <comment ref="BA450" authorId="0" shapeId="0" xr:uid="{00000000-0006-0000-0000-000008060000}">
      <text>
        <r>
          <rPr>
            <sz val="11"/>
            <color theme="1"/>
            <rFont val="Calibri"/>
            <family val="2"/>
            <scheme val="minor"/>
          </rPr>
          <t>======
ID#AAABCyJQh58
Gavin Mudd    (2023-12-20 21:24:02)
includes Bravo, Getty, Mystery, Pad, Timtu, Sylvie deposits</t>
        </r>
      </text>
    </comment>
    <comment ref="BB450" authorId="0" shapeId="0" xr:uid="{00000000-0006-0000-0000-000008020000}">
      <text>
        <r>
          <rPr>
            <sz val="11"/>
            <color theme="1"/>
            <rFont val="Calibri"/>
            <family val="2"/>
            <scheme val="minor"/>
          </rPr>
          <t>======
ID#AAABDDKrQzo
Gavin Mudd    (2023-12-20 21:24:04)
includes Bravo, Getty, Mystery, Pad, Timtu, Sylvie deposits</t>
        </r>
      </text>
    </comment>
    <comment ref="BC450" authorId="0" shapeId="0" xr:uid="{00000000-0006-0000-0000-00008E050000}">
      <text>
        <r>
          <rPr>
            <sz val="11"/>
            <color theme="1"/>
            <rFont val="Calibri"/>
            <family val="2"/>
            <scheme val="minor"/>
          </rPr>
          <t>======
ID#AAABDDKrPBc
Gavin Mudd    (2023-12-20 21:24:03)
includes Bravo, Getty, Mystery, Pad, Timtu, Sylvie deposits</t>
        </r>
      </text>
    </comment>
    <comment ref="BI450" authorId="0" shapeId="0" xr:uid="{00000000-0006-0000-0000-00008F030000}">
      <text>
        <r>
          <rPr>
            <sz val="11"/>
            <color theme="1"/>
            <rFont val="Calibri"/>
            <family val="2"/>
            <scheme val="minor"/>
          </rPr>
          <t>======
ID#AAABDDKrQDI
Gavin Mudd    (2023-12-20 21:24:03)
includes Bravo, Getty, Mystery, Pad, Timtu, Sylvie deposits</t>
        </r>
      </text>
    </comment>
    <comment ref="BJ450" authorId="0" shapeId="0" xr:uid="{00000000-0006-0000-0000-00008E000000}">
      <text>
        <r>
          <rPr>
            <sz val="11"/>
            <color theme="1"/>
            <rFont val="Calibri"/>
            <family val="2"/>
            <scheme val="minor"/>
          </rPr>
          <t>======
ID#AAABDDKrRkQ
Gavin Mudd    (2023-12-20 21:24:04)
includes Bravo, Getty, Mystery, Pad, Timtu, Sylvie deposits</t>
        </r>
      </text>
    </comment>
    <comment ref="BK450" authorId="0" shapeId="0" xr:uid="{00000000-0006-0000-0000-00000D000000}">
      <text>
        <r>
          <rPr>
            <sz val="11"/>
            <color theme="1"/>
            <rFont val="Calibri"/>
            <family val="2"/>
            <scheme val="minor"/>
          </rPr>
          <t>======
ID#AAABDDKrR0s
Gavin Mudd    (2023-12-20 21:24:04)
includes Bravo, Getty, Mystery, Pad, Timtu, Sylvie deposits</t>
        </r>
      </text>
    </comment>
    <comment ref="BL450" authorId="0" shapeId="0" xr:uid="{00000000-0006-0000-0000-00001D030000}">
      <text>
        <r>
          <rPr>
            <sz val="11"/>
            <color theme="1"/>
            <rFont val="Calibri"/>
            <family val="2"/>
            <scheme val="minor"/>
          </rPr>
          <t>======
ID#AAABDDKrQTg
Gavin Mudd    (2023-12-20 21:24:03)
includes Bravo, Getty, Mystery, Pad, Timtu, Sylvie deposits</t>
        </r>
      </text>
    </comment>
    <comment ref="DP450" authorId="0" shapeId="0" xr:uid="{00000000-0006-0000-0000-00009A000000}">
      <text>
        <r>
          <rPr>
            <sz val="11"/>
            <color theme="1"/>
            <rFont val="Calibri"/>
            <family val="2"/>
            <scheme val="minor"/>
          </rPr>
          <t>======
ID#AAABDDKrRjA
Author    (2023-12-20 21:24:04)
formerly Goldbrook Ventures (taken over by Jilin Jien Nickel)</t>
        </r>
      </text>
    </comment>
    <comment ref="K452" authorId="0" shapeId="0" xr:uid="{00000000-0006-0000-0000-00006C040000}">
      <text>
        <r>
          <rPr>
            <sz val="11"/>
            <color theme="1"/>
            <rFont val="Calibri"/>
            <family val="2"/>
            <scheme val="minor"/>
          </rPr>
          <t>======
ID#AAABDDKrPnc
Gavin Mudd    (2023-12-20 21:24:03)
only total measured &amp; indicated resources reported</t>
        </r>
      </text>
    </comment>
    <comment ref="AF452" authorId="0" shapeId="0" xr:uid="{00000000-0006-0000-0000-0000F3030000}">
      <text>
        <r>
          <rPr>
            <sz val="11"/>
            <color theme="1"/>
            <rFont val="Calibri"/>
            <family val="2"/>
            <scheme val="minor"/>
          </rPr>
          <t>======
ID#AAABDDKrP2E
Gavin Mudd    (2023-12-20 21:24:03)
only total measured &amp; indicated resources reported
- this is the original 2010 estimate and does not account for mining since this time</t>
        </r>
      </text>
    </comment>
    <comment ref="AN452" authorId="0" shapeId="0" xr:uid="{00000000-0006-0000-0000-0000C4050000}">
      <text>
        <r>
          <rPr>
            <sz val="11"/>
            <color theme="1"/>
            <rFont val="Calibri"/>
            <family val="2"/>
            <scheme val="minor"/>
          </rPr>
          <t>======
ID#AAABDDKrO6Y
Gavin Mudd    (2023-12-20 21:24:02)
only total measured &amp; indicated resources reported</t>
        </r>
      </text>
    </comment>
    <comment ref="AV452" authorId="0" shapeId="0" xr:uid="{00000000-0006-0000-0000-00005C020000}">
      <text>
        <r>
          <rPr>
            <sz val="11"/>
            <color theme="1"/>
            <rFont val="Calibri"/>
            <family val="2"/>
            <scheme val="minor"/>
          </rPr>
          <t>======
ID#AAABDDKrQpg
Gavin Mudd    (2023-12-20 21:24:04)
only total measured &amp; indicated resources reported</t>
        </r>
      </text>
    </comment>
    <comment ref="BA452" authorId="0" shapeId="0" xr:uid="{00000000-0006-0000-0000-00006D020000}">
      <text>
        <r>
          <rPr>
            <sz val="11"/>
            <color theme="1"/>
            <rFont val="Calibri"/>
            <family val="2"/>
            <scheme val="minor"/>
          </rPr>
          <t>======
ID#AAABDDKrQns
Gavin Mudd    (2023-12-20 21:24:04)
only total measured &amp; indicated resources reported</t>
        </r>
      </text>
    </comment>
    <comment ref="BV452" authorId="0" shapeId="0" xr:uid="{00000000-0006-0000-0000-00007F060000}">
      <text>
        <r>
          <rPr>
            <sz val="11"/>
            <color theme="1"/>
            <rFont val="Calibri"/>
            <family val="2"/>
            <scheme val="minor"/>
          </rPr>
          <t>======
ID#AAABCyJQhtg
Gavin Mudd    (2023-12-20 21:24:01)
only total measured &amp; indicated resources reported</t>
        </r>
      </text>
    </comment>
    <comment ref="CQ452" authorId="0" shapeId="0" xr:uid="{00000000-0006-0000-0000-00000A050000}">
      <text>
        <r>
          <rPr>
            <sz val="11"/>
            <color theme="1"/>
            <rFont val="Calibri"/>
            <family val="2"/>
            <scheme val="minor"/>
          </rPr>
          <t>======
ID#AAABDDKrPSY
Gavin Mudd    (2023-12-20 21:24:03)
only total measured &amp; indicated resources reported</t>
        </r>
      </text>
    </comment>
    <comment ref="H453" authorId="0" shapeId="0" xr:uid="{00000000-0006-0000-0000-000048030000}">
      <text>
        <r>
          <rPr>
            <sz val="11"/>
            <color theme="1"/>
            <rFont val="Calibri"/>
            <family val="2"/>
            <scheme val="minor"/>
          </rPr>
          <t>======
ID#AAABDDKrQOc
Gavin Mudd    (2023-12-20 21:24:03)
Bluejay Minnig Plc was formerly known as FinnAust Mining Plc, which in turn was ~79% owned by Western Areas Ltd</t>
        </r>
      </text>
    </comment>
    <comment ref="DP453" authorId="0" shapeId="0" xr:uid="{00000000-0006-0000-0000-0000FB030000}">
      <text>
        <r>
          <rPr>
            <sz val="11"/>
            <color theme="1"/>
            <rFont val="Calibri"/>
            <family val="2"/>
            <scheme val="minor"/>
          </rPr>
          <t>======
ID#AAABDDKrP1A
Gavin Mudd    (2023-12-20 21:24:03)
data from Western Areas Ltd</t>
        </r>
      </text>
    </comment>
    <comment ref="BA456" authorId="0" shapeId="0" xr:uid="{00000000-0006-0000-0000-000050000000}">
      <text>
        <r>
          <rPr>
            <sz val="11"/>
            <color theme="1"/>
            <rFont val="Calibri"/>
            <family val="2"/>
            <scheme val="minor"/>
          </rPr>
          <t>======
ID#AAABDDKrRqo
Gavin Mudd    (2023-12-20 21:24:04)
historic resources (non-compliant with NI43-101) - hence all data allocated as inferred resources only</t>
        </r>
      </text>
    </comment>
    <comment ref="BI456" authorId="0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======
ID#AAABDDKrR1s
Gavin Mudd    (2023-12-20 21:24:04)
historic resources (non-compliant with NI43-101) - hence all data allocated as inferred resources only</t>
        </r>
      </text>
    </comment>
    <comment ref="BA457" authorId="0" shapeId="0" xr:uid="{00000000-0006-0000-0000-0000D9020000}">
      <text>
        <r>
          <rPr>
            <sz val="11"/>
            <color theme="1"/>
            <rFont val="Calibri"/>
            <family val="2"/>
            <scheme val="minor"/>
          </rPr>
          <t>======
ID#AAABDDKrQbA
Gavin Mudd    (2023-12-20 21:24:03)
historic resources (non-compliant with NI43-101) - hence all data allocated as inferred resources only</t>
        </r>
      </text>
    </comment>
    <comment ref="BI457" authorId="0" shapeId="0" xr:uid="{00000000-0006-0000-0000-00008B030000}">
      <text>
        <r>
          <rPr>
            <sz val="11"/>
            <color theme="1"/>
            <rFont val="Calibri"/>
            <family val="2"/>
            <scheme val="minor"/>
          </rPr>
          <t>======
ID#AAABDDKrQD0
Gavin Mudd    (2023-12-20 21:24:03)
historic resources (non-compliant with NI43-101) - hence all data allocated as inferred resources only</t>
        </r>
      </text>
    </comment>
    <comment ref="BA458" authorId="0" shapeId="0" xr:uid="{00000000-0006-0000-0000-000036000000}">
      <text>
        <r>
          <rPr>
            <sz val="11"/>
            <color theme="1"/>
            <rFont val="Calibri"/>
            <family val="2"/>
            <scheme val="minor"/>
          </rPr>
          <t>======
ID#AAABDDKrRuc
Gavin Mudd    (2023-12-20 21:24:04)
historic resources (non-compliant with NI43-101) - hence all data allocated as inferred resources only</t>
        </r>
      </text>
    </comment>
    <comment ref="BB458" authorId="0" shapeId="0" xr:uid="{00000000-0006-0000-0000-000046060000}">
      <text>
        <r>
          <rPr>
            <sz val="11"/>
            <color theme="1"/>
            <rFont val="Calibri"/>
            <family val="2"/>
            <scheme val="minor"/>
          </rPr>
          <t>======
ID#AAABCyJQhzU
Gavin Mudd    (2023-12-20 21:24:02)
historic resources (non-compliant with NI43-101) - hence all data allocated as inferred resources only</t>
        </r>
      </text>
    </comment>
    <comment ref="BC458" authorId="0" shapeId="0" xr:uid="{00000000-0006-0000-0000-0000A7020000}">
      <text>
        <r>
          <rPr>
            <sz val="11"/>
            <color theme="1"/>
            <rFont val="Calibri"/>
            <family val="2"/>
            <scheme val="minor"/>
          </rPr>
          <t>======
ID#AAABDDKrQhc
Gavin Mudd    (2023-12-20 21:24:04)
historic resources (non-compliant with NI43-101) - hence all data allocated as inferred resources only</t>
        </r>
      </text>
    </comment>
    <comment ref="BD458" authorId="0" shapeId="0" xr:uid="{00000000-0006-0000-0000-000077060000}">
      <text>
        <r>
          <rPr>
            <sz val="11"/>
            <color theme="1"/>
            <rFont val="Calibri"/>
            <family val="2"/>
            <scheme val="minor"/>
          </rPr>
          <t>======
ID#AAABCyJQhuI
Gavin Mudd    (2023-12-20 21:24:01)
historic resources (non-compliant with NI43-101) - hence all data allocated as inferred resources only</t>
        </r>
      </text>
    </comment>
    <comment ref="BH458" authorId="0" shapeId="0" xr:uid="{00000000-0006-0000-0000-000017020000}">
      <text>
        <r>
          <rPr>
            <sz val="11"/>
            <color theme="1"/>
            <rFont val="Calibri"/>
            <family val="2"/>
            <scheme val="minor"/>
          </rPr>
          <t>======
ID#AAABDDKrQx4
Gavin Mudd    (2023-12-20 21:24:04)
historic resources (non-compliant with NI43-101) - hence all data allocated as inferred resources only</t>
        </r>
      </text>
    </comment>
    <comment ref="BI458" authorId="0" shapeId="0" xr:uid="{00000000-0006-0000-0000-000014000000}">
      <text>
        <r>
          <rPr>
            <sz val="11"/>
            <color theme="1"/>
            <rFont val="Calibri"/>
            <family val="2"/>
            <scheme val="minor"/>
          </rPr>
          <t>======
ID#AAABDDKrR0A
Gavin Mudd    (2023-12-20 21:24:04)
historic resources (non-compliant with NI43-101) - hence all data allocated as inferred resources only</t>
        </r>
      </text>
    </comment>
    <comment ref="BJ458" authorId="0" shapeId="0" xr:uid="{00000000-0006-0000-0000-000038060000}">
      <text>
        <r>
          <rPr>
            <sz val="11"/>
            <color theme="1"/>
            <rFont val="Calibri"/>
            <family val="2"/>
            <scheme val="minor"/>
          </rPr>
          <t>======
ID#AAABCyJQh0k
Gavin Mudd    (2023-12-20 21:24:02)
historic resources (non-compliant with NI43-101) - hence all data allocated as inferred resources only</t>
        </r>
      </text>
    </comment>
    <comment ref="K459" authorId="0" shapeId="0" xr:uid="{00000000-0006-0000-0000-00002D050000}">
      <text>
        <r>
          <rPr>
            <sz val="11"/>
            <color theme="1"/>
            <rFont val="Calibri"/>
            <family val="2"/>
            <scheme val="minor"/>
          </rPr>
          <t>======
ID#AAABDDKrPOI
Gavin Mudd    (2023-12-20 21:24:03)
only total measured &amp; indicated resources reported</t>
        </r>
      </text>
    </comment>
    <comment ref="AF459" authorId="0" shapeId="0" xr:uid="{00000000-0006-0000-0000-0000D8050000}">
      <text>
        <r>
          <rPr>
            <sz val="11"/>
            <color theme="1"/>
            <rFont val="Calibri"/>
            <family val="2"/>
            <scheme val="minor"/>
          </rPr>
          <t>======
ID#AAABCyJQiAE
Gavin Mudd    (2023-12-20 21:24:02)
only total measured &amp; indicated resources reported</t>
        </r>
      </text>
    </comment>
    <comment ref="AN459" authorId="0" shapeId="0" xr:uid="{00000000-0006-0000-0000-0000B8030000}">
      <text>
        <r>
          <rPr>
            <sz val="11"/>
            <color theme="1"/>
            <rFont val="Calibri"/>
            <family val="2"/>
            <scheme val="minor"/>
          </rPr>
          <t>======
ID#AAABDDKrP-g
Gavin Mudd    (2023-12-20 21:24:03)
only total measured &amp; indicated resources reported</t>
        </r>
      </text>
    </comment>
    <comment ref="AV459" authorId="0" shapeId="0" xr:uid="{00000000-0006-0000-0000-0000C0030000}">
      <text>
        <r>
          <rPr>
            <sz val="11"/>
            <color theme="1"/>
            <rFont val="Calibri"/>
            <family val="2"/>
            <scheme val="minor"/>
          </rPr>
          <t>======
ID#AAABDDKrP9c
Gavin Mudd    (2023-12-20 21:24:03)
only total measured &amp; indicated resources reported</t>
        </r>
      </text>
    </comment>
    <comment ref="BA459" authorId="0" shapeId="0" xr:uid="{00000000-0006-0000-0000-000043060000}">
      <text>
        <r>
          <rPr>
            <sz val="11"/>
            <color theme="1"/>
            <rFont val="Calibri"/>
            <family val="2"/>
            <scheme val="minor"/>
          </rPr>
          <t>======
ID#AAABCyJQhzs
Gavin Mudd    (2023-12-20 21:24:02)
only total measured &amp; indicated resources reported</t>
        </r>
      </text>
    </comment>
    <comment ref="BI459" authorId="0" shapeId="0" xr:uid="{00000000-0006-0000-0000-00004A050000}">
      <text>
        <r>
          <rPr>
            <sz val="11"/>
            <color theme="1"/>
            <rFont val="Calibri"/>
            <family val="2"/>
            <scheme val="minor"/>
          </rPr>
          <t>======
ID#AAABDDKrPKk
Gavin Mudd    (2023-12-20 21:24:03)
only total measured &amp; indicated resources reported</t>
        </r>
      </text>
    </comment>
    <comment ref="BQ459" authorId="0" shapeId="0" xr:uid="{00000000-0006-0000-0000-00007B060000}">
      <text>
        <r>
          <rPr>
            <sz val="11"/>
            <color theme="1"/>
            <rFont val="Calibri"/>
            <family val="2"/>
            <scheme val="minor"/>
          </rPr>
          <t>======
ID#AAABCyJQht0
Gavin Mudd    (2023-12-20 21:24:01)
only total measured &amp; indicated resources reported</t>
        </r>
      </text>
    </comment>
    <comment ref="CQ459" authorId="0" shapeId="0" xr:uid="{00000000-0006-0000-0000-000000030000}">
      <text>
        <r>
          <rPr>
            <sz val="11"/>
            <color theme="1"/>
            <rFont val="Calibri"/>
            <family val="2"/>
            <scheme val="minor"/>
          </rPr>
          <t>======
ID#AAABDDKrQWk
Gavin Mudd    (2023-12-20 21:24:03)
total of proved and probable reserves</t>
        </r>
      </text>
    </comment>
    <comment ref="CY459" authorId="0" shapeId="0" xr:uid="{00000000-0006-0000-0000-0000D4030000}">
      <text>
        <r>
          <rPr>
            <sz val="11"/>
            <color theme="1"/>
            <rFont val="Calibri"/>
            <family val="2"/>
            <scheme val="minor"/>
          </rPr>
          <t>======
ID#AAABDDKrP6U
Gavin Mudd    (2023-12-20 21:24:03)
total of proved and probable reserves</t>
        </r>
      </text>
    </comment>
    <comment ref="DG459" authorId="0" shapeId="0" xr:uid="{00000000-0006-0000-0000-0000C1010000}">
      <text>
        <r>
          <rPr>
            <sz val="11"/>
            <color theme="1"/>
            <rFont val="Calibri"/>
            <family val="2"/>
            <scheme val="minor"/>
          </rPr>
          <t>======
ID#AAABDDKrQ8Q
Gavin Mudd    (2023-12-20 21:24:04)
total of proved and probable reserves</t>
        </r>
      </text>
    </comment>
    <comment ref="H460" authorId="0" shapeId="0" xr:uid="{00000000-0006-0000-0000-0000F0020000}">
      <text>
        <r>
          <rPr>
            <sz val="11"/>
            <color theme="1"/>
            <rFont val="Calibri"/>
            <family val="2"/>
            <scheme val="minor"/>
          </rPr>
          <t>======
ID#AAABDDKrQYc
Gavin Mudd    (2023-12-20 21:24:03)
previously held by Pacific Northwest Capital Corp.</t>
        </r>
      </text>
    </comment>
    <comment ref="BA462" authorId="0" shapeId="0" xr:uid="{00000000-0006-0000-0000-0000B0030000}">
      <text>
        <r>
          <rPr>
            <sz val="11"/>
            <color theme="1"/>
            <rFont val="Calibri"/>
            <family val="2"/>
            <scheme val="minor"/>
          </rPr>
          <t>======
ID#AAABDDKrP_Q
Gavin Mudd    (2023-12-20 21:24:03)
historic resources (non-compliant with NI43-101) - hence all data allocated as inferred resources only</t>
        </r>
      </text>
    </comment>
    <comment ref="BI462" authorId="0" shapeId="0" xr:uid="{00000000-0006-0000-0000-0000DB010000}">
      <text>
        <r>
          <rPr>
            <sz val="11"/>
            <color theme="1"/>
            <rFont val="Calibri"/>
            <family val="2"/>
            <scheme val="minor"/>
          </rPr>
          <t>======
ID#AAABDDKrQ4w
Gavin Mudd    (2023-12-20 21:24:04)
historic resources (non-compliant with NI43-101) - hence all data allocated as inferred resources only</t>
        </r>
      </text>
    </comment>
    <comment ref="BJ462" authorId="0" shapeId="0" xr:uid="{00000000-0006-0000-0000-000010030000}">
      <text>
        <r>
          <rPr>
            <sz val="11"/>
            <color theme="1"/>
            <rFont val="Calibri"/>
            <family val="2"/>
            <scheme val="minor"/>
          </rPr>
          <t>======
ID#AAABDDKrQVA
Gavin Mudd    (2023-12-20 21:24:03)
historic resources (non-compliant with NI43-101) - hence all data allocated as inferred resources only</t>
        </r>
      </text>
    </comment>
    <comment ref="H463" authorId="0" shapeId="0" xr:uid="{00000000-0006-0000-0000-00006B000000}">
      <text>
        <r>
          <rPr>
            <sz val="11"/>
            <color theme="1"/>
            <rFont val="Calibri"/>
            <family val="2"/>
            <scheme val="minor"/>
          </rPr>
          <t>======
ID#AAABDDKrRnk
Gavin Mudd    (2023-12-20 21:24:04)
previously held by Pelican Resources</t>
        </r>
      </text>
    </comment>
    <comment ref="DP463" authorId="0" shapeId="0" xr:uid="{00000000-0006-0000-0000-0000CD030000}">
      <text>
        <r>
          <rPr>
            <sz val="11"/>
            <color theme="1"/>
            <rFont val="Calibri"/>
            <family val="2"/>
            <scheme val="minor"/>
          </rPr>
          <t>======
ID#AAABDDKrP8E
Gavin Mudd    (2023-12-20 21:24:03)
data from Pelican Resources</t>
        </r>
      </text>
    </comment>
    <comment ref="X465" authorId="0" shapeId="0" xr:uid="{00000000-0006-0000-0000-000095050000}">
      <text>
        <r>
          <rPr>
            <sz val="11"/>
            <color theme="1"/>
            <rFont val="Calibri"/>
            <family val="2"/>
            <scheme val="minor"/>
          </rPr>
          <t>======
ID#AAABDDKrPAs
Gavin Mudd    (2023-12-20 21:24:03)
g/t Ru</t>
        </r>
      </text>
    </comment>
    <comment ref="Y465" authorId="0" shapeId="0" xr:uid="{00000000-0006-0000-0000-00007F000000}">
      <text>
        <r>
          <rPr>
            <sz val="11"/>
            <color theme="1"/>
            <rFont val="Calibri"/>
            <family val="2"/>
            <scheme val="minor"/>
          </rPr>
          <t>======
ID#AAABDDKrRls
Gavin Mudd    (2023-12-20 21:24:04)
g/t Ir</t>
        </r>
      </text>
    </comment>
    <comment ref="AS465" authorId="0" shapeId="0" xr:uid="{00000000-0006-0000-0000-0000B5030000}">
      <text>
        <r>
          <rPr>
            <sz val="11"/>
            <color theme="1"/>
            <rFont val="Calibri"/>
            <family val="2"/>
            <scheme val="minor"/>
          </rPr>
          <t>======
ID#AAABDDKrP_A
Gavin Mudd    (2023-12-20 21:24:03)
g/t Ru</t>
        </r>
      </text>
    </comment>
    <comment ref="AT465" authorId="0" shapeId="0" xr:uid="{00000000-0006-0000-0000-0000C3030000}">
      <text>
        <r>
          <rPr>
            <sz val="11"/>
            <color theme="1"/>
            <rFont val="Calibri"/>
            <family val="2"/>
            <scheme val="minor"/>
          </rPr>
          <t>======
ID#AAABDDKrP9I
Gavin Mudd    (2023-12-20 21:24:03)
g/t Ir</t>
        </r>
      </text>
    </comment>
    <comment ref="BN465" authorId="0" shapeId="0" xr:uid="{00000000-0006-0000-0000-00009E010000}">
      <text>
        <r>
          <rPr>
            <sz val="11"/>
            <color theme="1"/>
            <rFont val="Calibri"/>
            <family val="2"/>
            <scheme val="minor"/>
          </rPr>
          <t>======
ID#AAABDDKrRAQ
Gavin Mudd    (2023-12-20 21:24:04)
g/t Ru</t>
        </r>
      </text>
    </comment>
    <comment ref="BO465" authorId="0" shapeId="0" xr:uid="{00000000-0006-0000-0000-0000DA010000}">
      <text>
        <r>
          <rPr>
            <sz val="11"/>
            <color theme="1"/>
            <rFont val="Calibri"/>
            <family val="2"/>
            <scheme val="minor"/>
          </rPr>
          <t>======
ID#AAABDDKrQ5E
Gavin Mudd    (2023-12-20 21:24:04)
g/t Ir</t>
        </r>
      </text>
    </comment>
    <comment ref="DP465" authorId="0" shapeId="0" xr:uid="{00000000-0006-0000-0000-000088030000}">
      <text>
        <r>
          <rPr>
            <sz val="11"/>
            <color theme="1"/>
            <rFont val="Calibri"/>
            <family val="2"/>
            <scheme val="minor"/>
          </rPr>
          <t>======
ID#AAABDDKrQEM
Gavin Mudd    (2023-12-20 21:24:03)
data from Platinum Australia</t>
        </r>
      </text>
    </comment>
    <comment ref="H467" authorId="0" shapeId="0" xr:uid="{00000000-0006-0000-0000-000060020000}">
      <text>
        <r>
          <rPr>
            <sz val="11"/>
            <color theme="1"/>
            <rFont val="Calibri"/>
            <family val="2"/>
            <scheme val="minor"/>
          </rPr>
          <t>======
ID#AAABDDKrQpA
Gavin Mudd    (2023-12-20 21:24:04)
previously held by Caledonia Mining Corp.</t>
        </r>
      </text>
    </comment>
    <comment ref="DP467" authorId="0" shapeId="0" xr:uid="{00000000-0006-0000-0000-000018050000}">
      <text>
        <r>
          <rPr>
            <sz val="11"/>
            <color theme="1"/>
            <rFont val="Calibri"/>
            <family val="2"/>
            <scheme val="minor"/>
          </rPr>
          <t>======
ID#AAABDDKrPQY
Gavin Mudd    (2023-12-20 21:24:03)
data from Caledonia Mining Corp.</t>
        </r>
      </text>
    </comment>
    <comment ref="H468" authorId="0" shapeId="0" xr:uid="{00000000-0006-0000-0000-000062060000}">
      <text>
        <r>
          <rPr>
            <sz val="11"/>
            <color theme="1"/>
            <rFont val="Calibri"/>
            <family val="2"/>
            <scheme val="minor"/>
          </rPr>
          <t>======
ID#AAABCyJQhwg
Gavin Mudd    (2023-12-20 21:24:02)
previously held by Blackstone Ventures</t>
        </r>
      </text>
    </comment>
    <comment ref="DP468" authorId="0" shapeId="0" xr:uid="{00000000-0006-0000-0000-00002D020000}">
      <text>
        <r>
          <rPr>
            <sz val="11"/>
            <color theme="1"/>
            <rFont val="Calibri"/>
            <family val="2"/>
            <scheme val="minor"/>
          </rPr>
          <t>======
ID#AAABDDKrQvQ
Author    (2023-12-20 21:24:04)
data from Blackstone Ventures</t>
        </r>
      </text>
    </comment>
    <comment ref="BA469" authorId="0" shapeId="0" xr:uid="{00000000-0006-0000-0000-0000E6050000}">
      <text>
        <r>
          <rPr>
            <sz val="11"/>
            <color theme="1"/>
            <rFont val="Calibri"/>
            <family val="2"/>
            <scheme val="minor"/>
          </rPr>
          <t>======
ID#AAABCyJQh-Q
Gavin Mudd    (2023-12-20 21:24:02)
historic resources (non-compliant with NI43-101) - hence all data allocated as inferred resources only</t>
        </r>
      </text>
    </comment>
    <comment ref="BB469" authorId="0" shapeId="0" xr:uid="{00000000-0006-0000-0000-0000D6020000}">
      <text>
        <r>
          <rPr>
            <sz val="11"/>
            <color theme="1"/>
            <rFont val="Calibri"/>
            <family val="2"/>
            <scheme val="minor"/>
          </rPr>
          <t>======
ID#AAABDDKrQbs
Gavin Mudd    (2023-12-20 21:24:03)
historic resources (non-compliant with NI43-101) - hence all data allocated as inferred resources only</t>
        </r>
      </text>
    </comment>
    <comment ref="BI469" authorId="0" shapeId="0" xr:uid="{00000000-0006-0000-0000-0000E3010000}">
      <text>
        <r>
          <rPr>
            <sz val="11"/>
            <color theme="1"/>
            <rFont val="Calibri"/>
            <family val="2"/>
            <scheme val="minor"/>
          </rPr>
          <t>======
ID#AAABDDKrQ34
Gavin Mudd    (2023-12-20 21:24:04)
historic resources (non-compliant with NI43-101) - hence all data allocated as inferred resources only</t>
        </r>
      </text>
    </comment>
    <comment ref="BJ469" authorId="0" shapeId="0" xr:uid="{00000000-0006-0000-0000-0000D5040000}">
      <text>
        <r>
          <rPr>
            <sz val="11"/>
            <color theme="1"/>
            <rFont val="Calibri"/>
            <family val="2"/>
            <scheme val="minor"/>
          </rPr>
          <t>======
ID#AAABDDKrPZg
Gavin Mudd    (2023-12-20 21:24:03)
historic resources (non-compliant with NI43-101) - hence all data allocated as inferred resources only</t>
        </r>
      </text>
    </comment>
    <comment ref="BA470" authorId="0" shapeId="0" xr:uid="{00000000-0006-0000-0000-0000C7030000}">
      <text>
        <r>
          <rPr>
            <sz val="11"/>
            <color theme="1"/>
            <rFont val="Calibri"/>
            <family val="2"/>
            <scheme val="minor"/>
          </rPr>
          <t>======
ID#AAABDDKrP80
Gavin Mudd    (2023-12-20 21:24:03)
historic resources (non-compliant with NI43-101) - hence all data allocated as inferred resources only</t>
        </r>
      </text>
    </comment>
    <comment ref="BI470" authorId="0" shapeId="0" xr:uid="{00000000-0006-0000-0000-00003E010000}">
      <text>
        <r>
          <rPr>
            <sz val="11"/>
            <color theme="1"/>
            <rFont val="Calibri"/>
            <family val="2"/>
            <scheme val="minor"/>
          </rPr>
          <t>======
ID#AAABDDKrRNQ
Gavin Mudd    (2023-12-20 21:24:04)
historic resources (non-compliant with NI43-101) - hence all data allocated as inferred resources only</t>
        </r>
      </text>
    </comment>
    <comment ref="BJ470" authorId="0" shapeId="0" xr:uid="{00000000-0006-0000-0000-0000C0020000}">
      <text>
        <r>
          <rPr>
            <sz val="11"/>
            <color theme="1"/>
            <rFont val="Calibri"/>
            <family val="2"/>
            <scheme val="minor"/>
          </rPr>
          <t>======
ID#AAABDDKrQd0
Gavin Mudd    (2023-12-20 21:24:03)
historic resources (non-compliant with NI43-101) - hence all data allocated as inferred resources only</t>
        </r>
      </text>
    </comment>
    <comment ref="BP470" authorId="0" shapeId="0" xr:uid="{00000000-0006-0000-0000-0000D0040000}">
      <text>
        <r>
          <rPr>
            <sz val="11"/>
            <color theme="1"/>
            <rFont val="Calibri"/>
            <family val="2"/>
            <scheme val="minor"/>
          </rPr>
          <t>======
ID#AAABDDKrPaA
Gavin Mudd    (2023-12-20 21:24:03)
historic resources (non-compliant with NI43-101) - hence all data allocated as inferred resources only</t>
        </r>
      </text>
    </comment>
    <comment ref="BQ470" authorId="0" shapeId="0" xr:uid="{00000000-0006-0000-0000-00003D040000}">
      <text>
        <r>
          <rPr>
            <sz val="11"/>
            <color theme="1"/>
            <rFont val="Calibri"/>
            <family val="2"/>
            <scheme val="minor"/>
          </rPr>
          <t>======
ID#AAABDDKrPso
Gavin Mudd    (2023-12-20 21:24:03)
historic resources (non-compliant with NI43-101) - hence all data allocated as inferred resources only</t>
        </r>
      </text>
    </comment>
    <comment ref="H471" authorId="0" shapeId="0" xr:uid="{00000000-0006-0000-0000-0000FD030000}">
      <text>
        <r>
          <rPr>
            <sz val="11"/>
            <color theme="1"/>
            <rFont val="Calibri"/>
            <family val="2"/>
            <scheme val="minor"/>
          </rPr>
          <t>======
ID#AAABDDKrP00
Gavin Mudd    (2023-12-20 21:24:03)
previously held by Hathor Exploration</t>
        </r>
      </text>
    </comment>
    <comment ref="DP471" authorId="0" shapeId="0" xr:uid="{00000000-0006-0000-0000-00002A000000}">
      <text>
        <r>
          <rPr>
            <sz val="11"/>
            <color theme="1"/>
            <rFont val="Calibri"/>
            <family val="2"/>
            <scheme val="minor"/>
          </rPr>
          <t>======
ID#AAABDDKrRw0
Gavin Mudd    (2023-12-20 21:24:04)
data from Hathor Exploration</t>
        </r>
      </text>
    </comment>
    <comment ref="BA472" authorId="0" shapeId="0" xr:uid="{00000000-0006-0000-0000-0000C2000000}">
      <text>
        <r>
          <rPr>
            <sz val="11"/>
            <color theme="1"/>
            <rFont val="Calibri"/>
            <family val="2"/>
            <scheme val="minor"/>
          </rPr>
          <t>======
ID#AAABDDKrRdM
Gavin Mudd    (2023-12-20 21:24:04)
historic resources (non-compliant with NI43-101) - hence all data allocated as inferred resources only</t>
        </r>
      </text>
    </comment>
    <comment ref="BI472" authorId="0" shapeId="0" xr:uid="{00000000-0006-0000-0000-0000A1050000}">
      <text>
        <r>
          <rPr>
            <sz val="11"/>
            <color theme="1"/>
            <rFont val="Calibri"/>
            <family val="2"/>
            <scheme val="minor"/>
          </rPr>
          <t>======
ID#AAABDDKrO-w
Gavin Mudd    (2023-12-20 21:24:03)
historic resources (non-compliant with NI43-101) - hence all data allocated as inferred resources only</t>
        </r>
      </text>
    </comment>
    <comment ref="BJ472" authorId="0" shapeId="0" xr:uid="{00000000-0006-0000-0000-00005E000000}">
      <text>
        <r>
          <rPr>
            <sz val="11"/>
            <color theme="1"/>
            <rFont val="Calibri"/>
            <family val="2"/>
            <scheme val="minor"/>
          </rPr>
          <t>======
ID#AAABDDKrRo0
Gavin Mudd    (2023-12-20 21:24:04)
historic resources (non-compliant with NI43-101) - hence all data allocated as inferred resources only</t>
        </r>
      </text>
    </comment>
    <comment ref="H474" authorId="0" shapeId="0" xr:uid="{00000000-0006-0000-0000-00007D040000}">
      <text>
        <r>
          <rPr>
            <sz val="11"/>
            <color theme="1"/>
            <rFont val="Calibri"/>
            <family val="2"/>
            <scheme val="minor"/>
          </rPr>
          <t>======
ID#AAABDDKrPlU
Gavin Mudd    (2023-12-20 21:24:03)
Bluejay Minnig Plc was formerly known as FinnAust Mining Plc, which in turn was ~79% owned by Western Areas Ltd</t>
        </r>
      </text>
    </comment>
    <comment ref="BA474" authorId="0" shapeId="0" xr:uid="{00000000-0006-0000-0000-00001D020000}">
      <text>
        <r>
          <rPr>
            <sz val="11"/>
            <color theme="1"/>
            <rFont val="Calibri"/>
            <family val="2"/>
            <scheme val="minor"/>
          </rPr>
          <t>======
ID#AAABDDKrQxU
Gavin Mudd    (2023-12-20 21:24:04)
historic resources (non-compliant with NI43-101) - hence all data allocated as inferred resources only</t>
        </r>
      </text>
    </comment>
    <comment ref="BB474" authorId="0" shapeId="0" xr:uid="{00000000-0006-0000-0000-000002030000}">
      <text>
        <r>
          <rPr>
            <sz val="11"/>
            <color theme="1"/>
            <rFont val="Calibri"/>
            <family val="2"/>
            <scheme val="minor"/>
          </rPr>
          <t>======
ID#AAABDDKrQWc
Gavin Mudd    (2023-12-20 21:24:03)
historic resources (non-compliant with NI43-101) - hence all data allocated as inferred resources only</t>
        </r>
      </text>
    </comment>
    <comment ref="BI474" authorId="0" shapeId="0" xr:uid="{00000000-0006-0000-0000-0000F1050000}">
      <text>
        <r>
          <rPr>
            <sz val="11"/>
            <color theme="1"/>
            <rFont val="Calibri"/>
            <family val="2"/>
            <scheme val="minor"/>
          </rPr>
          <t>======
ID#AAABCyJQh88
Gavin Mudd    (2023-12-20 21:24:02)
historic resources (non-compliant with NI43-101) - hence all data allocated as inferred resources only</t>
        </r>
      </text>
    </comment>
    <comment ref="BJ474" authorId="0" shapeId="0" xr:uid="{00000000-0006-0000-0000-000012050000}">
      <text>
        <r>
          <rPr>
            <sz val="11"/>
            <color theme="1"/>
            <rFont val="Calibri"/>
            <family val="2"/>
            <scheme val="minor"/>
          </rPr>
          <t>======
ID#AAABDDKrPQ4
Gavin Mudd    (2023-12-20 21:24:03)
historic resources (non-compliant with NI43-101) - hence all data allocated as inferred resources only</t>
        </r>
      </text>
    </comment>
    <comment ref="DP474" authorId="0" shapeId="0" xr:uid="{00000000-0006-0000-0000-0000E9010000}">
      <text>
        <r>
          <rPr>
            <sz val="11"/>
            <color theme="1"/>
            <rFont val="Calibri"/>
            <family val="2"/>
            <scheme val="minor"/>
          </rPr>
          <t>======
ID#AAABDDKrQ3E
Gavin Mudd    (2023-12-20 21:24:04)
data from Western Areas</t>
        </r>
      </text>
    </comment>
    <comment ref="BA475" authorId="0" shapeId="0" xr:uid="{00000000-0006-0000-0000-000025030000}">
      <text>
        <r>
          <rPr>
            <sz val="11"/>
            <color theme="1"/>
            <rFont val="Calibri"/>
            <family val="2"/>
            <scheme val="minor"/>
          </rPr>
          <t>======
ID#AAABDDKrQSc
Gavin Mudd    (2023-12-20 21:24:03)
historic resources (non-compliant with NI43-101) - hence all data allocated as inferred resources only</t>
        </r>
      </text>
    </comment>
    <comment ref="BB475" authorId="0" shapeId="0" xr:uid="{00000000-0006-0000-0000-000063020000}">
      <text>
        <r>
          <rPr>
            <sz val="11"/>
            <color theme="1"/>
            <rFont val="Calibri"/>
            <family val="2"/>
            <scheme val="minor"/>
          </rPr>
          <t>======
ID#AAABDDKrQoo
Gavin Mudd    (2023-12-20 21:24:04)
historic resources (non-compliant with NI43-101) - hence all data allocated as inferred resources only</t>
        </r>
      </text>
    </comment>
    <comment ref="BI475" authorId="0" shapeId="0" xr:uid="{00000000-0006-0000-0000-000048040000}">
      <text>
        <r>
          <rPr>
            <sz val="11"/>
            <color theme="1"/>
            <rFont val="Calibri"/>
            <family val="2"/>
            <scheme val="minor"/>
          </rPr>
          <t>======
ID#AAABDDKrPrk
Gavin Mudd    (2023-12-20 21:24:03)
historic resources (non-compliant with NI43-101) - hence all data allocated as inferred resources only</t>
        </r>
      </text>
    </comment>
    <comment ref="C476" authorId="0" shapeId="0" xr:uid="{00000000-0006-0000-0000-0000B2020000}">
      <text>
        <r>
          <rPr>
            <sz val="11"/>
            <color theme="1"/>
            <rFont val="Calibri"/>
            <family val="2"/>
            <scheme val="minor"/>
          </rPr>
          <t>======
ID#AAABDDKrQfU
Gavin Mudd    (2023-12-20 21:24:03)
includes Siphumelele, Khuseleka, Khomanani, Thembelani, Bathopele</t>
        </r>
      </text>
    </comment>
    <comment ref="DP476" authorId="0" shapeId="0" xr:uid="{00000000-0006-0000-0000-0000F9040000}">
      <text>
        <r>
          <rPr>
            <sz val="11"/>
            <color theme="1"/>
            <rFont val="Calibri"/>
            <family val="2"/>
            <scheme val="minor"/>
          </rPr>
          <t>======
ID#AAABDDKrPVc
Gavin Mudd    (2023-12-20 21:24:03)
including 2017 data for Merensky-UG2 ore spit</t>
        </r>
      </text>
    </comment>
    <comment ref="BA478" authorId="0" shapeId="0" xr:uid="{00000000-0006-0000-0000-0000BA050000}">
      <text>
        <r>
          <rPr>
            <sz val="11"/>
            <color theme="1"/>
            <rFont val="Calibri"/>
            <family val="2"/>
            <scheme val="minor"/>
          </rPr>
          <t>======
ID#AAABDDKrO70
Gavin Mudd    (2023-12-20 21:24:03)
historic resources (non-compliant with NI43-101) - hence all data allocated as inferred resources only</t>
        </r>
      </text>
    </comment>
    <comment ref="BI478" authorId="0" shapeId="0" xr:uid="{00000000-0006-0000-0000-000070060000}">
      <text>
        <r>
          <rPr>
            <sz val="11"/>
            <color theme="1"/>
            <rFont val="Calibri"/>
            <family val="2"/>
            <scheme val="minor"/>
          </rPr>
          <t>======
ID#AAABCyJQhvQ
Gavin Mudd    (2023-12-20 21:24:01)
historic resources (non-compliant with NI43-101) - hence all data allocated as inferred resources only</t>
        </r>
      </text>
    </comment>
    <comment ref="BA481" authorId="0" shapeId="0" xr:uid="{00000000-0006-0000-0000-00003E040000}">
      <text>
        <r>
          <rPr>
            <sz val="11"/>
            <color theme="1"/>
            <rFont val="Calibri"/>
            <family val="2"/>
            <scheme val="minor"/>
          </rPr>
          <t>======
ID#AAABDDKrPsk
Gavin Mudd    (2023-12-20 21:24:03)
historic resources (non-compliant with NI43-101) - hence all data allocated as inferred resources only</t>
        </r>
      </text>
    </comment>
    <comment ref="BB481" authorId="0" shapeId="0" xr:uid="{00000000-0006-0000-0000-000046000000}">
      <text>
        <r>
          <rPr>
            <sz val="11"/>
            <color theme="1"/>
            <rFont val="Calibri"/>
            <family val="2"/>
            <scheme val="minor"/>
          </rPr>
          <t>======
ID#AAABDDKrRsQ
Gavin Mudd    (2023-12-20 21:24:04)
historic resources (non-compliant with NI43-101) - hence all data allocated as inferred resources only</t>
        </r>
      </text>
    </comment>
    <comment ref="BI481" authorId="0" shapeId="0" xr:uid="{00000000-0006-0000-0000-0000D0000000}">
      <text>
        <r>
          <rPr>
            <sz val="11"/>
            <color theme="1"/>
            <rFont val="Calibri"/>
            <family val="2"/>
            <scheme val="minor"/>
          </rPr>
          <t>======
ID#AAABDDKrRbk
Gavin Mudd    (2023-12-20 21:24:04)
historic resources (non-compliant with NI43-101) - hence all data allocated as inferred resources only</t>
        </r>
      </text>
    </comment>
    <comment ref="BA482" authorId="0" shapeId="0" xr:uid="{00000000-0006-0000-0000-0000B5050000}">
      <text>
        <r>
          <rPr>
            <sz val="11"/>
            <color theme="1"/>
            <rFont val="Calibri"/>
            <family val="2"/>
            <scheme val="minor"/>
          </rPr>
          <t>======
ID#AAABDDKrO8U
Gavin Mudd    (2023-12-20 21:24:03)
historic resources (non-compliant with NI43-101) - hence all data allocated as inferred resources only</t>
        </r>
      </text>
    </comment>
    <comment ref="BI482" authorId="0" shapeId="0" xr:uid="{00000000-0006-0000-0000-000039030000}">
      <text>
        <r>
          <rPr>
            <sz val="11"/>
            <color theme="1"/>
            <rFont val="Calibri"/>
            <family val="2"/>
            <scheme val="minor"/>
          </rPr>
          <t>======
ID#AAABDDKrQQE
Gavin Mudd    (2023-12-20 21:24:03)
historic resources (non-compliant with NI43-101) - hence all data allocated as inferred resources only</t>
        </r>
      </text>
    </comment>
    <comment ref="K483" authorId="0" shapeId="0" xr:uid="{00000000-0006-0000-0000-00000F060000}">
      <text>
        <r>
          <rPr>
            <sz val="11"/>
            <color theme="1"/>
            <rFont val="Calibri"/>
            <family val="2"/>
            <scheme val="minor"/>
          </rPr>
          <t>======
ID#AAABCyJQh5Y
Gavin Mudd    (2023-12-20 21:24:02)
estimated from 2013 resources minus cumulative production to 2018 (assuming all production is from measured resources)</t>
        </r>
      </text>
    </comment>
    <comment ref="S483" authorId="0" shapeId="0" xr:uid="{00000000-0006-0000-0000-0000C6030000}">
      <text>
        <r>
          <rPr>
            <sz val="11"/>
            <color theme="1"/>
            <rFont val="Calibri"/>
            <family val="2"/>
            <scheme val="minor"/>
          </rPr>
          <t>======
ID#AAABDDKrP84
Gavin Mudd    (2023-12-20 21:24:03)
estimated from 2013 resources minus cumulative production to 2018 (assuming all production is from measured resources)</t>
        </r>
      </text>
    </comment>
    <comment ref="AN483" authorId="0" shapeId="0" xr:uid="{00000000-0006-0000-0000-000088040000}">
      <text>
        <r>
          <rPr>
            <sz val="11"/>
            <color theme="1"/>
            <rFont val="Calibri"/>
            <family val="2"/>
            <scheme val="minor"/>
          </rPr>
          <t>======
ID#AAABDDKrPkI
Gavin Mudd    (2023-12-20 21:24:03)
ore grade by category not given, only total average grade</t>
        </r>
      </text>
    </comment>
    <comment ref="BI483" authorId="0" shapeId="0" xr:uid="{00000000-0006-0000-0000-000083030000}">
      <text>
        <r>
          <rPr>
            <sz val="11"/>
            <color theme="1"/>
            <rFont val="Calibri"/>
            <family val="2"/>
            <scheme val="minor"/>
          </rPr>
          <t>======
ID#AAABDDKrQE8
Gavin Mudd    (2023-12-20 21:24:03)
ore grade by category not given, only total average grade</t>
        </r>
      </text>
    </comment>
    <comment ref="BA484" authorId="0" shapeId="0" xr:uid="{00000000-0006-0000-0000-000028010000}">
      <text>
        <r>
          <rPr>
            <sz val="11"/>
            <color theme="1"/>
            <rFont val="Calibri"/>
            <family val="2"/>
            <scheme val="minor"/>
          </rPr>
          <t>======
ID#AAABDDKrRRM
Gavin Mudd    (2023-12-20 21:24:04)
only total resources reported, assumed as inferred</t>
        </r>
      </text>
    </comment>
    <comment ref="BI484" authorId="0" shapeId="0" xr:uid="{00000000-0006-0000-0000-000002010000}">
      <text>
        <r>
          <rPr>
            <sz val="11"/>
            <color theme="1"/>
            <rFont val="Calibri"/>
            <family val="2"/>
            <scheme val="minor"/>
          </rPr>
          <t>======
ID#AAABDDKrRVg
Gavin Mudd    (2023-12-20 21:24:04)
only total resources reported, assumed as inferred</t>
        </r>
      </text>
    </comment>
    <comment ref="BJ484" authorId="0" shapeId="0" xr:uid="{00000000-0006-0000-0000-000099020000}">
      <text>
        <r>
          <rPr>
            <sz val="11"/>
            <color theme="1"/>
            <rFont val="Calibri"/>
            <family val="2"/>
            <scheme val="minor"/>
          </rPr>
          <t>======
ID#AAABDDKrQjA
Gavin Mudd    (2023-12-20 21:24:04)
value from Berger et al (2011)</t>
        </r>
      </text>
    </comment>
    <comment ref="D485" authorId="0" shapeId="0" xr:uid="{00000000-0006-0000-0000-000025040000}">
      <text>
        <r>
          <rPr>
            <sz val="11"/>
            <color theme="1"/>
            <rFont val="Calibri"/>
            <family val="2"/>
            <scheme val="minor"/>
          </rPr>
          <t>======
ID#AAABDDKrPvk
Gavin Mudd    (2023-12-20 21:24:03)
mine restarted in mid-2019</t>
        </r>
      </text>
    </comment>
    <comment ref="H485" authorId="0" shapeId="0" xr:uid="{00000000-0006-0000-0000-000003010000}">
      <text>
        <r>
          <rPr>
            <sz val="11"/>
            <color theme="1"/>
            <rFont val="Calibri"/>
            <family val="2"/>
            <scheme val="minor"/>
          </rPr>
          <t>======
ID#AAABDDKrRVQ
Gavin Mudd    (2023-12-20 21:24:04)
previously held by Mirabela Nickel - which went bankrupt in ~2013</t>
        </r>
      </text>
    </comment>
    <comment ref="BA486" authorId="0" shapeId="0" xr:uid="{00000000-0006-0000-0000-00000E050000}">
      <text>
        <r>
          <rPr>
            <sz val="11"/>
            <color theme="1"/>
            <rFont val="Calibri"/>
            <family val="2"/>
            <scheme val="minor"/>
          </rPr>
          <t>======
ID#AAABDDKrPRc
Gavin Mudd    (2023-12-20 21:24:03)
historic resources (non-compliant with NI43-101) - hence all data allocated as inferred resources only; adjusted for 13 years mining @ ~0.7 Mt ore/yr since 2005</t>
        </r>
      </text>
    </comment>
    <comment ref="BI486" authorId="0" shapeId="0" xr:uid="{00000000-0006-0000-0000-000087050000}">
      <text>
        <r>
          <rPr>
            <sz val="11"/>
            <color theme="1"/>
            <rFont val="Calibri"/>
            <family val="2"/>
            <scheme val="minor"/>
          </rPr>
          <t>======
ID#AAABDDKrPCM
Gavin Mudd    (2023-12-20 21:24:03)
historic resources (non-compliant with NI43-101) - hence all data allocated as inferred resources only</t>
        </r>
      </text>
    </comment>
    <comment ref="BJ486" authorId="0" shapeId="0" xr:uid="{00000000-0006-0000-0000-00006A030000}">
      <text>
        <r>
          <rPr>
            <sz val="11"/>
            <color theme="1"/>
            <rFont val="Calibri"/>
            <family val="2"/>
            <scheme val="minor"/>
          </rPr>
          <t>======
ID#AAABDDKrQKQ
Gavin Mudd    (2023-12-20 21:24:03)
historic resources (non-compliant with NI43-101) - hence all data allocated as inferred resources only</t>
        </r>
      </text>
    </comment>
    <comment ref="C488" authorId="0" shapeId="0" xr:uid="{00000000-0006-0000-0000-0000D4020000}">
      <text>
        <r>
          <rPr>
            <sz val="11"/>
            <color theme="1"/>
            <rFont val="Calibri"/>
            <family val="2"/>
            <scheme val="minor"/>
          </rPr>
          <t>======
ID#AAABDDKrQb0
Gavin Mudd    (2023-12-20 21:24:03)
formerly known as the "Nornico" project; includes Bell Creek South, Bell Creek North, Bell Creek Northwest, Bell Creek The Neck</t>
        </r>
      </text>
    </comment>
    <comment ref="DP488" authorId="0" shapeId="0" xr:uid="{00000000-0006-0000-0000-0000F5020000}">
      <text>
        <r>
          <rPr>
            <sz val="11"/>
            <color theme="1"/>
            <rFont val="Calibri"/>
            <family val="2"/>
            <scheme val="minor"/>
          </rPr>
          <t>======
ID#AAABDDKrQXk
Gavin Mudd    (2023-12-20 21:24:03)
media release (ASX) from former owner Metallica Minerals Ltd</t>
        </r>
      </text>
    </comment>
    <comment ref="C489" authorId="0" shapeId="0" xr:uid="{00000000-0006-0000-0000-000075050000}">
      <text>
        <r>
          <rPr>
            <sz val="11"/>
            <color theme="1"/>
            <rFont val="Calibri"/>
            <family val="2"/>
            <scheme val="minor"/>
          </rPr>
          <t>======
ID#AAABDDKrPEg
Gavin Mudd    (2023-12-20 21:24:03)
formerly known as the "Nornico" project</t>
        </r>
      </text>
    </comment>
    <comment ref="DP489" authorId="0" shapeId="0" xr:uid="{00000000-0006-0000-0000-00003A000000}">
      <text>
        <r>
          <rPr>
            <sz val="11"/>
            <color theme="1"/>
            <rFont val="Calibri"/>
            <family val="2"/>
            <scheme val="minor"/>
          </rPr>
          <t>======
ID#AAABDDKrRuE
Gavin Mudd    (2023-12-20 21:24:04)
media release (ASX) from former owner Metallica Minerals Ltd</t>
        </r>
      </text>
    </comment>
    <comment ref="C490" authorId="0" shapeId="0" xr:uid="{00000000-0006-0000-0000-00000A020000}">
      <text>
        <r>
          <rPr>
            <sz val="11"/>
            <color theme="1"/>
            <rFont val="Calibri"/>
            <family val="2"/>
            <scheme val="minor"/>
          </rPr>
          <t>======
ID#AAABDDKrQzI
Gavin Mudd    (2023-12-20 21:24:04)
formerly known as the "Nornico" project</t>
        </r>
      </text>
    </comment>
    <comment ref="DP490" authorId="0" shapeId="0" xr:uid="{00000000-0006-0000-0000-0000EF030000}">
      <text>
        <r>
          <rPr>
            <sz val="11"/>
            <color theme="1"/>
            <rFont val="Calibri"/>
            <family val="2"/>
            <scheme val="minor"/>
          </rPr>
          <t>======
ID#AAABDDKrP2o
Gavin Mudd    (2023-12-20 21:24:03)
media release (ASX) from former owner Metallica Minerals Ltd</t>
        </r>
      </text>
    </comment>
    <comment ref="C491" authorId="0" shapeId="0" xr:uid="{00000000-0006-0000-0000-000040040000}">
      <text>
        <r>
          <rPr>
            <sz val="11"/>
            <color theme="1"/>
            <rFont val="Calibri"/>
            <family val="2"/>
            <scheme val="minor"/>
          </rPr>
          <t>======
ID#AAABDDKrPsU
Gavin Mudd    (2023-12-20 21:24:03)
formerly known as the "Nornico" project</t>
        </r>
      </text>
    </comment>
    <comment ref="DP491" authorId="0" shapeId="0" xr:uid="{00000000-0006-0000-0000-000021000000}">
      <text>
        <r>
          <rPr>
            <sz val="11"/>
            <color theme="1"/>
            <rFont val="Calibri"/>
            <family val="2"/>
            <scheme val="minor"/>
          </rPr>
          <t>======
ID#AAABDDKrRyo
Gavin Mudd    (2023-12-20 21:24:04)
media release (ASX) from former owner Metallica Minerals Ltd</t>
        </r>
      </text>
    </comment>
    <comment ref="C492" authorId="0" shapeId="0" xr:uid="{00000000-0006-0000-0000-0000B3030000}">
      <text>
        <r>
          <rPr>
            <sz val="11"/>
            <color theme="1"/>
            <rFont val="Calibri"/>
            <family val="2"/>
            <scheme val="minor"/>
          </rPr>
          <t>======
ID#AAABDDKrP-4
Gavin Mudd    (2023-12-20 21:24:03)
formerly known as the "Nornico" project</t>
        </r>
      </text>
    </comment>
    <comment ref="DP492" authorId="0" shapeId="0" xr:uid="{00000000-0006-0000-0000-0000B6020000}">
      <text>
        <r>
          <rPr>
            <sz val="11"/>
            <color theme="1"/>
            <rFont val="Calibri"/>
            <family val="2"/>
            <scheme val="minor"/>
          </rPr>
          <t>======
ID#AAABDDKrQfE
Gavin Mudd    (2023-12-20 21:24:03)
media release (ASX) from former owner Metallica Minerals Ltd</t>
        </r>
      </text>
    </comment>
    <comment ref="H494" authorId="0" shapeId="0" xr:uid="{00000000-0006-0000-0000-0000C9050000}">
      <text>
        <r>
          <rPr>
            <sz val="11"/>
            <color theme="1"/>
            <rFont val="Calibri"/>
            <family val="2"/>
            <scheme val="minor"/>
          </rPr>
          <t>======
ID#AAABDDKrO6A
Gavin Mudd    (2023-12-20 21:24:02)
commonly known as Bamangwato Concessions Ltd - but specific corporate name is BCL Ltd</t>
        </r>
      </text>
    </comment>
    <comment ref="K494" authorId="0" shapeId="0" xr:uid="{00000000-0006-0000-0000-000028040000}">
      <text>
        <r>
          <rPr>
            <sz val="11"/>
            <color theme="1"/>
            <rFont val="Calibri"/>
            <family val="2"/>
            <scheme val="minor"/>
          </rPr>
          <t>======
ID#AAABDDKrPvM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AF494" authorId="0" shapeId="0" xr:uid="{00000000-0006-0000-0000-000022060000}">
      <text>
        <r>
          <rPr>
            <sz val="11"/>
            <color theme="1"/>
            <rFont val="Calibri"/>
            <family val="2"/>
            <scheme val="minor"/>
          </rPr>
          <t>======
ID#AAABCyJQh28
Gavin Mudd    (2023-12-20 21:24:02)
given old nature and uncertainty around BCL's status, all resources allocated as inferred resources only - with the data for reserves excluded (given the closed / bankrupt status of BCL)</t>
        </r>
      </text>
    </comment>
    <comment ref="BA494" authorId="0" shapeId="0" xr:uid="{00000000-0006-0000-0000-000014030000}">
      <text>
        <r>
          <rPr>
            <sz val="11"/>
            <color theme="1"/>
            <rFont val="Calibri"/>
            <family val="2"/>
            <scheme val="minor"/>
          </rPr>
          <t>======
ID#AAABDDKrQUc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BB494" authorId="0" shapeId="0" xr:uid="{00000000-0006-0000-0000-00000B040000}">
      <text>
        <r>
          <rPr>
            <sz val="11"/>
            <color theme="1"/>
            <rFont val="Calibri"/>
            <family val="2"/>
            <scheme val="minor"/>
          </rPr>
          <t>======
ID#AAABDDKrPy8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BI494" authorId="0" shapeId="0" xr:uid="{00000000-0006-0000-0000-00002F030000}">
      <text>
        <r>
          <rPr>
            <sz val="11"/>
            <color theme="1"/>
            <rFont val="Calibri"/>
            <family val="2"/>
            <scheme val="minor"/>
          </rPr>
          <t>======
ID#AAABDDKrQRc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BV494" authorId="0" shapeId="0" xr:uid="{00000000-0006-0000-0000-000023040000}">
      <text>
        <r>
          <rPr>
            <sz val="11"/>
            <color theme="1"/>
            <rFont val="Calibri"/>
            <family val="2"/>
            <scheme val="minor"/>
          </rPr>
          <t>======
ID#AAABDDKrPv8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CQ494" authorId="0" shapeId="0" xr:uid="{00000000-0006-0000-0000-000029040000}">
      <text>
        <r>
          <rPr>
            <sz val="11"/>
            <color theme="1"/>
            <rFont val="Calibri"/>
            <family val="2"/>
            <scheme val="minor"/>
          </rPr>
          <t>======
ID#AAABDDKrPvE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H496" authorId="0" shapeId="0" xr:uid="{00000000-0006-0000-0000-0000CA030000}">
      <text>
        <r>
          <rPr>
            <sz val="11"/>
            <color theme="1"/>
            <rFont val="Calibri"/>
            <family val="2"/>
            <scheme val="minor"/>
          </rPr>
          <t>======
ID#AAABDDKrP8Y
Gavin Mudd    (2023-12-20 21:24:03)
commonly known as Bamangwato Concessions Ltd - but specific corporate name is BCL Ltd</t>
        </r>
      </text>
    </comment>
    <comment ref="K496" authorId="0" shapeId="0" xr:uid="{00000000-0006-0000-0000-0000DB030000}">
      <text>
        <r>
          <rPr>
            <sz val="11"/>
            <color theme="1"/>
            <rFont val="Calibri"/>
            <family val="2"/>
            <scheme val="minor"/>
          </rPr>
          <t>======
ID#AAABDDKrP5E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AF496" authorId="0" shapeId="0" xr:uid="{00000000-0006-0000-0000-0000DA050000}">
      <text>
        <r>
          <rPr>
            <sz val="11"/>
            <color theme="1"/>
            <rFont val="Calibri"/>
            <family val="2"/>
            <scheme val="minor"/>
          </rPr>
          <t>======
ID#AAABCyJQh_0
Gavin Mudd    (2023-12-20 21:24:02)
given old nature and uncertainty around BCL's status, all resources allocated as inferred resources only - with the data for reserves excluded (given the closed / bankrupt status of BCL)</t>
        </r>
      </text>
    </comment>
    <comment ref="BA496" authorId="0" shapeId="0" xr:uid="{00000000-0006-0000-0000-000098050000}">
      <text>
        <r>
          <rPr>
            <sz val="11"/>
            <color theme="1"/>
            <rFont val="Calibri"/>
            <family val="2"/>
            <scheme val="minor"/>
          </rPr>
          <t>======
ID#AAABDDKrPAU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BB496" authorId="0" shapeId="0" xr:uid="{00000000-0006-0000-0000-00008C040000}">
      <text>
        <r>
          <rPr>
            <sz val="11"/>
            <color theme="1"/>
            <rFont val="Calibri"/>
            <family val="2"/>
            <scheme val="minor"/>
          </rPr>
          <t>======
ID#AAABDDKrPjk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BI496" authorId="0" shapeId="0" xr:uid="{00000000-0006-0000-0000-0000E0040000}">
      <text>
        <r>
          <rPr>
            <sz val="11"/>
            <color theme="1"/>
            <rFont val="Calibri"/>
            <family val="2"/>
            <scheme val="minor"/>
          </rPr>
          <t>======
ID#AAABDDKrPYM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BV496" authorId="0" shapeId="0" xr:uid="{00000000-0006-0000-0000-000070030000}">
      <text>
        <r>
          <rPr>
            <sz val="11"/>
            <color theme="1"/>
            <rFont val="Calibri"/>
            <family val="2"/>
            <scheme val="minor"/>
          </rPr>
          <t>======
ID#AAABDDKrQJQ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CQ496" authorId="0" shapeId="0" xr:uid="{00000000-0006-0000-0000-000040000000}">
      <text>
        <r>
          <rPr>
            <sz val="11"/>
            <color theme="1"/>
            <rFont val="Calibri"/>
            <family val="2"/>
            <scheme val="minor"/>
          </rPr>
          <t>======
ID#AAABDDKrRtA
Gavin Mudd    (2023-12-20 21:24:04)
given old nature and uncertainty around BCL's status, all resources allocated as inferred resources only - with the data for reserves excluded (given the closed / bankrupt status of BCL)</t>
        </r>
      </text>
    </comment>
    <comment ref="H497" authorId="0" shapeId="0" xr:uid="{00000000-0006-0000-0000-000002040000}">
      <text>
        <r>
          <rPr>
            <sz val="11"/>
            <color theme="1"/>
            <rFont val="Calibri"/>
            <family val="2"/>
            <scheme val="minor"/>
          </rPr>
          <t>======
ID#AAABDDKrP0U
Gavin Mudd    (2023-12-20 21:24:03)
commonly known as Bamangwato Concessions Ltd - but specific corporate name is BCL Ltd</t>
        </r>
      </text>
    </comment>
    <comment ref="K497" authorId="0" shapeId="0" xr:uid="{00000000-0006-0000-0000-0000BA030000}">
      <text>
        <r>
          <rPr>
            <sz val="11"/>
            <color theme="1"/>
            <rFont val="Calibri"/>
            <family val="2"/>
            <scheme val="minor"/>
          </rPr>
          <t>======
ID#AAABDDKrP-M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AF497" authorId="0" shapeId="0" xr:uid="{00000000-0006-0000-0000-000009060000}">
      <text>
        <r>
          <rPr>
            <sz val="11"/>
            <color theme="1"/>
            <rFont val="Calibri"/>
            <family val="2"/>
            <scheme val="minor"/>
          </rPr>
          <t>======
ID#AAABCyJQh54
Gavin Mudd    (2023-12-20 21:24:02)
given old nature and uncertainty around BCL's status, all resources allocated as inferred resources only - with the data for reserves excluded (given the closed / bankrupt status of BCL)</t>
        </r>
      </text>
    </comment>
    <comment ref="BA497" authorId="0" shapeId="0" xr:uid="{00000000-0006-0000-0000-00006F060000}">
      <text>
        <r>
          <rPr>
            <sz val="11"/>
            <color theme="1"/>
            <rFont val="Calibri"/>
            <family val="2"/>
            <scheme val="minor"/>
          </rPr>
          <t>======
ID#AAABCyJQhvU
Gavin Mudd    (2023-12-20 21:24:01)
given old nature and uncertainty around BCL's status, all resources allocated as inferred resources only - with the data for reserves excluded (given the closed / bankrupt status of BCL)</t>
        </r>
      </text>
    </comment>
    <comment ref="BB497" authorId="0" shapeId="0" xr:uid="{00000000-0006-0000-0000-00000D030000}">
      <text>
        <r>
          <rPr>
            <sz val="11"/>
            <color theme="1"/>
            <rFont val="Calibri"/>
            <family val="2"/>
            <scheme val="minor"/>
          </rPr>
          <t>======
ID#AAABDDKrQVc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BI497" authorId="0" shapeId="0" xr:uid="{00000000-0006-0000-0000-000083040000}">
      <text>
        <r>
          <rPr>
            <sz val="11"/>
            <color theme="1"/>
            <rFont val="Calibri"/>
            <family val="2"/>
            <scheme val="minor"/>
          </rPr>
          <t>======
ID#AAABDDKrPkg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BV497" authorId="0" shapeId="0" xr:uid="{00000000-0006-0000-0000-000084050000}">
      <text>
        <r>
          <rPr>
            <sz val="11"/>
            <color theme="1"/>
            <rFont val="Calibri"/>
            <family val="2"/>
            <scheme val="minor"/>
          </rPr>
          <t>======
ID#AAABDDKrPCc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CQ497" authorId="0" shapeId="0" xr:uid="{00000000-0006-0000-0000-000020020000}">
      <text>
        <r>
          <rPr>
            <sz val="11"/>
            <color theme="1"/>
            <rFont val="Calibri"/>
            <family val="2"/>
            <scheme val="minor"/>
          </rPr>
          <t>======
ID#AAABDDKrQxA
Gavin Mudd    (2023-12-20 21:24:04)
given old nature and uncertainty around BCL's status, all resources allocated as inferred resources only - with the data for reserves excluded (given the closed / bankrupt status of BCL)</t>
        </r>
      </text>
    </comment>
    <comment ref="H498" authorId="0" shapeId="0" xr:uid="{00000000-0006-0000-0000-000071000000}">
      <text>
        <r>
          <rPr>
            <sz val="11"/>
            <color theme="1"/>
            <rFont val="Calibri"/>
            <family val="2"/>
            <scheme val="minor"/>
          </rPr>
          <t>======
ID#AAABDDKrRmo
Gavin Mudd    (2023-12-20 21:24:04)
commonly known as Bamangwato Concessions Ltd - but specific corporate name is BCL Ltd</t>
        </r>
      </text>
    </comment>
    <comment ref="K498" authorId="0" shapeId="0" xr:uid="{00000000-0006-0000-0000-00005B000000}">
      <text>
        <r>
          <rPr>
            <sz val="11"/>
            <color theme="1"/>
            <rFont val="Calibri"/>
            <family val="2"/>
            <scheme val="minor"/>
          </rPr>
          <t>======
ID#AAABDDKrRpY
Gavin Mudd    (2023-12-20 21:24:04)
given old nature and uncertainty around BCL's status, all resources allocated as inferred resources only - with the data for reserves excluded (given the closed / bankrupt status of BCL)</t>
        </r>
      </text>
    </comment>
    <comment ref="AF498" authorId="0" shapeId="0" xr:uid="{00000000-0006-0000-0000-00006D000000}">
      <text>
        <r>
          <rPr>
            <sz val="11"/>
            <color theme="1"/>
            <rFont val="Calibri"/>
            <family val="2"/>
            <scheme val="minor"/>
          </rPr>
          <t>======
ID#AAABDDKrRnU
Gavin Mudd    (2023-12-20 21:24:04)
given old nature and uncertainty around BCL's status, all resources allocated as inferred resources only - with the data for reserves excluded (given the closed / bankrupt status of BCL)</t>
        </r>
      </text>
    </comment>
    <comment ref="BA498" authorId="0" shapeId="0" xr:uid="{00000000-0006-0000-0000-000015010000}">
      <text>
        <r>
          <rPr>
            <sz val="11"/>
            <color theme="1"/>
            <rFont val="Calibri"/>
            <family val="2"/>
            <scheme val="minor"/>
          </rPr>
          <t>======
ID#AAABDDKrRTc
Gavin Mudd    (2023-12-20 21:24:04)
given old nature and uncertainty around BCL's status, all resources allocated as inferred resources only - with the data for reserves excluded (given the closed / bankrupt status of BCL)</t>
        </r>
      </text>
    </comment>
    <comment ref="BB498" authorId="0" shapeId="0" xr:uid="{00000000-0006-0000-0000-00000A030000}">
      <text>
        <r>
          <rPr>
            <sz val="11"/>
            <color theme="1"/>
            <rFont val="Calibri"/>
            <family val="2"/>
            <scheme val="minor"/>
          </rPr>
          <t>======
ID#AAABDDKrQVs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BI498" authorId="0" shapeId="0" xr:uid="{00000000-0006-0000-0000-0000E7050000}">
      <text>
        <r>
          <rPr>
            <sz val="11"/>
            <color theme="1"/>
            <rFont val="Calibri"/>
            <family val="2"/>
            <scheme val="minor"/>
          </rPr>
          <t>======
ID#AAABCyJQh-M
Gavin Mudd    (2023-12-20 21:24:02)
given old nature and uncertainty around BCL's status, all resources allocated as inferred resources only - with the data for reserves excluded (given the closed / bankrupt status of BCL)</t>
        </r>
      </text>
    </comment>
    <comment ref="BV498" authorId="0" shapeId="0" xr:uid="{00000000-0006-0000-0000-0000DD010000}">
      <text>
        <r>
          <rPr>
            <sz val="11"/>
            <color theme="1"/>
            <rFont val="Calibri"/>
            <family val="2"/>
            <scheme val="minor"/>
          </rPr>
          <t>======
ID#AAABDDKrQ4c
Gavin Mudd    (2023-12-20 21:24:04)
given old nature and uncertainty around BCL's status, all resources allocated as inferred resources only - with the data for reserves excluded (given the closed / bankrupt status of BCL)</t>
        </r>
      </text>
    </comment>
    <comment ref="CQ498" authorId="0" shapeId="0" xr:uid="{00000000-0006-0000-0000-0000C7050000}">
      <text>
        <r>
          <rPr>
            <sz val="11"/>
            <color theme="1"/>
            <rFont val="Calibri"/>
            <family val="2"/>
            <scheme val="minor"/>
          </rPr>
          <t>======
ID#AAABDDKrO6I
Gavin Mudd    (2023-12-20 21:24:02)
given old nature and uncertainty around BCL's status, all resources allocated as inferred resources only - with the data for reserves excluded (given the closed / bankrupt status of BCL)</t>
        </r>
      </text>
    </comment>
    <comment ref="BA499" authorId="0" shapeId="0" xr:uid="{00000000-0006-0000-0000-0000CF020000}">
      <text>
        <r>
          <rPr>
            <sz val="11"/>
            <color theme="1"/>
            <rFont val="Calibri"/>
            <family val="2"/>
            <scheme val="minor"/>
          </rPr>
          <t>======
ID#AAABDDKrQcI
Gavin Mudd    (2023-12-20 21:24:03)
code basis unclear, assumed as inferred resources only</t>
        </r>
      </text>
    </comment>
    <comment ref="BI499" authorId="0" shapeId="0" xr:uid="{00000000-0006-0000-0000-00000C010000}">
      <text>
        <r>
          <rPr>
            <sz val="11"/>
            <color theme="1"/>
            <rFont val="Calibri"/>
            <family val="2"/>
            <scheme val="minor"/>
          </rPr>
          <t>======
ID#AAABDDKrRUY
Gavin Mudd    (2023-12-20 21:24:04)
historic resources (non-compliant with NI43-101) - hence all data allocated as inferred resources only</t>
        </r>
      </text>
    </comment>
    <comment ref="BJ499" authorId="0" shapeId="0" xr:uid="{00000000-0006-0000-0000-000072050000}">
      <text>
        <r>
          <rPr>
            <sz val="11"/>
            <color theme="1"/>
            <rFont val="Calibri"/>
            <family val="2"/>
            <scheme val="minor"/>
          </rPr>
          <t>======
ID#AAABDDKrPE4
Gavin Mudd    (2023-12-20 21:24:03)
historic resources (non-compliant with NI43-101) - hence all data allocated as inferred resources only</t>
        </r>
      </text>
    </comment>
    <comment ref="BL499" authorId="0" shapeId="0" xr:uid="{00000000-0006-0000-0000-000021040000}">
      <text>
        <r>
          <rPr>
            <sz val="11"/>
            <color theme="1"/>
            <rFont val="Calibri"/>
            <family val="2"/>
            <scheme val="minor"/>
          </rPr>
          <t>======
ID#AAABDDKrPwI
Gavin Mudd    (2023-12-20 21:24:03)
code basis unclear, assumed as inferred resources only</t>
        </r>
      </text>
    </comment>
    <comment ref="BA500" authorId="0" shapeId="0" xr:uid="{00000000-0006-0000-0000-00003A030000}">
      <text>
        <r>
          <rPr>
            <sz val="11"/>
            <color theme="1"/>
            <rFont val="Calibri"/>
            <family val="2"/>
            <scheme val="minor"/>
          </rPr>
          <t>======
ID#AAABDDKrQP8
Gavin Mudd    (2023-12-20 21:24:03)
historic resources (non-compliant with NI43-101) - hence all data allocated as inferred resources only</t>
        </r>
      </text>
    </comment>
    <comment ref="BB500" authorId="0" shapeId="0" xr:uid="{00000000-0006-0000-0000-0000E8010000}">
      <text>
        <r>
          <rPr>
            <sz val="11"/>
            <color theme="1"/>
            <rFont val="Calibri"/>
            <family val="2"/>
            <scheme val="minor"/>
          </rPr>
          <t>======
ID#AAABDDKrQ3U
Gavin Mudd    (2023-12-20 21:24:04)
historic resources (non-compliant with NI43-101) - hence all data allocated as inferred resources only</t>
        </r>
      </text>
    </comment>
    <comment ref="BI500" authorId="0" shapeId="0" xr:uid="{00000000-0006-0000-0000-000038010000}">
      <text>
        <r>
          <rPr>
            <sz val="11"/>
            <color theme="1"/>
            <rFont val="Calibri"/>
            <family val="2"/>
            <scheme val="minor"/>
          </rPr>
          <t>======
ID#AAABDDKrROQ
Gavin Mudd    (2023-12-20 21:24:04)
historic resources (non-compliant with NI43-101) - hence all data allocated as inferred resources only</t>
        </r>
      </text>
    </comment>
    <comment ref="BA501" authorId="0" shapeId="0" xr:uid="{00000000-0006-0000-0000-000080020000}">
      <text>
        <r>
          <rPr>
            <sz val="11"/>
            <color theme="1"/>
            <rFont val="Calibri"/>
            <family val="2"/>
            <scheme val="minor"/>
          </rPr>
          <t>======
ID#AAABDDKrQl4
Gavin Mudd    (2023-12-20 21:24:04)
only total resources reported, assumed as inferred</t>
        </r>
      </text>
    </comment>
    <comment ref="BI501" authorId="0" shapeId="0" xr:uid="{00000000-0006-0000-0000-0000E6020000}">
      <text>
        <r>
          <rPr>
            <sz val="11"/>
            <color theme="1"/>
            <rFont val="Calibri"/>
            <family val="2"/>
            <scheme val="minor"/>
          </rPr>
          <t>======
ID#AAABDDKrQZs
Gavin Mudd    (2023-12-20 21:24:03)
only total resources reported, assumed as inferred</t>
        </r>
      </text>
    </comment>
    <comment ref="DP501" authorId="0" shapeId="0" xr:uid="{00000000-0006-0000-0000-00003B040000}">
      <text>
        <r>
          <rPr>
            <sz val="11"/>
            <color theme="1"/>
            <rFont val="Calibri"/>
            <family val="2"/>
            <scheme val="minor"/>
          </rPr>
          <t>======
ID#AAABDDKrPs0
Gavin Mudd    (2023-12-20 21:24:03)
data from Lara Exploration - report on Aragauaia project (plus Berger et al, 2011)</t>
        </r>
      </text>
    </comment>
    <comment ref="BA503" authorId="0" shapeId="0" xr:uid="{00000000-0006-0000-0000-000096050000}">
      <text>
        <r>
          <rPr>
            <sz val="11"/>
            <color theme="1"/>
            <rFont val="Calibri"/>
            <family val="2"/>
            <scheme val="minor"/>
          </rPr>
          <t>======
ID#AAABDDKrPAk
Gavin Mudd    (2023-12-20 21:24:03)
historic resources (non-compliant with NI43-101) - hence all data allocated as inferred resources only</t>
        </r>
      </text>
    </comment>
    <comment ref="BI503" authorId="0" shapeId="0" xr:uid="{00000000-0006-0000-0000-000065060000}">
      <text>
        <r>
          <rPr>
            <sz val="11"/>
            <color theme="1"/>
            <rFont val="Calibri"/>
            <family val="2"/>
            <scheme val="minor"/>
          </rPr>
          <t>======
ID#AAABCyJQhwQ
Gavin Mudd    (2023-12-20 21:24:02)
historic resources (non-compliant with NI43-101) - hence all data allocated as inferred resources only</t>
        </r>
      </text>
    </comment>
    <comment ref="H504" authorId="0" shapeId="0" xr:uid="{00000000-0006-0000-0000-0000AE040000}">
      <text>
        <r>
          <rPr>
            <sz val="11"/>
            <color theme="1"/>
            <rFont val="Calibri"/>
            <family val="2"/>
            <scheme val="minor"/>
          </rPr>
          <t>======
ID#AAABDDKrPeQ
Gavin Mudd    (2023-12-20 21:24:03)
previously held by Ursa Major Minerals Inc, then Prophecy Platinum, then Nickel Creek Platinum ...</t>
        </r>
      </text>
    </comment>
    <comment ref="DP504" authorId="0" shapeId="0" xr:uid="{00000000-0006-0000-0000-0000E6010000}">
      <text>
        <r>
          <rPr>
            <sz val="11"/>
            <color theme="1"/>
            <rFont val="Calibri"/>
            <family val="2"/>
            <scheme val="minor"/>
          </rPr>
          <t>======
ID#AAABDDKrQ3o
Gavin Mudd    (2023-12-20 21:24:04)
data from Ursa Major Minerals</t>
        </r>
      </text>
    </comment>
    <comment ref="H505" authorId="0" shapeId="0" xr:uid="{00000000-0006-0000-0000-0000B0040000}">
      <text>
        <r>
          <rPr>
            <sz val="11"/>
            <color theme="1"/>
            <rFont val="Calibri"/>
            <family val="2"/>
            <scheme val="minor"/>
          </rPr>
          <t>======
ID#AAABDDKrPeI
Gavin Mudd    (2023-12-20 21:24:03)
previously known as Liberty Mines</t>
        </r>
      </text>
    </comment>
    <comment ref="H506" authorId="0" shapeId="0" xr:uid="{00000000-0006-0000-0000-00000B030000}">
      <text>
        <r>
          <rPr>
            <sz val="11"/>
            <color theme="1"/>
            <rFont val="Calibri"/>
            <family val="2"/>
            <scheme val="minor"/>
          </rPr>
          <t>======
ID#AAABDDKrQVk
Gavin Mudd    (2023-12-20 21:24:03)
previously known as Liberty Mines</t>
        </r>
      </text>
    </comment>
    <comment ref="H507" authorId="0" shapeId="0" xr:uid="{00000000-0006-0000-0000-0000B7040000}">
      <text>
        <r>
          <rPr>
            <sz val="11"/>
            <color theme="1"/>
            <rFont val="Calibri"/>
            <family val="2"/>
            <scheme val="minor"/>
          </rPr>
          <t>======
ID#AAABDDKrPdQ
Gavin Mudd    (2023-12-20 21:24:03)
previously known as Liberty Mines</t>
        </r>
      </text>
    </comment>
    <comment ref="L508" authorId="0" shapeId="0" xr:uid="{00000000-0006-0000-0000-0000B9000000}">
      <text>
        <r>
          <rPr>
            <sz val="11"/>
            <color theme="1"/>
            <rFont val="Calibri"/>
            <family val="2"/>
            <scheme val="minor"/>
          </rPr>
          <t>======
ID#AAABDDKrReI
Gavin Mudd    (2023-12-20 21:24:04)
2017 data</t>
        </r>
      </text>
    </comment>
    <comment ref="S508" authorId="0" shapeId="0" xr:uid="{00000000-0006-0000-0000-000086000000}">
      <text>
        <r>
          <rPr>
            <sz val="11"/>
            <color theme="1"/>
            <rFont val="Calibri"/>
            <family val="2"/>
            <scheme val="minor"/>
          </rPr>
          <t>======
ID#AAABDDKrRkw
Gavin Mudd    (2023-12-20 21:24:04)
2017 data</t>
        </r>
      </text>
    </comment>
    <comment ref="AG508" authorId="0" shapeId="0" xr:uid="{00000000-0006-0000-0000-00006F040000}">
      <text>
        <r>
          <rPr>
            <sz val="11"/>
            <color theme="1"/>
            <rFont val="Calibri"/>
            <family val="2"/>
            <scheme val="minor"/>
          </rPr>
          <t>======
ID#AAABDDKrPnQ
Gavin Mudd    (2023-12-20 21:24:03)
2017 data</t>
        </r>
      </text>
    </comment>
    <comment ref="AN508" authorId="0" shapeId="0" xr:uid="{00000000-0006-0000-0000-00008B050000}">
      <text>
        <r>
          <rPr>
            <sz val="11"/>
            <color theme="1"/>
            <rFont val="Calibri"/>
            <family val="2"/>
            <scheme val="minor"/>
          </rPr>
          <t>======
ID#AAABDDKrPBs
Gavin Mudd    (2023-12-20 21:24:03)
2017 data</t>
        </r>
      </text>
    </comment>
    <comment ref="BB508" authorId="0" shapeId="0" xr:uid="{00000000-0006-0000-0000-0000B7020000}">
      <text>
        <r>
          <rPr>
            <sz val="11"/>
            <color theme="1"/>
            <rFont val="Calibri"/>
            <family val="2"/>
            <scheme val="minor"/>
          </rPr>
          <t>======
ID#AAABDDKrQfA
Gavin Mudd    (2023-12-20 21:24:03)
2017 data</t>
        </r>
      </text>
    </comment>
    <comment ref="BI508" authorId="0" shapeId="0" xr:uid="{00000000-0006-0000-0000-000021060000}">
      <text>
        <r>
          <rPr>
            <sz val="11"/>
            <color theme="1"/>
            <rFont val="Calibri"/>
            <family val="2"/>
            <scheme val="minor"/>
          </rPr>
          <t>======
ID#AAABCyJQh3I
Gavin Mudd    (2023-12-20 21:24:02)
2017 data</t>
        </r>
      </text>
    </comment>
    <comment ref="H509" authorId="0" shapeId="0" xr:uid="{00000000-0006-0000-0000-000007040000}">
      <text>
        <r>
          <rPr>
            <sz val="11"/>
            <color theme="1"/>
            <rFont val="Calibri"/>
            <family val="2"/>
            <scheme val="minor"/>
          </rPr>
          <t>======
ID#AAABDDKrPzU
Gavin Mudd    (2023-12-20 21:24:03)
note: North American Palladium was taken over by Sibanye-Stillwater in mid-2019</t>
        </r>
      </text>
    </comment>
    <comment ref="BA511" authorId="0" shapeId="0" xr:uid="{00000000-0006-0000-0000-0000C1030000}">
      <text>
        <r>
          <rPr>
            <sz val="11"/>
            <color theme="1"/>
            <rFont val="Calibri"/>
            <family val="2"/>
            <scheme val="minor"/>
          </rPr>
          <t>======
ID#AAABDDKrP9M
Gavin Mudd    (2023-12-20 21:24:03)
historic resources (non-compliant with NI43-101) - hence all data allocated as inferred resources only; adjusted for 13 years mining @ ~0.3 Mt ore/yr since 2005</t>
        </r>
      </text>
    </comment>
    <comment ref="BI511" authorId="0" shapeId="0" xr:uid="{00000000-0006-0000-0000-000054030000}">
      <text>
        <r>
          <rPr>
            <sz val="11"/>
            <color theme="1"/>
            <rFont val="Calibri"/>
            <family val="2"/>
            <scheme val="minor"/>
          </rPr>
          <t>======
ID#AAABDDKrQNE
Gavin Mudd    (2023-12-20 21:24:03)
historic resources (non-compliant with NI43-101) - hence all data allocated as inferred resources only</t>
        </r>
      </text>
    </comment>
    <comment ref="H512" authorId="0" shapeId="0" xr:uid="{00000000-0006-0000-0000-0000C8010000}">
      <text>
        <r>
          <rPr>
            <sz val="11"/>
            <color theme="1"/>
            <rFont val="Calibri"/>
            <family val="2"/>
            <scheme val="minor"/>
          </rPr>
          <t>======
ID#AAABDDKrQ7Y
Gavin Mudd    (2023-12-20 21:24:04)
previously held by Ursa Major Minerals Inc, then Prophecy Platinum, then Nickel Creek Platinum ...</t>
        </r>
      </text>
    </comment>
    <comment ref="AO512" authorId="0" shapeId="0" xr:uid="{00000000-0006-0000-0000-000043030000}">
      <text>
        <r>
          <rPr>
            <sz val="11"/>
            <color theme="1"/>
            <rFont val="Calibri"/>
            <family val="2"/>
            <scheme val="minor"/>
          </rPr>
          <t>======
ID#AAABDDKrQPI
Gavin Mudd    (2023-12-20 21:24:03)
data from 2011 Annual Report, Ursa Major Minerals</t>
        </r>
      </text>
    </comment>
    <comment ref="BJ512" authorId="0" shapeId="0" xr:uid="{00000000-0006-0000-0000-000031010000}">
      <text>
        <r>
          <rPr>
            <sz val="11"/>
            <color theme="1"/>
            <rFont val="Calibri"/>
            <family val="2"/>
            <scheme val="minor"/>
          </rPr>
          <t>======
ID#AAABDDKrRPg
Gavin Mudd    (2023-12-20 21:24:04)
data from 2011 Annual Report, Ursa Major Minerals</t>
        </r>
      </text>
    </comment>
    <comment ref="BA513" authorId="0" shapeId="0" xr:uid="{00000000-0006-0000-0000-00006B030000}">
      <text>
        <r>
          <rPr>
            <sz val="11"/>
            <color theme="1"/>
            <rFont val="Calibri"/>
            <family val="2"/>
            <scheme val="minor"/>
          </rPr>
          <t>======
ID#AAABDDKrQKI
Gavin Mudd    (2023-12-20 21:24:03)
historic resources (non-compliant with NI43-101) - hence all data allocated as inferred resources only</t>
        </r>
      </text>
    </comment>
    <comment ref="BI513" authorId="0" shapeId="0" xr:uid="{00000000-0006-0000-0000-0000F0050000}">
      <text>
        <r>
          <rPr>
            <sz val="11"/>
            <color theme="1"/>
            <rFont val="Calibri"/>
            <family val="2"/>
            <scheme val="minor"/>
          </rPr>
          <t>======
ID#AAABCyJQh9I
Gavin Mudd    (2023-12-20 21:24:02)
historic resources (non-compliant with NI43-101) - hence all data allocated as inferred resources only</t>
        </r>
      </text>
    </comment>
    <comment ref="BA515" authorId="0" shapeId="0" xr:uid="{00000000-0006-0000-0000-00002E030000}">
      <text>
        <r>
          <rPr>
            <sz val="11"/>
            <color theme="1"/>
            <rFont val="Calibri"/>
            <family val="2"/>
            <scheme val="minor"/>
          </rPr>
          <t>======
ID#AAABDDKrQRg
Gavin Mudd    (2023-12-20 21:24:03)
historic resources (non-compliant with NI43-101) - hence all data allocated as inferred resources only; adjusted for 13 years mining @ ~0.7 Mt ore/yr since 2005</t>
        </r>
      </text>
    </comment>
    <comment ref="BI515" authorId="0" shapeId="0" xr:uid="{00000000-0006-0000-0000-00005D050000}">
      <text>
        <r>
          <rPr>
            <sz val="11"/>
            <color theme="1"/>
            <rFont val="Calibri"/>
            <family val="2"/>
            <scheme val="minor"/>
          </rPr>
          <t>======
ID#AAABDDKrPIQ
Gavin Mudd    (2023-12-20 21:24:03)
historic resources (non-compliant with NI43-101) - hence all data allocated as inferred resources only</t>
        </r>
      </text>
    </comment>
    <comment ref="BA516" authorId="0" shapeId="0" xr:uid="{00000000-0006-0000-0000-00009E030000}">
      <text>
        <r>
          <rPr>
            <sz val="11"/>
            <color theme="1"/>
            <rFont val="Calibri"/>
            <family val="2"/>
            <scheme val="minor"/>
          </rPr>
          <t>======
ID#AAABDDKrQBQ
Gavin Mudd    (2023-12-20 21:24:03)
historic resources (non-compliant with NI43-101) - hence all data allocated as inferred resources only</t>
        </r>
      </text>
    </comment>
    <comment ref="BI516" authorId="0" shapeId="0" xr:uid="{00000000-0006-0000-0000-0000B1040000}">
      <text>
        <r>
          <rPr>
            <sz val="11"/>
            <color theme="1"/>
            <rFont val="Calibri"/>
            <family val="2"/>
            <scheme val="minor"/>
          </rPr>
          <t>======
ID#AAABDDKrPeE
Gavin Mudd    (2023-12-20 21:24:03)
historic resources (non-compliant with NI43-101) - hence all data allocated as inferred resources only</t>
        </r>
      </text>
    </comment>
    <comment ref="BJ516" authorId="0" shapeId="0" xr:uid="{00000000-0006-0000-0000-00005E050000}">
      <text>
        <r>
          <rPr>
            <sz val="11"/>
            <color theme="1"/>
            <rFont val="Calibri"/>
            <family val="2"/>
            <scheme val="minor"/>
          </rPr>
          <t>======
ID#AAABDDKrPII
Gavin Mudd    (2023-12-20 21:24:03)
historic resources (non-compliant with NI43-101) - hence all data allocated as inferred resources only</t>
        </r>
      </text>
    </comment>
    <comment ref="BA521" authorId="0" shapeId="0" xr:uid="{00000000-0006-0000-0000-000077020000}">
      <text>
        <r>
          <rPr>
            <sz val="11"/>
            <color theme="1"/>
            <rFont val="Calibri"/>
            <family val="2"/>
            <scheme val="minor"/>
          </rPr>
          <t>======
ID#AAABDDKrQmw
Gavin Mudd    (2023-12-20 21:24:04)
historic resources (non-compliant with NI43-101) - hence all data allocated as inferred resources only</t>
        </r>
      </text>
    </comment>
    <comment ref="BB521" authorId="0" shapeId="0" xr:uid="{00000000-0006-0000-0000-0000C9000000}">
      <text>
        <r>
          <rPr>
            <sz val="11"/>
            <color theme="1"/>
            <rFont val="Calibri"/>
            <family val="2"/>
            <scheme val="minor"/>
          </rPr>
          <t>======
ID#AAABDDKrRcY
Gavin Mudd    (2023-12-20 21:24:04)
historic resources (non-compliant with NI43-101) - hence all data allocated as inferred resources only</t>
        </r>
      </text>
    </comment>
    <comment ref="BD521" authorId="0" shapeId="0" xr:uid="{00000000-0006-0000-0000-000086040000}">
      <text>
        <r>
          <rPr>
            <sz val="11"/>
            <color theme="1"/>
            <rFont val="Calibri"/>
            <family val="2"/>
            <scheme val="minor"/>
          </rPr>
          <t>======
ID#AAABDDKrPkQ
Gavin Mudd    (2023-12-20 21:24:03)
historic resources (non-compliant with NI43-101) - hence all data allocated as inferred resources only</t>
        </r>
      </text>
    </comment>
    <comment ref="BI521" authorId="0" shapeId="0" xr:uid="{00000000-0006-0000-0000-0000BF010000}">
      <text>
        <r>
          <rPr>
            <sz val="11"/>
            <color theme="1"/>
            <rFont val="Calibri"/>
            <family val="2"/>
            <scheme val="minor"/>
          </rPr>
          <t>======
ID#AAABDDKrQ8k
Gavin Mudd    (2023-12-20 21:24:04)
historic resources (non-compliant with NI43-101) - hence all data allocated as inferred resources only</t>
        </r>
      </text>
    </comment>
    <comment ref="K522" authorId="0" shapeId="0" xr:uid="{00000000-0006-0000-0000-0000B6000000}">
      <text>
        <r>
          <rPr>
            <sz val="11"/>
            <color theme="1"/>
            <rFont val="Calibri"/>
            <family val="2"/>
            <scheme val="minor"/>
          </rPr>
          <t>======
ID#AAABDDKrRek
Gavin Mudd    (2023-12-20 21:24:04)
assumed same as reserves since no resources reported</t>
        </r>
      </text>
    </comment>
    <comment ref="S522" authorId="0" shapeId="0" xr:uid="{00000000-0006-0000-0000-0000CE050000}">
      <text>
        <r>
          <rPr>
            <sz val="11"/>
            <color theme="1"/>
            <rFont val="Calibri"/>
            <family val="2"/>
            <scheme val="minor"/>
          </rPr>
          <t>======
ID#AAABCyJQiBI
Gavin Mudd    (2023-12-20 21:24:02)
assumed same as reserves since no resources reported</t>
        </r>
      </text>
    </comment>
    <comment ref="AF522" authorId="0" shapeId="0" xr:uid="{00000000-0006-0000-0000-00005A000000}">
      <text>
        <r>
          <rPr>
            <sz val="11"/>
            <color theme="1"/>
            <rFont val="Calibri"/>
            <family val="2"/>
            <scheme val="minor"/>
          </rPr>
          <t>======
ID#AAABDDKrRpc
Gavin Mudd    (2023-12-20 21:24:04)
assumed same as reserves since no resources reported</t>
        </r>
      </text>
    </comment>
    <comment ref="AN522" authorId="0" shapeId="0" xr:uid="{00000000-0006-0000-0000-0000A4000000}">
      <text>
        <r>
          <rPr>
            <sz val="11"/>
            <color theme="1"/>
            <rFont val="Calibri"/>
            <family val="2"/>
            <scheme val="minor"/>
          </rPr>
          <t>======
ID#AAABDDKrRgw
Gavin Mudd    (2023-12-20 21:24:04)
assumed same as reserves since no resources reported</t>
        </r>
      </text>
    </comment>
    <comment ref="BA523" authorId="0" shapeId="0" xr:uid="{00000000-0006-0000-0000-0000EA040000}">
      <text>
        <r>
          <rPr>
            <sz val="11"/>
            <color theme="1"/>
            <rFont val="Calibri"/>
            <family val="2"/>
            <scheme val="minor"/>
          </rPr>
          <t>======
ID#AAABDDKrPXA
Gavin Mudd    (2023-12-20 21:24:03)
only total resources presented, assumed as inferred resources</t>
        </r>
      </text>
    </comment>
    <comment ref="BB523" authorId="0" shapeId="0" xr:uid="{00000000-0006-0000-0000-000080040000}">
      <text>
        <r>
          <rPr>
            <sz val="11"/>
            <color theme="1"/>
            <rFont val="Calibri"/>
            <family val="2"/>
            <scheme val="minor"/>
          </rPr>
          <t>======
ID#AAABDDKrPk4
Gavin Mudd    (2023-12-20 21:24:03)
only total resources presented, assumed as inferred resources</t>
        </r>
      </text>
    </comment>
    <comment ref="BC523" authorId="0" shapeId="0" xr:uid="{00000000-0006-0000-0000-000063040000}">
      <text>
        <r>
          <rPr>
            <sz val="11"/>
            <color theme="1"/>
            <rFont val="Calibri"/>
            <family val="2"/>
            <scheme val="minor"/>
          </rPr>
          <t>======
ID#AAABDDKrPog
Gavin Mudd    (2023-12-20 21:24:03)
only total resources presented, assumed as inferred resources</t>
        </r>
      </text>
    </comment>
    <comment ref="BD523" authorId="0" shapeId="0" xr:uid="{00000000-0006-0000-0000-0000B8050000}">
      <text>
        <r>
          <rPr>
            <sz val="11"/>
            <color theme="1"/>
            <rFont val="Calibri"/>
            <family val="2"/>
            <scheme val="minor"/>
          </rPr>
          <t>======
ID#AAABDDKrO8E
Gavin Mudd    (2023-12-20 21:24:03)
only total resources presented, assumed as inferred resources</t>
        </r>
      </text>
    </comment>
    <comment ref="BI523" authorId="0" shapeId="0" xr:uid="{00000000-0006-0000-0000-00002C020000}">
      <text>
        <r>
          <rPr>
            <sz val="11"/>
            <color theme="1"/>
            <rFont val="Calibri"/>
            <family val="2"/>
            <scheme val="minor"/>
          </rPr>
          <t>======
ID#AAABDDKrQvk
Gavin Mudd    (2023-12-20 21:24:04)
only total resources presented, assumed as inferred resources</t>
        </r>
      </text>
    </comment>
    <comment ref="BJ523" authorId="0" shapeId="0" xr:uid="{00000000-0006-0000-0000-00005A060000}">
      <text>
        <r>
          <rPr>
            <sz val="11"/>
            <color theme="1"/>
            <rFont val="Calibri"/>
            <family val="2"/>
            <scheme val="minor"/>
          </rPr>
          <t>======
ID#AAABCyJQhxU
Gavin Mudd    (2023-12-20 21:24:02)
only total resources presented, assumed as inferred resources</t>
        </r>
      </text>
    </comment>
    <comment ref="BK523" authorId="0" shapeId="0" xr:uid="{00000000-0006-0000-0000-000058050000}">
      <text>
        <r>
          <rPr>
            <sz val="11"/>
            <color theme="1"/>
            <rFont val="Calibri"/>
            <family val="2"/>
            <scheme val="minor"/>
          </rPr>
          <t>======
ID#AAABDDKrPI0
Gavin Mudd    (2023-12-20 21:24:03)
only total resources presented, assumed as inferred resources; 3E g/t - 40% assumed as Pt</t>
        </r>
      </text>
    </comment>
    <comment ref="BL523" authorId="0" shapeId="0" xr:uid="{00000000-0006-0000-0000-0000A5030000}">
      <text>
        <r>
          <rPr>
            <sz val="11"/>
            <color theme="1"/>
            <rFont val="Calibri"/>
            <family val="2"/>
            <scheme val="minor"/>
          </rPr>
          <t>======
ID#AAABDDKrQAo
Gavin Mudd    (2023-12-20 21:24:03)
only total resources presented, assumed as inferred resources; 3E g/t - 60% assumed as Pd</t>
        </r>
      </text>
    </comment>
    <comment ref="BA524" authorId="0" shapeId="0" xr:uid="{00000000-0006-0000-0000-00003A060000}">
      <text>
        <r>
          <rPr>
            <sz val="11"/>
            <color theme="1"/>
            <rFont val="Calibri"/>
            <family val="2"/>
            <scheme val="minor"/>
          </rPr>
          <t>======
ID#AAABCyJQh0c
Gavin Mudd    (2023-12-20 21:24:02)
historical data, not code-compliant</t>
        </r>
      </text>
    </comment>
    <comment ref="BI524" authorId="0" shapeId="0" xr:uid="{00000000-0006-0000-0000-00005F060000}">
      <text>
        <r>
          <rPr>
            <sz val="11"/>
            <color theme="1"/>
            <rFont val="Calibri"/>
            <family val="2"/>
            <scheme val="minor"/>
          </rPr>
          <t>======
ID#AAABCyJQhw0
Gavin Mudd    (2023-12-20 21:24:02)
historical data, not code-compliant</t>
        </r>
      </text>
    </comment>
    <comment ref="H530" authorId="0" shapeId="0" xr:uid="{00000000-0006-0000-0000-000018010000}">
      <text>
        <r>
          <rPr>
            <sz val="11"/>
            <color theme="1"/>
            <rFont val="Calibri"/>
            <family val="2"/>
            <scheme val="minor"/>
          </rPr>
          <t>======
ID#AAABDDKrRTM
Gavin Mudd    (2023-12-20 21:24:04)
possibly Clean Power Pty Ltd, then MinRex Resources Ltd - but current ownwer unknown</t>
        </r>
      </text>
    </comment>
    <comment ref="DP530" authorId="0" shapeId="0" xr:uid="{00000000-0006-0000-0000-000057050000}">
      <text>
        <r>
          <rPr>
            <sz val="11"/>
            <color theme="1"/>
            <rFont val="Calibri"/>
            <family val="2"/>
            <scheme val="minor"/>
          </rPr>
          <t>======
ID#AAABDDKrPI8
Gavin Mudd    (2023-12-20 21:24:03)
"Final Report On Exploration Licences 4964, 5185, 5315 Lake Innes, N.S.W.  Nickel/Cobalt/Scandium Laterite Project for Jervois Mining"</t>
        </r>
      </text>
    </comment>
    <comment ref="L531" authorId="0" shapeId="0" xr:uid="{00000000-0006-0000-0000-0000F6040000}">
      <text>
        <r>
          <rPr>
            <sz val="11"/>
            <color theme="1"/>
            <rFont val="Calibri"/>
            <family val="2"/>
            <scheme val="minor"/>
          </rPr>
          <t>======
ID#AAABDDKrPV0
Gavin Mudd    (2023-12-20 21:24:03)
estimated based on 90% recovery during ore processing</t>
        </r>
      </text>
    </comment>
    <comment ref="M531" authorId="0" shapeId="0" xr:uid="{00000000-0006-0000-0000-0000E4030000}">
      <text>
        <r>
          <rPr>
            <sz val="11"/>
            <color theme="1"/>
            <rFont val="Calibri"/>
            <family val="2"/>
            <scheme val="minor"/>
          </rPr>
          <t>======
ID#AAABDDKrP3o
Gavin Mudd    (2023-12-20 21:24:03)
estimated based on 90% recovery during ore processing</t>
        </r>
      </text>
    </comment>
    <comment ref="S531" authorId="0" shapeId="0" xr:uid="{00000000-0006-0000-0000-00002C010000}">
      <text>
        <r>
          <rPr>
            <sz val="11"/>
            <color theme="1"/>
            <rFont val="Calibri"/>
            <family val="2"/>
            <scheme val="minor"/>
          </rPr>
          <t>======
ID#AAABDDKrRQw
Gavin Mudd    (2023-12-20 21:24:04)
estimated based on 90% recovery during ore processing</t>
        </r>
      </text>
    </comment>
    <comment ref="W531" authorId="0" shapeId="0" xr:uid="{00000000-0006-0000-0000-000068010000}">
      <text>
        <r>
          <rPr>
            <sz val="11"/>
            <color theme="1"/>
            <rFont val="Calibri"/>
            <family val="2"/>
            <scheme val="minor"/>
          </rPr>
          <t>======
ID#AAABDDKrRHw
Gavin Mudd    (2023-12-20 21:24:04)
estimated based on 90% recovery during ore processing</t>
        </r>
      </text>
    </comment>
    <comment ref="AG531" authorId="0" shapeId="0" xr:uid="{00000000-0006-0000-0000-000035000000}">
      <text>
        <r>
          <rPr>
            <sz val="11"/>
            <color theme="1"/>
            <rFont val="Calibri"/>
            <family val="2"/>
            <scheme val="minor"/>
          </rPr>
          <t>======
ID#AAABDDKrRu8
Gavin Mudd    (2023-12-20 21:24:04)
estimated based on 90% recovery during ore processing</t>
        </r>
      </text>
    </comment>
    <comment ref="AH531" authorId="0" shapeId="0" xr:uid="{00000000-0006-0000-0000-00001A000000}">
      <text>
        <r>
          <rPr>
            <sz val="11"/>
            <color theme="1"/>
            <rFont val="Calibri"/>
            <family val="2"/>
            <scheme val="minor"/>
          </rPr>
          <t>======
ID#AAABDDKrRzQ
Gavin Mudd    (2023-12-20 21:24:04)
estimated based on 90% recovery during ore processing</t>
        </r>
      </text>
    </comment>
    <comment ref="AN531" authorId="0" shapeId="0" xr:uid="{00000000-0006-0000-0000-000071060000}">
      <text>
        <r>
          <rPr>
            <sz val="11"/>
            <color theme="1"/>
            <rFont val="Calibri"/>
            <family val="2"/>
            <scheme val="minor"/>
          </rPr>
          <t>======
ID#AAABCyJQhvE
Gavin Mudd    (2023-12-20 21:24:01)
estimated based on 90% recovery during ore processing</t>
        </r>
      </text>
    </comment>
    <comment ref="AR531" authorId="0" shapeId="0" xr:uid="{00000000-0006-0000-0000-0000CF040000}">
      <text>
        <r>
          <rPr>
            <sz val="11"/>
            <color theme="1"/>
            <rFont val="Calibri"/>
            <family val="2"/>
            <scheme val="minor"/>
          </rPr>
          <t>======
ID#AAABDDKrPaI
Gavin Mudd    (2023-12-20 21:24:03)
estimated based on 90% recovery during ore processing</t>
        </r>
      </text>
    </comment>
    <comment ref="BB531" authorId="0" shapeId="0" xr:uid="{00000000-0006-0000-0000-000054020000}">
      <text>
        <r>
          <rPr>
            <sz val="11"/>
            <color theme="1"/>
            <rFont val="Calibri"/>
            <family val="2"/>
            <scheme val="minor"/>
          </rPr>
          <t>======
ID#AAABDDKrQqU
Gavin Mudd    (2023-12-20 21:24:04)
estimated based on 90% recovery during ore processing</t>
        </r>
      </text>
    </comment>
    <comment ref="BC531" authorId="0" shapeId="0" xr:uid="{00000000-0006-0000-0000-0000A8050000}">
      <text>
        <r>
          <rPr>
            <sz val="11"/>
            <color theme="1"/>
            <rFont val="Calibri"/>
            <family val="2"/>
            <scheme val="minor"/>
          </rPr>
          <t>======
ID#AAABDDKrO90
Gavin Mudd    (2023-12-20 21:24:03)
estimated based on 90% recovery during ore processing</t>
        </r>
      </text>
    </comment>
    <comment ref="BI531" authorId="0" shapeId="0" xr:uid="{00000000-0006-0000-0000-000008040000}">
      <text>
        <r>
          <rPr>
            <sz val="11"/>
            <color theme="1"/>
            <rFont val="Calibri"/>
            <family val="2"/>
            <scheme val="minor"/>
          </rPr>
          <t>======
ID#AAABDDKrPzM
Gavin Mudd    (2023-12-20 21:24:03)
estimated based on 90% recovery during ore processing</t>
        </r>
      </text>
    </comment>
    <comment ref="BM531" authorId="0" shapeId="0" xr:uid="{00000000-0006-0000-0000-000029050000}">
      <text>
        <r>
          <rPr>
            <sz val="11"/>
            <color theme="1"/>
            <rFont val="Calibri"/>
            <family val="2"/>
            <scheme val="minor"/>
          </rPr>
          <t>======
ID#AAABDDKrPOc
Gavin Mudd    (2023-12-20 21:24:03)
estimated based on 90% recovery during ore processing</t>
        </r>
      </text>
    </comment>
    <comment ref="BW531" authorId="0" shapeId="0" xr:uid="{00000000-0006-0000-0000-000065010000}">
      <text>
        <r>
          <rPr>
            <sz val="11"/>
            <color theme="1"/>
            <rFont val="Calibri"/>
            <family val="2"/>
            <scheme val="minor"/>
          </rPr>
          <t>======
ID#AAABDDKrRIA
Gavin Mudd    (2023-12-20 21:24:04)
estimated based on 90% recovery during ore processing</t>
        </r>
      </text>
    </comment>
    <comment ref="BX531" authorId="0" shapeId="0" xr:uid="{00000000-0006-0000-0000-000020050000}">
      <text>
        <r>
          <rPr>
            <sz val="11"/>
            <color theme="1"/>
            <rFont val="Calibri"/>
            <family val="2"/>
            <scheme val="minor"/>
          </rPr>
          <t>======
ID#AAABDDKrPPU
Gavin Mudd    (2023-12-20 21:24:03)
estimated based on 90% recovery during ore processing</t>
        </r>
      </text>
    </comment>
    <comment ref="CD531" authorId="0" shapeId="0" xr:uid="{00000000-0006-0000-0000-000033020000}">
      <text>
        <r>
          <rPr>
            <sz val="11"/>
            <color theme="1"/>
            <rFont val="Calibri"/>
            <family val="2"/>
            <scheme val="minor"/>
          </rPr>
          <t>======
ID#AAABDDKrQuY
Gavin Mudd    (2023-12-20 21:24:04)
estimated based on 90% recovery during ore processing</t>
        </r>
      </text>
    </comment>
    <comment ref="CH531" authorId="0" shapeId="0" xr:uid="{00000000-0006-0000-0000-000074030000}">
      <text>
        <r>
          <rPr>
            <sz val="11"/>
            <color theme="1"/>
            <rFont val="Calibri"/>
            <family val="2"/>
            <scheme val="minor"/>
          </rPr>
          <t>======
ID#AAABDDKrQIE
Gavin Mudd    (2023-12-20 21:24:03)
estimated based on 90% recovery during ore processing</t>
        </r>
      </text>
    </comment>
    <comment ref="CR531" authorId="0" shapeId="0" xr:uid="{00000000-0006-0000-0000-0000B7000000}">
      <text>
        <r>
          <rPr>
            <sz val="11"/>
            <color theme="1"/>
            <rFont val="Calibri"/>
            <family val="2"/>
            <scheme val="minor"/>
          </rPr>
          <t>======
ID#AAABDDKrRec
Gavin Mudd    (2023-12-20 21:24:04)
estimated based on 90% recovery during ore processing</t>
        </r>
      </text>
    </comment>
    <comment ref="CS531" authorId="0" shapeId="0" xr:uid="{00000000-0006-0000-0000-00004D000000}">
      <text>
        <r>
          <rPr>
            <sz val="11"/>
            <color theme="1"/>
            <rFont val="Calibri"/>
            <family val="2"/>
            <scheme val="minor"/>
          </rPr>
          <t>======
ID#AAABDDKrRrI
Gavin Mudd    (2023-12-20 21:24:04)
estimated based on 90% recovery during ore processing</t>
        </r>
      </text>
    </comment>
    <comment ref="CY531" authorId="0" shapeId="0" xr:uid="{00000000-0006-0000-0000-0000DC020000}">
      <text>
        <r>
          <rPr>
            <sz val="11"/>
            <color theme="1"/>
            <rFont val="Calibri"/>
            <family val="2"/>
            <scheme val="minor"/>
          </rPr>
          <t>======
ID#AAABDDKrQas
Gavin Mudd    (2023-12-20 21:24:03)
estimated based on 90% recovery during ore processing</t>
        </r>
      </text>
    </comment>
    <comment ref="DC531" authorId="0" shapeId="0" xr:uid="{00000000-0006-0000-0000-0000B0010000}">
      <text>
        <r>
          <rPr>
            <sz val="11"/>
            <color theme="1"/>
            <rFont val="Calibri"/>
            <family val="2"/>
            <scheme val="minor"/>
          </rPr>
          <t>======
ID#AAABDDKrQ-g
Gavin Mudd    (2023-12-20 21:24:04)
estimated based on 90% recovery during ore processing</t>
        </r>
      </text>
    </comment>
    <comment ref="H532" authorId="0" shapeId="0" xr:uid="{00000000-0006-0000-0000-0000EA050000}">
      <text>
        <r>
          <rPr>
            <sz val="11"/>
            <color theme="1"/>
            <rFont val="Calibri"/>
            <family val="2"/>
            <scheme val="minor"/>
          </rPr>
          <t>======
ID#AAABCyJQh94
Author    (2023-12-20 21:24:02)
formerly Blackstone Ventures, then Drake Resources</t>
        </r>
      </text>
    </comment>
    <comment ref="DP532" authorId="0" shapeId="0" xr:uid="{00000000-0006-0000-0000-000055000000}">
      <text>
        <r>
          <rPr>
            <sz val="11"/>
            <color theme="1"/>
            <rFont val="Calibri"/>
            <family val="2"/>
            <scheme val="minor"/>
          </rPr>
          <t>======
ID#AAABDDKrRp0
Author    (2023-12-20 21:24:04)
data from Blackstone Ventures</t>
        </r>
      </text>
    </comment>
    <comment ref="E533" authorId="0" shapeId="0" xr:uid="{00000000-0006-0000-0000-000041040000}">
      <text>
        <r>
          <rPr>
            <sz val="11"/>
            <color theme="1"/>
            <rFont val="Calibri"/>
            <family val="2"/>
            <scheme val="minor"/>
          </rPr>
          <t>======
ID#AAABDDKrPsQ
Gavin Mudd    (2023-12-20 21:24:03)
value from Ontario Mineral Deposit Inventory database</t>
        </r>
      </text>
    </comment>
    <comment ref="F533" authorId="0" shapeId="0" xr:uid="{00000000-0006-0000-0000-000075040000}">
      <text>
        <r>
          <rPr>
            <sz val="11"/>
            <color theme="1"/>
            <rFont val="Calibri"/>
            <family val="2"/>
            <scheme val="minor"/>
          </rPr>
          <t>======
ID#AAABDDKrPmc
Gavin Mudd    (2023-12-20 21:24:03)
value from Ontario Mineral Deposit Inventory database</t>
        </r>
      </text>
    </comment>
    <comment ref="E534" authorId="0" shapeId="0" xr:uid="{00000000-0006-0000-0000-0000C3000000}">
      <text>
        <r>
          <rPr>
            <sz val="11"/>
            <color theme="1"/>
            <rFont val="Calibri"/>
            <family val="2"/>
            <scheme val="minor"/>
          </rPr>
          <t>======
ID#AAABDDKrRdI
Gavin Mudd    (2023-12-20 21:24:04)
value from Ontario Mineral Deposit Inventory database</t>
        </r>
      </text>
    </comment>
    <comment ref="F534" authorId="0" shapeId="0" xr:uid="{00000000-0006-0000-0000-000023030000}">
      <text>
        <r>
          <rPr>
            <sz val="11"/>
            <color theme="1"/>
            <rFont val="Calibri"/>
            <family val="2"/>
            <scheme val="minor"/>
          </rPr>
          <t>======
ID#AAABDDKrQSk
Gavin Mudd    (2023-12-20 21:24:03)
value from Ontario Mineral Deposit Inventory database</t>
        </r>
      </text>
    </comment>
    <comment ref="K534" authorId="0" shapeId="0" xr:uid="{00000000-0006-0000-0000-000072060000}">
      <text>
        <r>
          <rPr>
            <sz val="11"/>
            <color theme="1"/>
            <rFont val="Calibri"/>
            <family val="2"/>
            <scheme val="minor"/>
          </rPr>
          <t>======
ID#AAABCyJQhu8
Gavin Mudd    (2023-12-20 21:24:01)
proved ore reserves assumed same as measured resources (due to lack of total mineral resources data)</t>
        </r>
      </text>
    </comment>
    <comment ref="L534" authorId="0" shapeId="0" xr:uid="{00000000-0006-0000-0000-0000AA000000}">
      <text>
        <r>
          <rPr>
            <sz val="11"/>
            <color theme="1"/>
            <rFont val="Calibri"/>
            <family val="2"/>
            <scheme val="minor"/>
          </rPr>
          <t>======
ID#AAABDDKrRf4
Gavin Mudd    (2023-12-20 21:24:04)
proved ore reserves assumed same as measured resources (due to lack of total mineral resources data)</t>
        </r>
      </text>
    </comment>
    <comment ref="M534" authorId="0" shapeId="0" xr:uid="{00000000-0006-0000-0000-00008C030000}">
      <text>
        <r>
          <rPr>
            <sz val="11"/>
            <color theme="1"/>
            <rFont val="Calibri"/>
            <family val="2"/>
            <scheme val="minor"/>
          </rPr>
          <t>======
ID#AAABDDKrQDw
Gavin Mudd    (2023-12-20 21:24:03)
proved ore reserves assumed same as measured resources (due to lack of total mineral resources data)</t>
        </r>
      </text>
    </comment>
    <comment ref="S534" authorId="0" shapeId="0" xr:uid="{00000000-0006-0000-0000-0000F1030000}">
      <text>
        <r>
          <rPr>
            <sz val="11"/>
            <color theme="1"/>
            <rFont val="Calibri"/>
            <family val="2"/>
            <scheme val="minor"/>
          </rPr>
          <t>======
ID#AAABDDKrP2g
Gavin Mudd    (2023-12-20 21:24:03)
proved ore reserves assumed same as measured resources (due to lack of total mineral resources data)</t>
        </r>
      </text>
    </comment>
    <comment ref="T534" authorId="0" shapeId="0" xr:uid="{00000000-0006-0000-0000-0000F7010000}">
      <text>
        <r>
          <rPr>
            <sz val="11"/>
            <color theme="1"/>
            <rFont val="Calibri"/>
            <family val="2"/>
            <scheme val="minor"/>
          </rPr>
          <t>======
ID#AAABDDKrQ1g
Gavin Mudd    (2023-12-20 21:24:04)
proved ore reserves assumed same as measured resources (due to lack of total mineral resources data)</t>
        </r>
      </text>
    </comment>
    <comment ref="U534" authorId="0" shapeId="0" xr:uid="{00000000-0006-0000-0000-000026040000}">
      <text>
        <r>
          <rPr>
            <sz val="11"/>
            <color theme="1"/>
            <rFont val="Calibri"/>
            <family val="2"/>
            <scheme val="minor"/>
          </rPr>
          <t>======
ID#AAABDDKrPvc
Gavin Mudd    (2023-12-20 21:24:03)
proved ore reserves assumed same as measured resources (due to lack of total mineral resources data)</t>
        </r>
      </text>
    </comment>
    <comment ref="V534" authorId="0" shapeId="0" xr:uid="{00000000-0006-0000-0000-0000F8040000}">
      <text>
        <r>
          <rPr>
            <sz val="11"/>
            <color theme="1"/>
            <rFont val="Calibri"/>
            <family val="2"/>
            <scheme val="minor"/>
          </rPr>
          <t>======
ID#AAABDDKrPVs
Gavin Mudd    (2023-12-20 21:24:03)
proved ore reserves assumed same as measured resources (due to lack of total mineral resources data)</t>
        </r>
      </text>
    </comment>
    <comment ref="AF534" authorId="0" shapeId="0" xr:uid="{00000000-0006-0000-0000-00002F010000}">
      <text>
        <r>
          <rPr>
            <sz val="11"/>
            <color theme="1"/>
            <rFont val="Calibri"/>
            <family val="2"/>
            <scheme val="minor"/>
          </rPr>
          <t>======
ID#AAABDDKrRPw
Gavin Mudd    (2023-12-20 21:24:04)
probable ore reserves assumed same as indicated resources (due to lack of total mineral resources data)</t>
        </r>
      </text>
    </comment>
    <comment ref="AG534" authorId="0" shapeId="0" xr:uid="{00000000-0006-0000-0000-000036060000}">
      <text>
        <r>
          <rPr>
            <sz val="11"/>
            <color theme="1"/>
            <rFont val="Calibri"/>
            <family val="2"/>
            <scheme val="minor"/>
          </rPr>
          <t>======
ID#AAABCyJQh00
Gavin Mudd    (2023-12-20 21:24:02)
probable ore reserves assumed same as indicated resources (due to lack of total mineral resources data)</t>
        </r>
      </text>
    </comment>
    <comment ref="AH534" authorId="0" shapeId="0" xr:uid="{00000000-0006-0000-0000-0000CE030000}">
      <text>
        <r>
          <rPr>
            <sz val="11"/>
            <color theme="1"/>
            <rFont val="Calibri"/>
            <family val="2"/>
            <scheme val="minor"/>
          </rPr>
          <t>======
ID#AAABDDKrP8A
Gavin Mudd    (2023-12-20 21:24:03)
probable ore reserves assumed same as indicated resources (due to lack of total mineral resources data)</t>
        </r>
      </text>
    </comment>
    <comment ref="AN534" authorId="0" shapeId="0" xr:uid="{00000000-0006-0000-0000-000085050000}">
      <text>
        <r>
          <rPr>
            <sz val="11"/>
            <color theme="1"/>
            <rFont val="Calibri"/>
            <family val="2"/>
            <scheme val="minor"/>
          </rPr>
          <t>======
ID#AAABDDKrPCU
Gavin Mudd    (2023-12-20 21:24:03)
probable ore reserves assumed same as indicated resources (due to lack of total mineral resources data)</t>
        </r>
      </text>
    </comment>
    <comment ref="AO534" authorId="0" shapeId="0" xr:uid="{00000000-0006-0000-0000-0000FD040000}">
      <text>
        <r>
          <rPr>
            <sz val="11"/>
            <color theme="1"/>
            <rFont val="Calibri"/>
            <family val="2"/>
            <scheme val="minor"/>
          </rPr>
          <t>======
ID#AAABDDKrPUQ
Gavin Mudd    (2023-12-20 21:24:03)
probable ore reserves assumed same as indicated resources (due to lack of total mineral resources data)</t>
        </r>
      </text>
    </comment>
    <comment ref="AP534" authorId="0" shapeId="0" xr:uid="{00000000-0006-0000-0000-0000CF050000}">
      <text>
        <r>
          <rPr>
            <sz val="11"/>
            <color theme="1"/>
            <rFont val="Calibri"/>
            <family val="2"/>
            <scheme val="minor"/>
          </rPr>
          <t>======
ID#AAABCyJQiBE
Gavin Mudd    (2023-12-20 21:24:02)
probable ore reserves assumed same as indicated resources (due to lack of total mineral resources data)</t>
        </r>
      </text>
    </comment>
    <comment ref="AQ534" authorId="0" shapeId="0" xr:uid="{00000000-0006-0000-0000-00006E050000}">
      <text>
        <r>
          <rPr>
            <sz val="11"/>
            <color theme="1"/>
            <rFont val="Calibri"/>
            <family val="2"/>
            <scheme val="minor"/>
          </rPr>
          <t>======
ID#AAABDDKrPFY
Gavin Mudd    (2023-12-20 21:24:03)
probable ore reserves assumed same as indicated resources (due to lack of total mineral resources data)</t>
        </r>
      </text>
    </comment>
    <comment ref="E535" authorId="0" shapeId="0" xr:uid="{00000000-0006-0000-0000-00007C000000}">
      <text>
        <r>
          <rPr>
            <sz val="11"/>
            <color theme="1"/>
            <rFont val="Calibri"/>
            <family val="2"/>
            <scheme val="minor"/>
          </rPr>
          <t>======
ID#AAABDDKrRl0
Gavin Mudd    (2023-12-20 21:24:04)
value from Ontario Mineral Deposit Inventory database</t>
        </r>
      </text>
    </comment>
    <comment ref="F535" authorId="0" shapeId="0" xr:uid="{00000000-0006-0000-0000-0000CB040000}">
      <text>
        <r>
          <rPr>
            <sz val="11"/>
            <color theme="1"/>
            <rFont val="Calibri"/>
            <family val="2"/>
            <scheme val="minor"/>
          </rPr>
          <t>======
ID#AAABDDKrPas
Gavin Mudd    (2023-12-20 21:24:03)
value from Ontario Mineral Deposit Inventory database</t>
        </r>
      </text>
    </comment>
    <comment ref="BA535" authorId="0" shapeId="0" xr:uid="{00000000-0006-0000-0000-000053060000}">
      <text>
        <r>
          <rPr>
            <sz val="11"/>
            <color theme="1"/>
            <rFont val="Calibri"/>
            <family val="2"/>
            <scheme val="minor"/>
          </rPr>
          <t>======
ID#AAABCyJQhx8
Author    (2023-12-20 21:24:02)
estimated from historic reserve minus mine production; historical resource assumed as inferred</t>
        </r>
      </text>
    </comment>
    <comment ref="E536" authorId="0" shapeId="0" xr:uid="{00000000-0006-0000-0000-000029010000}">
      <text>
        <r>
          <rPr>
            <sz val="11"/>
            <color theme="1"/>
            <rFont val="Calibri"/>
            <family val="2"/>
            <scheme val="minor"/>
          </rPr>
          <t>======
ID#AAABDDKrRRE
Gavin Mudd    (2023-12-20 21:24:04)
value from Ontario Mineral Deposit Inventory database</t>
        </r>
      </text>
    </comment>
    <comment ref="F536" authorId="0" shapeId="0" xr:uid="{00000000-0006-0000-0000-000003040000}">
      <text>
        <r>
          <rPr>
            <sz val="11"/>
            <color theme="1"/>
            <rFont val="Calibri"/>
            <family val="2"/>
            <scheme val="minor"/>
          </rPr>
          <t>======
ID#AAABDDKrP0E
Gavin Mudd    (2023-12-20 21:24:03)
value from Ontario Mineral Deposit Inventory database</t>
        </r>
      </text>
    </comment>
    <comment ref="H536" authorId="0" shapeId="0" xr:uid="{00000000-0006-0000-0000-00001E030000}">
      <text>
        <r>
          <rPr>
            <sz val="11"/>
            <color theme="1"/>
            <rFont val="Calibri"/>
            <family val="2"/>
            <scheme val="minor"/>
          </rPr>
          <t>======
ID#AAABDDKrQTU
Gavin Mudd    (2023-12-20 21:24:03)
previously held by QuadraFNX, taken over by KGHM</t>
        </r>
      </text>
    </comment>
    <comment ref="DP536" authorId="0" shapeId="0" xr:uid="{00000000-0006-0000-0000-000020030000}">
      <text>
        <r>
          <rPr>
            <sz val="11"/>
            <color theme="1"/>
            <rFont val="Calibri"/>
            <family val="2"/>
            <scheme val="minor"/>
          </rPr>
          <t>======
ID#AAABDDKrQS4
Gavin Mudd    (2023-12-20 21:24:03)
data from QuadraFNX Mining</t>
        </r>
      </text>
    </comment>
    <comment ref="E537" authorId="0" shapeId="0" xr:uid="{00000000-0006-0000-0000-000073040000}">
      <text>
        <r>
          <rPr>
            <sz val="11"/>
            <color theme="1"/>
            <rFont val="Calibri"/>
            <family val="2"/>
            <scheme val="minor"/>
          </rPr>
          <t>======
ID#AAABDDKrPmo
Gavin Mudd    (2023-12-20 21:24:03)
value from Ontario Mineral Deposit Inventory database</t>
        </r>
      </text>
    </comment>
    <comment ref="F537" authorId="0" shapeId="0" xr:uid="{00000000-0006-0000-0000-00002B030000}">
      <text>
        <r>
          <rPr>
            <sz val="11"/>
            <color theme="1"/>
            <rFont val="Calibri"/>
            <family val="2"/>
            <scheme val="minor"/>
          </rPr>
          <t>======
ID#AAABDDKrQRs
Gavin Mudd    (2023-12-20 21:24:03)
value from Ontario Mineral Deposit Inventory database</t>
        </r>
      </text>
    </comment>
    <comment ref="H537" authorId="0" shapeId="0" xr:uid="{00000000-0006-0000-0000-00001B060000}">
      <text>
        <r>
          <rPr>
            <sz val="11"/>
            <color theme="1"/>
            <rFont val="Calibri"/>
            <family val="2"/>
            <scheme val="minor"/>
          </rPr>
          <t>======
ID#AAABCyJQh4U
Gavin Mudd    (2023-12-20 21:24:02)
First Nickel went bankrupt in mid-2015, current status appears to be Transition Metals Corp.</t>
        </r>
      </text>
    </comment>
    <comment ref="AF537" authorId="0" shapeId="0" xr:uid="{00000000-0006-0000-0000-000015020000}">
      <text>
        <r>
          <rPr>
            <sz val="11"/>
            <color theme="1"/>
            <rFont val="Calibri"/>
            <family val="2"/>
            <scheme val="minor"/>
          </rPr>
          <t>======
ID#AAABDDKrQyA
Gavin Mudd    (2023-12-20 21:24:04)
minnig from mid-2012 to 2015 deducted from reserves</t>
        </r>
      </text>
    </comment>
    <comment ref="AG537" authorId="0" shapeId="0" xr:uid="{00000000-0006-0000-0000-000055010000}">
      <text>
        <r>
          <rPr>
            <sz val="11"/>
            <color theme="1"/>
            <rFont val="Calibri"/>
            <family val="2"/>
            <scheme val="minor"/>
          </rPr>
          <t>======
ID#AAABDDKrRKU
Gavin Mudd    (2023-12-20 21:24:04)
minnig from mid-2012 to 2015 deducted from reserves</t>
        </r>
      </text>
    </comment>
    <comment ref="AN537" authorId="0" shapeId="0" xr:uid="{00000000-0006-0000-0000-000061040000}">
      <text>
        <r>
          <rPr>
            <sz val="11"/>
            <color theme="1"/>
            <rFont val="Calibri"/>
            <family val="2"/>
            <scheme val="minor"/>
          </rPr>
          <t>======
ID#AAABDDKrPoo
Gavin Mudd    (2023-12-20 21:24:03)
minnig from mid-2012 to 2015 deducted from reserves</t>
        </r>
      </text>
    </comment>
    <comment ref="AO537" authorId="0" shapeId="0" xr:uid="{00000000-0006-0000-0000-000017000000}">
      <text>
        <r>
          <rPr>
            <sz val="11"/>
            <color theme="1"/>
            <rFont val="Calibri"/>
            <family val="2"/>
            <scheme val="minor"/>
          </rPr>
          <t>======
ID#AAABDDKrRzo
Gavin Mudd    (2023-12-20 21:24:04)
minnig from mid-2012 to 2015 deducted from reserves</t>
        </r>
      </text>
    </comment>
    <comment ref="BV537" authorId="0" shapeId="0" xr:uid="{00000000-0006-0000-0000-000054050000}">
      <text>
        <r>
          <rPr>
            <sz val="11"/>
            <color theme="1"/>
            <rFont val="Calibri"/>
            <family val="2"/>
            <scheme val="minor"/>
          </rPr>
          <t>======
ID#AAABDDKrPJM
Gavin Mudd    (2023-12-20 21:24:03)
minnig from mid-2012 to 2015 deducted from reserves</t>
        </r>
      </text>
    </comment>
    <comment ref="BW537" authorId="0" shapeId="0" xr:uid="{00000000-0006-0000-0000-00004C030000}">
      <text>
        <r>
          <rPr>
            <sz val="11"/>
            <color theme="1"/>
            <rFont val="Calibri"/>
            <family val="2"/>
            <scheme val="minor"/>
          </rPr>
          <t>======
ID#AAABDDKrQOA
Gavin Mudd    (2023-12-20 21:24:03)
minnig from mid-2012 to 2015 deducted from reserves</t>
        </r>
      </text>
    </comment>
    <comment ref="CD537" authorId="0" shapeId="0" xr:uid="{00000000-0006-0000-0000-0000BD020000}">
      <text>
        <r>
          <rPr>
            <sz val="11"/>
            <color theme="1"/>
            <rFont val="Calibri"/>
            <family val="2"/>
            <scheme val="minor"/>
          </rPr>
          <t>======
ID#AAABDDKrQeY
Gavin Mudd    (2023-12-20 21:24:03)
minnig from mid-2012 to 2015 deducted from reserves</t>
        </r>
      </text>
    </comment>
    <comment ref="CE537" authorId="0" shapeId="0" xr:uid="{00000000-0006-0000-0000-000065000000}">
      <text>
        <r>
          <rPr>
            <sz val="11"/>
            <color theme="1"/>
            <rFont val="Calibri"/>
            <family val="2"/>
            <scheme val="minor"/>
          </rPr>
          <t>======
ID#AAABDDKrRn4
Gavin Mudd    (2023-12-20 21:24:04)
Cobalt grade assumed same for all mined ore as reserves</t>
        </r>
      </text>
    </comment>
    <comment ref="E538" authorId="0" shapeId="0" xr:uid="{00000000-0006-0000-0000-00000B060000}">
      <text>
        <r>
          <rPr>
            <sz val="11"/>
            <color theme="1"/>
            <rFont val="Calibri"/>
            <family val="2"/>
            <scheme val="minor"/>
          </rPr>
          <t>======
ID#AAABCyJQh5s
Gavin Mudd    (2023-12-20 21:24:02)
value from Ontario Mineral Deposit Inventory database</t>
        </r>
      </text>
    </comment>
    <comment ref="F538" authorId="0" shapeId="0" xr:uid="{00000000-0006-0000-0000-0000F6010000}">
      <text>
        <r>
          <rPr>
            <sz val="11"/>
            <color theme="1"/>
            <rFont val="Calibri"/>
            <family val="2"/>
            <scheme val="minor"/>
          </rPr>
          <t>======
ID#AAABDDKrQ1o
Gavin Mudd    (2023-12-20 21:24:04)
value from Ontario Mineral Deposit Inventory database</t>
        </r>
      </text>
    </comment>
    <comment ref="E539" authorId="0" shapeId="0" xr:uid="{00000000-0006-0000-0000-00000F030000}">
      <text>
        <r>
          <rPr>
            <sz val="11"/>
            <color theme="1"/>
            <rFont val="Calibri"/>
            <family val="2"/>
            <scheme val="minor"/>
          </rPr>
          <t>======
ID#AAABDDKrQVM
Gavin Mudd    (2023-12-20 21:24:03)
value from Ontario Mineral Deposit Inventory database</t>
        </r>
      </text>
    </comment>
    <comment ref="F539" authorId="0" shapeId="0" xr:uid="{00000000-0006-0000-0000-000081050000}">
      <text>
        <r>
          <rPr>
            <sz val="11"/>
            <color rgb="FF000000"/>
            <rFont val="Calibri"/>
            <family val="2"/>
          </rPr>
          <t xml:space="preserve">======
</t>
        </r>
        <r>
          <rPr>
            <sz val="11"/>
            <color rgb="FF000000"/>
            <rFont val="Calibri"/>
            <family val="2"/>
          </rPr>
          <t xml:space="preserve">ID#AAABDDKrPCo
</t>
        </r>
        <r>
          <rPr>
            <sz val="11"/>
            <color rgb="FF000000"/>
            <rFont val="Calibri"/>
            <family val="2"/>
          </rPr>
          <t xml:space="preserve">Gavin Mudd    (2023-12-20 21:24:03)
</t>
        </r>
        <r>
          <rPr>
            <sz val="11"/>
            <color rgb="FF000000"/>
            <rFont val="Calibri"/>
            <family val="2"/>
          </rPr>
          <t>value from Ontario Mineral Deposit Inventory database</t>
        </r>
      </text>
    </comment>
    <comment ref="AF539" authorId="0" shapeId="0" xr:uid="{00000000-0006-0000-0000-00000C040000}">
      <text>
        <r>
          <rPr>
            <sz val="11"/>
            <color theme="1"/>
            <rFont val="Calibri"/>
            <family val="2"/>
            <scheme val="minor"/>
          </rPr>
          <t>======
ID#AAABDDKrPyw
Gavin Mudd    (2023-12-20 21:24:03)
only combined measured &amp; indicated resources stated</t>
        </r>
      </text>
    </comment>
    <comment ref="AG539" authorId="0" shapeId="0" xr:uid="{00000000-0006-0000-0000-000037040000}">
      <text>
        <r>
          <rPr>
            <sz val="11"/>
            <color theme="1"/>
            <rFont val="Calibri"/>
            <family val="2"/>
            <scheme val="minor"/>
          </rPr>
          <t>======
ID#AAABDDKrPto
Gavin Mudd    (2023-12-20 21:24:03)
only combined measured &amp; indicated resources stated</t>
        </r>
      </text>
    </comment>
    <comment ref="AN539" authorId="0" shapeId="0" xr:uid="{00000000-0006-0000-0000-0000C1040000}">
      <text>
        <r>
          <rPr>
            <sz val="11"/>
            <color theme="1"/>
            <rFont val="Calibri"/>
            <family val="2"/>
            <scheme val="minor"/>
          </rPr>
          <t>======
ID#AAABDDKrPb8
Gavin Mudd    (2023-12-20 21:24:03)
only combined measured &amp; indicated resources stated</t>
        </r>
      </text>
    </comment>
    <comment ref="DP539" authorId="0" shapeId="0" xr:uid="{00000000-0006-0000-0000-000093060000}">
      <text>
        <r>
          <rPr>
            <sz val="11"/>
            <color theme="1"/>
            <rFont val="Calibri"/>
            <family val="2"/>
            <scheme val="minor"/>
          </rPr>
          <t>======
ID#AAABCxlEysQ
Gavin Mudd    (2023-12-20 21:24:01)
data from FNX Mining Company</t>
        </r>
      </text>
    </comment>
    <comment ref="E540" authorId="0" shapeId="0" xr:uid="{00000000-0006-0000-0000-00000F000000}">
      <text>
        <r>
          <rPr>
            <sz val="11"/>
            <color theme="1"/>
            <rFont val="Calibri"/>
            <family val="2"/>
            <scheme val="minor"/>
          </rPr>
          <t>======
ID#AAABDDKrR0k
Gavin Mudd    (2023-12-20 21:24:04)
value from Ontario Mineral Deposit Inventory database</t>
        </r>
      </text>
    </comment>
    <comment ref="F540" authorId="0" shapeId="0" xr:uid="{00000000-0006-0000-0000-0000EF010000}">
      <text>
        <r>
          <rPr>
            <sz val="11"/>
            <color theme="1"/>
            <rFont val="Calibri"/>
            <family val="2"/>
            <scheme val="minor"/>
          </rPr>
          <t>======
ID#AAABDDKrQ2Y
Gavin Mudd    (2023-12-20 21:24:04)
value from Ontario Mineral Deposit Inventory database</t>
        </r>
      </text>
    </comment>
    <comment ref="AO540" authorId="0" shapeId="0" xr:uid="{00000000-0006-0000-0000-000001030000}">
      <text>
        <r>
          <rPr>
            <sz val="11"/>
            <color theme="1"/>
            <rFont val="Calibri"/>
            <family val="2"/>
            <scheme val="minor"/>
          </rPr>
          <t>======
ID#AAABDDKrQWg
Gavin Mudd    (2023-12-20 21:24:03)
data from Tech Rep (2011-12)</t>
        </r>
      </text>
    </comment>
    <comment ref="BJ540" authorId="0" shapeId="0" xr:uid="{00000000-0006-0000-0000-0000EE000000}">
      <text>
        <r>
          <rPr>
            <sz val="11"/>
            <color theme="1"/>
            <rFont val="Calibri"/>
            <family val="2"/>
            <scheme val="minor"/>
          </rPr>
          <t>======
ID#AAABDDKrRXg
Gavin Mudd    (2023-12-20 21:24:04)
data from Tech Rep (2011-12)</t>
        </r>
      </text>
    </comment>
    <comment ref="E541" authorId="0" shapeId="0" xr:uid="{00000000-0006-0000-0000-0000A2030000}">
      <text>
        <r>
          <rPr>
            <sz val="11"/>
            <color theme="1"/>
            <rFont val="Calibri"/>
            <family val="2"/>
            <scheme val="minor"/>
          </rPr>
          <t>======
ID#AAABDDKrQBA
Gavin Mudd    (2023-12-20 21:24:03)
value from Ontario Mineral Deposit Inventory database</t>
        </r>
      </text>
    </comment>
    <comment ref="F541" authorId="0" shapeId="0" xr:uid="{00000000-0006-0000-0000-000009020000}">
      <text>
        <r>
          <rPr>
            <sz val="11"/>
            <color theme="1"/>
            <rFont val="Calibri"/>
            <family val="2"/>
            <scheme val="minor"/>
          </rPr>
          <t>======
ID#AAABDDKrQzM
Gavin Mudd    (2023-12-20 21:24:04)
value from Ontario Mineral Deposit Inventory database</t>
        </r>
      </text>
    </comment>
    <comment ref="H541" authorId="0" shapeId="0" xr:uid="{00000000-0006-0000-0000-00004B060000}">
      <text>
        <r>
          <rPr>
            <sz val="11"/>
            <color theme="1"/>
            <rFont val="Calibri"/>
            <family val="2"/>
            <scheme val="minor"/>
          </rPr>
          <t>======
ID#AAABCyJQhy8
Gavin Mudd    (2023-12-20 21:24:02)
previously held by QuadraFNX, taken over by KGHM</t>
        </r>
      </text>
    </comment>
    <comment ref="U541" authorId="0" shapeId="0" xr:uid="{00000000-0006-0000-0000-0000F5040000}">
      <text>
        <r>
          <rPr>
            <sz val="11"/>
            <color theme="1"/>
            <rFont val="Calibri"/>
            <family val="2"/>
            <scheme val="minor"/>
          </rPr>
          <t>======
ID#AAABDDKrPV4
Gavin Mudd    (2023-12-20 21:24:03)
assumes 40% as Pt</t>
        </r>
      </text>
    </comment>
    <comment ref="V541" authorId="0" shapeId="0" xr:uid="{00000000-0006-0000-0000-000074040000}">
      <text>
        <r>
          <rPr>
            <sz val="11"/>
            <color theme="1"/>
            <rFont val="Calibri"/>
            <family val="2"/>
            <scheme val="minor"/>
          </rPr>
          <t>======
ID#AAABDDKrPmw
Gavin Mudd    (2023-12-20 21:24:03)
assumes 60% as Pd</t>
        </r>
      </text>
    </comment>
    <comment ref="AP541" authorId="0" shapeId="0" xr:uid="{00000000-0006-0000-0000-000010050000}">
      <text>
        <r>
          <rPr>
            <sz val="11"/>
            <color theme="1"/>
            <rFont val="Calibri"/>
            <family val="2"/>
            <scheme val="minor"/>
          </rPr>
          <t>======
ID#AAABDDKrPRI
Gavin Mudd    (2023-12-20 21:24:03)
assumes 40% as Pt</t>
        </r>
      </text>
    </comment>
    <comment ref="AQ541" authorId="0" shapeId="0" xr:uid="{00000000-0006-0000-0000-000061060000}">
      <text>
        <r>
          <rPr>
            <sz val="11"/>
            <color theme="1"/>
            <rFont val="Calibri"/>
            <family val="2"/>
            <scheme val="minor"/>
          </rPr>
          <t>======
ID#AAABCyJQhws
Gavin Mudd    (2023-12-20 21:24:02)
assumes 60% as Pd</t>
        </r>
      </text>
    </comment>
    <comment ref="BK541" authorId="0" shapeId="0" xr:uid="{00000000-0006-0000-0000-000006040000}">
      <text>
        <r>
          <rPr>
            <sz val="11"/>
            <color theme="1"/>
            <rFont val="Calibri"/>
            <family val="2"/>
            <scheme val="minor"/>
          </rPr>
          <t>======
ID#AAABDDKrPzk
Gavin Mudd    (2023-12-20 21:24:03)
assumes 40% as Pt</t>
        </r>
      </text>
    </comment>
    <comment ref="BL541" authorId="0" shapeId="0" xr:uid="{00000000-0006-0000-0000-0000BE050000}">
      <text>
        <r>
          <rPr>
            <sz val="11"/>
            <color theme="1"/>
            <rFont val="Calibri"/>
            <family val="2"/>
            <scheme val="minor"/>
          </rPr>
          <t>======
ID#AAABDDKrO7Y
Gavin Mudd    (2023-12-20 21:24:03)
assumes 60% as Pd</t>
        </r>
      </text>
    </comment>
    <comment ref="DP541" authorId="0" shapeId="0" xr:uid="{00000000-0006-0000-0000-0000E8040000}">
      <text>
        <r>
          <rPr>
            <sz val="11"/>
            <color theme="1"/>
            <rFont val="Calibri"/>
            <family val="2"/>
            <scheme val="minor"/>
          </rPr>
          <t>======
ID#AAABDDKrPXc
Gavin Mudd    (2023-12-20 21:24:03)
data from QuadraFNX Mining</t>
        </r>
      </text>
    </comment>
    <comment ref="E542" authorId="0" shapeId="0" xr:uid="{00000000-0006-0000-0000-0000E1010000}">
      <text>
        <r>
          <rPr>
            <sz val="11"/>
            <color theme="1"/>
            <rFont val="Calibri"/>
            <family val="2"/>
            <scheme val="minor"/>
          </rPr>
          <t>======
ID#AAABDDKrQ4E
Gavin Mudd    (2023-12-20 21:24:04)
value from Ontario Mineral Deposit Inventory database</t>
        </r>
      </text>
    </comment>
    <comment ref="F542" authorId="0" shapeId="0" xr:uid="{00000000-0006-0000-0000-000082050000}">
      <text>
        <r>
          <rPr>
            <sz val="11"/>
            <color theme="1"/>
            <rFont val="Calibri"/>
            <family val="2"/>
            <scheme val="minor"/>
          </rPr>
          <t>======
ID#AAABDDKrPCk
Gavin Mudd    (2023-12-20 21:24:03)
value from Ontario Mineral Deposit Inventory database</t>
        </r>
      </text>
    </comment>
    <comment ref="H542" authorId="0" shapeId="0" xr:uid="{00000000-0006-0000-0000-000005010000}">
      <text>
        <r>
          <rPr>
            <sz val="11"/>
            <color theme="1"/>
            <rFont val="Calibri"/>
            <family val="2"/>
            <scheme val="minor"/>
          </rPr>
          <t>======
ID#AAABDDKrRVE
Gavin Mudd    (2023-12-20 21:24:04)
previously held by QuadraFNX, taken over by KGHM</t>
        </r>
      </text>
    </comment>
    <comment ref="E543" authorId="0" shapeId="0" xr:uid="{00000000-0006-0000-0000-00003B060000}">
      <text>
        <r>
          <rPr>
            <sz val="11"/>
            <color theme="1"/>
            <rFont val="Calibri"/>
            <family val="2"/>
            <scheme val="minor"/>
          </rPr>
          <t>======
ID#AAABCyJQh0Y
Gavin Mudd    (2023-12-20 21:24:02)
value from Tech Rep (2009-01)</t>
        </r>
      </text>
    </comment>
    <comment ref="F543" authorId="0" shapeId="0" xr:uid="{00000000-0006-0000-0000-00001B040000}">
      <text>
        <r>
          <rPr>
            <sz val="11"/>
            <color theme="1"/>
            <rFont val="Calibri"/>
            <family val="2"/>
            <scheme val="minor"/>
          </rPr>
          <t>======
ID#AAABDDKrPwo
Gavin Mudd    (2023-12-20 21:24:03)
value from Tech Rep (2009-01)</t>
        </r>
      </text>
    </comment>
    <comment ref="BA544" authorId="0" shapeId="0" xr:uid="{00000000-0006-0000-0000-000049030000}">
      <text>
        <r>
          <rPr>
            <sz val="11"/>
            <color theme="1"/>
            <rFont val="Calibri"/>
            <family val="2"/>
            <scheme val="minor"/>
          </rPr>
          <t>======
ID#AAABDDKrQOg
Gavin Mudd    (2023-12-20 21:24:03)
historic resources (non-compliant with NI43-101) - hence all data allocated as inferred resources only</t>
        </r>
      </text>
    </comment>
    <comment ref="BB544" authorId="0" shapeId="0" xr:uid="{00000000-0006-0000-0000-0000FB000000}">
      <text>
        <r>
          <rPr>
            <sz val="11"/>
            <color theme="1"/>
            <rFont val="Calibri"/>
            <family val="2"/>
            <scheme val="minor"/>
          </rPr>
          <t>======
ID#AAABDDKrRWE
Gavin Mudd    (2023-12-20 21:24:04)
historic resources (non-compliant with NI43-101) - hence all data allocated as inferred resources only</t>
        </r>
      </text>
    </comment>
    <comment ref="BI544" authorId="0" shapeId="0" xr:uid="{00000000-0006-0000-0000-00003E060000}">
      <text>
        <r>
          <rPr>
            <sz val="11"/>
            <color theme="1"/>
            <rFont val="Calibri"/>
            <family val="2"/>
            <scheme val="minor"/>
          </rPr>
          <t>======
ID#AAABCyJQh0M
Gavin Mudd    (2023-12-20 21:24:02)
historic resources (non-compliant with NI43-101) - hence all data allocated as inferred resources only</t>
        </r>
      </text>
    </comment>
    <comment ref="C545" authorId="0" shapeId="0" xr:uid="{00000000-0006-0000-0000-00009D010000}">
      <text>
        <r>
          <rPr>
            <sz val="11"/>
            <color theme="1"/>
            <rFont val="Calibri"/>
            <family val="2"/>
            <scheme val="minor"/>
          </rPr>
          <t>======
ID#AAABDDKrRAc
Gavin Mudd    (2023-12-20 21:24:04)
USGS call this site "La Sampala"</t>
        </r>
      </text>
    </comment>
    <comment ref="H545" authorId="0" shapeId="0" xr:uid="{00000000-0006-0000-0000-0000B3020000}">
      <text>
        <r>
          <rPr>
            <sz val="11"/>
            <color theme="1"/>
            <rFont val="Calibri"/>
            <family val="2"/>
            <scheme val="minor"/>
          </rPr>
          <t>======
ID#AAABDDKrQfQ
Gavin Mudd    (2023-12-20 21:24:03)
previously held by a Rio Tinto-led joint venture</t>
        </r>
      </text>
    </comment>
    <comment ref="BA545" authorId="0" shapeId="0" xr:uid="{00000000-0006-0000-0000-0000AD010000}">
      <text>
        <r>
          <rPr>
            <sz val="11"/>
            <color theme="1"/>
            <rFont val="Calibri"/>
            <family val="2"/>
            <scheme val="minor"/>
          </rPr>
          <t>======
ID#AAABDDKrQ-s
Gavin Mudd    (2023-12-20 21:24:04)
2014 data (Rio Tinto Annual Report 2014)</t>
        </r>
      </text>
    </comment>
    <comment ref="BI545" authorId="0" shapeId="0" xr:uid="{00000000-0006-0000-0000-00000D020000}">
      <text>
        <r>
          <rPr>
            <sz val="11"/>
            <color theme="1"/>
            <rFont val="Calibri"/>
            <family val="2"/>
            <scheme val="minor"/>
          </rPr>
          <t>======
ID#AAABDDKrQyw
Gavin Mudd    (2023-12-20 21:24:04)
2014 data (Rio Tinto Annual Report 2014)</t>
        </r>
      </text>
    </comment>
    <comment ref="BJ545" authorId="0" shapeId="0" xr:uid="{00000000-0006-0000-0000-00004B000000}">
      <text>
        <r>
          <rPr>
            <sz val="11"/>
            <color theme="1"/>
            <rFont val="Calibri"/>
            <family val="2"/>
            <scheme val="minor"/>
          </rPr>
          <t>======
ID#AAABDDKrRrU
Gavin Mudd    (2023-12-20 21:24:04)
Rio Tinto media release 28 May 2008</t>
        </r>
      </text>
    </comment>
    <comment ref="DP545" authorId="0" shapeId="0" xr:uid="{00000000-0006-0000-0000-000094030000}">
      <text>
        <r>
          <rPr>
            <sz val="11"/>
            <color theme="1"/>
            <rFont val="Calibri"/>
            <family val="2"/>
            <scheme val="minor"/>
          </rPr>
          <t>======
ID#AAABDDKrQCc
Gavin Mudd    (2023-12-20 21:24:03)
2014 data (Rio Tinto Annual Report 2014)</t>
        </r>
      </text>
    </comment>
    <comment ref="BA548" authorId="0" shapeId="0" xr:uid="{00000000-0006-0000-0000-000090050000}">
      <text>
        <r>
          <rPr>
            <sz val="11"/>
            <color theme="1"/>
            <rFont val="Calibri"/>
            <family val="2"/>
            <scheme val="minor"/>
          </rPr>
          <t>======
ID#AAABDDKrPBE
Gavin Mudd    (2023-12-20 21:24:03)
historic resources (non-compliant with NI43-101) - hence all data allocated as inferred resources only</t>
        </r>
      </text>
    </comment>
    <comment ref="BB548" authorId="0" shapeId="0" xr:uid="{00000000-0006-0000-0000-00007C030000}">
      <text>
        <r>
          <rPr>
            <sz val="11"/>
            <color theme="1"/>
            <rFont val="Calibri"/>
            <family val="2"/>
            <scheme val="minor"/>
          </rPr>
          <t>======
ID#AAABDDKrQGY
Gavin Mudd    (2023-12-20 21:24:03)
historic resources (non-compliant with NI43-101) - hence all data allocated as inferred resources only</t>
        </r>
      </text>
    </comment>
    <comment ref="BI548" authorId="0" shapeId="0" xr:uid="{00000000-0006-0000-0000-00004E030000}">
      <text>
        <r>
          <rPr>
            <sz val="11"/>
            <color theme="1"/>
            <rFont val="Calibri"/>
            <family val="2"/>
            <scheme val="minor"/>
          </rPr>
          <t>======
ID#AAABDDKrQNw
Gavin Mudd    (2023-12-20 21:24:03)
historic resources (non-compliant with NI43-101) - hence all data allocated as inferred resources only</t>
        </r>
      </text>
    </comment>
    <comment ref="H549" authorId="0" shapeId="0" xr:uid="{00000000-0006-0000-0000-0000EC030000}">
      <text>
        <r>
          <rPr>
            <sz val="11"/>
            <color theme="1"/>
            <rFont val="Calibri"/>
            <family val="2"/>
            <scheme val="minor"/>
          </rPr>
          <t>======
ID#AAABDDKrP24
Gavin Mudd    (2023-12-20 21:24:03)
previously held by Northern Mining Ltd; then KGHM</t>
        </r>
      </text>
    </comment>
    <comment ref="DP549" authorId="0" shapeId="0" xr:uid="{00000000-0006-0000-0000-000018030000}">
      <text>
        <r>
          <rPr>
            <sz val="11"/>
            <color theme="1"/>
            <rFont val="Calibri"/>
            <family val="2"/>
            <scheme val="minor"/>
          </rPr>
          <t>======
ID#AAABDDKrQUE
Gavin Mudd    (2023-12-20 21:24:03)
data from Northern Mining Ltd</t>
        </r>
      </text>
    </comment>
    <comment ref="BA550" authorId="0" shapeId="0" xr:uid="{00000000-0006-0000-0000-000081060000}">
      <text>
        <r>
          <rPr>
            <sz val="11"/>
            <color theme="1"/>
            <rFont val="Calibri"/>
            <family val="2"/>
            <scheme val="minor"/>
          </rPr>
          <t>======
ID#AAABCyJQhtQ
Gavin Mudd    (2023-12-20 21:24:01)
historic resources (non-compliant with NI43-101) - hence all data allocated as inferred resources only</t>
        </r>
      </text>
    </comment>
    <comment ref="BI550" authorId="0" shapeId="0" xr:uid="{00000000-0006-0000-0000-00000E040000}">
      <text>
        <r>
          <rPr>
            <sz val="11"/>
            <color theme="1"/>
            <rFont val="Calibri"/>
            <family val="2"/>
            <scheme val="minor"/>
          </rPr>
          <t>======
ID#AAABDDKrPyY
Gavin Mudd    (2023-12-20 21:24:03)
historic resources (non-compliant with NI43-101) - hence all data allocated as inferred resources only</t>
        </r>
      </text>
    </comment>
    <comment ref="K551" authorId="0" shapeId="0" xr:uid="{00000000-0006-0000-0000-000065050000}">
      <text>
        <r>
          <rPr>
            <sz val="11"/>
            <color theme="1"/>
            <rFont val="Calibri"/>
            <family val="2"/>
            <scheme val="minor"/>
          </rPr>
          <t>======
ID#AAABDDKrPG4
Gavin Mudd    (2023-12-20 21:24:03)
only total measured &amp; indicated resources reported</t>
        </r>
      </text>
    </comment>
    <comment ref="AF551" authorId="0" shapeId="0" xr:uid="{00000000-0006-0000-0000-000080060000}">
      <text>
        <r>
          <rPr>
            <sz val="11"/>
            <color theme="1"/>
            <rFont val="Calibri"/>
            <family val="2"/>
            <scheme val="minor"/>
          </rPr>
          <t>======
ID#AAABCyJQhtY
Gavin Mudd    (2023-12-20 21:24:01)
only total measured &amp; indicated resources reported</t>
        </r>
      </text>
    </comment>
    <comment ref="AN551" authorId="0" shapeId="0" xr:uid="{00000000-0006-0000-0000-0000A1000000}">
      <text>
        <r>
          <rPr>
            <sz val="11"/>
            <color theme="1"/>
            <rFont val="Calibri"/>
            <family val="2"/>
            <scheme val="minor"/>
          </rPr>
          <t>======
ID#AAABDDKrRhw
Gavin Mudd    (2023-12-20 21:24:04)
only total measured &amp; indicated resources reported</t>
        </r>
      </text>
    </comment>
    <comment ref="AV551" authorId="0" shapeId="0" xr:uid="{00000000-0006-0000-0000-000047010000}">
      <text>
        <r>
          <rPr>
            <sz val="11"/>
            <color theme="1"/>
            <rFont val="Calibri"/>
            <family val="2"/>
            <scheme val="minor"/>
          </rPr>
          <t>======
ID#AAABDDKrRLw
Gavin Mudd    (2023-12-20 21:24:04)
only total measured &amp; indicated resources reported</t>
        </r>
      </text>
    </comment>
    <comment ref="BA551" authorId="0" shapeId="0" xr:uid="{00000000-0006-0000-0000-00000D050000}">
      <text>
        <r>
          <rPr>
            <sz val="11"/>
            <color theme="1"/>
            <rFont val="Calibri"/>
            <family val="2"/>
            <scheme val="minor"/>
          </rPr>
          <t>======
ID#AAABDDKrPRg
Gavin Mudd    (2023-12-20 21:24:03)
only total measured &amp; indicated resources reported</t>
        </r>
      </text>
    </comment>
    <comment ref="BI551" authorId="0" shapeId="0" xr:uid="{00000000-0006-0000-0000-0000AE050000}">
      <text>
        <r>
          <rPr>
            <sz val="11"/>
            <color theme="1"/>
            <rFont val="Calibri"/>
            <family val="2"/>
            <scheme val="minor"/>
          </rPr>
          <t>======
ID#AAABDDKrO9M
Gavin Mudd    (2023-12-20 21:24:03)
only total measured &amp; indicated resources reported</t>
        </r>
      </text>
    </comment>
    <comment ref="BQ551" authorId="0" shapeId="0" xr:uid="{00000000-0006-0000-0000-00004E040000}">
      <text>
        <r>
          <rPr>
            <sz val="11"/>
            <color theme="1"/>
            <rFont val="Calibri"/>
            <family val="2"/>
            <scheme val="minor"/>
          </rPr>
          <t>======
ID#AAABDDKrPrA
Gavin Mudd    (2023-12-20 21:24:03)
only total measured &amp; indicated resources reported</t>
        </r>
      </text>
    </comment>
    <comment ref="CQ551" authorId="0" shapeId="0" xr:uid="{00000000-0006-0000-0000-000050040000}">
      <text>
        <r>
          <rPr>
            <sz val="11"/>
            <color theme="1"/>
            <rFont val="Calibri"/>
            <family val="2"/>
            <scheme val="minor"/>
          </rPr>
          <t>======
ID#AAABDDKrPqw
Gavin Mudd    (2023-12-20 21:24:03)
total of proved and probable reserves</t>
        </r>
      </text>
    </comment>
    <comment ref="CY551" authorId="0" shapeId="0" xr:uid="{00000000-0006-0000-0000-000023060000}">
      <text>
        <r>
          <rPr>
            <sz val="11"/>
            <color theme="1"/>
            <rFont val="Calibri"/>
            <family val="2"/>
            <scheme val="minor"/>
          </rPr>
          <t>======
ID#AAABCyJQh3A
Gavin Mudd    (2023-12-20 21:24:02)
total of proved and probable reserves</t>
        </r>
      </text>
    </comment>
    <comment ref="DG551" authorId="0" shapeId="0" xr:uid="{00000000-0006-0000-0000-0000BA000000}">
      <text>
        <r>
          <rPr>
            <sz val="11"/>
            <color theme="1"/>
            <rFont val="Calibri"/>
            <family val="2"/>
            <scheme val="minor"/>
          </rPr>
          <t>======
ID#AAABDDKrReE
Gavin Mudd    (2023-12-20 21:24:04)
total of proved and probable reserves</t>
        </r>
      </text>
    </comment>
    <comment ref="BA552" authorId="0" shapeId="0" xr:uid="{00000000-0006-0000-0000-0000BD050000}">
      <text>
        <r>
          <rPr>
            <sz val="11"/>
            <color theme="1"/>
            <rFont val="Calibri"/>
            <family val="2"/>
            <scheme val="minor"/>
          </rPr>
          <t>======
ID#AAABDDKrO7g
Gavin Mudd    (2023-12-20 21:24:03)
historic resources (non-compliant with NI43-101) - hence all data allocated as inferred resources only</t>
        </r>
      </text>
    </comment>
    <comment ref="BI552" authorId="0" shapeId="0" xr:uid="{00000000-0006-0000-0000-000023020000}">
      <text>
        <r>
          <rPr>
            <sz val="11"/>
            <color theme="1"/>
            <rFont val="Calibri"/>
            <family val="2"/>
            <scheme val="minor"/>
          </rPr>
          <t>======
ID#AAABDDKrQws
Gavin Mudd    (2023-12-20 21:24:04)
historic resources (non-compliant with NI43-101) - hence all data allocated as inferred resources only</t>
        </r>
      </text>
    </comment>
    <comment ref="K553" authorId="0" shapeId="0" xr:uid="{00000000-0006-0000-0000-0000C8020000}">
      <text>
        <r>
          <rPr>
            <sz val="11"/>
            <color theme="1"/>
            <rFont val="Calibri"/>
            <family val="2"/>
            <scheme val="minor"/>
          </rPr>
          <t>======
ID#AAABDDKrQc0
Gavin Mudd    (2023-12-20 21:24:03)
measured &amp; indicated resources reported together</t>
        </r>
      </text>
    </comment>
    <comment ref="AF553" authorId="0" shapeId="0" xr:uid="{00000000-0006-0000-0000-00006E030000}">
      <text>
        <r>
          <rPr>
            <sz val="11"/>
            <color theme="1"/>
            <rFont val="Calibri"/>
            <family val="2"/>
            <scheme val="minor"/>
          </rPr>
          <t>======
ID#AAABDDKrQJo
Gavin Mudd    (2023-12-20 21:24:03)
measured &amp; indicated resources reported together</t>
        </r>
      </text>
    </comment>
    <comment ref="AO553" authorId="0" shapeId="0" xr:uid="{00000000-0006-0000-0000-000058060000}">
      <text>
        <r>
          <rPr>
            <sz val="11"/>
            <color theme="1"/>
            <rFont val="Calibri"/>
            <family val="2"/>
            <scheme val="minor"/>
          </rPr>
          <t>======
ID#AAABCyJQhxY
Gavin Mudd    (2023-12-20 21:24:02)
data from Boyd et al (2016)</t>
        </r>
      </text>
    </comment>
    <comment ref="BJ553" authorId="0" shapeId="0" xr:uid="{00000000-0006-0000-0000-0000A8000000}">
      <text>
        <r>
          <rPr>
            <sz val="11"/>
            <color theme="1"/>
            <rFont val="Calibri"/>
            <family val="2"/>
            <scheme val="minor"/>
          </rPr>
          <t>======
ID#AAABDDKrRf8
Gavin Mudd    (2023-12-20 21:24:04)
data from Boyd et al (2016)</t>
        </r>
      </text>
    </comment>
    <comment ref="CE553" authorId="0" shapeId="0" xr:uid="{00000000-0006-0000-0000-0000B8020000}">
      <text>
        <r>
          <rPr>
            <sz val="11"/>
            <color theme="1"/>
            <rFont val="Calibri"/>
            <family val="2"/>
            <scheme val="minor"/>
          </rPr>
          <t>======
ID#AAABDDKrQe0
Gavin Mudd    (2023-12-20 21:24:03)
data from Boyd et al (2016)</t>
        </r>
      </text>
    </comment>
    <comment ref="CZ553" authorId="0" shapeId="0" xr:uid="{00000000-0006-0000-0000-0000CF000000}">
      <text>
        <r>
          <rPr>
            <sz val="11"/>
            <color theme="1"/>
            <rFont val="Calibri"/>
            <family val="2"/>
            <scheme val="minor"/>
          </rPr>
          <t>======
ID#AAABDDKrRbo
Gavin Mudd    (2023-12-20 21:24:04)
data from Boyd et al (2016)</t>
        </r>
      </text>
    </comment>
    <comment ref="BA554" authorId="0" shapeId="0" xr:uid="{00000000-0006-0000-0000-00009E020000}">
      <text>
        <r>
          <rPr>
            <sz val="11"/>
            <color theme="1"/>
            <rFont val="Calibri"/>
            <family val="2"/>
            <scheme val="minor"/>
          </rPr>
          <t>======
ID#AAABDDKrQiY
Gavin Mudd    (2023-12-20 21:24:04)
historic resources (non-compliant with NI43-101) - hence all data allocated as inferred resources only</t>
        </r>
      </text>
    </comment>
    <comment ref="BB554" authorId="0" shapeId="0" xr:uid="{00000000-0006-0000-0000-000091010000}">
      <text>
        <r>
          <rPr>
            <sz val="11"/>
            <color theme="1"/>
            <rFont val="Calibri"/>
            <family val="2"/>
            <scheme val="minor"/>
          </rPr>
          <t>======
ID#AAABDDKrRCM
Gavin Mudd    (2023-12-20 21:24:04)
historic resources (non-compliant with NI43-101) - hence all data allocated as inferred resources only</t>
        </r>
      </text>
    </comment>
    <comment ref="BI554" authorId="0" shapeId="0" xr:uid="{00000000-0006-0000-0000-0000A4050000}">
      <text>
        <r>
          <rPr>
            <sz val="11"/>
            <color theme="1"/>
            <rFont val="Calibri"/>
            <family val="2"/>
            <scheme val="minor"/>
          </rPr>
          <t>======
ID#AAABDDKrO-c
Gavin Mudd    (2023-12-20 21:24:03)
historic resources (non-compliant with NI43-101) - hence all data allocated as inferred resources only</t>
        </r>
      </text>
    </comment>
    <comment ref="H555" authorId="0" shapeId="0" xr:uid="{00000000-0006-0000-0000-0000F7050000}">
      <text>
        <r>
          <rPr>
            <sz val="11"/>
            <color theme="1"/>
            <rFont val="Calibri"/>
            <family val="2"/>
            <scheme val="minor"/>
          </rPr>
          <t>======
ID#AAABCyJQh8Y
Gavin Mudd    (2023-12-20 21:24:02)
previously owned by Talvivaara Plc before its bankruptcy</t>
        </r>
      </text>
    </comment>
    <comment ref="BA555" authorId="0" shapeId="0" xr:uid="{00000000-0006-0000-0000-000000060000}">
      <text>
        <r>
          <rPr>
            <sz val="11"/>
            <color theme="1"/>
            <rFont val="Calibri"/>
            <family val="2"/>
            <scheme val="minor"/>
          </rPr>
          <t>======
ID#AAABCyJQh7E
Gavin Mudd    (2023-12-20 21:24:02)
only total resources reported</t>
        </r>
      </text>
    </comment>
    <comment ref="BB555" authorId="0" shapeId="0" xr:uid="{00000000-0006-0000-0000-0000F8000000}">
      <text>
        <r>
          <rPr>
            <sz val="11"/>
            <color theme="1"/>
            <rFont val="Calibri"/>
            <family val="2"/>
            <scheme val="minor"/>
          </rPr>
          <t>======
ID#AAABDDKrRWk
Gavin Mudd    (2023-12-20 21:24:04)
value from FODD (2017)</t>
        </r>
      </text>
    </comment>
    <comment ref="BD555" authorId="0" shapeId="0" xr:uid="{00000000-0006-0000-0000-000014040000}">
      <text>
        <r>
          <rPr>
            <sz val="11"/>
            <color theme="1"/>
            <rFont val="Calibri"/>
            <family val="2"/>
            <scheme val="minor"/>
          </rPr>
          <t>======
ID#AAABDDKrPx8
Gavin Mudd    (2023-12-20 21:24:03)
value from FODD (2017)</t>
        </r>
      </text>
    </comment>
    <comment ref="BE555" authorId="0" shapeId="0" xr:uid="{00000000-0006-0000-0000-0000D8020000}">
      <text>
        <r>
          <rPr>
            <sz val="11"/>
            <color theme="1"/>
            <rFont val="Calibri"/>
            <family val="2"/>
            <scheme val="minor"/>
          </rPr>
          <t>======
ID#AAABDDKrQbE
Gavin Mudd    (2023-12-20 21:24:03)
value from FODD (2017)</t>
        </r>
      </text>
    </comment>
    <comment ref="BF555" authorId="0" shapeId="0" xr:uid="{00000000-0006-0000-0000-000071010000}">
      <text>
        <r>
          <rPr>
            <sz val="11"/>
            <color theme="1"/>
            <rFont val="Calibri"/>
            <family val="2"/>
            <scheme val="minor"/>
          </rPr>
          <t>======
ID#AAABDDKrRG4
Gavin Mudd    (2023-12-20 21:24:04)
value from FODD (2017)</t>
        </r>
      </text>
    </comment>
    <comment ref="BG555" authorId="0" shapeId="0" xr:uid="{00000000-0006-0000-0000-000006010000}">
      <text>
        <r>
          <rPr>
            <sz val="11"/>
            <color theme="1"/>
            <rFont val="Calibri"/>
            <family val="2"/>
            <scheme val="minor"/>
          </rPr>
          <t>======
ID#AAABDDKrRVA
Gavin Mudd    (2023-12-20 21:24:04)
value from FODD (2017)</t>
        </r>
      </text>
    </comment>
    <comment ref="BH555" authorId="0" shapeId="0" xr:uid="{00000000-0006-0000-0000-0000E7030000}">
      <text>
        <r>
          <rPr>
            <sz val="11"/>
            <color theme="1"/>
            <rFont val="Calibri"/>
            <family val="2"/>
            <scheme val="minor"/>
          </rPr>
          <t>======
ID#AAABDDKrP3c
Gavin Mudd    (2023-12-20 21:24:03)
value from FODD (2017)</t>
        </r>
      </text>
    </comment>
    <comment ref="BI555" authorId="0" shapeId="0" xr:uid="{00000000-0006-0000-0000-0000A8030000}">
      <text>
        <r>
          <rPr>
            <sz val="11"/>
            <color theme="1"/>
            <rFont val="Calibri"/>
            <family val="2"/>
            <scheme val="minor"/>
          </rPr>
          <t>======
ID#AAABDDKrQAA
Gavin Mudd    (2023-12-20 21:24:03)
value from FODD (2017)</t>
        </r>
      </text>
    </comment>
    <comment ref="BJ555" authorId="0" shapeId="0" xr:uid="{00000000-0006-0000-0000-00001E020000}">
      <text>
        <r>
          <rPr>
            <sz val="11"/>
            <color theme="1"/>
            <rFont val="Calibri"/>
            <family val="2"/>
            <scheme val="minor"/>
          </rPr>
          <t>======
ID#AAABDDKrQxQ
Gavin Mudd    (2023-12-20 21:24:04)
value from FODD (2017)</t>
        </r>
      </text>
    </comment>
    <comment ref="BK555" authorId="0" shapeId="0" xr:uid="{00000000-0006-0000-0000-0000AE000000}">
      <text>
        <r>
          <rPr>
            <sz val="11"/>
            <color theme="1"/>
            <rFont val="Calibri"/>
            <family val="2"/>
            <scheme val="minor"/>
          </rPr>
          <t>======
ID#AAABDDKrRfo
Gavin Mudd    (2023-12-20 21:24:04)
value from FODD (2017)</t>
        </r>
      </text>
    </comment>
    <comment ref="BL555" authorId="0" shapeId="0" xr:uid="{00000000-0006-0000-0000-000048000000}">
      <text>
        <r>
          <rPr>
            <sz val="11"/>
            <color theme="1"/>
            <rFont val="Calibri"/>
            <family val="2"/>
            <scheme val="minor"/>
          </rPr>
          <t>======
ID#AAABDDKrRr4
Gavin Mudd    (2023-12-20 21:24:04)
value from FODD (2017)</t>
        </r>
      </text>
    </comment>
    <comment ref="K557" authorId="0" shapeId="0" xr:uid="{00000000-0006-0000-0000-0000BE010000}">
      <text>
        <r>
          <rPr>
            <sz val="11"/>
            <color theme="1"/>
            <rFont val="Calibri"/>
            <family val="2"/>
            <scheme val="minor"/>
          </rPr>
          <t>======
ID#AAABDDKrQ8s
Gavin Mudd    (2023-12-20 21:24:04)
measured &amp; indicated reported, assumed as indicated given closure; 2014 Norilsk Nickel data</t>
        </r>
      </text>
    </comment>
    <comment ref="AF557" authorId="0" shapeId="0" xr:uid="{00000000-0006-0000-0000-000098000000}">
      <text>
        <r>
          <rPr>
            <sz val="11"/>
            <color theme="1"/>
            <rFont val="Calibri"/>
            <family val="2"/>
            <scheme val="minor"/>
          </rPr>
          <t>======
ID#AAABDDKrRjM
Gavin Mudd    (2023-12-20 21:24:04)
measured &amp; indicated reported, assumed as indicated given closure; 2014 Norilsk Nickel data</t>
        </r>
      </text>
    </comment>
    <comment ref="AG557" authorId="0" shapeId="0" xr:uid="{00000000-0006-0000-0000-000008000000}">
      <text>
        <r>
          <rPr>
            <sz val="11"/>
            <color theme="1"/>
            <rFont val="Calibri"/>
            <family val="2"/>
            <scheme val="minor"/>
          </rPr>
          <t>======
ID#AAABDDKrR1M
Gavin Mudd    (2023-12-20 21:24:04)
measured &amp; indicated reported, assumed as indicated given closure; 2014 Norilsk Nickel data</t>
        </r>
      </text>
    </comment>
    <comment ref="AN557" authorId="0" shapeId="0" xr:uid="{00000000-0006-0000-0000-00000E000000}">
      <text>
        <r>
          <rPr>
            <sz val="11"/>
            <color theme="1"/>
            <rFont val="Calibri"/>
            <family val="2"/>
            <scheme val="minor"/>
          </rPr>
          <t>======
ID#AAABDDKrR0o
Gavin Mudd    (2023-12-20 21:24:04)
measured &amp; indicated reported, assumed as indicated given closure; 2014 Norilsk Nickel data</t>
        </r>
      </text>
    </comment>
    <comment ref="K558" authorId="0" shapeId="0" xr:uid="{00000000-0006-0000-0000-000027060000}">
      <text>
        <r>
          <rPr>
            <sz val="11"/>
            <color theme="1"/>
            <rFont val="Calibri"/>
            <family val="2"/>
            <scheme val="minor"/>
          </rPr>
          <t>======
ID#AAABCyJQh2I
Gavin Mudd    (2023-12-20 21:24:02)
measured &amp; indicated reported, assumed as indicated given closure; 2014 Norilsk Nickel data</t>
        </r>
      </text>
    </comment>
    <comment ref="AF558" authorId="0" shapeId="0" xr:uid="{00000000-0006-0000-0000-0000D5050000}">
      <text>
        <r>
          <rPr>
            <sz val="11"/>
            <color theme="1"/>
            <rFont val="Calibri"/>
            <family val="2"/>
            <scheme val="minor"/>
          </rPr>
          <t>======
ID#AAABCyJQiAc
Gavin Mudd    (2023-12-20 21:24:02)
measured &amp; indicated reported, assumed as indicated given closure; 2014 Norilsk Nickel data</t>
        </r>
      </text>
    </comment>
    <comment ref="AG558" authorId="0" shapeId="0" xr:uid="{00000000-0006-0000-0000-00002D060000}">
      <text>
        <r>
          <rPr>
            <sz val="11"/>
            <color theme="1"/>
            <rFont val="Calibri"/>
            <family val="2"/>
            <scheme val="minor"/>
          </rPr>
          <t>======
ID#AAABCyJQh1s
Gavin Mudd    (2023-12-20 21:24:02)
measured &amp; indicated reported, assumed as indicated given closure; 2014 Norilsk Nickel data</t>
        </r>
      </text>
    </comment>
    <comment ref="AN558" authorId="0" shapeId="0" xr:uid="{00000000-0006-0000-0000-0000BC040000}">
      <text>
        <r>
          <rPr>
            <sz val="11"/>
            <color theme="1"/>
            <rFont val="Calibri"/>
            <family val="2"/>
            <scheme val="minor"/>
          </rPr>
          <t>======
ID#AAABDDKrPcY
Gavin Mudd    (2023-12-20 21:24:03)
measured &amp; indicated reported, assumed as indicated given closure; 2014 Norilsk Nickel data</t>
        </r>
      </text>
    </comment>
    <comment ref="BA559" authorId="0" shapeId="0" xr:uid="{00000000-0006-0000-0000-00001E000000}">
      <text>
        <r>
          <rPr>
            <sz val="11"/>
            <color theme="1"/>
            <rFont val="Calibri"/>
            <family val="2"/>
            <scheme val="minor"/>
          </rPr>
          <t>======
ID#AAABDDKrRy0
Gavin Mudd    (2023-12-20 21:24:04)
historical resource, not NI43-101 compliant</t>
        </r>
      </text>
    </comment>
    <comment ref="BA560" authorId="0" shapeId="0" xr:uid="{00000000-0006-0000-0000-000024020000}">
      <text>
        <r>
          <rPr>
            <sz val="11"/>
            <color theme="1"/>
            <rFont val="Calibri"/>
            <family val="2"/>
            <scheme val="minor"/>
          </rPr>
          <t>======
ID#AAABDDKrQwY
Gavin Mudd    (2023-12-20 21:24:04)
historical resource, not NI43-101 compliant</t>
        </r>
      </text>
    </comment>
    <comment ref="BI560" authorId="0" shapeId="0" xr:uid="{00000000-0006-0000-0000-000095060000}">
      <text>
        <r>
          <rPr>
            <sz val="11"/>
            <color theme="1"/>
            <rFont val="Calibri"/>
            <family val="2"/>
            <scheme val="minor"/>
          </rPr>
          <t>======
ID#AAABCxlEyr8
Gavin Mudd    (2023-12-20 21:24:01)
historical resource, not NI43-101 compliant</t>
        </r>
      </text>
    </comment>
    <comment ref="K561" authorId="0" shapeId="0" xr:uid="{00000000-0006-0000-0000-000061020000}">
      <text>
        <r>
          <rPr>
            <sz val="11"/>
            <color theme="1"/>
            <rFont val="Calibri"/>
            <family val="2"/>
            <scheme val="minor"/>
          </rPr>
          <t>======
ID#AAABDDKrQo0
Gavin Mudd    (2023-12-20 21:24:04)
assumes all active mining 2016-18 depletes proven reserves only</t>
        </r>
      </text>
    </comment>
    <comment ref="L561" authorId="0" shapeId="0" xr:uid="{00000000-0006-0000-0000-000034000000}">
      <text>
        <r>
          <rPr>
            <sz val="11"/>
            <color theme="1"/>
            <rFont val="Calibri"/>
            <family val="2"/>
            <scheme val="minor"/>
          </rPr>
          <t>======
ID#AAABDDKrRvE
Gavin Mudd    (2023-12-20 21:24:04)
assumed from milling data</t>
        </r>
      </text>
    </comment>
    <comment ref="M561" authorId="0" shapeId="0" xr:uid="{00000000-0006-0000-0000-000067010000}">
      <text>
        <r>
          <rPr>
            <sz val="11"/>
            <color theme="1"/>
            <rFont val="Calibri"/>
            <family val="2"/>
            <scheme val="minor"/>
          </rPr>
          <t>======
ID#AAABDDKrRH4
Gavin Mudd    (2023-12-20 21:24:04)
assumed from milling data</t>
        </r>
      </text>
    </comment>
    <comment ref="N561" authorId="0" shapeId="0" xr:uid="{00000000-0006-0000-0000-0000A9050000}">
      <text>
        <r>
          <rPr>
            <sz val="11"/>
            <color theme="1"/>
            <rFont val="Calibri"/>
            <family val="2"/>
            <scheme val="minor"/>
          </rPr>
          <t>======
ID#AAABDDKrO9w
Gavin Mudd    (2023-12-20 21:24:03)
assumed from milling data</t>
        </r>
      </text>
    </comment>
    <comment ref="S561" authorId="0" shapeId="0" xr:uid="{00000000-0006-0000-0000-000045040000}">
      <text>
        <r>
          <rPr>
            <sz val="11"/>
            <color theme="1"/>
            <rFont val="Calibri"/>
            <family val="2"/>
            <scheme val="minor"/>
          </rPr>
          <t>======
ID#AAABDDKrPr0
Gavin Mudd    (2023-12-20 21:24:03)
assumes all active mining 2016-18 depletes proven reserves only</t>
        </r>
      </text>
    </comment>
    <comment ref="T561" authorId="0" shapeId="0" xr:uid="{00000000-0006-0000-0000-0000E2000000}">
      <text>
        <r>
          <rPr>
            <sz val="11"/>
            <color theme="1"/>
            <rFont val="Calibri"/>
            <family val="2"/>
            <scheme val="minor"/>
          </rPr>
          <t>======
ID#AAABDDKrRZE
Gavin Mudd    (2023-12-20 21:24:04)
assumed from milling data</t>
        </r>
      </text>
    </comment>
    <comment ref="AG561" authorId="0" shapeId="0" xr:uid="{00000000-0006-0000-0000-0000F3000000}">
      <text>
        <r>
          <rPr>
            <sz val="11"/>
            <color theme="1"/>
            <rFont val="Calibri"/>
            <family val="2"/>
            <scheme val="minor"/>
          </rPr>
          <t>======
ID#AAABDDKrRXE
Gavin Mudd    (2023-12-20 21:24:04)
assumed from milling data</t>
        </r>
      </text>
    </comment>
    <comment ref="AH561" authorId="0" shapeId="0" xr:uid="{00000000-0006-0000-0000-000021050000}">
      <text>
        <r>
          <rPr>
            <sz val="11"/>
            <color theme="1"/>
            <rFont val="Calibri"/>
            <family val="2"/>
            <scheme val="minor"/>
          </rPr>
          <t>======
ID#AAABDDKrPPY
Gavin Mudd    (2023-12-20 21:24:03)
assumed from milling data</t>
        </r>
      </text>
    </comment>
    <comment ref="AI561" authorId="0" shapeId="0" xr:uid="{00000000-0006-0000-0000-0000F5030000}">
      <text>
        <r>
          <rPr>
            <sz val="11"/>
            <color theme="1"/>
            <rFont val="Calibri"/>
            <family val="2"/>
            <scheme val="minor"/>
          </rPr>
          <t>======
ID#AAABDDKrP1w
Gavin Mudd    (2023-12-20 21:24:03)
assumed from milling data</t>
        </r>
      </text>
    </comment>
    <comment ref="AO561" authorId="0" shapeId="0" xr:uid="{00000000-0006-0000-0000-000047020000}">
      <text>
        <r>
          <rPr>
            <sz val="11"/>
            <color theme="1"/>
            <rFont val="Calibri"/>
            <family val="2"/>
            <scheme val="minor"/>
          </rPr>
          <t>======
ID#AAABDDKrQsQ
Gavin Mudd    (2023-12-20 21:24:04)
assumed from milling data</t>
        </r>
      </text>
    </comment>
    <comment ref="BV561" authorId="0" shapeId="0" xr:uid="{00000000-0006-0000-0000-000087010000}">
      <text>
        <r>
          <rPr>
            <sz val="11"/>
            <color theme="1"/>
            <rFont val="Calibri"/>
            <family val="2"/>
            <scheme val="minor"/>
          </rPr>
          <t>======
ID#AAABDDKrRDg
Gavin Mudd    (2023-12-20 21:24:04)
assumes all active mining 2016-18 depletes proven reserves only</t>
        </r>
      </text>
    </comment>
    <comment ref="BW561" authorId="0" shapeId="0" xr:uid="{00000000-0006-0000-0000-0000BE040000}">
      <text>
        <r>
          <rPr>
            <sz val="11"/>
            <color theme="1"/>
            <rFont val="Calibri"/>
            <family val="2"/>
            <scheme val="minor"/>
          </rPr>
          <t>======
ID#AAABDDKrPcQ
Gavin Mudd    (2023-12-20 21:24:03)
assumed from milling data</t>
        </r>
      </text>
    </comment>
    <comment ref="BX561" authorId="0" shapeId="0" xr:uid="{00000000-0006-0000-0000-000057020000}">
      <text>
        <r>
          <rPr>
            <sz val="11"/>
            <color theme="1"/>
            <rFont val="Calibri"/>
            <family val="2"/>
            <scheme val="minor"/>
          </rPr>
          <t>======
ID#AAABDDKrQqI
Gavin Mudd    (2023-12-20 21:24:04)
assumed from milling data</t>
        </r>
      </text>
    </comment>
    <comment ref="BY561" authorId="0" shapeId="0" xr:uid="{00000000-0006-0000-0000-000045060000}">
      <text>
        <r>
          <rPr>
            <sz val="11"/>
            <color theme="1"/>
            <rFont val="Calibri"/>
            <family val="2"/>
            <scheme val="minor"/>
          </rPr>
          <t>======
ID#AAABCyJQhzg
Gavin Mudd    (2023-12-20 21:24:02)
assumed from milling data</t>
        </r>
      </text>
    </comment>
    <comment ref="CD561" authorId="0" shapeId="0" xr:uid="{00000000-0006-0000-0000-0000EA030000}">
      <text>
        <r>
          <rPr>
            <sz val="11"/>
            <color theme="1"/>
            <rFont val="Calibri"/>
            <family val="2"/>
            <scheme val="minor"/>
          </rPr>
          <t>======
ID#AAABDDKrP3M
Gavin Mudd    (2023-12-20 21:24:03)
assumes all active mining 2016-18 depletes proven reserves only</t>
        </r>
      </text>
    </comment>
    <comment ref="CE561" authorId="0" shapeId="0" xr:uid="{00000000-0006-0000-0000-0000D9010000}">
      <text>
        <r>
          <rPr>
            <sz val="11"/>
            <color theme="1"/>
            <rFont val="Calibri"/>
            <family val="2"/>
            <scheme val="minor"/>
          </rPr>
          <t>======
ID#AAABDDKrQ5I
Gavin Mudd    (2023-12-20 21:24:04)
assumed from milling data</t>
        </r>
      </text>
    </comment>
    <comment ref="CR561" authorId="0" shapeId="0" xr:uid="{00000000-0006-0000-0000-00007A030000}">
      <text>
        <r>
          <rPr>
            <sz val="11"/>
            <color theme="1"/>
            <rFont val="Calibri"/>
            <family val="2"/>
            <scheme val="minor"/>
          </rPr>
          <t>======
ID#AAABDDKrQHE
Gavin Mudd    (2023-12-20 21:24:03)
assumed from milling data</t>
        </r>
      </text>
    </comment>
    <comment ref="CS561" authorId="0" shapeId="0" xr:uid="{00000000-0006-0000-0000-000085030000}">
      <text>
        <r>
          <rPr>
            <sz val="11"/>
            <color theme="1"/>
            <rFont val="Calibri"/>
            <family val="2"/>
            <scheme val="minor"/>
          </rPr>
          <t>======
ID#AAABDDKrQEg
Gavin Mudd    (2023-12-20 21:24:03)
assumed from milling data</t>
        </r>
      </text>
    </comment>
    <comment ref="CT561" authorId="0" shapeId="0" xr:uid="{00000000-0006-0000-0000-00002D030000}">
      <text>
        <r>
          <rPr>
            <sz val="11"/>
            <color theme="1"/>
            <rFont val="Calibri"/>
            <family val="2"/>
            <scheme val="minor"/>
          </rPr>
          <t>======
ID#AAABDDKrQRk
Gavin Mudd    (2023-12-20 21:24:03)
assumed from milling data</t>
        </r>
      </text>
    </comment>
    <comment ref="CZ561" authorId="0" shapeId="0" xr:uid="{00000000-0006-0000-0000-000084040000}">
      <text>
        <r>
          <rPr>
            <sz val="11"/>
            <color theme="1"/>
            <rFont val="Calibri"/>
            <family val="2"/>
            <scheme val="minor"/>
          </rPr>
          <t>======
ID#AAABDDKrPkc
Gavin Mudd    (2023-12-20 21:24:03)
assumed from milling data</t>
        </r>
      </text>
    </comment>
    <comment ref="H562" authorId="0" shapeId="0" xr:uid="{00000000-0006-0000-0000-00003B030000}">
      <text>
        <r>
          <rPr>
            <sz val="11"/>
            <color theme="1"/>
            <rFont val="Calibri"/>
            <family val="2"/>
            <scheme val="minor"/>
          </rPr>
          <t>======
ID#AAABDDKrQQA
Gavin Mudd    (2023-12-20 21:24:03)
previously held by Magma Metals</t>
        </r>
      </text>
    </comment>
    <comment ref="K564" authorId="0" shapeId="0" xr:uid="{00000000-0006-0000-0000-000073000000}">
      <text>
        <r>
          <rPr>
            <sz val="11"/>
            <color theme="1"/>
            <rFont val="Calibri"/>
            <family val="2"/>
            <scheme val="minor"/>
          </rPr>
          <t>======
ID#AAABDDKrRmk
Gavin Mudd    (2023-12-20 21:24:04)
only total resources are reported</t>
        </r>
      </text>
    </comment>
    <comment ref="AF564" authorId="0" shapeId="0" xr:uid="{00000000-0006-0000-0000-00005E010000}">
      <text>
        <r>
          <rPr>
            <sz val="11"/>
            <color theme="1"/>
            <rFont val="Calibri"/>
            <family val="2"/>
            <scheme val="minor"/>
          </rPr>
          <t>======
ID#AAABDDKrRJE
Gavin Mudd    (2023-12-20 21:24:04)
only total resources are reported</t>
        </r>
      </text>
    </comment>
    <comment ref="BA564" authorId="0" shapeId="0" xr:uid="{00000000-0006-0000-0000-000007000000}">
      <text>
        <r>
          <rPr>
            <sz val="11"/>
            <color theme="1"/>
            <rFont val="Calibri"/>
            <family val="2"/>
            <scheme val="minor"/>
          </rPr>
          <t>======
ID#AAABDDKrR1U
Gavin Mudd    (2023-12-20 21:24:04)
only total resources are reported</t>
        </r>
      </text>
    </comment>
    <comment ref="BB564" authorId="0" shapeId="0" xr:uid="{00000000-0006-0000-0000-00003A050000}">
      <text>
        <r>
          <rPr>
            <sz val="11"/>
            <color theme="1"/>
            <rFont val="Calibri"/>
            <family val="2"/>
            <scheme val="minor"/>
          </rPr>
          <t>======
ID#AAABDDKrPMc
Gavin Mudd    (2023-12-20 21:24:03)
only total resources are reported</t>
        </r>
      </text>
    </comment>
    <comment ref="BI564" authorId="0" shapeId="0" xr:uid="{00000000-0006-0000-0000-00003E000000}">
      <text>
        <r>
          <rPr>
            <sz val="11"/>
            <color theme="1"/>
            <rFont val="Calibri"/>
            <family val="2"/>
            <scheme val="minor"/>
          </rPr>
          <t>======
ID#AAABDDKrRtQ
Gavin Mudd    (2023-12-20 21:24:04)
only total resources are reported</t>
        </r>
      </text>
    </comment>
    <comment ref="BA565" authorId="0" shapeId="0" xr:uid="{00000000-0006-0000-0000-0000D8030000}">
      <text>
        <r>
          <rPr>
            <sz val="11"/>
            <color theme="1"/>
            <rFont val="Calibri"/>
            <family val="2"/>
            <scheme val="minor"/>
          </rPr>
          <t>======
ID#AAABDDKrP50
Gavin Mudd    (2023-12-20 21:24:03)
historic resources, assumed as inferred</t>
        </r>
      </text>
    </comment>
    <comment ref="BI565" authorId="0" shapeId="0" xr:uid="{00000000-0006-0000-0000-000032010000}">
      <text>
        <r>
          <rPr>
            <sz val="11"/>
            <color theme="1"/>
            <rFont val="Calibri"/>
            <family val="2"/>
            <scheme val="minor"/>
          </rPr>
          <t>======
ID#AAABDDKrRO8
Gavin Mudd    (2023-12-20 21:24:04)
historic resources, assumed as inferred</t>
        </r>
      </text>
    </comment>
    <comment ref="C566" authorId="0" shapeId="0" xr:uid="{00000000-0006-0000-0000-000036020000}">
      <text>
        <r>
          <rPr>
            <sz val="11"/>
            <color theme="1"/>
            <rFont val="Calibri"/>
            <family val="2"/>
            <scheme val="minor"/>
          </rPr>
          <t>======
ID#AAABDDKrQuI
Gavin Mudd    (2023-12-20 21:24:04)
possibly also includes Sipilou, Bankouba</t>
        </r>
      </text>
    </comment>
    <comment ref="BA566" authorId="0" shapeId="0" xr:uid="{00000000-0006-0000-0000-0000D4040000}">
      <text>
        <r>
          <rPr>
            <sz val="11"/>
            <color theme="1"/>
            <rFont val="Calibri"/>
            <family val="2"/>
            <scheme val="minor"/>
          </rPr>
          <t>======
ID#AAABDDKrPZk
Gavin Mudd    (2023-12-20 21:24:03)
historic resources (non-compliant with NI43-101) - hence all data allocated as inferred resources only</t>
        </r>
      </text>
    </comment>
    <comment ref="BI566" authorId="0" shapeId="0" xr:uid="{00000000-0006-0000-0000-00004B010000}">
      <text>
        <r>
          <rPr>
            <sz val="11"/>
            <color theme="1"/>
            <rFont val="Calibri"/>
            <family val="2"/>
            <scheme val="minor"/>
          </rPr>
          <t>======
ID#AAABDDKrRLY
Gavin Mudd    (2023-12-20 21:24:04)
historic resources (non-compliant with NI43-101) - hence all data allocated as inferred resources only</t>
        </r>
      </text>
    </comment>
    <comment ref="BJ566" authorId="0" shapeId="0" xr:uid="{00000000-0006-0000-0000-0000D5030000}">
      <text>
        <r>
          <rPr>
            <sz val="11"/>
            <color theme="1"/>
            <rFont val="Calibri"/>
            <family val="2"/>
            <scheme val="minor"/>
          </rPr>
          <t>======
ID#AAABDDKrP6I
Gavin Mudd    (2023-12-20 21:24:03)
historic resources (non-compliant with NI43-101) - hence all data allocated as inferred resources only</t>
        </r>
      </text>
    </comment>
    <comment ref="BA570" authorId="0" shapeId="0" xr:uid="{00000000-0006-0000-0000-0000AC050000}">
      <text>
        <r>
          <rPr>
            <sz val="11"/>
            <color theme="1"/>
            <rFont val="Calibri"/>
            <family val="2"/>
            <scheme val="minor"/>
          </rPr>
          <t>======
ID#AAABDDKrO9c
Gavin Mudd    (2023-12-20 21:24:03)
historic resources (non-compliant with NI43-101) - hence all data allocated as inferred resources only</t>
        </r>
      </text>
    </comment>
    <comment ref="BI570" authorId="0" shapeId="0" xr:uid="{00000000-0006-0000-0000-00004E050000}">
      <text>
        <r>
          <rPr>
            <sz val="11"/>
            <color theme="1"/>
            <rFont val="Calibri"/>
            <family val="2"/>
            <scheme val="minor"/>
          </rPr>
          <t>======
ID#AAABDDKrPKM
Gavin Mudd    (2023-12-20 21:24:03)
historic resources (non-compliant with NI43-101) - hence all data allocated as inferred resources only</t>
        </r>
      </text>
    </comment>
    <comment ref="BJ570" authorId="0" shapeId="0" xr:uid="{00000000-0006-0000-0000-000055030000}">
      <text>
        <r>
          <rPr>
            <sz val="11"/>
            <color theme="1"/>
            <rFont val="Calibri"/>
            <family val="2"/>
            <scheme val="minor"/>
          </rPr>
          <t>======
ID#AAABDDKrQM8
Gavin Mudd    (2023-12-20 21:24:03)
historic resources (non-compliant with NI43-101) - hence all data allocated as inferred resources only</t>
        </r>
      </text>
    </comment>
    <comment ref="BP570" authorId="0" shapeId="0" xr:uid="{00000000-0006-0000-0000-0000FE020000}">
      <text>
        <r>
          <rPr>
            <sz val="11"/>
            <color theme="1"/>
            <rFont val="Calibri"/>
            <family val="2"/>
            <scheme val="minor"/>
          </rPr>
          <t>======
ID#AAABDDKrQWs
Gavin Mudd    (2023-12-20 21:24:03)
historic resources (non-compliant with NI43-101) - hence all data allocated as inferred resources only</t>
        </r>
      </text>
    </comment>
    <comment ref="BQ570" authorId="0" shapeId="0" xr:uid="{00000000-0006-0000-0000-00001F020000}">
      <text>
        <r>
          <rPr>
            <sz val="11"/>
            <color theme="1"/>
            <rFont val="Calibri"/>
            <family val="2"/>
            <scheme val="minor"/>
          </rPr>
          <t>======
ID#AAABDDKrQxE
Gavin Mudd    (2023-12-20 21:24:04)
historic resources (non-compliant with NI43-101) - hence all data allocated as inferred resources only</t>
        </r>
      </text>
    </comment>
    <comment ref="H572" authorId="0" shapeId="0" xr:uid="{00000000-0006-0000-0000-00000B010000}">
      <text>
        <r>
          <rPr>
            <sz val="11"/>
            <color theme="1"/>
            <rFont val="Calibri"/>
            <family val="2"/>
            <scheme val="minor"/>
          </rPr>
          <t>======
ID#AAABDDKrRUo
Gavin Mudd    (2023-12-20 21:24:04)
formerly known as Hard Creek Nickel Corp</t>
        </r>
      </text>
    </comment>
    <comment ref="X574" authorId="0" shapeId="0" xr:uid="{00000000-0006-0000-0000-0000D5020000}">
      <text>
        <r>
          <rPr>
            <sz val="11"/>
            <color theme="1"/>
            <rFont val="Calibri"/>
            <family val="2"/>
            <scheme val="minor"/>
          </rPr>
          <t>======
ID#AAABDDKrQbw
Gavin Mudd    (2023-12-20 21:24:03)
g/t Ru</t>
        </r>
      </text>
    </comment>
    <comment ref="Y574" authorId="0" shapeId="0" xr:uid="{00000000-0006-0000-0000-000030060000}">
      <text>
        <r>
          <rPr>
            <sz val="11"/>
            <color theme="1"/>
            <rFont val="Calibri"/>
            <family val="2"/>
            <scheme val="minor"/>
          </rPr>
          <t>======
ID#AAABCyJQh1c
Gavin Mudd    (2023-12-20 21:24:02)
g/t Ir</t>
        </r>
      </text>
    </comment>
    <comment ref="AS574" authorId="0" shapeId="0" xr:uid="{00000000-0006-0000-0000-0000BE020000}">
      <text>
        <r>
          <rPr>
            <sz val="11"/>
            <color theme="1"/>
            <rFont val="Calibri"/>
            <family val="2"/>
            <scheme val="minor"/>
          </rPr>
          <t>======
ID#AAABDDKrQeU
Gavin Mudd    (2023-12-20 21:24:03)
g/t Ru</t>
        </r>
      </text>
    </comment>
    <comment ref="AT574" authorId="0" shapeId="0" xr:uid="{00000000-0006-0000-0000-0000B6040000}">
      <text>
        <r>
          <rPr>
            <sz val="11"/>
            <color theme="1"/>
            <rFont val="Calibri"/>
            <family val="2"/>
            <scheme val="minor"/>
          </rPr>
          <t>======
ID#AAABDDKrPdc
Gavin Mudd    (2023-12-20 21:24:03)
g/t Ir</t>
        </r>
      </text>
    </comment>
    <comment ref="BN574" authorId="0" shapeId="0" xr:uid="{00000000-0006-0000-0000-000091030000}">
      <text>
        <r>
          <rPr>
            <sz val="11"/>
            <color theme="1"/>
            <rFont val="Calibri"/>
            <family val="2"/>
            <scheme val="minor"/>
          </rPr>
          <t>======
ID#AAABDDKrQC8
Gavin Mudd    (2023-12-20 21:24:03)
g/t Ru</t>
        </r>
      </text>
    </comment>
    <comment ref="BO574" authorId="0" shapeId="0" xr:uid="{00000000-0006-0000-0000-00008C060000}">
      <text>
        <r>
          <rPr>
            <sz val="11"/>
            <color theme="1"/>
            <rFont val="Calibri"/>
            <family val="2"/>
            <scheme val="minor"/>
          </rPr>
          <t>======
ID#AAABCxlEytM
Gavin Mudd    (2023-12-20 21:24:01)
g/t Ir</t>
        </r>
      </text>
    </comment>
    <comment ref="CI574" authorId="0" shapeId="0" xr:uid="{00000000-0006-0000-0000-000048060000}">
      <text>
        <r>
          <rPr>
            <sz val="11"/>
            <color theme="1"/>
            <rFont val="Calibri"/>
            <family val="2"/>
            <scheme val="minor"/>
          </rPr>
          <t>======
ID#AAABCyJQhzM
Gavin Mudd    (2023-12-20 21:24:02)
g/t Ru</t>
        </r>
      </text>
    </comment>
    <comment ref="CJ574" authorId="0" shapeId="0" xr:uid="{00000000-0006-0000-0000-0000D0030000}">
      <text>
        <r>
          <rPr>
            <sz val="11"/>
            <color theme="1"/>
            <rFont val="Calibri"/>
            <family val="2"/>
            <scheme val="minor"/>
          </rPr>
          <t>======
ID#AAABDDKrP7Y
Gavin Mudd    (2023-12-20 21:24:03)
g/t Ir</t>
        </r>
      </text>
    </comment>
    <comment ref="DD574" authorId="0" shapeId="0" xr:uid="{00000000-0006-0000-0000-0000E5000000}">
      <text>
        <r>
          <rPr>
            <sz val="11"/>
            <color theme="1"/>
            <rFont val="Calibri"/>
            <family val="2"/>
            <scheme val="minor"/>
          </rPr>
          <t>======
ID#AAABDDKrRY0
Gavin Mudd    (2023-12-20 21:24:04)
g/t Ru</t>
        </r>
      </text>
    </comment>
    <comment ref="DE574" authorId="0" shapeId="0" xr:uid="{00000000-0006-0000-0000-0000C4030000}">
      <text>
        <r>
          <rPr>
            <sz val="11"/>
            <color theme="1"/>
            <rFont val="Calibri"/>
            <family val="2"/>
            <scheme val="minor"/>
          </rPr>
          <t>======
ID#AAABDDKrP9A
Gavin Mudd    (2023-12-20 21:24:03)
g/t Ir</t>
        </r>
      </text>
    </comment>
    <comment ref="DP575" authorId="0" shapeId="0" xr:uid="{00000000-0006-0000-0000-0000C3040000}">
      <text>
        <r>
          <rPr>
            <sz val="11"/>
            <color theme="1"/>
            <rFont val="Calibri"/>
            <family val="2"/>
            <scheme val="minor"/>
          </rPr>
          <t>======
ID#AAABDDKrPbs
Gavin Mudd    (2023-12-20 21:24:03)
2017 Anglo American Platinum data</t>
        </r>
      </text>
    </comment>
    <comment ref="DP576" authorId="0" shapeId="0" xr:uid="{00000000-0006-0000-0000-0000FE000000}">
      <text>
        <r>
          <rPr>
            <sz val="11"/>
            <color theme="1"/>
            <rFont val="Calibri"/>
            <family val="2"/>
            <scheme val="minor"/>
          </rPr>
          <t>======
ID#AAABDDKrRV0
Gavin Mudd    (2023-12-20 21:24:04)
P&amp;P reserves data combined from both Anglo American Plc and Anglo American Platinum Ltd</t>
        </r>
      </text>
    </comment>
    <comment ref="BA577" authorId="0" shapeId="0" xr:uid="{00000000-0006-0000-0000-000031050000}">
      <text>
        <r>
          <rPr>
            <sz val="11"/>
            <color theme="1"/>
            <rFont val="Calibri"/>
            <family val="2"/>
            <scheme val="minor"/>
          </rPr>
          <t>======
ID#AAABDDKrPNY
Gavin Mudd    (2023-12-20 21:24:03)
historic resources (non-compliant with NI43-101) - hence all data allocated as inferred resources only</t>
        </r>
      </text>
    </comment>
    <comment ref="BB577" authorId="0" shapeId="0" xr:uid="{00000000-0006-0000-0000-000087030000}">
      <text>
        <r>
          <rPr>
            <sz val="11"/>
            <color theme="1"/>
            <rFont val="Calibri"/>
            <family val="2"/>
            <scheme val="minor"/>
          </rPr>
          <t>======
ID#AAABDDKrQEI
Gavin Mudd    (2023-12-20 21:24:03)
historic resources (non-compliant with NI43-101) - hence all data allocated as inferred resources only</t>
        </r>
      </text>
    </comment>
    <comment ref="BI577" authorId="0" shapeId="0" xr:uid="{00000000-0006-0000-0000-000059040000}">
      <text>
        <r>
          <rPr>
            <sz val="11"/>
            <color theme="1"/>
            <rFont val="Calibri"/>
            <family val="2"/>
            <scheme val="minor"/>
          </rPr>
          <t>======
ID#AAABDDKrPpc
Gavin Mudd    (2023-12-20 21:24:03)
historic resources (non-compliant with NI43-101) - hence all data allocated as inferred resources only</t>
        </r>
      </text>
    </comment>
    <comment ref="BJ577" authorId="0" shapeId="0" xr:uid="{00000000-0006-0000-0000-00007D010000}">
      <text>
        <r>
          <rPr>
            <sz val="11"/>
            <color theme="1"/>
            <rFont val="Calibri"/>
            <family val="2"/>
            <scheme val="minor"/>
          </rPr>
          <t>======
ID#AAABDDKrRFE
Gavin Mudd    (2023-12-20 21:24:04)
historic resources (non-compliant with NI43-101) - hence all data allocated as inferred resources only</t>
        </r>
      </text>
    </comment>
    <comment ref="H578" authorId="0" shapeId="0" xr:uid="{00000000-0006-0000-0000-00007E040000}">
      <text>
        <r>
          <rPr>
            <sz val="11"/>
            <color theme="1"/>
            <rFont val="Calibri"/>
            <family val="2"/>
            <scheme val="minor"/>
          </rPr>
          <t>======
ID#AAABDDKrPlE
Gavin Mudd    (2023-12-20 21:24:03)
previously held by Diamond Fields International Inc, sold to unnamed buyer in Dec. 2017</t>
        </r>
      </text>
    </comment>
    <comment ref="BA578" authorId="0" shapeId="0" xr:uid="{00000000-0006-0000-0000-00002C030000}">
      <text>
        <r>
          <rPr>
            <sz val="11"/>
            <color theme="1"/>
            <rFont val="Calibri"/>
            <family val="2"/>
            <scheme val="minor"/>
          </rPr>
          <t>======
ID#AAABDDKrQRo
Gavin Mudd    (2023-12-20 21:24:03)
historic resources (non-compliant with NI43-101) - hence all data allocated as inferred resources only</t>
        </r>
      </text>
    </comment>
    <comment ref="BI578" authorId="0" shapeId="0" xr:uid="{00000000-0006-0000-0000-00000C020000}">
      <text>
        <r>
          <rPr>
            <sz val="11"/>
            <color theme="1"/>
            <rFont val="Calibri"/>
            <family val="2"/>
            <scheme val="minor"/>
          </rPr>
          <t>======
ID#AAABDDKrQy0
Gavin Mudd    (2023-12-20 21:24:04)
historic resources (non-compliant with NI43-101) - hence all data allocated as inferred resources only</t>
        </r>
      </text>
    </comment>
    <comment ref="BA580" authorId="0" shapeId="0" xr:uid="{00000000-0006-0000-0000-000064060000}">
      <text>
        <r>
          <rPr>
            <sz val="11"/>
            <color theme="1"/>
            <rFont val="Calibri"/>
            <family val="2"/>
            <scheme val="minor"/>
          </rPr>
          <t>======
ID#AAABCyJQhwU
Gavin Mudd    (2023-12-20 21:24:02)
historic resources (non-compliant with NI43-101) - hence all data allocated as inferred resources only</t>
        </r>
      </text>
    </comment>
    <comment ref="BB580" authorId="0" shapeId="0" xr:uid="{00000000-0006-0000-0000-000058030000}">
      <text>
        <r>
          <rPr>
            <sz val="11"/>
            <color theme="1"/>
            <rFont val="Calibri"/>
            <family val="2"/>
            <scheme val="minor"/>
          </rPr>
          <t>======
ID#AAABDDKrQMs
Gavin Mudd    (2023-12-20 21:24:03)
historic resources (non-compliant with NI43-101) - hence all data allocated as inferred resources only</t>
        </r>
      </text>
    </comment>
    <comment ref="BI580" authorId="0" shapeId="0" xr:uid="{00000000-0006-0000-0000-0000CE010000}">
      <text>
        <r>
          <rPr>
            <sz val="11"/>
            <color theme="1"/>
            <rFont val="Calibri"/>
            <family val="2"/>
            <scheme val="minor"/>
          </rPr>
          <t>======
ID#AAABDDKrQ6w
Gavin Mudd    (2023-12-20 21:24:04)
historic resources (non-compliant with NI43-101) - hence all data allocated as inferred resources only</t>
        </r>
      </text>
    </comment>
    <comment ref="BJ580" authorId="0" shapeId="0" xr:uid="{00000000-0006-0000-0000-000085010000}">
      <text>
        <r>
          <rPr>
            <sz val="11"/>
            <color theme="1"/>
            <rFont val="Calibri"/>
            <family val="2"/>
            <scheme val="minor"/>
          </rPr>
          <t>======
ID#AAABDDKrRD8
Gavin Mudd    (2023-12-20 21:24:04)
historic resources (non-compliant with NI43-101) - hence all data allocated as inferred resources only</t>
        </r>
      </text>
    </comment>
    <comment ref="BA581" authorId="0" shapeId="0" xr:uid="{00000000-0006-0000-0000-0000BF050000}">
      <text>
        <r>
          <rPr>
            <sz val="11"/>
            <color theme="1"/>
            <rFont val="Calibri"/>
            <family val="2"/>
            <scheme val="minor"/>
          </rPr>
          <t>======
ID#AAABDDKrO7U
Gavin Mudd    (2023-12-20 21:24:03)
historic resources (non-compliant with NI43-101) - hence all data allocated as inferred resources only</t>
        </r>
      </text>
    </comment>
    <comment ref="BB581" authorId="0" shapeId="0" xr:uid="{00000000-0006-0000-0000-0000DD000000}">
      <text>
        <r>
          <rPr>
            <sz val="11"/>
            <color theme="1"/>
            <rFont val="Calibri"/>
            <family val="2"/>
            <scheme val="minor"/>
          </rPr>
          <t>======
ID#AAABDDKrRZs
Gavin Mudd    (2023-12-20 21:24:04)
historic resources (non-compliant with NI43-101) - hence all data allocated as inferred resources only</t>
        </r>
      </text>
    </comment>
    <comment ref="BI581" authorId="0" shapeId="0" xr:uid="{00000000-0006-0000-0000-000039010000}">
      <text>
        <r>
          <rPr>
            <sz val="11"/>
            <color theme="1"/>
            <rFont val="Calibri"/>
            <family val="2"/>
            <scheme val="minor"/>
          </rPr>
          <t>======
ID#AAABDDKrROI
Gavin Mudd    (2023-12-20 21:24:04)
historic resources (non-compliant with NI43-101) - hence all data allocated as inferred resources only</t>
        </r>
      </text>
    </comment>
    <comment ref="BA583" authorId="0" shapeId="0" xr:uid="{00000000-0006-0000-0000-000011060000}">
      <text>
        <r>
          <rPr>
            <sz val="11"/>
            <color theme="1"/>
            <rFont val="Calibri"/>
            <family val="2"/>
            <scheme val="minor"/>
          </rPr>
          <t>======
ID#AAABCyJQh5I
Gavin Mudd    (2023-12-20 21:24:02)
historic resources (non-compliant with NI43-101) - hence all data allocated as inferred resources only</t>
        </r>
      </text>
    </comment>
    <comment ref="BB583" authorId="0" shapeId="0" xr:uid="{00000000-0006-0000-0000-000037010000}">
      <text>
        <r>
          <rPr>
            <sz val="11"/>
            <color theme="1"/>
            <rFont val="Calibri"/>
            <family val="2"/>
            <scheme val="minor"/>
          </rPr>
          <t>======
ID#AAABDDKrROc
Gavin Mudd    (2023-12-20 21:24:04)
historic resources (non-compliant with NI43-101) - hence all data allocated as inferred resources only</t>
        </r>
      </text>
    </comment>
    <comment ref="BI583" authorId="0" shapeId="0" xr:uid="{00000000-0006-0000-0000-000093010000}">
      <text>
        <r>
          <rPr>
            <sz val="11"/>
            <color theme="1"/>
            <rFont val="Calibri"/>
            <family val="2"/>
            <scheme val="minor"/>
          </rPr>
          <t>======
ID#AAABDDKrRB0
Gavin Mudd    (2023-12-20 21:24:04)
historic resources (non-compliant with NI43-101) - hence all data allocated as inferred resources only</t>
        </r>
      </text>
    </comment>
    <comment ref="BJ583" authorId="0" shapeId="0" xr:uid="{00000000-0006-0000-0000-000043050000}">
      <text>
        <r>
          <rPr>
            <sz val="11"/>
            <color theme="1"/>
            <rFont val="Calibri"/>
            <family val="2"/>
            <scheme val="minor"/>
          </rPr>
          <t>======
ID#AAABDDKrPLc
Gavin Mudd    (2023-12-20 21:24:03)
historic resources (non-compliant with NI43-101) - hence all data allocated as inferred resources only</t>
        </r>
      </text>
    </comment>
    <comment ref="BA584" authorId="0" shapeId="0" xr:uid="{00000000-0006-0000-0000-000019020000}">
      <text>
        <r>
          <rPr>
            <sz val="11"/>
            <color theme="1"/>
            <rFont val="Calibri"/>
            <family val="2"/>
            <scheme val="minor"/>
          </rPr>
          <t>======
ID#AAABDDKrQxs
Gavin Mudd    (2023-12-20 21:24:04)
historic resources (non-compliant with NI43-101) - hence all data allocated as inferred resources only</t>
        </r>
      </text>
    </comment>
    <comment ref="BI584" authorId="0" shapeId="0" xr:uid="{00000000-0006-0000-0000-00005F010000}">
      <text>
        <r>
          <rPr>
            <sz val="11"/>
            <color theme="1"/>
            <rFont val="Calibri"/>
            <family val="2"/>
            <scheme val="minor"/>
          </rPr>
          <t>======
ID#AAABDDKrRI8
Gavin Mudd    (2023-12-20 21:24:04)
historic resources (non-compliant with NI43-101) - hence all data allocated as inferred resources only</t>
        </r>
      </text>
    </comment>
    <comment ref="BJ584" authorId="0" shapeId="0" xr:uid="{00000000-0006-0000-0000-000012040000}">
      <text>
        <r>
          <rPr>
            <sz val="11"/>
            <color theme="1"/>
            <rFont val="Calibri"/>
            <family val="2"/>
            <scheme val="minor"/>
          </rPr>
          <t>======
ID#AAABDDKrPyE
Gavin Mudd    (2023-12-20 21:24:03)
historic resources (non-compliant with NI43-101) - hence all data allocated as inferred resources only</t>
        </r>
      </text>
    </comment>
    <comment ref="BA587" authorId="0" shapeId="0" xr:uid="{00000000-0006-0000-0000-000062020000}">
      <text>
        <r>
          <rPr>
            <sz val="11"/>
            <color theme="1"/>
            <rFont val="Calibri"/>
            <family val="2"/>
            <scheme val="minor"/>
          </rPr>
          <t>======
ID#AAABDDKrQos
Gavin Mudd    (2023-12-20 21:24:04)
historic resources (non-compliant with NI43-101) - hence all data allocated as inferred resources only</t>
        </r>
      </text>
    </comment>
    <comment ref="BB587" authorId="0" shapeId="0" xr:uid="{00000000-0006-0000-0000-0000AC030000}">
      <text>
        <r>
          <rPr>
            <sz val="11"/>
            <color theme="1"/>
            <rFont val="Calibri"/>
            <family val="2"/>
            <scheme val="minor"/>
          </rPr>
          <t>======
ID#AAABDDKrP_w
Gavin Mudd    (2023-12-20 21:24:03)
historic resources (non-compliant with NI43-101) - hence all data allocated as inferred resources only</t>
        </r>
      </text>
    </comment>
    <comment ref="BI587" authorId="0" shapeId="0" xr:uid="{00000000-0006-0000-0000-00000A010000}">
      <text>
        <r>
          <rPr>
            <sz val="11"/>
            <color theme="1"/>
            <rFont val="Calibri"/>
            <family val="2"/>
            <scheme val="minor"/>
          </rPr>
          <t>======
ID#AAABDDKrRUs
Gavin Mudd    (2023-12-20 21:24:04)
historic resources (non-compliant with NI43-101) - hence all data allocated as inferred resources only</t>
        </r>
      </text>
    </comment>
    <comment ref="BJ587" authorId="0" shapeId="0" xr:uid="{00000000-0006-0000-0000-0000FF010000}">
      <text>
        <r>
          <rPr>
            <sz val="11"/>
            <color theme="1"/>
            <rFont val="Calibri"/>
            <family val="2"/>
            <scheme val="minor"/>
          </rPr>
          <t>======
ID#AAABDDKrQ04
Gavin Mudd    (2023-12-20 21:24:04)
historic resources (non-compliant with NI43-101) - hence all data allocated as inferred resources only</t>
        </r>
      </text>
    </comment>
    <comment ref="BQ587" authorId="0" shapeId="0" xr:uid="{00000000-0006-0000-0000-0000D7000000}">
      <text>
        <r>
          <rPr>
            <sz val="11"/>
            <color theme="1"/>
            <rFont val="Calibri"/>
            <family val="2"/>
            <scheme val="minor"/>
          </rPr>
          <t>======
ID#AAABDDKrRak
Gavin Mudd    (2023-12-20 21:24:04)
historic resources (non-compliant with NI43-101) - hence all data allocated as inferred resources only</t>
        </r>
      </text>
    </comment>
    <comment ref="K590" authorId="0" shapeId="0" xr:uid="{00000000-0006-0000-0000-000053030000}">
      <text>
        <r>
          <rPr>
            <sz val="11"/>
            <color theme="1"/>
            <rFont val="Calibri"/>
            <family val="2"/>
            <scheme val="minor"/>
          </rPr>
          <t>======
ID#AAABDDKrQNY
Gavin Mudd    (2023-12-20 21:24:03)
proved ore reserves assumed same as measured resources (due to lack of total mineral resources data)</t>
        </r>
      </text>
    </comment>
    <comment ref="L590" authorId="0" shapeId="0" xr:uid="{00000000-0006-0000-0000-00005D010000}">
      <text>
        <r>
          <rPr>
            <sz val="11"/>
            <color theme="1"/>
            <rFont val="Calibri"/>
            <family val="2"/>
            <scheme val="minor"/>
          </rPr>
          <t>======
ID#AAABDDKrRJM
Gavin Mudd    (2023-12-20 21:24:04)
proved ore reserves assumed same as measured resources (due to lack of total mineral resources data)</t>
        </r>
      </text>
    </comment>
    <comment ref="S590" authorId="0" shapeId="0" xr:uid="{00000000-0006-0000-0000-000029000000}">
      <text>
        <r>
          <rPr>
            <sz val="11"/>
            <color theme="1"/>
            <rFont val="Calibri"/>
            <family val="2"/>
            <scheme val="minor"/>
          </rPr>
          <t>======
ID#AAABDDKrRxA
Gavin Mudd    (2023-12-20 21:24:04)
proved ore reserves assumed same as measured resources (due to lack of total mineral resources data)</t>
        </r>
      </text>
    </comment>
    <comment ref="T590" authorId="0" shapeId="0" xr:uid="{00000000-0006-0000-0000-00003E050000}">
      <text>
        <r>
          <rPr>
            <sz val="11"/>
            <color theme="1"/>
            <rFont val="Calibri"/>
            <family val="2"/>
            <scheme val="minor"/>
          </rPr>
          <t>======
ID#AAABDDKrPL4
Gavin Mudd    (2023-12-20 21:24:03)
proved ore reserves assumed same as measured resources (due to lack of total mineral resources data)</t>
        </r>
      </text>
    </comment>
    <comment ref="AF590" authorId="0" shapeId="0" xr:uid="{00000000-0006-0000-0000-00001A010000}">
      <text>
        <r>
          <rPr>
            <sz val="11"/>
            <color theme="1"/>
            <rFont val="Calibri"/>
            <family val="2"/>
            <scheme val="minor"/>
          </rPr>
          <t>======
ID#AAABDDKrRS8
Gavin Mudd    (2023-12-20 21:24:04)
probable ore reserves assumed same as indicated resources (due to lack of total mineral resources data)</t>
        </r>
      </text>
    </comment>
    <comment ref="AG590" authorId="0" shapeId="0" xr:uid="{00000000-0006-0000-0000-00005B040000}">
      <text>
        <r>
          <rPr>
            <sz val="11"/>
            <color theme="1"/>
            <rFont val="Calibri"/>
            <family val="2"/>
            <scheme val="minor"/>
          </rPr>
          <t>======
ID#AAABDDKrPpI
Gavin Mudd    (2023-12-20 21:24:03)
probable ore reserves assumed same as indicated resources (due to lack of total mineral resources data)</t>
        </r>
      </text>
    </comment>
    <comment ref="AN590" authorId="0" shapeId="0" xr:uid="{00000000-0006-0000-0000-000079050000}">
      <text>
        <r>
          <rPr>
            <sz val="11"/>
            <color theme="1"/>
            <rFont val="Calibri"/>
            <family val="2"/>
            <scheme val="minor"/>
          </rPr>
          <t>======
ID#AAABDDKrPD0
Gavin Mudd    (2023-12-20 21:24:03)
probable ore reserves assumed same as indicated resources (due to lack of total mineral resources data)</t>
        </r>
      </text>
    </comment>
    <comment ref="AO590" authorId="0" shapeId="0" xr:uid="{00000000-0006-0000-0000-000094020000}">
      <text>
        <r>
          <rPr>
            <sz val="11"/>
            <color theme="1"/>
            <rFont val="Calibri"/>
            <family val="2"/>
            <scheme val="minor"/>
          </rPr>
          <t>======
ID#AAABDDKrQjY
Gavin Mudd    (2023-12-20 21:24:04)
probable ore reserves assumed same as indicated resources (due to lack of total mineral resources data)</t>
        </r>
      </text>
    </comment>
    <comment ref="BA592" authorId="0" shapeId="0" xr:uid="{00000000-0006-0000-0000-000081020000}">
      <text>
        <r>
          <rPr>
            <sz val="11"/>
            <color theme="1"/>
            <rFont val="Calibri"/>
            <family val="2"/>
            <scheme val="minor"/>
          </rPr>
          <t>======
ID#AAABDDKrQlw
Gavin Mudd    (2023-12-20 21:24:04)
historic resources (non-compliant with NI43-101) - hence all data allocated as inferred resources only</t>
        </r>
      </text>
    </comment>
    <comment ref="BI592" authorId="0" shapeId="0" xr:uid="{00000000-0006-0000-0000-00009F000000}">
      <text>
        <r>
          <rPr>
            <sz val="11"/>
            <color theme="1"/>
            <rFont val="Calibri"/>
            <family val="2"/>
            <scheme val="minor"/>
          </rPr>
          <t>======
ID#AAABDDKrRiM
Gavin Mudd    (2023-12-20 21:24:04)
historic resources (non-compliant with NI43-101) - hence all data allocated as inferred resources only</t>
        </r>
      </text>
    </comment>
    <comment ref="BA593" authorId="0" shapeId="0" xr:uid="{00000000-0006-0000-0000-000012020000}">
      <text>
        <r>
          <rPr>
            <sz val="11"/>
            <color theme="1"/>
            <rFont val="Calibri"/>
            <family val="2"/>
            <scheme val="minor"/>
          </rPr>
          <t>======
ID#AAABDDKrQyM
Gavin Mudd    (2023-12-20 21:24:04)
historical resourcs, assumed as inferred resources</t>
        </r>
      </text>
    </comment>
    <comment ref="BI593" authorId="0" shapeId="0" xr:uid="{00000000-0006-0000-0000-0000CB020000}">
      <text>
        <r>
          <rPr>
            <sz val="11"/>
            <color theme="1"/>
            <rFont val="Calibri"/>
            <family val="2"/>
            <scheme val="minor"/>
          </rPr>
          <t>======
ID#AAABDDKrQcc
Gavin Mudd    (2023-12-20 21:24:03)
historical resourcs, assumed as inferred resources</t>
        </r>
      </text>
    </comment>
    <comment ref="BJ593" authorId="0" shapeId="0" xr:uid="{00000000-0006-0000-0000-0000D4000000}">
      <text>
        <r>
          <rPr>
            <sz val="11"/>
            <color theme="1"/>
            <rFont val="Calibri"/>
            <family val="2"/>
            <scheme val="minor"/>
          </rPr>
          <t>======
ID#AAABDDKrRbE
Gavin Mudd    (2023-12-20 21:24:04)
value from Berger et al (2011)</t>
        </r>
      </text>
    </comment>
    <comment ref="H594" authorId="0" shapeId="0" xr:uid="{00000000-0006-0000-0000-0000D6050000}">
      <text>
        <r>
          <rPr>
            <sz val="11"/>
            <color theme="1"/>
            <rFont val="Calibri"/>
            <family val="2"/>
            <scheme val="minor"/>
          </rPr>
          <t>======
ID#AAABCyJQiAU
Gavin Mudd    (2023-12-20 21:24:02)
previously Proto Resources Ltd, then GME Resources Ltd, now no-one (apparently).</t>
        </r>
      </text>
    </comment>
    <comment ref="DP596" authorId="0" shapeId="0" xr:uid="{00000000-0006-0000-0000-000080010000}">
      <text>
        <r>
          <rPr>
            <sz val="11"/>
            <color theme="1"/>
            <rFont val="Calibri"/>
            <family val="2"/>
            <scheme val="minor"/>
          </rPr>
          <t>======
ID#AAABDDKrREg
Gavin Mudd    (2023-12-20 21:24:04)
data from Wesizwe Pt Ltd</t>
        </r>
      </text>
    </comment>
    <comment ref="BJ600" authorId="0" shapeId="0" xr:uid="{00000000-0006-0000-0000-000040050000}">
      <text>
        <r>
          <rPr>
            <sz val="11"/>
            <color theme="1"/>
            <rFont val="Calibri"/>
            <family val="2"/>
            <scheme val="minor"/>
          </rPr>
          <t>======
ID#AAABDDKrPLo
Gavin Mudd    (2023-12-20 21:24:03)
value from Barnes (2006)</t>
        </r>
      </text>
    </comment>
    <comment ref="H604" authorId="0" shapeId="0" xr:uid="{00000000-0006-0000-0000-0000C6000000}">
      <text>
        <r>
          <rPr>
            <sz val="11"/>
            <color theme="1"/>
            <rFont val="Calibri"/>
            <family val="2"/>
            <scheme val="minor"/>
          </rPr>
          <t>======
ID#AAABDDKrRcw
Gavin Mudd    (2023-12-20 21:24:04)
Global Cobalt Corp was formerly known as Puget Ventures Inc.</t>
        </r>
      </text>
    </comment>
    <comment ref="K604" authorId="0" shapeId="0" xr:uid="{00000000-0006-0000-0000-0000A7010000}">
      <text>
        <r>
          <rPr>
            <sz val="11"/>
            <color theme="1"/>
            <rFont val="Calibri"/>
            <family val="2"/>
            <scheme val="minor"/>
          </rPr>
          <t>======
ID#AAABDDKrQ_g
Gavin Mudd    (2023-12-20 21:24:04)
historic resources (non-compliant with NI43-101) - hence all data allocated as inferred resources only</t>
        </r>
      </text>
    </comment>
    <comment ref="AF604" authorId="0" shapeId="0" xr:uid="{00000000-0006-0000-0000-0000EB030000}">
      <text>
        <r>
          <rPr>
            <sz val="11"/>
            <color theme="1"/>
            <rFont val="Calibri"/>
            <family val="2"/>
            <scheme val="minor"/>
          </rPr>
          <t>======
ID#AAABDDKrP3E
Gavin Mudd    (2023-12-20 21:24:03)
historic resources (non-compliant with NI43-101) - hence all data allocated as inferred resources only</t>
        </r>
      </text>
    </comment>
    <comment ref="BA604" authorId="0" shapeId="0" xr:uid="{00000000-0006-0000-0000-0000C6050000}">
      <text>
        <r>
          <rPr>
            <sz val="11"/>
            <color theme="1"/>
            <rFont val="Calibri"/>
            <family val="2"/>
            <scheme val="minor"/>
          </rPr>
          <t>======
ID#AAABDDKrO6M
Gavin Mudd    (2023-12-20 21:24:02)
historic resources (non-compliant with NI43-101) - hence all data allocated as inferred resources only</t>
        </r>
      </text>
    </comment>
    <comment ref="BB604" authorId="0" shapeId="0" xr:uid="{00000000-0006-0000-0000-0000B8000000}">
      <text>
        <r>
          <rPr>
            <sz val="11"/>
            <color theme="1"/>
            <rFont val="Calibri"/>
            <family val="2"/>
            <scheme val="minor"/>
          </rPr>
          <t>======
ID#AAABDDKrReY
Gavin Mudd    (2023-12-20 21:24:04)
historic resources (non-compliant with NI43-101) - hence all data allocated as inferred resources only</t>
        </r>
      </text>
    </comment>
    <comment ref="BI604" authorId="0" shapeId="0" xr:uid="{00000000-0006-0000-0000-0000D1040000}">
      <text>
        <r>
          <rPr>
            <sz val="11"/>
            <color theme="1"/>
            <rFont val="Calibri"/>
            <family val="2"/>
            <scheme val="minor"/>
          </rPr>
          <t>======
ID#AAABDDKrPZ8
Gavin Mudd    (2023-12-20 21:24:03)
historic resources (non-compliant with NI43-101) - hence all data allocated as inferred resources only</t>
        </r>
      </text>
    </comment>
    <comment ref="BJ604" authorId="0" shapeId="0" xr:uid="{00000000-0006-0000-0000-000000010000}">
      <text>
        <r>
          <rPr>
            <sz val="11"/>
            <color theme="1"/>
            <rFont val="Calibri"/>
            <family val="2"/>
            <scheme val="minor"/>
          </rPr>
          <t>======
ID#AAABDDKrRVs
Gavin Mudd    (2023-12-20 21:24:04)
historic resources (non-compliant with NI43-101) - hence all data allocated as inferred resources only</t>
        </r>
      </text>
    </comment>
    <comment ref="BK604" authorId="0" shapeId="0" xr:uid="{00000000-0006-0000-0000-0000AC040000}">
      <text>
        <r>
          <rPr>
            <sz val="11"/>
            <color theme="1"/>
            <rFont val="Calibri"/>
            <family val="2"/>
            <scheme val="minor"/>
          </rPr>
          <t>======
ID#AAABDDKrPeY
Gavin Mudd    (2023-12-20 21:24:03)
historic resources (non-compliant with NI43-101) - hence all data allocated as inferred resources only</t>
        </r>
      </text>
    </comment>
    <comment ref="BL604" authorId="0" shapeId="0" xr:uid="{00000000-0006-0000-0000-0000D0050000}">
      <text>
        <r>
          <rPr>
            <sz val="11"/>
            <color theme="1"/>
            <rFont val="Calibri"/>
            <family val="2"/>
            <scheme val="minor"/>
          </rPr>
          <t>======
ID#AAABCyJQiA8
Gavin Mudd    (2023-12-20 21:24:02)
historic resources (non-compliant with NI43-101) - hence all data allocated as inferred resources only</t>
        </r>
      </text>
    </comment>
    <comment ref="CQ604" authorId="0" shapeId="0" xr:uid="{00000000-0006-0000-0000-000062050000}">
      <text>
        <r>
          <rPr>
            <sz val="11"/>
            <color theme="1"/>
            <rFont val="Calibri"/>
            <family val="2"/>
            <scheme val="minor"/>
          </rPr>
          <t>======
ID#AAABDDKrPH0
Gavin Mudd    (2023-12-20 21:24:03)
historic resources (non-compliant with NI43-101) - hence all data allocated as inferred resources only</t>
        </r>
      </text>
    </comment>
    <comment ref="H605" authorId="0" shapeId="0" xr:uid="{00000000-0006-0000-0000-0000E1020000}">
      <text>
        <r>
          <rPr>
            <sz val="11"/>
            <color theme="1"/>
            <rFont val="Calibri"/>
            <family val="2"/>
            <scheme val="minor"/>
          </rPr>
          <t>======
ID#AAABDDKrQaE
Gavin Mudd    (2023-12-20 21:24:03)
formerly known as Puget Ventures Inc.</t>
        </r>
      </text>
    </comment>
    <comment ref="BA605" authorId="0" shapeId="0" xr:uid="{00000000-0006-0000-0000-0000BB030000}">
      <text>
        <r>
          <rPr>
            <sz val="11"/>
            <color theme="1"/>
            <rFont val="Calibri"/>
            <family val="2"/>
            <scheme val="minor"/>
          </rPr>
          <t>======
ID#AAABDDKrP-A
Gavin Mudd    (2023-12-20 21:24:03)
historic resources (non-compliant with NI43-101) - hence all data allocated as inferred resources only</t>
        </r>
      </text>
    </comment>
    <comment ref="BB605" authorId="0" shapeId="0" xr:uid="{00000000-0006-0000-0000-0000F9050000}">
      <text>
        <r>
          <rPr>
            <sz val="11"/>
            <color theme="1"/>
            <rFont val="Calibri"/>
            <family val="2"/>
            <scheme val="minor"/>
          </rPr>
          <t>======
ID#AAABCyJQh8I
Gavin Mudd    (2023-12-20 21:24:02)
historic resources (non-compliant with NI43-101) - hence all data allocated as inferred resources only</t>
        </r>
      </text>
    </comment>
    <comment ref="BI605" authorId="0" shapeId="0" xr:uid="{00000000-0006-0000-0000-00004C020000}">
      <text>
        <r>
          <rPr>
            <sz val="11"/>
            <color theme="1"/>
            <rFont val="Calibri"/>
            <family val="2"/>
            <scheme val="minor"/>
          </rPr>
          <t>======
ID#AAABDDKrQrU
Gavin Mudd    (2023-12-20 21:24:04)
historic resources (non-compliant with NI43-101) - hence all data allocated as inferred resources only</t>
        </r>
      </text>
    </comment>
    <comment ref="BA608" authorId="0" shapeId="0" xr:uid="{00000000-0006-0000-0000-0000D1000000}">
      <text>
        <r>
          <rPr>
            <sz val="11"/>
            <color theme="1"/>
            <rFont val="Calibri"/>
            <family val="2"/>
            <scheme val="minor"/>
          </rPr>
          <t>======
ID#AAABDDKrRbc
Gavin Mudd    (2023-12-20 21:24:04)
historic resources (non-compliant with NI43-101) - hence all data allocated as inferred resources only</t>
        </r>
      </text>
    </comment>
    <comment ref="BB608" authorId="0" shapeId="0" xr:uid="{00000000-0006-0000-0000-0000FC010000}">
      <text>
        <r>
          <rPr>
            <sz val="11"/>
            <color theme="1"/>
            <rFont val="Calibri"/>
            <family val="2"/>
            <scheme val="minor"/>
          </rPr>
          <t>======
ID#AAABDDKrQ1I
Gavin Mudd    (2023-12-20 21:24:04)
historic resources (non-compliant with NI43-101) - hence all data allocated as inferred resources only</t>
        </r>
      </text>
    </comment>
    <comment ref="BI608" authorId="0" shapeId="0" xr:uid="{00000000-0006-0000-0000-000023010000}">
      <text>
        <r>
          <rPr>
            <sz val="11"/>
            <color theme="1"/>
            <rFont val="Calibri"/>
            <family val="2"/>
            <scheme val="minor"/>
          </rPr>
          <t>======
ID#AAABDDKrRR0
Gavin Mudd    (2023-12-20 21:24:04)
historic resources (non-compliant with NI43-101) - hence all data allocated as inferred resources only</t>
        </r>
      </text>
    </comment>
    <comment ref="BK610" authorId="0" shapeId="0" xr:uid="{00000000-0006-0000-0000-00003B000000}">
      <text>
        <r>
          <rPr>
            <sz val="11"/>
            <color theme="1"/>
            <rFont val="Calibri"/>
            <family val="2"/>
            <scheme val="minor"/>
          </rPr>
          <t>======
ID#AAABDDKrRtw
Gavin Mudd    (2023-12-20 21:24:04)
greade reported as 0.5 g/t PGEs, assumes 30% Pt split</t>
        </r>
      </text>
    </comment>
    <comment ref="BL610" authorId="0" shapeId="0" xr:uid="{00000000-0006-0000-0000-000092060000}">
      <text>
        <r>
          <rPr>
            <sz val="11"/>
            <color theme="1"/>
            <rFont val="Calibri"/>
            <family val="2"/>
            <scheme val="minor"/>
          </rPr>
          <t>======
ID#AAABCxlEysk
Gavin Mudd    (2023-12-20 21:24:01)
greade reported as 0.5 g/t PGEs, assumes 60% Pd split</t>
        </r>
      </text>
    </comment>
    <comment ref="BM610" authorId="0" shapeId="0" xr:uid="{00000000-0006-0000-0000-00004A060000}">
      <text>
        <r>
          <rPr>
            <sz val="11"/>
            <color theme="1"/>
            <rFont val="Calibri"/>
            <family val="2"/>
            <scheme val="minor"/>
          </rPr>
          <t>======
ID#AAABCyJQhzA
Gavin Mudd    (2023-12-20 21:24:02)
greade reported as 0.5 g/t PGEs, assumes 10% Rh split</t>
        </r>
      </text>
    </comment>
    <comment ref="C612" authorId="0" shapeId="0" xr:uid="{00000000-0006-0000-0000-00007F020000}">
      <text>
        <r>
          <rPr>
            <sz val="11"/>
            <color theme="1"/>
            <rFont val="Calibri"/>
            <family val="2"/>
            <scheme val="minor"/>
          </rPr>
          <t>======
ID#AAABDDKrQl0
Gavin Mudd    (2023-12-20 21:24:04)
includes Mount Windarra, South Windarra, Cerberus</t>
        </r>
      </text>
    </comment>
    <comment ref="AG612" authorId="0" shapeId="0" xr:uid="{00000000-0006-0000-0000-0000FC000000}">
      <text>
        <r>
          <rPr>
            <sz val="11"/>
            <color theme="1"/>
            <rFont val="Calibri"/>
            <family val="2"/>
            <scheme val="minor"/>
          </rPr>
          <t>======
ID#AAABDDKrRWA
Gavin Mudd    (2023-12-20 21:24:04)
grade for indicated &amp; inferred only</t>
        </r>
      </text>
    </comment>
    <comment ref="AO612" authorId="0" shapeId="0" xr:uid="{00000000-0006-0000-0000-00004F030000}">
      <text>
        <r>
          <rPr>
            <sz val="11"/>
            <color theme="1"/>
            <rFont val="Calibri"/>
            <family val="2"/>
            <scheme val="minor"/>
          </rPr>
          <t>======
ID#AAABDDKrQN0
Gavin Mudd    (2023-12-20 21:24:03)
grade for indicated &amp; inferred only</t>
        </r>
      </text>
    </comment>
    <comment ref="BB612" authorId="0" shapeId="0" xr:uid="{00000000-0006-0000-0000-00005C040000}">
      <text>
        <r>
          <rPr>
            <sz val="11"/>
            <color theme="1"/>
            <rFont val="Calibri"/>
            <family val="2"/>
            <scheme val="minor"/>
          </rPr>
          <t>======
ID#AAABDDKrPpE
Gavin Mudd    (2023-12-20 21:24:03)
grade for indicated &amp; inferred only</t>
        </r>
      </text>
    </comment>
    <comment ref="BJ612" authorId="0" shapeId="0" xr:uid="{00000000-0006-0000-0000-0000F4050000}">
      <text>
        <r>
          <rPr>
            <sz val="11"/>
            <color theme="1"/>
            <rFont val="Calibri"/>
            <family val="2"/>
            <scheme val="minor"/>
          </rPr>
          <t>======
ID#AAABCyJQh8s
Gavin Mudd    (2023-12-20 21:24:02)
grade for indicated &amp; inferred only</t>
        </r>
      </text>
    </comment>
    <comment ref="K617" authorId="0" shapeId="0" xr:uid="{00000000-0006-0000-0000-000059060000}">
      <text>
        <r>
          <rPr>
            <sz val="11"/>
            <color theme="1"/>
            <rFont val="Calibri"/>
            <family val="2"/>
            <scheme val="minor"/>
          </rPr>
          <t>======
ID#AAABCyJQhxQ
Gavin Mudd    (2023-12-20 21:24:02)
only total resources are reported</t>
        </r>
      </text>
    </comment>
    <comment ref="AF617" authorId="0" shapeId="0" xr:uid="{00000000-0006-0000-0000-000064000000}">
      <text>
        <r>
          <rPr>
            <sz val="11"/>
            <color theme="1"/>
            <rFont val="Calibri"/>
            <family val="2"/>
            <scheme val="minor"/>
          </rPr>
          <t>======
ID#AAABDDKrRn8
Gavin Mudd    (2023-12-20 21:24:04)
only total resources are reported</t>
        </r>
      </text>
    </comment>
    <comment ref="BA617" authorId="0" shapeId="0" xr:uid="{00000000-0006-0000-0000-000021010000}">
      <text>
        <r>
          <rPr>
            <sz val="11"/>
            <color theme="1"/>
            <rFont val="Calibri"/>
            <family val="2"/>
            <scheme val="minor"/>
          </rPr>
          <t>======
ID#AAABDDKrRSA
Gavin Mudd    (2023-12-20 21:24:04)
only total resources are reported</t>
        </r>
      </text>
    </comment>
    <comment ref="BB617" authorId="0" shapeId="0" xr:uid="{00000000-0006-0000-0000-000035030000}">
      <text>
        <r>
          <rPr>
            <sz val="11"/>
            <color theme="1"/>
            <rFont val="Calibri"/>
            <family val="2"/>
            <scheme val="minor"/>
          </rPr>
          <t>======
ID#AAABDDKrQQw
Gavin Mudd    (2023-12-20 21:24:03)
only total resources are reported</t>
        </r>
      </text>
    </comment>
    <comment ref="BI617" authorId="0" shapeId="0" xr:uid="{00000000-0006-0000-0000-000056000000}">
      <text>
        <r>
          <rPr>
            <sz val="11"/>
            <color theme="1"/>
            <rFont val="Calibri"/>
            <family val="2"/>
            <scheme val="minor"/>
          </rPr>
          <t>======
ID#AAABDDKrRps
Gavin Mudd    (2023-12-20 21:24:04)
only total resources are reported</t>
        </r>
      </text>
    </comment>
    <comment ref="K619" authorId="0" shapeId="0" xr:uid="{00000000-0006-0000-0000-000075000000}">
      <text>
        <r>
          <rPr>
            <sz val="11"/>
            <color theme="1"/>
            <rFont val="Calibri"/>
            <family val="2"/>
            <scheme val="minor"/>
          </rPr>
          <t>======
ID#AAABDDKrRmc
Gavin Mudd    (2023-12-20 21:24:04)
only total resources are reported</t>
        </r>
      </text>
    </comment>
    <comment ref="AF619" authorId="0" shapeId="0" xr:uid="{00000000-0006-0000-0000-0000DC040000}">
      <text>
        <r>
          <rPr>
            <sz val="11"/>
            <color theme="1"/>
            <rFont val="Calibri"/>
            <family val="2"/>
            <scheme val="minor"/>
          </rPr>
          <t>======
ID#AAABDDKrPY0
Gavin Mudd    (2023-12-20 21:24:03)
only total resources are reported</t>
        </r>
      </text>
    </comment>
    <comment ref="BA619" authorId="0" shapeId="0" xr:uid="{00000000-0006-0000-0000-0000EC040000}">
      <text>
        <r>
          <rPr>
            <sz val="11"/>
            <color theme="1"/>
            <rFont val="Calibri"/>
            <family val="2"/>
            <scheme val="minor"/>
          </rPr>
          <t>======
ID#AAABDDKrPW4
Gavin Mudd    (2023-12-20 21:24:03)
only total resources are reported</t>
        </r>
      </text>
    </comment>
    <comment ref="BB619" authorId="0" shapeId="0" xr:uid="{00000000-0006-0000-0000-00007B040000}">
      <text>
        <r>
          <rPr>
            <sz val="11"/>
            <color theme="1"/>
            <rFont val="Calibri"/>
            <family val="2"/>
            <scheme val="minor"/>
          </rPr>
          <t>======
ID#AAABDDKrPlg
Gavin Mudd    (2023-12-20 21:24:03)
only total resources are reported</t>
        </r>
      </text>
    </comment>
    <comment ref="BI619" authorId="0" shapeId="0" xr:uid="{00000000-0006-0000-0000-000014010000}">
      <text>
        <r>
          <rPr>
            <sz val="11"/>
            <color theme="1"/>
            <rFont val="Calibri"/>
            <family val="2"/>
            <scheme val="minor"/>
          </rPr>
          <t>======
ID#AAABDDKrRTg
Gavin Mudd    (2023-12-20 21:24:04)
only total resources are reported</t>
        </r>
      </text>
    </comment>
    <comment ref="BA621" authorId="0" shapeId="0" xr:uid="{00000000-0006-0000-0000-00008A010000}">
      <text>
        <r>
          <rPr>
            <sz val="11"/>
            <color theme="1"/>
            <rFont val="Calibri"/>
            <family val="2"/>
            <scheme val="minor"/>
          </rPr>
          <t>======
ID#AAABDDKrRDA
Gavin Mudd    (2023-12-20 21:24:04)
historic resources (non-compliant with NI43-101) - hence all data allocated as inferred resources only</t>
        </r>
      </text>
    </comment>
    <comment ref="BB621" authorId="0" shapeId="0" xr:uid="{00000000-0006-0000-0000-000053020000}">
      <text>
        <r>
          <rPr>
            <sz val="11"/>
            <color theme="1"/>
            <rFont val="Calibri"/>
            <family val="2"/>
            <scheme val="minor"/>
          </rPr>
          <t>======
ID#AAABDDKrQqo
Gavin Mudd    (2023-12-20 21:24:04)
historic resources (non-compliant with NI43-101) - hence all data allocated as inferred resources only</t>
        </r>
      </text>
    </comment>
    <comment ref="BI621" authorId="0" shapeId="0" xr:uid="{00000000-0006-0000-0000-00000E060000}">
      <text>
        <r>
          <rPr>
            <sz val="11"/>
            <color theme="1"/>
            <rFont val="Calibri"/>
            <family val="2"/>
            <scheme val="minor"/>
          </rPr>
          <t>======
ID#AAABCyJQh5c
Gavin Mudd    (2023-12-20 21:24:02)
historic resources (non-compliant with NI43-101) - hence all data allocated as inferred resources only</t>
        </r>
      </text>
    </comment>
    <comment ref="H622" authorId="0" shapeId="0" xr:uid="{00000000-0006-0000-0000-0000E3030000}">
      <text>
        <r>
          <rPr>
            <sz val="11"/>
            <color theme="1"/>
            <rFont val="Calibri"/>
            <family val="2"/>
            <scheme val="minor"/>
          </rPr>
          <t>======
ID#AAABDDKrP3w
Gavin Mudd    (2023-12-20 21:24:03)
previously a joint venture between European Nickel plc (40%), Rusina Mining (40%), Local Business (20%); current ownership unclear</t>
        </r>
      </text>
    </comment>
    <comment ref="DP622" authorId="0" shapeId="0" xr:uid="{00000000-0006-0000-0000-00004E060000}">
      <text>
        <r>
          <rPr>
            <sz val="11"/>
            <color theme="1"/>
            <rFont val="Calibri"/>
            <family val="2"/>
            <scheme val="minor"/>
          </rPr>
          <t>======
ID#AAABCyJQhyg
Gavin Mudd    (2023-12-20 21:24:02)
data from European Nickel plc (ENK)</t>
        </r>
      </text>
    </comment>
    <comment ref="H623" authorId="0" shapeId="0" xr:uid="{00000000-0006-0000-0000-00006F010000}">
      <text>
        <r>
          <rPr>
            <sz val="11"/>
            <color theme="1"/>
            <rFont val="Calibri"/>
            <family val="2"/>
            <scheme val="minor"/>
          </rPr>
          <t>======
ID#AAABDDKrRHA
Gavin Mudd    (2023-12-20 21:24:04)
previously a joint venture between European Nickel plc (40%), Rusina Mining (40%), Local Business (20%); current ownership unclear</t>
        </r>
      </text>
    </comment>
    <comment ref="BA623" authorId="0" shapeId="0" xr:uid="{00000000-0006-0000-0000-0000CC030000}">
      <text>
        <r>
          <rPr>
            <sz val="11"/>
            <color theme="1"/>
            <rFont val="Calibri"/>
            <family val="2"/>
            <scheme val="minor"/>
          </rPr>
          <t>======
ID#AAABDDKrP8M
Gavin Mudd    (2023-12-20 21:24:03)
code basis unclear, assumed as inferred, non-code compliant</t>
        </r>
      </text>
    </comment>
    <comment ref="BI623" authorId="0" shapeId="0" xr:uid="{00000000-0006-0000-0000-00004D040000}">
      <text>
        <r>
          <rPr>
            <sz val="11"/>
            <color theme="1"/>
            <rFont val="Calibri"/>
            <family val="2"/>
            <scheme val="minor"/>
          </rPr>
          <t>======
ID#AAABDDKrPrE
Gavin Mudd    (2023-12-20 21:24:03)
code basis unclear, assumed as inferred, non-code compliant</t>
        </r>
      </text>
    </comment>
    <comment ref="BA624" authorId="0" shapeId="0" xr:uid="{00000000-0006-0000-0000-0000A3000000}">
      <text>
        <r>
          <rPr>
            <sz val="11"/>
            <color theme="1"/>
            <rFont val="Calibri"/>
            <family val="2"/>
            <scheme val="minor"/>
          </rPr>
          <t>======
ID#AAABDDKrRhI
Gavin Mudd    (2023-12-20 21:24:04)
historic resources (non-compliant with NI43-101) - hence all data allocated as inferred resources only</t>
        </r>
      </text>
    </comment>
    <comment ref="BI624" authorId="0" shapeId="0" xr:uid="{00000000-0006-0000-0000-00000C000000}">
      <text>
        <r>
          <rPr>
            <sz val="11"/>
            <color theme="1"/>
            <rFont val="Calibri"/>
            <family val="2"/>
            <scheme val="minor"/>
          </rPr>
          <t>======
ID#AAABDDKrR00
Gavin Mudd    (2023-12-20 21:24:04)
historic resources (non-compliant with NI43-101) - hence all data allocated as inferred resources only</t>
        </r>
      </text>
    </comment>
    <comment ref="K625" authorId="0" shapeId="0" xr:uid="{00000000-0006-0000-0000-0000EE050000}">
      <text>
        <r>
          <rPr>
            <sz val="11"/>
            <color theme="1"/>
            <rFont val="Calibri"/>
            <family val="2"/>
            <scheme val="minor"/>
          </rPr>
          <t>======
ID#AAABCyJQh9Y
Gavin Mudd    (2023-12-20 21:24:02)
only total resources are reported</t>
        </r>
      </text>
    </comment>
    <comment ref="AF625" authorId="0" shapeId="0" xr:uid="{00000000-0006-0000-0000-000055060000}">
      <text>
        <r>
          <rPr>
            <sz val="11"/>
            <color theme="1"/>
            <rFont val="Calibri"/>
            <family val="2"/>
            <scheme val="minor"/>
          </rPr>
          <t>======
ID#AAABCyJQhxw
Gavin Mudd    (2023-12-20 21:24:02)
only total resources are reported</t>
        </r>
      </text>
    </comment>
    <comment ref="BA625" authorId="0" shapeId="0" xr:uid="{00000000-0006-0000-0000-0000F7030000}">
      <text>
        <r>
          <rPr>
            <sz val="11"/>
            <color theme="1"/>
            <rFont val="Calibri"/>
            <family val="2"/>
            <scheme val="minor"/>
          </rPr>
          <t>======
ID#AAABDDKrP1g
Gavin Mudd    (2023-12-20 21:24:03)
only total resources are reported</t>
        </r>
      </text>
    </comment>
    <comment ref="BB625" authorId="0" shapeId="0" xr:uid="{00000000-0006-0000-0000-0000BB020000}">
      <text>
        <r>
          <rPr>
            <sz val="11"/>
            <color theme="1"/>
            <rFont val="Calibri"/>
            <family val="2"/>
            <scheme val="minor"/>
          </rPr>
          <t>======
ID#AAABDDKrQek
Gavin Mudd    (2023-12-20 21:24:03)
only total resources are reported</t>
        </r>
      </text>
    </comment>
    <comment ref="BI625" authorId="0" shapeId="0" xr:uid="{00000000-0006-0000-0000-000026050000}">
      <text>
        <r>
          <rPr>
            <sz val="11"/>
            <color theme="1"/>
            <rFont val="Calibri"/>
            <family val="2"/>
            <scheme val="minor"/>
          </rPr>
          <t>======
ID#AAABDDKrPO0
Gavin Mudd    (2023-12-20 21:24:03)
only total resources are reported</t>
        </r>
      </text>
    </comment>
    <comment ref="K626" authorId="0" shapeId="0" xr:uid="{00000000-0006-0000-0000-000034050000}">
      <text>
        <r>
          <rPr>
            <sz val="11"/>
            <color theme="1"/>
            <rFont val="Calibri"/>
            <family val="2"/>
            <scheme val="minor"/>
          </rPr>
          <t>======
ID#AAABDDKrPNE
Gavin Mudd    (2023-12-20 21:24:03)
only total resources are reported</t>
        </r>
      </text>
    </comment>
    <comment ref="AF626" authorId="0" shapeId="0" xr:uid="{00000000-0006-0000-0000-000044060000}">
      <text>
        <r>
          <rPr>
            <sz val="11"/>
            <color theme="1"/>
            <rFont val="Calibri"/>
            <family val="2"/>
            <scheme val="minor"/>
          </rPr>
          <t>======
ID#AAABCyJQhzk
Gavin Mudd    (2023-12-20 21:24:02)
only total resources are reported</t>
        </r>
      </text>
    </comment>
    <comment ref="BA626" authorId="0" shapeId="0" xr:uid="{00000000-0006-0000-0000-00003B050000}">
      <text>
        <r>
          <rPr>
            <sz val="11"/>
            <color theme="1"/>
            <rFont val="Calibri"/>
            <family val="2"/>
            <scheme val="minor"/>
          </rPr>
          <t>======
ID#AAABDDKrPMY
Gavin Mudd    (2023-12-20 21:24:03)
only total resources are reported</t>
        </r>
      </text>
    </comment>
    <comment ref="BB626" authorId="0" shapeId="0" xr:uid="{00000000-0006-0000-0000-000098040000}">
      <text>
        <r>
          <rPr>
            <sz val="11"/>
            <color theme="1"/>
            <rFont val="Calibri"/>
            <family val="2"/>
            <scheme val="minor"/>
          </rPr>
          <t>======
ID#AAABDDKrPhk
Gavin Mudd    (2023-12-20 21:24:03)
only total resources are reported</t>
        </r>
      </text>
    </comment>
    <comment ref="BI626" authorId="0" shapeId="0" xr:uid="{00000000-0006-0000-0000-000092010000}">
      <text>
        <r>
          <rPr>
            <sz val="11"/>
            <color theme="1"/>
            <rFont val="Calibri"/>
            <family val="2"/>
            <scheme val="minor"/>
          </rPr>
          <t>======
ID#AAABDDKrRB8
Gavin Mudd    (2023-12-20 21:24:04)
only total resources are reported</t>
        </r>
      </text>
    </comment>
    <comment ref="X627" authorId="0" shapeId="0" xr:uid="{00000000-0006-0000-0000-000088010000}">
      <text>
        <r>
          <rPr>
            <sz val="11"/>
            <color theme="1"/>
            <rFont val="Calibri"/>
            <family val="2"/>
            <scheme val="minor"/>
          </rPr>
          <t>======
ID#AAABDDKrRDk
Gavin Mudd    (2023-12-20 21:24:04)
g/t Ru</t>
        </r>
      </text>
    </comment>
    <comment ref="Y627" authorId="0" shapeId="0" xr:uid="{00000000-0006-0000-0000-000012030000}">
      <text>
        <r>
          <rPr>
            <sz val="11"/>
            <color theme="1"/>
            <rFont val="Calibri"/>
            <family val="2"/>
            <scheme val="minor"/>
          </rPr>
          <t>======
ID#AAABDDKrQUs
Gavin Mudd    (2023-12-20 21:24:03)
g/t Ir</t>
        </r>
      </text>
    </comment>
    <comment ref="AS627" authorId="0" shapeId="0" xr:uid="{00000000-0006-0000-0000-00004B030000}">
      <text>
        <r>
          <rPr>
            <sz val="11"/>
            <color theme="1"/>
            <rFont val="Calibri"/>
            <family val="2"/>
            <scheme val="minor"/>
          </rPr>
          <t>======
ID#AAABDDKrQOE
Gavin Mudd    (2023-12-20 21:24:03)
g/t Ru</t>
        </r>
      </text>
    </comment>
    <comment ref="AT627" authorId="0" shapeId="0" xr:uid="{00000000-0006-0000-0000-000084010000}">
      <text>
        <r>
          <rPr>
            <sz val="11"/>
            <color theme="1"/>
            <rFont val="Calibri"/>
            <family val="2"/>
            <scheme val="minor"/>
          </rPr>
          <t>======
ID#AAABDDKrREA
Gavin Mudd    (2023-12-20 21:24:04)
g/t Ir</t>
        </r>
      </text>
    </comment>
    <comment ref="BN627" authorId="0" shapeId="0" xr:uid="{00000000-0006-0000-0000-000090040000}">
      <text>
        <r>
          <rPr>
            <sz val="11"/>
            <color theme="1"/>
            <rFont val="Calibri"/>
            <family val="2"/>
            <scheme val="minor"/>
          </rPr>
          <t>======
ID#AAABDDKrPi0
Gavin Mudd    (2023-12-20 21:24:03)
g/t Ru</t>
        </r>
      </text>
    </comment>
    <comment ref="BO627" authorId="0" shapeId="0" xr:uid="{00000000-0006-0000-0000-00001A040000}">
      <text>
        <r>
          <rPr>
            <sz val="11"/>
            <color theme="1"/>
            <rFont val="Calibri"/>
            <family val="2"/>
            <scheme val="minor"/>
          </rPr>
          <t>======
ID#AAABDDKrPws
Gavin Mudd    (2023-12-20 21:24:03)
g/t Ir</t>
        </r>
      </text>
    </comment>
    <comment ref="CI627" authorId="0" shapeId="0" xr:uid="{00000000-0006-0000-0000-0000D1020000}">
      <text>
        <r>
          <rPr>
            <sz val="11"/>
            <color theme="1"/>
            <rFont val="Calibri"/>
            <family val="2"/>
            <scheme val="minor"/>
          </rPr>
          <t>======
ID#AAABDDKrQcA
Gavin Mudd    (2023-12-20 21:24:03)
g/t Ru</t>
        </r>
      </text>
    </comment>
    <comment ref="CJ627" authorId="0" shapeId="0" xr:uid="{00000000-0006-0000-0000-00008D010000}">
      <text>
        <r>
          <rPr>
            <sz val="11"/>
            <color theme="1"/>
            <rFont val="Calibri"/>
            <family val="2"/>
            <scheme val="minor"/>
          </rPr>
          <t>======
ID#AAABDDKrRCc
Gavin Mudd    (2023-12-20 21:24:04)
g/t Ir</t>
        </r>
      </text>
    </comment>
    <comment ref="DD627" authorId="0" shapeId="0" xr:uid="{00000000-0006-0000-0000-000053040000}">
      <text>
        <r>
          <rPr>
            <sz val="11"/>
            <color theme="1"/>
            <rFont val="Calibri"/>
            <family val="2"/>
            <scheme val="minor"/>
          </rPr>
          <t>======
ID#AAABDDKrPqQ
Gavin Mudd    (2023-12-20 21:24:03)
g/t Ru</t>
        </r>
      </text>
    </comment>
    <comment ref="DE627" authorId="0" shapeId="0" xr:uid="{00000000-0006-0000-0000-0000B5010000}">
      <text>
        <r>
          <rPr>
            <sz val="11"/>
            <color theme="1"/>
            <rFont val="Calibri"/>
            <family val="2"/>
            <scheme val="minor"/>
          </rPr>
          <t>======
ID#AAABDDKrQ9s
Gavin Mudd    (2023-12-20 21:24:04)
g/t Ir</t>
        </r>
      </text>
    </comment>
    <comment ref="BA628" authorId="0" shapeId="0" xr:uid="{00000000-0006-0000-0000-0000E2030000}">
      <text>
        <r>
          <rPr>
            <sz val="11"/>
            <color theme="1"/>
            <rFont val="Calibri"/>
            <family val="2"/>
            <scheme val="minor"/>
          </rPr>
          <t>======
ID#AAABDDKrP4E
Gavin Mudd    (2023-12-20 21:24:03)
historic resources (non-compliant with NI43-101) - hence all data allocated as inferred resources only</t>
        </r>
      </text>
    </comment>
    <comment ref="BI628" authorId="0" shapeId="0" xr:uid="{00000000-0006-0000-0000-000005030000}">
      <text>
        <r>
          <rPr>
            <sz val="11"/>
            <color theme="1"/>
            <rFont val="Calibri"/>
            <family val="2"/>
            <scheme val="minor"/>
          </rPr>
          <t>======
ID#AAABDDKrQWI
Gavin Mudd    (2023-12-20 21:24:03)
historic resources (non-compliant with NI43-101) - hence all data allocated as inferred resources only</t>
        </r>
      </text>
    </comment>
    <comment ref="K631" authorId="0" shapeId="0" xr:uid="{00000000-0006-0000-0000-0000E8020000}">
      <text>
        <r>
          <rPr>
            <sz val="11"/>
            <color theme="1"/>
            <rFont val="Calibri"/>
            <family val="2"/>
            <scheme val="minor"/>
          </rPr>
          <t>======
ID#AAABDDKrQZg
Gavin Mudd    (2023-12-20 21:24:03)
historic resources (non-compliant with NI43-101) - hence all data allocated as inferred resources only</t>
        </r>
      </text>
    </comment>
    <comment ref="AF631" authorId="0" shapeId="0" xr:uid="{00000000-0006-0000-0000-0000CB000000}">
      <text>
        <r>
          <rPr>
            <sz val="11"/>
            <color theme="1"/>
            <rFont val="Calibri"/>
            <family val="2"/>
            <scheme val="minor"/>
          </rPr>
          <t>======
ID#AAABDDKrRcM
Gavin Mudd    (2023-12-20 21:24:04)
historic resources (non-compliant with NI43-101) - hence all data allocated as inferred resources only</t>
        </r>
      </text>
    </comment>
    <comment ref="BA631" authorId="0" shapeId="0" xr:uid="{00000000-0006-0000-0000-00002C060000}">
      <text>
        <r>
          <rPr>
            <sz val="11"/>
            <color theme="1"/>
            <rFont val="Calibri"/>
            <family val="2"/>
            <scheme val="minor"/>
          </rPr>
          <t>======
ID#AAABCyJQh1w
Gavin Mudd    (2023-12-20 21:24:02)
historic resources (non-compliant with NI43-101) - hence all data allocated as inferred resources only</t>
        </r>
      </text>
    </comment>
    <comment ref="BB631" authorId="0" shapeId="0" xr:uid="{00000000-0006-0000-0000-000089000000}">
      <text>
        <r>
          <rPr>
            <sz val="11"/>
            <color theme="1"/>
            <rFont val="Calibri"/>
            <family val="2"/>
            <scheme val="minor"/>
          </rPr>
          <t>======
ID#AAABDDKrRkk
Gavin Mudd    (2023-12-20 21:24:04)
historic resources (non-compliant with NI43-101) - hence all data allocated as inferred resources only</t>
        </r>
      </text>
    </comment>
    <comment ref="BI631" authorId="0" shapeId="0" xr:uid="{00000000-0006-0000-0000-000076040000}">
      <text>
        <r>
          <rPr>
            <sz val="11"/>
            <color theme="1"/>
            <rFont val="Calibri"/>
            <family val="2"/>
            <scheme val="minor"/>
          </rPr>
          <t>======
ID#AAABDDKrPmY
Gavin Mudd    (2023-12-20 21:24:03)
historic resources (non-compliant with NI43-101) - hence all data allocated as inferred resources only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jU6irqaKQrUF+E72qB/GFB+Y5jhQ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W1" authorId="0" shapeId="0" xr:uid="{00000000-0006-0000-0100-000016030000}">
      <text>
        <r>
          <rPr>
            <sz val="11"/>
            <color theme="1"/>
            <rFont val="Calibri"/>
            <family val="2"/>
            <scheme val="minor"/>
          </rPr>
          <t>======
ID#AAABDDKrQS0
Gavin Mudd    (2023-12-20 21:24:03)
price chromite ore</t>
        </r>
      </text>
    </comment>
    <comment ref="EX1" authorId="0" shapeId="0" xr:uid="{00000000-0006-0000-0100-000094020000}">
      <text>
        <r>
          <rPr>
            <sz val="11"/>
            <color theme="1"/>
            <rFont val="Calibri"/>
            <family val="2"/>
            <scheme val="minor"/>
          </rPr>
          <t>======
ID#AAABDDKrQkM
Gavin Mudd    (2023-12-20 21:24:04)
price for iron ore</t>
        </r>
      </text>
    </comment>
    <comment ref="EZ1" authorId="0" shapeId="0" xr:uid="{00000000-0006-0000-0100-000031050000}">
      <text>
        <r>
          <rPr>
            <sz val="11"/>
            <color theme="1"/>
            <rFont val="Calibri"/>
            <family val="2"/>
            <scheme val="minor"/>
          </rPr>
          <t>======
ID#AAABDDKrPSk
Gavin Mudd    (2023-12-20 21:24:03)
price for Al-Sc alloy</t>
        </r>
      </text>
    </comment>
    <comment ref="FA1" authorId="0" shapeId="0" xr:uid="{00000000-0006-0000-0100-0000E0000000}">
      <text>
        <r>
          <rPr>
            <sz val="11"/>
            <color theme="1"/>
            <rFont val="Calibri"/>
            <family val="2"/>
            <scheme val="minor"/>
          </rPr>
          <t>======
ID#AAABDDKrRas
Gavin Mudd    (2023-12-20 21:24:04)
price for 44% Mn ore</t>
        </r>
      </text>
    </comment>
    <comment ref="GI1" authorId="0" shapeId="0" xr:uid="{00000000-0006-0000-0100-0000D4010000}">
      <text>
        <r>
          <rPr>
            <sz val="11"/>
            <color theme="1"/>
            <rFont val="Calibri"/>
            <family val="2"/>
            <scheme val="minor"/>
          </rPr>
          <t>======
ID#AAABDDKrQ9o
Gavin Mudd    (2023-12-20 21:24:04)
price chromite ore</t>
        </r>
      </text>
    </comment>
    <comment ref="GJ1" authorId="0" shapeId="0" xr:uid="{00000000-0006-0000-0100-000066040000}">
      <text>
        <r>
          <rPr>
            <sz val="11"/>
            <color theme="1"/>
            <rFont val="Calibri"/>
            <family val="2"/>
            <scheme val="minor"/>
          </rPr>
          <t>======
ID#AAABDDKrPq8
Gavin Mudd    (2023-12-20 21:24:03)
price for iron ore</t>
        </r>
      </text>
    </comment>
    <comment ref="GL1" authorId="0" shapeId="0" xr:uid="{00000000-0006-0000-0100-0000A1000000}">
      <text>
        <r>
          <rPr>
            <sz val="11"/>
            <color theme="1"/>
            <rFont val="Calibri"/>
            <family val="2"/>
            <scheme val="minor"/>
          </rPr>
          <t>======
ID#AAABDDKrRiU
Gavin Mudd    (2023-12-20 21:24:04)
price for Al-Sc alloy</t>
        </r>
      </text>
    </comment>
    <comment ref="GM1" authorId="0" shapeId="0" xr:uid="{00000000-0006-0000-0100-000013060000}">
      <text>
        <r>
          <rPr>
            <sz val="11"/>
            <color theme="1"/>
            <rFont val="Calibri"/>
            <family val="2"/>
            <scheme val="minor"/>
          </rPr>
          <t>======
ID#AAABCyJQh-s
Gavin Mudd    (2023-12-20 21:24:02)
price for 44% Mn ore</t>
        </r>
      </text>
    </comment>
    <comment ref="F5" authorId="0" shapeId="0" xr:uid="{00000000-0006-0000-0100-000017020000}">
      <text>
        <r>
          <rPr>
            <sz val="11"/>
            <color theme="1"/>
            <rFont val="Calibri"/>
            <family val="2"/>
            <scheme val="minor"/>
          </rPr>
          <t>======
ID#AAABDDKrQ0s
Gavin Mudd    (2023-12-20 21:24:04)
previously known as First Point Minerals Corp</t>
        </r>
      </text>
    </comment>
    <comment ref="AY7" authorId="0" shapeId="0" xr:uid="{00000000-0006-0000-0100-000059010000}">
      <text>
        <r>
          <rPr>
            <sz val="11"/>
            <color theme="1"/>
            <rFont val="Calibri"/>
            <family val="2"/>
            <scheme val="minor"/>
          </rPr>
          <t>======
ID#AAABDDKrRMU
Gavin Mudd    (2023-12-20 21:24:04)
historic resources (non-compliant with NI43-101) - hence all data allocated as inferred resources only</t>
        </r>
      </text>
    </comment>
    <comment ref="AZ7" authorId="0" shapeId="0" xr:uid="{00000000-0006-0000-0100-000086060000}">
      <text>
        <r>
          <rPr>
            <sz val="11"/>
            <color theme="1"/>
            <rFont val="Calibri"/>
            <family val="2"/>
            <scheme val="minor"/>
          </rPr>
          <t>======
ID#AAABCyJQhuc
Gavin Mudd    (2023-12-20 21:24:01)
historic resources (non-compliant with NI43-101) - hence all data allocated as inferred resources only</t>
        </r>
      </text>
    </comment>
    <comment ref="BF7" authorId="0" shapeId="0" xr:uid="{00000000-0006-0000-0100-0000C2050000}">
      <text>
        <r>
          <rPr>
            <sz val="11"/>
            <color theme="1"/>
            <rFont val="Calibri"/>
            <family val="2"/>
            <scheme val="minor"/>
          </rPr>
          <t>======
ID#AAABDDKrPBM
Gavin Mudd    (2023-12-20 21:24:03)
historic resources (non-compliant with NI43-101) - hence all data allocated as inferred resources only</t>
        </r>
      </text>
    </comment>
    <comment ref="BG7" authorId="0" shapeId="0" xr:uid="{00000000-0006-0000-0100-00006D060000}">
      <text>
        <r>
          <rPr>
            <sz val="11"/>
            <color theme="1"/>
            <rFont val="Calibri"/>
            <family val="2"/>
            <scheme val="minor"/>
          </rPr>
          <t>======
ID#AAABCyJQhyU
Gavin Mudd    (2023-12-20 21:24:02)
historic resources (non-compliant with NI43-101) - hence all data allocated as inferred resources only</t>
        </r>
      </text>
    </comment>
    <comment ref="BO7" authorId="0" shapeId="0" xr:uid="{00000000-0006-0000-0100-000030030000}">
      <text>
        <r>
          <rPr>
            <sz val="11"/>
            <color theme="1"/>
            <rFont val="Calibri"/>
            <family val="2"/>
            <scheme val="minor"/>
          </rPr>
          <t>======
ID#AAABDDKrQPA
Gavin Mudd    (2023-12-20 21:24:03)
historic resources (non-compliant with NI43-101) - hence all data allocated as inferred resources only</t>
        </r>
      </text>
    </comment>
    <comment ref="F8" authorId="0" shapeId="0" xr:uid="{00000000-0006-0000-0100-0000B8030000}">
      <text>
        <r>
          <rPr>
            <sz val="11"/>
            <color theme="1"/>
            <rFont val="Calibri"/>
            <family val="2"/>
            <scheme val="minor"/>
          </rPr>
          <t>======
ID#AAABDDKrQAY
Gavin Mudd    (2023-12-20 21:24:03)
previously owned by Altona Mining</t>
        </r>
      </text>
    </comment>
    <comment ref="F9" authorId="0" shapeId="0" xr:uid="{00000000-0006-0000-0100-000044020000}">
      <text>
        <r>
          <rPr>
            <sz val="11"/>
            <color theme="1"/>
            <rFont val="Calibri"/>
            <family val="2"/>
            <scheme val="minor"/>
          </rPr>
          <t>======
ID#AAABDDKrQvI
Gavin Mudd    (2023-12-20 21:24:04)
previously owned by Altona Mining</t>
        </r>
      </text>
    </comment>
    <comment ref="AN9" authorId="0" shapeId="0" xr:uid="{00000000-0006-0000-0100-0000ED050000}">
      <text>
        <r>
          <rPr>
            <sz val="11"/>
            <color theme="1"/>
            <rFont val="Calibri"/>
            <family val="2"/>
            <scheme val="minor"/>
          </rPr>
          <t>======
ID#AAABDDKrO7s
Gavin Mudd    (2023-12-20 21:24:03)
data from Altona Mining Ltd, Annual Report 2013</t>
        </r>
      </text>
    </comment>
    <comment ref="AO9" authorId="0" shapeId="0" xr:uid="{00000000-0006-0000-0100-00007D050000}">
      <text>
        <r>
          <rPr>
            <sz val="11"/>
            <color theme="1"/>
            <rFont val="Calibri"/>
            <family val="2"/>
            <scheme val="minor"/>
          </rPr>
          <t>======
ID#AAABDDKrPJI
Gavin Mudd    (2023-12-20 21:24:03)
data from Altona Mining Ltd, Annual Report 2013</t>
        </r>
      </text>
    </comment>
    <comment ref="BI9" authorId="0" shapeId="0" xr:uid="{00000000-0006-0000-0100-00008D000000}">
      <text>
        <r>
          <rPr>
            <sz val="11"/>
            <color theme="1"/>
            <rFont val="Calibri"/>
            <family val="2"/>
            <scheme val="minor"/>
          </rPr>
          <t>======
ID#AAABDDKrRlY
Gavin Mudd    (2023-12-20 21:24:04)
data from Altona Mining Ltd, Annual Report 2013</t>
        </r>
      </text>
    </comment>
    <comment ref="BJ9" authorId="0" shapeId="0" xr:uid="{00000000-0006-0000-0100-000003000000}">
      <text>
        <r>
          <rPr>
            <sz val="11"/>
            <color theme="1"/>
            <rFont val="Calibri"/>
            <family val="2"/>
            <scheme val="minor"/>
          </rPr>
          <t>======
ID#AAABDDKrR18
Gavin Mudd    (2023-12-20 21:24:04)
data from Altona Mining Ltd, Annual Report 2013</t>
        </r>
      </text>
    </comment>
    <comment ref="AY10" authorId="0" shapeId="0" xr:uid="{00000000-0006-0000-0100-0000EA050000}">
      <text>
        <r>
          <rPr>
            <sz val="11"/>
            <color theme="1"/>
            <rFont val="Calibri"/>
            <family val="2"/>
            <scheme val="minor"/>
          </rPr>
          <t>======
ID#AAABDDKrO8M
Gavin Mudd    (2023-12-20 21:24:03)
historic resources (non-compliant with NI43-101) - hence all data allocated as inferred resources only</t>
        </r>
      </text>
    </comment>
    <comment ref="BG10" authorId="0" shapeId="0" xr:uid="{00000000-0006-0000-0100-000034030000}">
      <text>
        <r>
          <rPr>
            <sz val="11"/>
            <color theme="1"/>
            <rFont val="Calibri"/>
            <family val="2"/>
            <scheme val="minor"/>
          </rPr>
          <t>======
ID#AAABDDKrQOY
Gavin Mudd    (2023-12-20 21:24:03)
historic resources (non-compliant with NI43-101) - hence all data allocated as inferred resources only</t>
        </r>
      </text>
    </comment>
    <comment ref="F11" authorId="0" shapeId="0" xr:uid="{00000000-0006-0000-0100-000023050000}">
      <text>
        <r>
          <rPr>
            <sz val="11"/>
            <color theme="1"/>
            <rFont val="Calibri"/>
            <family val="2"/>
            <scheme val="minor"/>
          </rPr>
          <t>======
ID#AAABDDKrPUE
Gavin Mudd    (2023-12-20 21:24:03)
previously owned by Altona Mining</t>
        </r>
      </text>
    </comment>
    <comment ref="AN11" authorId="0" shapeId="0" xr:uid="{00000000-0006-0000-0100-000026010000}">
      <text>
        <r>
          <rPr>
            <sz val="11"/>
            <color theme="1"/>
            <rFont val="Calibri"/>
            <family val="2"/>
            <scheme val="minor"/>
          </rPr>
          <t>======
ID#AAABDDKrRRo
Gavin Mudd    (2023-12-20 21:24:04)
data from Altona Mining Ltd, Annual Report 2013</t>
        </r>
      </text>
    </comment>
    <comment ref="AO11" authorId="0" shapeId="0" xr:uid="{00000000-0006-0000-0100-0000C8050000}">
      <text>
        <r>
          <rPr>
            <sz val="11"/>
            <color theme="1"/>
            <rFont val="Calibri"/>
            <family val="2"/>
            <scheme val="minor"/>
          </rPr>
          <t>======
ID#AAABDDKrPAE
Gavin Mudd    (2023-12-20 21:24:03)
data from Altona Mining Ltd, Annual Report 2013</t>
        </r>
      </text>
    </comment>
    <comment ref="BI11" authorId="0" shapeId="0" xr:uid="{00000000-0006-0000-0100-00005C000000}">
      <text>
        <r>
          <rPr>
            <sz val="11"/>
            <color theme="1"/>
            <rFont val="Calibri"/>
            <family val="2"/>
            <scheme val="minor"/>
          </rPr>
          <t>======
ID#AAABDDKrRsA
Gavin Mudd    (2023-12-20 21:24:04)
data from Altona Mining Ltd, Annual Report 2013</t>
        </r>
      </text>
    </comment>
    <comment ref="BJ11" authorId="0" shapeId="0" xr:uid="{00000000-0006-0000-0100-000033020000}">
      <text>
        <r>
          <rPr>
            <sz val="11"/>
            <color theme="1"/>
            <rFont val="Calibri"/>
            <family val="2"/>
            <scheme val="minor"/>
          </rPr>
          <t>======
ID#AAABDDKrQxI
Gavin Mudd    (2023-12-20 21:24:04)
data from Altona Mining Ltd, Annual Report 2013</t>
        </r>
      </text>
    </comment>
    <comment ref="F12" authorId="0" shapeId="0" xr:uid="{00000000-0006-0000-0100-00005D060000}">
      <text>
        <r>
          <rPr>
            <sz val="11"/>
            <color theme="1"/>
            <rFont val="Calibri"/>
            <family val="2"/>
            <scheme val="minor"/>
          </rPr>
          <t>======
ID#AAABCyJQh1E
Gavin Mudd    (2023-12-20 21:24:02)
previously owned by Altona Mining</t>
        </r>
      </text>
    </comment>
    <comment ref="F13" authorId="0" shapeId="0" xr:uid="{00000000-0006-0000-0100-00005A050000}">
      <text>
        <r>
          <rPr>
            <sz val="11"/>
            <color theme="1"/>
            <rFont val="Calibri"/>
            <family val="2"/>
            <scheme val="minor"/>
          </rPr>
          <t>======
ID#AAABDDKrPNk
Gavin Mudd    (2023-12-20 21:24:03)
previously owned by Altona Mining</t>
        </r>
      </text>
    </comment>
    <comment ref="DN13" authorId="0" shapeId="0" xr:uid="{00000000-0006-0000-0100-000038030000}">
      <text>
        <r>
          <rPr>
            <sz val="11"/>
            <color theme="1"/>
            <rFont val="Calibri"/>
            <family val="2"/>
            <scheme val="minor"/>
          </rPr>
          <t>======
ID#AAABDDKrQN4
Gavin Mudd    (2023-12-20 21:24:03)
data from Vulcan Resources</t>
        </r>
      </text>
    </comment>
    <comment ref="F14" authorId="0" shapeId="0" xr:uid="{00000000-0006-0000-0100-0000F2000000}">
      <text>
        <r>
          <rPr>
            <sz val="11"/>
            <color theme="1"/>
            <rFont val="Calibri"/>
            <family val="2"/>
            <scheme val="minor"/>
          </rPr>
          <t>======
ID#AAABDDKrRYs
Gavin Mudd    (2023-12-20 21:24:04)
Bluejay Minnig Plc was formerly known as FinnAust Mining Plc, which in turn was ~79% owned by Western Areas Ltd</t>
        </r>
      </text>
    </comment>
    <comment ref="DN14" authorId="0" shapeId="0" xr:uid="{00000000-0006-0000-0100-0000BB020000}">
      <text>
        <r>
          <rPr>
            <sz val="11"/>
            <color theme="1"/>
            <rFont val="Calibri"/>
            <family val="2"/>
            <scheme val="minor"/>
          </rPr>
          <t>======
ID#AAABDDKrQfc
Gavin Mudd    (2023-12-20 21:24:03)
data from Western Areas Ltd</t>
        </r>
      </text>
    </comment>
    <comment ref="F15" authorId="0" shapeId="0" xr:uid="{00000000-0006-0000-0100-00008E010000}">
      <text>
        <r>
          <rPr>
            <sz val="11"/>
            <color theme="1"/>
            <rFont val="Calibri"/>
            <family val="2"/>
            <scheme val="minor"/>
          </rPr>
          <t>======
ID#AAABDDKrRF4
Gavin Mudd    (2023-12-20 21:24:04)
recently filed for bankruptcy protection</t>
        </r>
      </text>
    </comment>
    <comment ref="I15" authorId="0" shapeId="0" xr:uid="{00000000-0006-0000-0100-00001E060000}">
      <text>
        <r>
          <rPr>
            <sz val="11"/>
            <color theme="1"/>
            <rFont val="Calibri"/>
            <family val="2"/>
            <scheme val="minor"/>
          </rPr>
          <t>======
ID#AAABCyJQh9U
Gavin Mudd    (2023-12-20 21:24:02)
uses nodule wet moisture content of 44% (from Tech. Rep.)</t>
        </r>
      </text>
    </comment>
    <comment ref="AD15" authorId="0" shapeId="0" xr:uid="{00000000-0006-0000-0100-0000A0010000}">
      <text>
        <r>
          <rPr>
            <sz val="11"/>
            <color theme="1"/>
            <rFont val="Calibri"/>
            <family val="2"/>
            <scheme val="minor"/>
          </rPr>
          <t>======
ID#AAABDDKrRD4
Gavin Mudd    (2023-12-20 21:24:04)
uses nodule wet moisture content of 44% (from Tech. Rep.)</t>
        </r>
      </text>
    </comment>
    <comment ref="AY15" authorId="0" shapeId="0" xr:uid="{00000000-0006-0000-0100-0000C0020000}">
      <text>
        <r>
          <rPr>
            <sz val="11"/>
            <color theme="1"/>
            <rFont val="Calibri"/>
            <family val="2"/>
            <scheme val="minor"/>
          </rPr>
          <t>======
ID#AAABDDKrQeg
Gavin Mudd    (2023-12-20 21:24:03)
uses nodule wet moisture content of 44% (from Tech. Rep.)</t>
        </r>
      </text>
    </comment>
    <comment ref="I16" authorId="0" shapeId="0" xr:uid="{00000000-0006-0000-0100-000015030000}">
      <text>
        <r>
          <rPr>
            <sz val="11"/>
            <color theme="1"/>
            <rFont val="Calibri"/>
            <family val="2"/>
            <scheme val="minor"/>
          </rPr>
          <t>======
ID#AAABDDKrQS8
Gavin Mudd    (2023-12-20 21:24:03)
assumes approximate average moisture content of 20% (from Tech Rep)</t>
        </r>
      </text>
    </comment>
    <comment ref="AD16" authorId="0" shapeId="0" xr:uid="{00000000-0006-0000-0100-0000A2010000}">
      <text>
        <r>
          <rPr>
            <sz val="11"/>
            <color theme="1"/>
            <rFont val="Calibri"/>
            <family val="2"/>
            <scheme val="minor"/>
          </rPr>
          <t>======
ID#AAABDDKrRD0
Gavin Mudd    (2023-12-20 21:24:04)
assumes approximate average moisture content of 20% (from Tech Rep)</t>
        </r>
      </text>
    </comment>
    <comment ref="AY16" authorId="0" shapeId="0" xr:uid="{00000000-0006-0000-0100-000007030000}">
      <text>
        <r>
          <rPr>
            <sz val="11"/>
            <color theme="1"/>
            <rFont val="Calibri"/>
            <family val="2"/>
            <scheme val="minor"/>
          </rPr>
          <t>======
ID#AAABDDKrQUo
Gavin Mudd    (2023-12-20 21:24:03)
assumes approximate average moisture content of 20% (from Tech Rep)</t>
        </r>
      </text>
    </comment>
    <comment ref="AY20" authorId="0" shapeId="0" xr:uid="{00000000-0006-0000-0100-0000FC000000}">
      <text>
        <r>
          <rPr>
            <sz val="11"/>
            <color theme="1"/>
            <rFont val="Calibri"/>
            <family val="2"/>
            <scheme val="minor"/>
          </rPr>
          <t>======
ID#AAABDDKrRX0
Gavin Mudd    (2023-12-20 21:24:04)
historic resources (non-compliant with NI43-101) - hence all data allocated as inferred resources only</t>
        </r>
      </text>
    </comment>
    <comment ref="AZ20" authorId="0" shapeId="0" xr:uid="{00000000-0006-0000-0100-00004A010000}">
      <text>
        <r>
          <rPr>
            <sz val="11"/>
            <color theme="1"/>
            <rFont val="Calibri"/>
            <family val="2"/>
            <scheme val="minor"/>
          </rPr>
          <t>======
ID#AAABDDKrRN8
Gavin Mudd    (2023-12-20 21:24:04)
historic resources (non-compliant with NI43-101) - hence all data allocated as inferred resources only; data from Singer et al (2009)</t>
        </r>
      </text>
    </comment>
    <comment ref="BE20" authorId="0" shapeId="0" xr:uid="{00000000-0006-0000-0100-000075050000}">
      <text>
        <r>
          <rPr>
            <sz val="11"/>
            <color theme="1"/>
            <rFont val="Calibri"/>
            <family val="2"/>
            <scheme val="minor"/>
          </rPr>
          <t>======
ID#AAABDDKrPJ0
Gavin Mudd    (2023-12-20 21:24:03)
historic resources (non-compliant with NI43-101) - hence all data allocated as inferred resources only; data from Singer et al (2009)</t>
        </r>
      </text>
    </comment>
    <comment ref="BG20" authorId="0" shapeId="0" xr:uid="{00000000-0006-0000-0100-0000DE010000}">
      <text>
        <r>
          <rPr>
            <sz val="11"/>
            <color theme="1"/>
            <rFont val="Calibri"/>
            <family val="2"/>
            <scheme val="minor"/>
          </rPr>
          <t>======
ID#AAABDDKrQ8U
Gavin Mudd    (2023-12-20 21:24:04)
historic resources (non-compliant with NI43-101) - hence all data allocated as inferred resources only</t>
        </r>
      </text>
    </comment>
    <comment ref="BH20" authorId="0" shapeId="0" xr:uid="{00000000-0006-0000-0100-000073060000}">
      <text>
        <r>
          <rPr>
            <sz val="11"/>
            <color theme="1"/>
            <rFont val="Calibri"/>
            <family val="2"/>
            <scheme val="minor"/>
          </rPr>
          <t>======
ID#AAABCyJQhxk
Gavin Mudd    (2023-12-20 21:24:02)
historic resources (non-compliant with NI43-101) - hence all data allocated as inferred resources only; data from Singer et al (2009)</t>
        </r>
      </text>
    </comment>
    <comment ref="AY21" authorId="0" shapeId="0" xr:uid="{00000000-0006-0000-0100-000097040000}">
      <text>
        <r>
          <rPr>
            <sz val="11"/>
            <color theme="1"/>
            <rFont val="Calibri"/>
            <family val="2"/>
            <scheme val="minor"/>
          </rPr>
          <t>======
ID#AAABDDKrPks
Gavin Mudd    (2023-12-20 21:24:03)
historic resources (non-compliant with NI43-101) - hence all data allocated as inferred resources only</t>
        </r>
      </text>
    </comment>
    <comment ref="AZ21" authorId="0" shapeId="0" xr:uid="{00000000-0006-0000-0100-00008C020000}">
      <text>
        <r>
          <rPr>
            <sz val="11"/>
            <color theme="1"/>
            <rFont val="Calibri"/>
            <family val="2"/>
            <scheme val="minor"/>
          </rPr>
          <t>======
ID#AAABDDKrQlQ
Gavin Mudd    (2023-12-20 21:24:04)
historic resources (non-compliant with NI43-101) - hence all data allocated as inferred resources only</t>
        </r>
      </text>
    </comment>
    <comment ref="BE21" authorId="0" shapeId="0" xr:uid="{00000000-0006-0000-0100-00009D030000}">
      <text>
        <r>
          <rPr>
            <sz val="11"/>
            <color theme="1"/>
            <rFont val="Calibri"/>
            <family val="2"/>
            <scheme val="minor"/>
          </rPr>
          <t>======
ID#AAABDDKrQDo
Gavin Mudd    (2023-12-20 21:24:03)
historic resources (non-compliant with NI43-101) - hence all data allocated as inferred resources only</t>
        </r>
      </text>
    </comment>
    <comment ref="BF21" authorId="0" shapeId="0" xr:uid="{00000000-0006-0000-0100-000016010000}">
      <text>
        <r>
          <rPr>
            <sz val="11"/>
            <color theme="1"/>
            <rFont val="Calibri"/>
            <family val="2"/>
            <scheme val="minor"/>
          </rPr>
          <t>======
ID#AAABDDKrRTw
Gavin Mudd    (2023-12-20 21:24:04)
historic resources (non-compliant with NI43-101) - hence all data allocated as inferred resources only</t>
        </r>
      </text>
    </comment>
    <comment ref="BG21" authorId="0" shapeId="0" xr:uid="{00000000-0006-0000-0100-00009E060000}">
      <text>
        <r>
          <rPr>
            <sz val="11"/>
            <color theme="1"/>
            <rFont val="Calibri"/>
            <family val="2"/>
            <scheme val="minor"/>
          </rPr>
          <t>======
ID#AAABCxlEyrw
Gavin Mudd    (2023-12-20 21:24:01)
historic resources (non-compliant with NI43-101) - hence all data allocated as inferred resources only</t>
        </r>
      </text>
    </comment>
    <comment ref="BH21" authorId="0" shapeId="0" xr:uid="{00000000-0006-0000-0100-0000E4050000}">
      <text>
        <r>
          <rPr>
            <sz val="11"/>
            <color theme="1"/>
            <rFont val="Calibri"/>
            <family val="2"/>
            <scheme val="minor"/>
          </rPr>
          <t>======
ID#AAABDDKrO9E
Gavin Mudd    (2023-12-20 21:24:03)
historic resources (non-compliant with NI43-101) - hence all data allocated as inferred resources only</t>
        </r>
      </text>
    </comment>
    <comment ref="F24" authorId="0" shapeId="0" xr:uid="{00000000-0006-0000-0100-000091000000}">
      <text>
        <r>
          <rPr>
            <sz val="11"/>
            <color theme="1"/>
            <rFont val="Calibri"/>
            <family val="2"/>
            <scheme val="minor"/>
          </rPr>
          <t>======
ID#AAABDDKrRk4
Gavin Mudd    (2023-12-20 21:24:04)
previously owned by Talvivaara Plc before its bankruptcy</t>
        </r>
      </text>
    </comment>
    <comment ref="AY24" authorId="0" shapeId="0" xr:uid="{00000000-0006-0000-0100-000048050000}">
      <text>
        <r>
          <rPr>
            <sz val="11"/>
            <color theme="1"/>
            <rFont val="Calibri"/>
            <family val="2"/>
            <scheme val="minor"/>
          </rPr>
          <t>======
ID#AAABDDKrPP0
Gavin Mudd    (2023-12-20 21:24:03)
only total resources reported</t>
        </r>
      </text>
    </comment>
    <comment ref="AZ24" authorId="0" shapeId="0" xr:uid="{00000000-0006-0000-0100-000077040000}">
      <text>
        <r>
          <rPr>
            <sz val="11"/>
            <color theme="1"/>
            <rFont val="Calibri"/>
            <family val="2"/>
            <scheme val="minor"/>
          </rPr>
          <t>======
ID#AAABDDKrPo4
Gavin Mudd    (2023-12-20 21:24:03)
value from FODD (2017)</t>
        </r>
      </text>
    </comment>
    <comment ref="BB24" authorId="0" shapeId="0" xr:uid="{00000000-0006-0000-0100-00007F030000}">
      <text>
        <r>
          <rPr>
            <sz val="11"/>
            <color theme="1"/>
            <rFont val="Calibri"/>
            <family val="2"/>
            <scheme val="minor"/>
          </rPr>
          <t>======
ID#AAABDDKrQGo
Gavin Mudd    (2023-12-20 21:24:03)
value from FODD (2017)</t>
        </r>
      </text>
    </comment>
    <comment ref="BC24" authorId="0" shapeId="0" xr:uid="{00000000-0006-0000-0100-0000DB030000}">
      <text>
        <r>
          <rPr>
            <sz val="11"/>
            <color theme="1"/>
            <rFont val="Calibri"/>
            <family val="2"/>
            <scheme val="minor"/>
          </rPr>
          <t>======
ID#AAABDDKrP7o
Gavin Mudd    (2023-12-20 21:24:03)
value from FODD (2017)</t>
        </r>
      </text>
    </comment>
    <comment ref="BD24" authorId="0" shapeId="0" xr:uid="{00000000-0006-0000-0100-000079010000}">
      <text>
        <r>
          <rPr>
            <sz val="11"/>
            <color theme="1"/>
            <rFont val="Calibri"/>
            <family val="2"/>
            <scheme val="minor"/>
          </rPr>
          <t>======
ID#AAABDDKrRIg
Gavin Mudd    (2023-12-20 21:24:04)
value from FODD (2017)</t>
        </r>
      </text>
    </comment>
    <comment ref="BE24" authorId="0" shapeId="0" xr:uid="{00000000-0006-0000-0100-0000F9030000}">
      <text>
        <r>
          <rPr>
            <sz val="11"/>
            <color theme="1"/>
            <rFont val="Calibri"/>
            <family val="2"/>
            <scheme val="minor"/>
          </rPr>
          <t>======
ID#AAABDDKrP40
Gavin Mudd    (2023-12-20 21:24:03)
value from FODD (2017)</t>
        </r>
      </text>
    </comment>
    <comment ref="BF24" authorId="0" shapeId="0" xr:uid="{00000000-0006-0000-0100-00009B050000}">
      <text>
        <r>
          <rPr>
            <sz val="11"/>
            <color theme="1"/>
            <rFont val="Calibri"/>
            <family val="2"/>
            <scheme val="minor"/>
          </rPr>
          <t>======
ID#AAABDDKrPF4
Gavin Mudd    (2023-12-20 21:24:03)
value from FODD (2017)</t>
        </r>
      </text>
    </comment>
    <comment ref="BG24" authorId="0" shapeId="0" xr:uid="{00000000-0006-0000-0100-0000E5040000}">
      <text>
        <r>
          <rPr>
            <sz val="11"/>
            <color theme="1"/>
            <rFont val="Calibri"/>
            <family val="2"/>
            <scheme val="minor"/>
          </rPr>
          <t>======
ID#AAABDDKrPbw
Gavin Mudd    (2023-12-20 21:24:03)
value from FODD (2017)</t>
        </r>
      </text>
    </comment>
    <comment ref="BH24" authorId="0" shapeId="0" xr:uid="{00000000-0006-0000-0100-0000A6050000}">
      <text>
        <r>
          <rPr>
            <sz val="11"/>
            <color theme="1"/>
            <rFont val="Calibri"/>
            <family val="2"/>
            <scheme val="minor"/>
          </rPr>
          <t>======
ID#AAABDDKrPEk
Gavin Mudd    (2023-12-20 21:24:03)
value from FODD (2017)</t>
        </r>
      </text>
    </comment>
    <comment ref="BI24" authorId="0" shapeId="0" xr:uid="{00000000-0006-0000-0100-000096010000}">
      <text>
        <r>
          <rPr>
            <sz val="11"/>
            <color theme="1"/>
            <rFont val="Calibri"/>
            <family val="2"/>
            <scheme val="minor"/>
          </rPr>
          <t>======
ID#AAABDDKrRE8
Gavin Mudd    (2023-12-20 21:24:04)
value from FODD (2017)</t>
        </r>
      </text>
    </comment>
    <comment ref="BJ24" authorId="0" shapeId="0" xr:uid="{00000000-0006-0000-0100-00007A050000}">
      <text>
        <r>
          <rPr>
            <sz val="11"/>
            <color theme="1"/>
            <rFont val="Calibri"/>
            <family val="2"/>
            <scheme val="minor"/>
          </rPr>
          <t>======
ID#AAABDDKrPJY
Gavin Mudd    (2023-12-20 21:24:03)
value from FODD (2017)</t>
        </r>
      </text>
    </comment>
    <comment ref="F26" authorId="0" shapeId="0" xr:uid="{00000000-0006-0000-0100-00000C000000}">
      <text>
        <r>
          <rPr>
            <sz val="11"/>
            <color theme="1"/>
            <rFont val="Calibri"/>
            <family val="2"/>
            <scheme val="minor"/>
          </rPr>
          <t>======
ID#AAABDDKrR0c
Gavin Mudd    (2023-12-20 21:24:04)
previously held by Caledonia Mining Corp</t>
        </r>
      </text>
    </comment>
    <comment ref="A27" authorId="0" shapeId="0" xr:uid="{00000000-0006-0000-0100-000060000000}">
      <text>
        <r>
          <rPr>
            <sz val="11"/>
            <color theme="1"/>
            <rFont val="Calibri"/>
            <family val="2"/>
            <scheme val="minor"/>
          </rPr>
          <t>======
ID#AAABDDKrRro
Gavin Mudd    (2023-12-20 21:24:04)
also reported to contain rare earths, vanadium, lithium and scandium</t>
        </r>
      </text>
    </comment>
    <comment ref="BS28" authorId="0" shapeId="0" xr:uid="{00000000-0006-0000-0100-00002C050000}">
      <text>
        <r>
          <rPr>
            <sz val="11"/>
            <color theme="1"/>
            <rFont val="Calibri"/>
            <family val="2"/>
            <scheme val="minor"/>
          </rPr>
          <t>======
ID#AAABDDKrPTE
Gavin Mudd    (2023-12-20 21:24:03)
grade is %V2O5</t>
        </r>
      </text>
    </comment>
    <comment ref="F30" authorId="0" shapeId="0" xr:uid="{00000000-0006-0000-0100-000054020000}">
      <text>
        <r>
          <rPr>
            <sz val="11"/>
            <color theme="1"/>
            <rFont val="Calibri"/>
            <family val="2"/>
            <scheme val="minor"/>
          </rPr>
          <t>======
ID#AAABDDKrQs4
Gavin Mudd    (2023-12-20 21:24:04)
previously Hunnan Australia Resources, which was recently taken over by China Minmetals; before this the project was owned by Compass Resources</t>
        </r>
      </text>
    </comment>
    <comment ref="DN30" authorId="0" shapeId="0" xr:uid="{00000000-0006-0000-0100-0000A5000000}">
      <text>
        <r>
          <rPr>
            <sz val="11"/>
            <color theme="1"/>
            <rFont val="Calibri"/>
            <family val="2"/>
            <scheme val="minor"/>
          </rPr>
          <t>======
ID#AAABDDKrRh4
Gavin Mudd    (2023-12-20 21:24:04)
from earlier owner Compass Resources</t>
        </r>
      </text>
    </comment>
    <comment ref="F31" authorId="0" shapeId="0" xr:uid="{00000000-0006-0000-0100-0000B8000000}">
      <text>
        <r>
          <rPr>
            <sz val="11"/>
            <color theme="1"/>
            <rFont val="Calibri"/>
            <family val="2"/>
            <scheme val="minor"/>
          </rPr>
          <t>======
ID#AAABDDKrRgU
Gavin Mudd    (2023-12-20 21:24:04)
previously held by Hathor Exploration</t>
        </r>
      </text>
    </comment>
    <comment ref="DN31" authorId="0" shapeId="0" xr:uid="{00000000-0006-0000-0100-000020010000}">
      <text>
        <r>
          <rPr>
            <sz val="11"/>
            <color theme="1"/>
            <rFont val="Calibri"/>
            <family val="2"/>
            <scheme val="minor"/>
          </rPr>
          <t>======
ID#AAABDDKrRSc
Gavin Mudd    (2023-12-20 21:24:04)
data from Hathor Exploration</t>
        </r>
      </text>
    </comment>
    <comment ref="AV32" authorId="0" shapeId="0" xr:uid="{00000000-0006-0000-0100-00003A000000}">
      <text>
        <r>
          <rPr>
            <sz val="11"/>
            <color theme="1"/>
            <rFont val="Calibri"/>
            <family val="2"/>
            <scheme val="minor"/>
          </rPr>
          <t>======
ID#AAABDDKrRvk
Gavin Mudd    (2023-12-20 21:24:04)
ASX announcement, 17 Sept. 2015</t>
        </r>
      </text>
    </comment>
    <comment ref="BQ32" authorId="0" shapeId="0" xr:uid="{00000000-0006-0000-0100-00008F040000}">
      <text>
        <r>
          <rPr>
            <sz val="11"/>
            <color theme="1"/>
            <rFont val="Calibri"/>
            <family val="2"/>
            <scheme val="minor"/>
          </rPr>
          <t>======
ID#AAABDDKrPls
Gavin Mudd    (2023-12-20 21:24:03)
ASX announcement, 17 Sept. 2015</t>
        </r>
      </text>
    </comment>
    <comment ref="F34" authorId="0" shapeId="0" xr:uid="{00000000-0006-0000-0100-00008B000000}">
      <text>
        <r>
          <rPr>
            <sz val="11"/>
            <color theme="1"/>
            <rFont val="Calibri"/>
            <family val="2"/>
            <scheme val="minor"/>
          </rPr>
          <t>======
ID#AAABDDKrRlw
Gavin Mudd    (2023-12-20 21:24:04)
previously owned by Altona Mining</t>
        </r>
      </text>
    </comment>
    <comment ref="I34" authorId="0" shapeId="0" xr:uid="{00000000-0006-0000-0100-000037010000}">
      <text>
        <r>
          <rPr>
            <sz val="11"/>
            <color theme="1"/>
            <rFont val="Calibri"/>
            <family val="2"/>
            <scheme val="minor"/>
          </rPr>
          <t>======
ID#AAABDDKrRP4
Gavin Mudd    (2023-12-20 21:24:04)
assumes proved reserves plus measured resources</t>
        </r>
      </text>
    </comment>
    <comment ref="J34" authorId="0" shapeId="0" xr:uid="{00000000-0006-0000-0100-000055000000}">
      <text>
        <r>
          <rPr>
            <sz val="11"/>
            <color theme="1"/>
            <rFont val="Calibri"/>
            <family val="2"/>
            <scheme val="minor"/>
          </rPr>
          <t>======
ID#AAABDDKrRs4
Gavin Mudd    (2023-12-20 21:24:04)
assumes proved reserves plus measured resources</t>
        </r>
      </text>
    </comment>
    <comment ref="K34" authorId="0" shapeId="0" xr:uid="{00000000-0006-0000-0100-000086050000}">
      <text>
        <r>
          <rPr>
            <sz val="11"/>
            <color theme="1"/>
            <rFont val="Calibri"/>
            <family val="2"/>
            <scheme val="minor"/>
          </rPr>
          <t>======
ID#AAABDDKrPHo
Gavin Mudd    (2023-12-20 21:24:03)
assumes proved reserves plus measured resources</t>
        </r>
      </text>
    </comment>
    <comment ref="Q34" authorId="0" shapeId="0" xr:uid="{00000000-0006-0000-0100-000095010000}">
      <text>
        <r>
          <rPr>
            <sz val="11"/>
            <color theme="1"/>
            <rFont val="Calibri"/>
            <family val="2"/>
            <scheme val="minor"/>
          </rPr>
          <t>======
ID#AAABDDKrRFM
Gavin Mudd    (2023-12-20 21:24:04)
assumes proved reserves plus measured resources</t>
        </r>
      </text>
    </comment>
    <comment ref="R34" authorId="0" shapeId="0" xr:uid="{00000000-0006-0000-0100-000061010000}">
      <text>
        <r>
          <rPr>
            <sz val="11"/>
            <color theme="1"/>
            <rFont val="Calibri"/>
            <family val="2"/>
            <scheme val="minor"/>
          </rPr>
          <t>======
ID#AAABDDKrRLs
Gavin Mudd    (2023-12-20 21:24:04)
assumes proved reserves plus measured resources</t>
        </r>
      </text>
    </comment>
    <comment ref="AD34" authorId="0" shapeId="0" xr:uid="{00000000-0006-0000-0100-0000BC040000}">
      <text>
        <r>
          <rPr>
            <sz val="11"/>
            <color theme="1"/>
            <rFont val="Calibri"/>
            <family val="2"/>
            <scheme val="minor"/>
          </rPr>
          <t>======
ID#AAABDDKrPgg
Gavin Mudd    (2023-12-20 21:24:03)
assumes probable reserves plus indicated resources</t>
        </r>
      </text>
    </comment>
    <comment ref="AE34" authorId="0" shapeId="0" xr:uid="{00000000-0006-0000-0100-000046040000}">
      <text>
        <r>
          <rPr>
            <sz val="11"/>
            <color theme="1"/>
            <rFont val="Calibri"/>
            <family val="2"/>
            <scheme val="minor"/>
          </rPr>
          <t>======
ID#AAABDDKrPvg
Gavin Mudd    (2023-12-20 21:24:03)
assumes probable reserves plus indicated resources</t>
        </r>
      </text>
    </comment>
    <comment ref="AF34" authorId="0" shapeId="0" xr:uid="{00000000-0006-0000-0100-000087010000}">
      <text>
        <r>
          <rPr>
            <sz val="11"/>
            <color theme="1"/>
            <rFont val="Calibri"/>
            <family val="2"/>
            <scheme val="minor"/>
          </rPr>
          <t>======
ID#AAABDDKrRGk
Gavin Mudd    (2023-12-20 21:24:04)
assumes probable reserves plus indicated resources</t>
        </r>
      </text>
    </comment>
    <comment ref="AL34" authorId="0" shapeId="0" xr:uid="{00000000-0006-0000-0100-0000A3010000}">
      <text>
        <r>
          <rPr>
            <sz val="11"/>
            <color theme="1"/>
            <rFont val="Calibri"/>
            <family val="2"/>
            <scheme val="minor"/>
          </rPr>
          <t>======
ID#AAABDDKrRDs
Gavin Mudd    (2023-12-20 21:24:04)
assumes probable reserves plus indicated resources</t>
        </r>
      </text>
    </comment>
    <comment ref="AM34" authorId="0" shapeId="0" xr:uid="{00000000-0006-0000-0100-0000B5050000}">
      <text>
        <r>
          <rPr>
            <sz val="11"/>
            <color theme="1"/>
            <rFont val="Calibri"/>
            <family val="2"/>
            <scheme val="minor"/>
          </rPr>
          <t>======
ID#AAABDDKrPDM
Gavin Mudd    (2023-12-20 21:24:03)
assumes probable reserves plus indicated resources</t>
        </r>
      </text>
    </comment>
    <comment ref="F35" authorId="0" shapeId="0" xr:uid="{00000000-0006-0000-0100-000039040000}">
      <text>
        <r>
          <rPr>
            <sz val="11"/>
            <color theme="1"/>
            <rFont val="Calibri"/>
            <family val="2"/>
            <scheme val="minor"/>
          </rPr>
          <t>======
ID#AAABDDKrPxM
Gavin Mudd    (2023-12-20 21:24:03)
previously owned by Altona Mining</t>
        </r>
      </text>
    </comment>
    <comment ref="I35" authorId="0" shapeId="0" xr:uid="{00000000-0006-0000-0100-000029030000}">
      <text>
        <r>
          <rPr>
            <sz val="11"/>
            <color theme="1"/>
            <rFont val="Calibri"/>
            <family val="2"/>
            <scheme val="minor"/>
          </rPr>
          <t>======
ID#AAABDDKrQQI
Gavin Mudd    (2023-12-20 21:24:03)
data from Altona Mining Ltd, Annual Report 2013</t>
        </r>
      </text>
    </comment>
    <comment ref="J35" authorId="0" shapeId="0" xr:uid="{00000000-0006-0000-0100-000043010000}">
      <text>
        <r>
          <rPr>
            <sz val="11"/>
            <color theme="1"/>
            <rFont val="Calibri"/>
            <family val="2"/>
            <scheme val="minor"/>
          </rPr>
          <t>======
ID#AAABDDKrRO0
Gavin Mudd    (2023-12-20 21:24:04)
data from Altona Mining Ltd, Annual Report 2013</t>
        </r>
      </text>
    </comment>
    <comment ref="P35" authorId="0" shapeId="0" xr:uid="{00000000-0006-0000-0100-000068020000}">
      <text>
        <r>
          <rPr>
            <sz val="11"/>
            <color theme="1"/>
            <rFont val="Calibri"/>
            <family val="2"/>
            <scheme val="minor"/>
          </rPr>
          <t>======
ID#AAABDDKrQqg
Gavin Mudd    (2023-12-20 21:24:04)
data from Altona Mining Ltd, Annual Report 2013</t>
        </r>
      </text>
    </comment>
    <comment ref="Q35" authorId="0" shapeId="0" xr:uid="{00000000-0006-0000-0100-0000C8010000}">
      <text>
        <r>
          <rPr>
            <sz val="11"/>
            <color theme="1"/>
            <rFont val="Calibri"/>
            <family val="2"/>
            <scheme val="minor"/>
          </rPr>
          <t>======
ID#AAABDDKrQ_M
Gavin Mudd    (2023-12-20 21:24:04)
data from Altona Mining Ltd, Annual Report 2013</t>
        </r>
      </text>
    </comment>
    <comment ref="R35" authorId="0" shapeId="0" xr:uid="{00000000-0006-0000-0100-00001B020000}">
      <text>
        <r>
          <rPr>
            <sz val="11"/>
            <color theme="1"/>
            <rFont val="Calibri"/>
            <family val="2"/>
            <scheme val="minor"/>
          </rPr>
          <t>======
ID#AAABDDKrQ0U
Gavin Mudd    (2023-12-20 21:24:04)
data from Altona Mining Ltd, Annual Report 2013</t>
        </r>
      </text>
    </comment>
    <comment ref="AD35" authorId="0" shapeId="0" xr:uid="{00000000-0006-0000-0100-000023000000}">
      <text>
        <r>
          <rPr>
            <sz val="11"/>
            <color theme="1"/>
            <rFont val="Calibri"/>
            <family val="2"/>
            <scheme val="minor"/>
          </rPr>
          <t>======
ID#AAABDDKrRxs
Gavin Mudd    (2023-12-20 21:24:04)
data from Altona Mining Ltd, Annual Report 2013</t>
        </r>
      </text>
    </comment>
    <comment ref="AE35" authorId="0" shapeId="0" xr:uid="{00000000-0006-0000-0100-000035020000}">
      <text>
        <r>
          <rPr>
            <sz val="11"/>
            <color theme="1"/>
            <rFont val="Calibri"/>
            <family val="2"/>
            <scheme val="minor"/>
          </rPr>
          <t>======
ID#AAABDDKrQww
Gavin Mudd    (2023-12-20 21:24:04)
data from Altona Mining Ltd, Annual Report 2013</t>
        </r>
      </text>
    </comment>
    <comment ref="AK35" authorId="0" shapeId="0" xr:uid="{00000000-0006-0000-0100-000019060000}">
      <text>
        <r>
          <rPr>
            <sz val="11"/>
            <color theme="1"/>
            <rFont val="Calibri"/>
            <family val="2"/>
            <scheme val="minor"/>
          </rPr>
          <t>======
ID#AAABCyJQh98
Gavin Mudd    (2023-12-20 21:24:02)
data from Altona Mining Ltd, Annual Report 2013</t>
        </r>
      </text>
    </comment>
    <comment ref="AL35" authorId="0" shapeId="0" xr:uid="{00000000-0006-0000-0100-00005C050000}">
      <text>
        <r>
          <rPr>
            <sz val="11"/>
            <color theme="1"/>
            <rFont val="Calibri"/>
            <family val="2"/>
            <scheme val="minor"/>
          </rPr>
          <t>======
ID#AAABDDKrPNc
Gavin Mudd    (2023-12-20 21:24:03)
data from Altona Mining Ltd, Annual Report 2013</t>
        </r>
      </text>
    </comment>
    <comment ref="AM35" authorId="0" shapeId="0" xr:uid="{00000000-0006-0000-0100-000036020000}">
      <text>
        <r>
          <rPr>
            <sz val="11"/>
            <color theme="1"/>
            <rFont val="Calibri"/>
            <family val="2"/>
            <scheme val="minor"/>
          </rPr>
          <t>======
ID#AAABDDKrQwo
Gavin Mudd    (2023-12-20 21:24:04)
data from Altona Mining Ltd, Annual Report 2013</t>
        </r>
      </text>
    </comment>
    <comment ref="AY35" authorId="0" shapeId="0" xr:uid="{00000000-0006-0000-0100-000076000000}">
      <text>
        <r>
          <rPr>
            <sz val="11"/>
            <color theme="1"/>
            <rFont val="Calibri"/>
            <family val="2"/>
            <scheme val="minor"/>
          </rPr>
          <t>======
ID#AAABDDKrRo8
Gavin Mudd    (2023-12-20 21:24:04)
data from Altona Mining Ltd, Annual Report 2013</t>
        </r>
      </text>
    </comment>
    <comment ref="AZ35" authorId="0" shapeId="0" xr:uid="{00000000-0006-0000-0100-000018040000}">
      <text>
        <r>
          <rPr>
            <sz val="11"/>
            <color theme="1"/>
            <rFont val="Calibri"/>
            <family val="2"/>
            <scheme val="minor"/>
          </rPr>
          <t>======
ID#AAABDDKrP1M
Gavin Mudd    (2023-12-20 21:24:03)
data from Altona Mining Ltd, Annual Report 2013</t>
        </r>
      </text>
    </comment>
    <comment ref="BF35" authorId="0" shapeId="0" xr:uid="{00000000-0006-0000-0100-0000A7040000}">
      <text>
        <r>
          <rPr>
            <sz val="11"/>
            <color theme="1"/>
            <rFont val="Calibri"/>
            <family val="2"/>
            <scheme val="minor"/>
          </rPr>
          <t>======
ID#AAABDDKrPi8
Gavin Mudd    (2023-12-20 21:24:03)
data from Altona Mining Ltd, Annual Report 2013</t>
        </r>
      </text>
    </comment>
    <comment ref="BG35" authorId="0" shapeId="0" xr:uid="{00000000-0006-0000-0100-00008D030000}">
      <text>
        <r>
          <rPr>
            <sz val="11"/>
            <color theme="1"/>
            <rFont val="Calibri"/>
            <family val="2"/>
            <scheme val="minor"/>
          </rPr>
          <t>======
ID#AAABDDKrQFQ
Gavin Mudd    (2023-12-20 21:24:03)
data from Altona Mining Ltd, Annual Report 2013</t>
        </r>
      </text>
    </comment>
    <comment ref="BH35" authorId="0" shapeId="0" xr:uid="{00000000-0006-0000-0100-0000E5030000}">
      <text>
        <r>
          <rPr>
            <sz val="11"/>
            <color theme="1"/>
            <rFont val="Calibri"/>
            <family val="2"/>
            <scheme val="minor"/>
          </rPr>
          <t>======
ID#AAABDDKrP64
Gavin Mudd    (2023-12-20 21:24:03)
data from Altona Mining Ltd, Annual Report 2013</t>
        </r>
      </text>
    </comment>
    <comment ref="F36" authorId="0" shapeId="0" xr:uid="{00000000-0006-0000-0100-0000B1030000}">
      <text>
        <r>
          <rPr>
            <sz val="11"/>
            <color theme="1"/>
            <rFont val="Calibri"/>
            <family val="2"/>
            <scheme val="minor"/>
          </rPr>
          <t>======
ID#AAABDDKrQBc
Gavin Mudd    (2023-12-20 21:24:03)
previously owned by Altona Mining</t>
        </r>
      </text>
    </comment>
    <comment ref="AY36" authorId="0" shapeId="0" xr:uid="{00000000-0006-0000-0100-00005F030000}">
      <text>
        <r>
          <rPr>
            <sz val="11"/>
            <color theme="1"/>
            <rFont val="Calibri"/>
            <family val="2"/>
            <scheme val="minor"/>
          </rPr>
          <t>======
ID#AAABDDKrQJY
Gavin Mudd    (2023-12-20 21:24:03)
data from FODD (2017 edition) (GTK, 2018)</t>
        </r>
      </text>
    </comment>
    <comment ref="AZ36" authorId="0" shapeId="0" xr:uid="{00000000-0006-0000-0100-0000C3050000}">
      <text>
        <r>
          <rPr>
            <sz val="11"/>
            <color theme="1"/>
            <rFont val="Calibri"/>
            <family val="2"/>
            <scheme val="minor"/>
          </rPr>
          <t>======
ID#AAABDDKrPA0
Gavin Mudd    (2023-12-20 21:24:03)
data from FODD (2017 edition) (GTK, 2018)</t>
        </r>
      </text>
    </comment>
    <comment ref="BA36" authorId="0" shapeId="0" xr:uid="{00000000-0006-0000-0100-0000DF050000}">
      <text>
        <r>
          <rPr>
            <sz val="11"/>
            <color theme="1"/>
            <rFont val="Calibri"/>
            <family val="2"/>
            <scheme val="minor"/>
          </rPr>
          <t>======
ID#AAABDDKrO9k
Gavin Mudd    (2023-12-20 21:24:03)
data from FODD (2017 edition) (GTK, 2018)</t>
        </r>
      </text>
    </comment>
    <comment ref="BB36" authorId="0" shapeId="0" xr:uid="{00000000-0006-0000-0100-000080000000}">
      <text>
        <r>
          <rPr>
            <sz val="11"/>
            <color theme="1"/>
            <rFont val="Calibri"/>
            <family val="2"/>
            <scheme val="minor"/>
          </rPr>
          <t>======
ID#AAABDDKrRng
Gavin Mudd    (2023-12-20 21:24:04)
data from FODD (2017 edition) (GTK, 2018)</t>
        </r>
      </text>
    </comment>
    <comment ref="BG36" authorId="0" shapeId="0" xr:uid="{00000000-0006-0000-0100-000062040000}">
      <text>
        <r>
          <rPr>
            <sz val="11"/>
            <color theme="1"/>
            <rFont val="Calibri"/>
            <family val="2"/>
            <scheme val="minor"/>
          </rPr>
          <t>======
ID#AAABDDKrPro
Gavin Mudd    (2023-12-20 21:24:03)
data from FODD (2017 edition) (GTK, 2018)</t>
        </r>
      </text>
    </comment>
    <comment ref="BH36" authorId="0" shapeId="0" xr:uid="{00000000-0006-0000-0100-000004040000}">
      <text>
        <r>
          <rPr>
            <sz val="11"/>
            <color theme="1"/>
            <rFont val="Calibri"/>
            <family val="2"/>
            <scheme val="minor"/>
          </rPr>
          <t>======
ID#AAABDDKrP30
Gavin Mudd    (2023-12-20 21:24:03)
data from FODD (2017 edition) (GTK, 2018)</t>
        </r>
      </text>
    </comment>
    <comment ref="F37" authorId="0" shapeId="0" xr:uid="{00000000-0006-0000-0100-0000F5020000}">
      <text>
        <r>
          <rPr>
            <sz val="11"/>
            <color theme="1"/>
            <rFont val="Calibri"/>
            <family val="2"/>
            <scheme val="minor"/>
          </rPr>
          <t>======
ID#AAABDDKrQXo
Gavin Mudd    (2023-12-20 21:24:03)
previously owned by Altona Mining</t>
        </r>
      </text>
    </comment>
    <comment ref="F38" authorId="0" shapeId="0" xr:uid="{00000000-0006-0000-0100-00004D010000}">
      <text>
        <r>
          <rPr>
            <sz val="11"/>
            <color theme="1"/>
            <rFont val="Calibri"/>
            <family val="2"/>
            <scheme val="minor"/>
          </rPr>
          <t>======
ID#AAABDDKrRNo
Gavin Mudd    (2023-12-20 21:24:04)
previously owned by Altona Mining</t>
        </r>
      </text>
    </comment>
    <comment ref="BH38" authorId="0" shapeId="0" xr:uid="{00000000-0006-0000-0100-0000FB030000}">
      <text>
        <r>
          <rPr>
            <sz val="11"/>
            <color theme="1"/>
            <rFont val="Calibri"/>
            <family val="2"/>
            <scheme val="minor"/>
          </rPr>
          <t>======
ID#AAABDDKrP4k
Gavin Mudd    (2023-12-20 21:24:03)
data from FODD (2017 edition) (GTK, 2018)</t>
        </r>
      </text>
    </comment>
    <comment ref="F39" authorId="0" shapeId="0" xr:uid="{00000000-0006-0000-0100-0000B7010000}">
      <text>
        <r>
          <rPr>
            <sz val="11"/>
            <color theme="1"/>
            <rFont val="Calibri"/>
            <family val="2"/>
            <scheme val="minor"/>
          </rPr>
          <t>======
ID#AAABDDKrRBY
Gavin Mudd    (2023-12-20 21:24:04)
previously owned by Altona Mining</t>
        </r>
      </text>
    </comment>
    <comment ref="F40" authorId="0" shapeId="0" xr:uid="{00000000-0006-0000-0100-000064060000}">
      <text>
        <r>
          <rPr>
            <sz val="11"/>
            <color theme="1"/>
            <rFont val="Calibri"/>
            <family val="2"/>
            <scheme val="minor"/>
          </rPr>
          <t>======
ID#AAABCyJQhzo
Gavin Mudd    (2023-12-20 21:24:02)
previously owned by Altona Mining</t>
        </r>
      </text>
    </comment>
    <comment ref="F41" authorId="0" shapeId="0" xr:uid="{00000000-0006-0000-0100-0000DE050000}">
      <text>
        <r>
          <rPr>
            <sz val="11"/>
            <color theme="1"/>
            <rFont val="Calibri"/>
            <family val="2"/>
            <scheme val="minor"/>
          </rPr>
          <t>======
ID#AAABDDKrO94
Gavin Mudd    (2023-12-20 21:24:03)
previously owned by Altona Mining</t>
        </r>
      </text>
    </comment>
    <comment ref="BA41" authorId="0" shapeId="0" xr:uid="{00000000-0006-0000-0100-0000AB050000}">
      <text>
        <r>
          <rPr>
            <sz val="11"/>
            <color theme="1"/>
            <rFont val="Calibri"/>
            <family val="2"/>
            <scheme val="minor"/>
          </rPr>
          <t>======
ID#AAABDDKrPEE
Gavin Mudd    (2023-12-20 21:24:03)
data from FODD (2017 edition) (GTK, 2018)</t>
        </r>
      </text>
    </comment>
    <comment ref="BB41" authorId="0" shapeId="0" xr:uid="{00000000-0006-0000-0100-00000B030000}">
      <text>
        <r>
          <rPr>
            <sz val="11"/>
            <color theme="1"/>
            <rFont val="Calibri"/>
            <family val="2"/>
            <scheme val="minor"/>
          </rPr>
          <t>======
ID#AAABDDKrQUM
Gavin Mudd    (2023-12-20 21:24:03)
data from FODD (2017 edition) (GTK, 2018)</t>
        </r>
      </text>
    </comment>
    <comment ref="BG41" authorId="0" shapeId="0" xr:uid="{00000000-0006-0000-0100-00001F010000}">
      <text>
        <r>
          <rPr>
            <sz val="11"/>
            <color theme="1"/>
            <rFont val="Calibri"/>
            <family val="2"/>
            <scheme val="minor"/>
          </rPr>
          <t>======
ID#AAABDDKrRSk
Gavin Mudd    (2023-12-20 21:24:04)
data from FODD (2017 edition) (GTK, 2018)</t>
        </r>
      </text>
    </comment>
    <comment ref="AY42" authorId="0" shapeId="0" xr:uid="{00000000-0006-0000-0100-0000B0040000}">
      <text>
        <r>
          <rPr>
            <sz val="11"/>
            <color theme="1"/>
            <rFont val="Calibri"/>
            <family val="2"/>
            <scheme val="minor"/>
          </rPr>
          <t>======
ID#AAABDDKrPh0
Gavin Mudd    (2023-12-20 21:24:03)
historic resources (non-compliant with NI43-101) - hence all data allocated as inferred resources only</t>
        </r>
      </text>
    </comment>
    <comment ref="AZ42" authorId="0" shapeId="0" xr:uid="{00000000-0006-0000-0100-000040000000}">
      <text>
        <r>
          <rPr>
            <sz val="11"/>
            <color theme="1"/>
            <rFont val="Calibri"/>
            <family val="2"/>
            <scheme val="minor"/>
          </rPr>
          <t>======
ID#AAABDDKrRu4
Gavin Mudd    (2023-12-20 21:24:04)
historic resources (non-compliant with NI43-101) - hence all data allocated as inferred resources only</t>
        </r>
      </text>
    </comment>
    <comment ref="BG42" authorId="0" shapeId="0" xr:uid="{00000000-0006-0000-0100-000055040000}">
      <text>
        <r>
          <rPr>
            <sz val="11"/>
            <color theme="1"/>
            <rFont val="Calibri"/>
            <family val="2"/>
            <scheme val="minor"/>
          </rPr>
          <t>======
ID#AAABDDKrPtY
Gavin Mudd    (2023-12-20 21:24:03)
historic resources (non-compliant with NI43-101) - hence all data allocated as inferred resources only</t>
        </r>
      </text>
    </comment>
    <comment ref="BH42" authorId="0" shapeId="0" xr:uid="{00000000-0006-0000-0100-0000EA020000}">
      <text>
        <r>
          <rPr>
            <sz val="11"/>
            <color theme="1"/>
            <rFont val="Calibri"/>
            <family val="2"/>
            <scheme val="minor"/>
          </rPr>
          <t>======
ID#AAABDDKrQY4
Gavin Mudd    (2023-12-20 21:24:03)
historic resources (non-compliant with NI43-101) - hence all data allocated as inferred resources only</t>
        </r>
      </text>
    </comment>
    <comment ref="AY43" authorId="0" shapeId="0" xr:uid="{00000000-0006-0000-0100-00001B040000}">
      <text>
        <r>
          <rPr>
            <sz val="11"/>
            <color theme="1"/>
            <rFont val="Calibri"/>
            <family val="2"/>
            <scheme val="minor"/>
          </rPr>
          <t>======
ID#AAABDDKrP0s
Gavin Mudd    (2023-12-20 21:24:03)
historic resources (non-compliant with NI43-101) - hence all data allocated as inferred resources only</t>
        </r>
      </text>
    </comment>
    <comment ref="AZ43" authorId="0" shapeId="0" xr:uid="{00000000-0006-0000-0100-000023030000}">
      <text>
        <r>
          <rPr>
            <sz val="11"/>
            <color theme="1"/>
            <rFont val="Calibri"/>
            <family val="2"/>
            <scheme val="minor"/>
          </rPr>
          <t>======
ID#AAABDDKrQQk
Gavin Mudd    (2023-12-20 21:24:03)
historic resources (non-compliant with NI43-101) - hence all data allocated as inferred resources only</t>
        </r>
      </text>
    </comment>
    <comment ref="BF43" authorId="0" shapeId="0" xr:uid="{00000000-0006-0000-0100-0000CA050000}">
      <text>
        <r>
          <rPr>
            <sz val="11"/>
            <color theme="1"/>
            <rFont val="Calibri"/>
            <family val="2"/>
            <scheme val="minor"/>
          </rPr>
          <t>======
ID#AAABDDKrPAA
Gavin Mudd    (2023-12-20 21:24:03)
historic resources (non-compliant with NI43-101) - hence all data allocated as inferred resources only</t>
        </r>
      </text>
    </comment>
    <comment ref="BG43" authorId="0" shapeId="0" xr:uid="{00000000-0006-0000-0100-000000040000}">
      <text>
        <r>
          <rPr>
            <sz val="11"/>
            <color theme="1"/>
            <rFont val="Calibri"/>
            <family val="2"/>
            <scheme val="minor"/>
          </rPr>
          <t>======
ID#AAABDDKrP4I
Gavin Mudd    (2023-12-20 21:24:03)
historic resources (non-compliant with NI43-101) - hence all data allocated as inferred resources only</t>
        </r>
      </text>
    </comment>
    <comment ref="BH43" authorId="0" shapeId="0" xr:uid="{00000000-0006-0000-0100-00001D030000}">
      <text>
        <r>
          <rPr>
            <sz val="11"/>
            <color theme="1"/>
            <rFont val="Calibri"/>
            <family val="2"/>
            <scheme val="minor"/>
          </rPr>
          <t>======
ID#AAABDDKrQR0
Gavin Mudd    (2023-12-20 21:24:03)
historic resources (non-compliant with NI43-101) - hence all data allocated as inferred resources only</t>
        </r>
      </text>
    </comment>
    <comment ref="AY44" authorId="0" shapeId="0" xr:uid="{00000000-0006-0000-0100-000036060000}">
      <text>
        <r>
          <rPr>
            <sz val="11"/>
            <color theme="1"/>
            <rFont val="Calibri"/>
            <family val="2"/>
            <scheme val="minor"/>
          </rPr>
          <t>======
ID#AAABCyJQh6Y
Gavin Mudd    (2023-12-20 21:24:02)
historic resources (non-compliant with NI43-101) - hence all data allocated as inferred resources only</t>
        </r>
      </text>
    </comment>
    <comment ref="AZ44" authorId="0" shapeId="0" xr:uid="{00000000-0006-0000-0100-000003060000}">
      <text>
        <r>
          <rPr>
            <sz val="11"/>
            <color theme="1"/>
            <rFont val="Calibri"/>
            <family val="2"/>
            <scheme val="minor"/>
          </rPr>
          <t>======
ID#AAABCyJQiA4
Gavin Mudd    (2023-12-20 21:24:02)
historic resources (non-compliant with NI43-101) - hence all data allocated as inferred resources only</t>
        </r>
      </text>
    </comment>
    <comment ref="BA44" authorId="0" shapeId="0" xr:uid="{00000000-0006-0000-0100-0000BA030000}">
      <text>
        <r>
          <rPr>
            <sz val="11"/>
            <color theme="1"/>
            <rFont val="Calibri"/>
            <family val="2"/>
            <scheme val="minor"/>
          </rPr>
          <t>======
ID#AAABDDKrQAI
Gavin Mudd    (2023-12-20 21:24:03)
historic resources (non-compliant with NI43-101) - hence all data allocated as inferred resources only</t>
        </r>
      </text>
    </comment>
    <comment ref="BB44" authorId="0" shapeId="0" xr:uid="{00000000-0006-0000-0100-000040020000}">
      <text>
        <r>
          <rPr>
            <sz val="11"/>
            <color theme="1"/>
            <rFont val="Calibri"/>
            <family val="2"/>
            <scheme val="minor"/>
          </rPr>
          <t>======
ID#AAABDDKrQvc
Gavin Mudd    (2023-12-20 21:24:04)
historic resources (non-compliant with NI43-101) - hence all data allocated as inferred resources only</t>
        </r>
      </text>
    </comment>
    <comment ref="BF44" authorId="0" shapeId="0" xr:uid="{00000000-0006-0000-0100-0000D7000000}">
      <text>
        <r>
          <rPr>
            <sz val="11"/>
            <color theme="1"/>
            <rFont val="Calibri"/>
            <family val="2"/>
            <scheme val="minor"/>
          </rPr>
          <t>======
ID#AAABDDKrRb8
Gavin Mudd    (2023-12-20 21:24:04)
historic resources (non-compliant with NI43-101) - hence all data allocated as inferred resources only</t>
        </r>
      </text>
    </comment>
    <comment ref="BG44" authorId="0" shapeId="0" xr:uid="{00000000-0006-0000-0100-0000E5050000}">
      <text>
        <r>
          <rPr>
            <sz val="11"/>
            <color theme="1"/>
            <rFont val="Calibri"/>
            <family val="2"/>
            <scheme val="minor"/>
          </rPr>
          <t>======
ID#AAABDDKrO88
Gavin Mudd    (2023-12-20 21:24:03)
historic resources (non-compliant with NI43-101) - hence all data allocated as inferred resources only</t>
        </r>
      </text>
    </comment>
    <comment ref="BH44" authorId="0" shapeId="0" xr:uid="{00000000-0006-0000-0100-0000D5050000}">
      <text>
        <r>
          <rPr>
            <sz val="11"/>
            <color theme="1"/>
            <rFont val="Calibri"/>
            <family val="2"/>
            <scheme val="minor"/>
          </rPr>
          <t>======
ID#AAABDDKrO-8
Gavin Mudd    (2023-12-20 21:24:03)
historic resources (non-compliant with NI43-101) - hence all data allocated as inferred resources only</t>
        </r>
      </text>
    </comment>
    <comment ref="AY45" authorId="0" shapeId="0" xr:uid="{00000000-0006-0000-0100-000041000000}">
      <text>
        <r>
          <rPr>
            <sz val="11"/>
            <color theme="1"/>
            <rFont val="Calibri"/>
            <family val="2"/>
            <scheme val="minor"/>
          </rPr>
          <t>======
ID#AAABDDKrRu0
Gavin Mudd    (2023-12-20 21:24:04)
historic resources (non-compliant with NI43-101) - hence all data allocated as inferred resources only</t>
        </r>
      </text>
    </comment>
    <comment ref="AZ45" authorId="0" shapeId="0" xr:uid="{00000000-0006-0000-0100-00002B020000}">
      <text>
        <r>
          <rPr>
            <sz val="11"/>
            <color theme="1"/>
            <rFont val="Calibri"/>
            <family val="2"/>
            <scheme val="minor"/>
          </rPr>
          <t>======
ID#AAABDDKrQyk
Gavin Mudd    (2023-12-20 21:24:04)
historic resources (non-compliant with NI43-101) - hence all data allocated as inferred resources only</t>
        </r>
      </text>
    </comment>
    <comment ref="BG45" authorId="0" shapeId="0" xr:uid="{00000000-0006-0000-0100-0000C5030000}">
      <text>
        <r>
          <rPr>
            <sz val="11"/>
            <color theme="1"/>
            <rFont val="Calibri"/>
            <family val="2"/>
            <scheme val="minor"/>
          </rPr>
          <t>======
ID#AAABDDKrP-Y
Gavin Mudd    (2023-12-20 21:24:03)
historic resources (non-compliant with NI43-101) - hence all data allocated as inferred resources only</t>
        </r>
      </text>
    </comment>
    <comment ref="BH45" authorId="0" shapeId="0" xr:uid="{00000000-0006-0000-0100-00009A020000}">
      <text>
        <r>
          <rPr>
            <sz val="11"/>
            <color theme="1"/>
            <rFont val="Calibri"/>
            <family val="2"/>
            <scheme val="minor"/>
          </rPr>
          <t>======
ID#AAABDDKrQjU
Gavin Mudd    (2023-12-20 21:24:04)
historic resources (non-compliant with NI43-101) - hence all data allocated as inferred resources only</t>
        </r>
      </text>
    </comment>
    <comment ref="BO45" authorId="0" shapeId="0" xr:uid="{00000000-0006-0000-0100-0000A0020000}">
      <text>
        <r>
          <rPr>
            <sz val="11"/>
            <color theme="1"/>
            <rFont val="Calibri"/>
            <family val="2"/>
            <scheme val="minor"/>
          </rPr>
          <t>======
ID#AAABDDKrQiM
Gavin Mudd    (2023-12-20 21:24:04)
historic resources (non-compliant with NI43-101) - hence all data allocated as inferred resources only</t>
        </r>
      </text>
    </comment>
    <comment ref="AY46" authorId="0" shapeId="0" xr:uid="{00000000-0006-0000-0100-0000D0040000}">
      <text>
        <r>
          <rPr>
            <sz val="11"/>
            <color theme="1"/>
            <rFont val="Calibri"/>
            <family val="2"/>
            <scheme val="minor"/>
          </rPr>
          <t>======
ID#AAABDDKrPeo
Gavin Mudd    (2023-12-20 21:24:03)
code basis unclear, assumed as inferred resources only</t>
        </r>
      </text>
    </comment>
    <comment ref="AZ46" authorId="0" shapeId="0" xr:uid="{00000000-0006-0000-0100-000076010000}">
      <text>
        <r>
          <rPr>
            <sz val="11"/>
            <color theme="1"/>
            <rFont val="Calibri"/>
            <family val="2"/>
            <scheme val="minor"/>
          </rPr>
          <t>======
ID#AAABDDKrRI0
Gavin Mudd    (2023-12-20 21:24:04)
code basis unclear, assumed as inferred resources only</t>
        </r>
      </text>
    </comment>
    <comment ref="BA46" authorId="0" shapeId="0" xr:uid="{00000000-0006-0000-0100-0000E3010000}">
      <text>
        <r>
          <rPr>
            <sz val="11"/>
            <color theme="1"/>
            <rFont val="Calibri"/>
            <family val="2"/>
            <scheme val="minor"/>
          </rPr>
          <t>======
ID#AAABDDKrQ7w
Gavin Mudd    (2023-12-20 21:24:04)
code basis unclear, assumed as inferred resources only</t>
        </r>
      </text>
    </comment>
    <comment ref="BB46" authorId="0" shapeId="0" xr:uid="{00000000-0006-0000-0100-000002020000}">
      <text>
        <r>
          <rPr>
            <sz val="11"/>
            <color theme="1"/>
            <rFont val="Calibri"/>
            <family val="2"/>
            <scheme val="minor"/>
          </rPr>
          <t>======
ID#AAABDDKrQ4A
Gavin Mudd    (2023-12-20 21:24:04)
code basis unclear, assumed as inferred resources only</t>
        </r>
      </text>
    </comment>
    <comment ref="BG46" authorId="0" shapeId="0" xr:uid="{00000000-0006-0000-0100-000005020000}">
      <text>
        <r>
          <rPr>
            <sz val="11"/>
            <color theme="1"/>
            <rFont val="Calibri"/>
            <family val="2"/>
            <scheme val="minor"/>
          </rPr>
          <t>======
ID#AAABDDKrQ3g
Gavin Mudd    (2023-12-20 21:24:04)
code basis unclear, assumed as inferred resources only</t>
        </r>
      </text>
    </comment>
    <comment ref="BH46" authorId="0" shapeId="0" xr:uid="{00000000-0006-0000-0100-00005E000000}">
      <text>
        <r>
          <rPr>
            <sz val="11"/>
            <color theme="1"/>
            <rFont val="Calibri"/>
            <family val="2"/>
            <scheme val="minor"/>
          </rPr>
          <t>======
ID#AAABDDKrRr0
Gavin Mudd    (2023-12-20 21:24:04)
code basis unclear, assumed as inferred resources only</t>
        </r>
      </text>
    </comment>
    <comment ref="BI46" authorId="0" shapeId="0" xr:uid="{00000000-0006-0000-0100-0000E9040000}">
      <text>
        <r>
          <rPr>
            <sz val="11"/>
            <color theme="1"/>
            <rFont val="Calibri"/>
            <family val="2"/>
            <scheme val="minor"/>
          </rPr>
          <t>======
ID#AAABDDKrPbY
Gavin Mudd    (2023-12-20 21:24:03)
code basis unclear, assumed as inferred resources only</t>
        </r>
      </text>
    </comment>
    <comment ref="AY47" authorId="0" shapeId="0" xr:uid="{00000000-0006-0000-0100-0000B6030000}">
      <text>
        <r>
          <rPr>
            <sz val="11"/>
            <color theme="1"/>
            <rFont val="Calibri"/>
            <family val="2"/>
            <scheme val="minor"/>
          </rPr>
          <t>======
ID#AAABDDKrQAg
Gavin Mudd    (2023-12-20 21:24:03)
historic resources (non-compliant with NI43-101) - hence all data allocated as inferred resources only</t>
        </r>
      </text>
    </comment>
    <comment ref="BA47" authorId="0" shapeId="0" xr:uid="{00000000-0006-0000-0100-0000D0000000}">
      <text>
        <r>
          <rPr>
            <sz val="11"/>
            <color theme="1"/>
            <rFont val="Calibri"/>
            <family val="2"/>
            <scheme val="minor"/>
          </rPr>
          <t>======
ID#AAABDDKrRc4
Gavin Mudd    (2023-12-20 21:24:04)
historic resources (non-compliant with NI43-101) - hence all data allocated as inferred resources only</t>
        </r>
      </text>
    </comment>
    <comment ref="BG47" authorId="0" shapeId="0" xr:uid="{00000000-0006-0000-0100-0000EB010000}">
      <text>
        <r>
          <rPr>
            <sz val="11"/>
            <color theme="1"/>
            <rFont val="Calibri"/>
            <family val="2"/>
            <scheme val="minor"/>
          </rPr>
          <t>======
ID#AAABDDKrQ6c
Gavin Mudd    (2023-12-20 21:24:04)
historic resources (non-compliant with NI43-101) - hence all data allocated as inferred resources only</t>
        </r>
      </text>
    </comment>
    <comment ref="A48" authorId="0" shapeId="0" xr:uid="{00000000-0006-0000-0100-000020020000}">
      <text>
        <r>
          <rPr>
            <sz val="11"/>
            <color theme="1"/>
            <rFont val="Calibri"/>
            <family val="2"/>
            <scheme val="minor"/>
          </rPr>
          <t>======
ID#AAABDDKrQz0
Author    (2023-12-20 21:24:04)
includes Kubuk, Gorny, Ikenskoe / Sobolevsky, Vodorazdelny, Maly Kurumkon / Flangovy</t>
        </r>
      </text>
    </comment>
    <comment ref="CO48" authorId="0" shapeId="0" xr:uid="{00000000-0006-0000-0100-000017050000}">
      <text>
        <r>
          <rPr>
            <sz val="11"/>
            <color theme="1"/>
            <rFont val="Calibri"/>
            <family val="2"/>
            <scheme val="minor"/>
          </rPr>
          <t>======
ID#AAABDDKrPVM
Gavin Mudd    (2023-12-20 21:24:03)
based on website data (not formally included in annual report)</t>
        </r>
      </text>
    </comment>
    <comment ref="CP48" authorId="0" shapeId="0" xr:uid="{00000000-0006-0000-0100-00000B050000}">
      <text>
        <r>
          <rPr>
            <sz val="11"/>
            <color theme="1"/>
            <rFont val="Calibri"/>
            <family val="2"/>
            <scheme val="minor"/>
          </rPr>
          <t>======
ID#AAABDDKrPWo
Gavin Mudd    (2023-12-20 21:24:03)
based on website data (not formally included in annual report)</t>
        </r>
      </text>
    </comment>
    <comment ref="CW48" authorId="0" shapeId="0" xr:uid="{00000000-0006-0000-0100-000008030000}">
      <text>
        <r>
          <rPr>
            <sz val="11"/>
            <color theme="1"/>
            <rFont val="Calibri"/>
            <family val="2"/>
            <scheme val="minor"/>
          </rPr>
          <t>======
ID#AAABDDKrQUg
Gavin Mudd    (2023-12-20 21:24:03)
based on website data (not formally included in annual report)</t>
        </r>
      </text>
    </comment>
    <comment ref="CX48" authorId="0" shapeId="0" xr:uid="{00000000-0006-0000-0100-0000B2030000}">
      <text>
        <r>
          <rPr>
            <sz val="11"/>
            <color theme="1"/>
            <rFont val="Calibri"/>
            <family val="2"/>
            <scheme val="minor"/>
          </rPr>
          <t>======
ID#AAABDDKrQA8
Gavin Mudd    (2023-12-20 21:24:03)
assumed from indicated resources</t>
        </r>
      </text>
    </comment>
    <comment ref="CY48" authorId="0" shapeId="0" xr:uid="{00000000-0006-0000-0100-000077050000}">
      <text>
        <r>
          <rPr>
            <sz val="11"/>
            <color theme="1"/>
            <rFont val="Calibri"/>
            <family val="2"/>
            <scheme val="minor"/>
          </rPr>
          <t>======
ID#AAABDDKrPJo
Gavin Mudd    (2023-12-20 21:24:03)
assumed from indicated resources</t>
        </r>
      </text>
    </comment>
    <comment ref="CZ48" authorId="0" shapeId="0" xr:uid="{00000000-0006-0000-0100-000006040000}">
      <text>
        <r>
          <rPr>
            <sz val="11"/>
            <color theme="1"/>
            <rFont val="Calibri"/>
            <family val="2"/>
            <scheme val="minor"/>
          </rPr>
          <t>======
ID#AAABDDKrP3g
Gavin Mudd    (2023-12-20 21:24:03)
assumed from indicated resources</t>
        </r>
      </text>
    </comment>
    <comment ref="F49" authorId="0" shapeId="0" xr:uid="{00000000-0006-0000-0100-000091030000}">
      <text>
        <r>
          <rPr>
            <sz val="11"/>
            <color theme="1"/>
            <rFont val="Calibri"/>
            <family val="2"/>
            <scheme val="minor"/>
          </rPr>
          <t>======
ID#AAABDDKrQFA
Gavin Mudd    (2023-12-20 21:24:03)
previously held by Allegiance Mining, then then Zinifex, then OZ Minerals, then MMG, now Dundas Mining</t>
        </r>
      </text>
    </comment>
    <comment ref="DN49" authorId="0" shapeId="0" xr:uid="{00000000-0006-0000-0100-000018020000}">
      <text>
        <r>
          <rPr>
            <sz val="11"/>
            <color theme="1"/>
            <rFont val="Calibri"/>
            <family val="2"/>
            <scheme val="minor"/>
          </rPr>
          <t>======
ID#AAABDDKrQ0w
Gavin Mudd    (2023-12-20 21:24:04)
data from previous owner MMG</t>
        </r>
      </text>
    </comment>
    <comment ref="F74" authorId="0" shapeId="0" xr:uid="{00000000-0006-0000-0100-0000A8000000}">
      <text>
        <r>
          <rPr>
            <sz val="11"/>
            <color theme="1"/>
            <rFont val="Calibri"/>
            <family val="2"/>
            <scheme val="minor"/>
          </rPr>
          <t>======
ID#AAABDDKrRho
Gavin Mudd    (2023-12-20 21:24:04)
formerly Proto Resources Ltd (now bankrupt)</t>
        </r>
      </text>
    </comment>
    <comment ref="AY81" authorId="0" shapeId="0" xr:uid="{00000000-0006-0000-0100-000083000000}">
      <text>
        <r>
          <rPr>
            <sz val="11"/>
            <color theme="1"/>
            <rFont val="Calibri"/>
            <family val="2"/>
            <scheme val="minor"/>
          </rPr>
          <t>======
ID#AAABDDKrRnE
Gavin Mudd    (2023-12-20 21:24:04)
not JORC-code compliant</t>
        </r>
      </text>
    </comment>
    <comment ref="BG81" authorId="0" shapeId="0" xr:uid="{00000000-0006-0000-0100-000071030000}">
      <text>
        <r>
          <rPr>
            <sz val="11"/>
            <color theme="1"/>
            <rFont val="Calibri"/>
            <family val="2"/>
            <scheme val="minor"/>
          </rPr>
          <t>======
ID#AAABDDKrQH4
Gavin Mudd    (2023-12-20 21:24:03)
not JORC-code compliant</t>
        </r>
      </text>
    </comment>
    <comment ref="AY82" authorId="0" shapeId="0" xr:uid="{00000000-0006-0000-0100-000098030000}">
      <text>
        <r>
          <rPr>
            <sz val="11"/>
            <color theme="1"/>
            <rFont val="Calibri"/>
            <family val="2"/>
            <scheme val="minor"/>
          </rPr>
          <t>======
ID#AAABDDKrQEY
Gavin Mudd    (2023-12-20 21:24:03)
historic resources (non-compliant with NI43-101) - hence all data allocated as inferred resources only</t>
        </r>
      </text>
    </comment>
    <comment ref="BG82" authorId="0" shapeId="0" xr:uid="{00000000-0006-0000-0100-00001C030000}">
      <text>
        <r>
          <rPr>
            <sz val="11"/>
            <color theme="1"/>
            <rFont val="Calibri"/>
            <family val="2"/>
            <scheme val="minor"/>
          </rPr>
          <t>======
ID#AAABDDKrQR4
Gavin Mudd    (2023-12-20 21:24:03)
historic resources (non-compliant with NI43-101) - hence all data allocated as inferred resources only</t>
        </r>
      </text>
    </comment>
    <comment ref="BH82" authorId="0" shapeId="0" xr:uid="{00000000-0006-0000-0100-00009D040000}">
      <text>
        <r>
          <rPr>
            <sz val="11"/>
            <color theme="1"/>
            <rFont val="Calibri"/>
            <family val="2"/>
            <scheme val="minor"/>
          </rPr>
          <t>======
ID#AAABDDKrPjo
Gavin Mudd    (2023-12-20 21:24:03)
historic resources (non-compliant with NI43-101) - hence all data allocated as inferred resources only</t>
        </r>
      </text>
    </comment>
    <comment ref="AY83" authorId="0" shapeId="0" xr:uid="{00000000-0006-0000-0100-0000E8030000}">
      <text>
        <r>
          <rPr>
            <sz val="11"/>
            <color theme="1"/>
            <rFont val="Calibri"/>
            <family val="2"/>
            <scheme val="minor"/>
          </rPr>
          <t>======
ID#AAABDDKrP6g
Gavin Mudd    (2023-12-20 21:24:03)
only total resources reported, assumed as inferred</t>
        </r>
      </text>
    </comment>
    <comment ref="BG83" authorId="0" shapeId="0" xr:uid="{00000000-0006-0000-0100-00001A040000}">
      <text>
        <r>
          <rPr>
            <sz val="11"/>
            <color theme="1"/>
            <rFont val="Calibri"/>
            <family val="2"/>
            <scheme val="minor"/>
          </rPr>
          <t>======
ID#AAABDDKrP0w
Gavin Mudd    (2023-12-20 21:24:03)
only total resources reported, assumed as inferred</t>
        </r>
      </text>
    </comment>
    <comment ref="AY84" authorId="0" shapeId="0" xr:uid="{00000000-0006-0000-0100-00005D050000}">
      <text>
        <r>
          <rPr>
            <sz val="11"/>
            <color theme="1"/>
            <rFont val="Calibri"/>
            <family val="2"/>
            <scheme val="minor"/>
          </rPr>
          <t>======
ID#AAABDDKrPNQ
Gavin Mudd    (2023-12-20 21:24:03)
historic resources (non-compliant with NI43-101) - hence all data allocated as inferred resources only; adjusted for 13 years mining @ ~0.3 Mt ore/yr since 2005</t>
        </r>
      </text>
    </comment>
    <comment ref="BG84" authorId="0" shapeId="0" xr:uid="{00000000-0006-0000-0100-000080040000}">
      <text>
        <r>
          <rPr>
            <sz val="11"/>
            <color theme="1"/>
            <rFont val="Calibri"/>
            <family val="2"/>
            <scheme val="minor"/>
          </rPr>
          <t>======
ID#AAABDDKrPng
Gavin Mudd    (2023-12-20 21:24:03)
historic resources (non-compliant with NI43-101) - hence all data allocated as inferred resources only</t>
        </r>
      </text>
    </comment>
    <comment ref="BH84" authorId="0" shapeId="0" xr:uid="{00000000-0006-0000-0100-000008020000}">
      <text>
        <r>
          <rPr>
            <sz val="11"/>
            <color theme="1"/>
            <rFont val="Calibri"/>
            <family val="2"/>
            <scheme val="minor"/>
          </rPr>
          <t>======
ID#AAABDDKrQ3M
Gavin Mudd    (2023-12-20 21:24:04)
historic resources (non-compliant with NI43-101) - hence all data allocated as inferred resources only</t>
        </r>
      </text>
    </comment>
    <comment ref="AY85" authorId="0" shapeId="0" xr:uid="{00000000-0006-0000-0100-000041030000}">
      <text>
        <r>
          <rPr>
            <sz val="11"/>
            <color theme="1"/>
            <rFont val="Calibri"/>
            <family val="2"/>
            <scheme val="minor"/>
          </rPr>
          <t>======
ID#AAABDDKrQMo
Gavin Mudd    (2023-12-20 21:24:03)
historic resources (non-compliant with NI43-101) - hence all data allocated as inferred resources only; adjusted for 13 years mining @ ~0.3 Mt ore/yr since 2005</t>
        </r>
      </text>
    </comment>
    <comment ref="BG85" authorId="0" shapeId="0" xr:uid="{00000000-0006-0000-0100-000006010000}">
      <text>
        <r>
          <rPr>
            <sz val="11"/>
            <color theme="1"/>
            <rFont val="Calibri"/>
            <family val="2"/>
            <scheme val="minor"/>
          </rPr>
          <t>======
ID#AAABDDKrRWU
Gavin Mudd    (2023-12-20 21:24:04)
historic resources (non-compliant with NI43-101) - hence all data allocated as inferred resources only</t>
        </r>
      </text>
    </comment>
    <comment ref="AY86" authorId="0" shapeId="0" xr:uid="{00000000-0006-0000-0100-000029060000}">
      <text>
        <r>
          <rPr>
            <sz val="11"/>
            <color theme="1"/>
            <rFont val="Calibri"/>
            <family val="2"/>
            <scheme val="minor"/>
          </rPr>
          <t>======
ID#AAABCyJQh70
Gavin Mudd    (2023-12-20 21:24:02)
historic resources (non-compliant with NI43-101) - hence all data allocated as inferred resources only</t>
        </r>
      </text>
    </comment>
    <comment ref="BG86" authorId="0" shapeId="0" xr:uid="{00000000-0006-0000-0100-000054010000}">
      <text>
        <r>
          <rPr>
            <sz val="11"/>
            <color theme="1"/>
            <rFont val="Calibri"/>
            <family val="2"/>
            <scheme val="minor"/>
          </rPr>
          <t>======
ID#AAABDDKrRM0
Gavin Mudd    (2023-12-20 21:24:04)
historic resources (non-compliant with NI43-101) - hence all data allocated as inferred resources only</t>
        </r>
      </text>
    </comment>
    <comment ref="BH86" authorId="0" shapeId="0" xr:uid="{00000000-0006-0000-0100-000026050000}">
      <text>
        <r>
          <rPr>
            <sz val="11"/>
            <color theme="1"/>
            <rFont val="Calibri"/>
            <family val="2"/>
            <scheme val="minor"/>
          </rPr>
          <t>======
ID#AAABDDKrPTo
Gavin Mudd    (2023-12-20 21:24:03)
data from Prof. Sokol Mati</t>
        </r>
      </text>
    </comment>
    <comment ref="AY87" authorId="0" shapeId="0" xr:uid="{00000000-0006-0000-0100-0000FB050000}">
      <text>
        <r>
          <rPr>
            <sz val="11"/>
            <color theme="1"/>
            <rFont val="Calibri"/>
            <family val="2"/>
            <scheme val="minor"/>
          </rPr>
          <t>======
ID#AAABDDKrO50
Gavin Mudd    (2023-12-20 21:24:02)
historic resources (non-compliant with NI43-101) - hence all data allocated as inferred resources only</t>
        </r>
      </text>
    </comment>
    <comment ref="BG87" authorId="0" shapeId="0" xr:uid="{00000000-0006-0000-0100-0000F4000000}">
      <text>
        <r>
          <rPr>
            <sz val="11"/>
            <color theme="1"/>
            <rFont val="Calibri"/>
            <family val="2"/>
            <scheme val="minor"/>
          </rPr>
          <t>======
ID#AAABDDKrRYg
Gavin Mudd    (2023-12-20 21:24:04)
historic resources (non-compliant with NI43-101) - hence all data allocated as inferred resources only</t>
        </r>
      </text>
    </comment>
    <comment ref="BH87" authorId="0" shapeId="0" xr:uid="{00000000-0006-0000-0100-0000FE030000}">
      <text>
        <r>
          <rPr>
            <sz val="11"/>
            <color theme="1"/>
            <rFont val="Calibri"/>
            <family val="2"/>
            <scheme val="minor"/>
          </rPr>
          <t>======
ID#AAABDDKrP4U
Gavin Mudd    (2023-12-20 21:24:03)
historic resources (non-compliant with NI43-101) - hence all data allocated as inferred resources only</t>
        </r>
      </text>
    </comment>
    <comment ref="F88" authorId="0" shapeId="0" xr:uid="{00000000-0006-0000-0100-000050010000}">
      <text>
        <r>
          <rPr>
            <sz val="11"/>
            <color theme="1"/>
            <rFont val="Calibri"/>
            <family val="2"/>
            <scheme val="minor"/>
          </rPr>
          <t>======
ID#AAABDDKrRNY
Gavin Mudd    (2023-12-20 21:24:04)
previously held by Graynic Metals Plc</t>
        </r>
      </text>
    </comment>
    <comment ref="AY88" authorId="0" shapeId="0" xr:uid="{00000000-0006-0000-0100-000002040000}">
      <text>
        <r>
          <rPr>
            <sz val="11"/>
            <color theme="1"/>
            <rFont val="Calibri"/>
            <family val="2"/>
            <scheme val="minor"/>
          </rPr>
          <t>======
ID#AAABDDKrP38
Gavin Mudd    (2023-12-20 21:24:03)
historic resources (non-compliant with NI43-101) - hence all data allocated as inferred resources only; adjusted for 13 years mining @ ~0.7 Mt ore/yr since 2005</t>
        </r>
      </text>
    </comment>
    <comment ref="BG88" authorId="0" shapeId="0" xr:uid="{00000000-0006-0000-0100-0000C7040000}">
      <text>
        <r>
          <rPr>
            <sz val="11"/>
            <color theme="1"/>
            <rFont val="Calibri"/>
            <family val="2"/>
            <scheme val="minor"/>
          </rPr>
          <t>======
ID#AAABDDKrPfg
Gavin Mudd    (2023-12-20 21:24:03)
historic resources (non-compliant with NI43-101) - hence all data allocated as inferred resources only</t>
        </r>
      </text>
    </comment>
    <comment ref="BH88" authorId="0" shapeId="0" xr:uid="{00000000-0006-0000-0100-00005B040000}">
      <text>
        <r>
          <rPr>
            <sz val="11"/>
            <color theme="1"/>
            <rFont val="Calibri"/>
            <family val="2"/>
            <scheme val="minor"/>
          </rPr>
          <t>======
ID#AAABDDKrPs4
Gavin Mudd    (2023-12-20 21:24:03)
historic resources (non-compliant with NI43-101) - hence all data allocated as inferred resources only</t>
        </r>
      </text>
    </comment>
    <comment ref="F89" authorId="0" shapeId="0" xr:uid="{00000000-0006-0000-0100-0000D4020000}">
      <text>
        <r>
          <rPr>
            <sz val="11"/>
            <color theme="1"/>
            <rFont val="Calibri"/>
            <family val="2"/>
            <scheme val="minor"/>
          </rPr>
          <t>======
ID#AAABDDKrQbg
Gavin Mudd    (2023-12-20 21:24:03)
various owners previously</t>
        </r>
      </text>
    </comment>
    <comment ref="A90" authorId="0" shapeId="0" xr:uid="{00000000-0006-0000-0100-0000E5010000}">
      <text>
        <r>
          <rPr>
            <sz val="11"/>
            <color theme="1"/>
            <rFont val="Calibri"/>
            <family val="2"/>
            <scheme val="minor"/>
          </rPr>
          <t>======
ID#AAABDDKrQ7k
Gavin Mudd    (2023-12-20 21:24:04)
includes Trull-Surroj, Mamez, Namen (Nome)-Arren</t>
        </r>
      </text>
    </comment>
    <comment ref="F90" authorId="0" shapeId="0" xr:uid="{00000000-0006-0000-0100-0000D6050000}">
      <text>
        <r>
          <rPr>
            <sz val="11"/>
            <color theme="1"/>
            <rFont val="Calibri"/>
            <family val="2"/>
            <scheme val="minor"/>
          </rPr>
          <t>======
ID#AAABDDKrO-0
Gavin Mudd    (2023-12-20 21:24:03)
previously held by Balkan Resources, which became Arian Resources</t>
        </r>
      </text>
    </comment>
    <comment ref="AY90" authorId="0" shapeId="0" xr:uid="{00000000-0006-0000-0100-0000E6010000}">
      <text>
        <r>
          <rPr>
            <sz val="11"/>
            <color theme="1"/>
            <rFont val="Calibri"/>
            <family val="2"/>
            <scheme val="minor"/>
          </rPr>
          <t>======
ID#AAABDDKrQ7U
Gavin Mudd    (2023-12-20 21:24:04)
historic resources (non-compliant with NI43-101) - hence all data allocated as inferred resources only</t>
        </r>
      </text>
    </comment>
    <comment ref="BG90" authorId="0" shapeId="0" xr:uid="{00000000-0006-0000-0100-0000D5000000}">
      <text>
        <r>
          <rPr>
            <sz val="11"/>
            <color theme="1"/>
            <rFont val="Calibri"/>
            <family val="2"/>
            <scheme val="minor"/>
          </rPr>
          <t>======
ID#AAABDDKrRcQ
Gavin Mudd    (2023-12-20 21:24:04)
historic resources (non-compliant with NI43-101) - hence all data allocated as inferred resources only</t>
        </r>
      </text>
    </comment>
    <comment ref="BH90" authorId="0" shapeId="0" xr:uid="{00000000-0006-0000-0100-000001020000}">
      <text>
        <r>
          <rPr>
            <sz val="11"/>
            <color theme="1"/>
            <rFont val="Calibri"/>
            <family val="2"/>
            <scheme val="minor"/>
          </rPr>
          <t>======
ID#AAABDDKrQ4Q
Gavin Mudd    (2023-12-20 21:24:04)
historic resources (non-compliant with NI43-101) - hence all data allocated as inferred resources only</t>
        </r>
      </text>
    </comment>
    <comment ref="BN90" authorId="0" shapeId="0" xr:uid="{00000000-0006-0000-0100-000044000000}">
      <text>
        <r>
          <rPr>
            <sz val="11"/>
            <color theme="1"/>
            <rFont val="Calibri"/>
            <family val="2"/>
            <scheme val="minor"/>
          </rPr>
          <t>======
ID#AAABDDKrRuo
Gavin Mudd    (2023-12-20 21:24:04)
historic resources (non-compliant with NI43-101) - hence all data allocated as inferred resources only</t>
        </r>
      </text>
    </comment>
    <comment ref="BO90" authorId="0" shapeId="0" xr:uid="{00000000-0006-0000-0100-00000F040000}">
      <text>
        <r>
          <rPr>
            <sz val="11"/>
            <color theme="1"/>
            <rFont val="Calibri"/>
            <family val="2"/>
            <scheme val="minor"/>
          </rPr>
          <t>======
ID#AAABDDKrP2M
Gavin Mudd    (2023-12-20 21:24:03)
historic resources (non-compliant with NI43-101) - hence all data allocated as inferred resources only</t>
        </r>
      </text>
    </comment>
    <comment ref="F91" authorId="0" shapeId="0" xr:uid="{00000000-0006-0000-0100-0000D3020000}">
      <text>
        <r>
          <rPr>
            <sz val="11"/>
            <color theme="1"/>
            <rFont val="Calibri"/>
            <family val="2"/>
            <scheme val="minor"/>
          </rPr>
          <t>======
ID#AAABDDKrQbo
Gavin Mudd    (2023-12-20 21:24:03)
previously held by Balkan Resources, which became Arian Resources</t>
        </r>
      </text>
    </comment>
    <comment ref="AY91" authorId="0" shapeId="0" xr:uid="{00000000-0006-0000-0100-000063030000}">
      <text>
        <r>
          <rPr>
            <sz val="11"/>
            <color theme="1"/>
            <rFont val="Calibri"/>
            <family val="2"/>
            <scheme val="minor"/>
          </rPr>
          <t>======
ID#AAABDDKrQI8
Gavin Mudd    (2023-12-20 21:24:03)
historic resources (non-compliant with NI43-101) - hence all data allocated as inferred resources only</t>
        </r>
      </text>
    </comment>
    <comment ref="BG91" authorId="0" shapeId="0" xr:uid="{00000000-0006-0000-0100-00000C020000}">
      <text>
        <r>
          <rPr>
            <sz val="11"/>
            <color theme="1"/>
            <rFont val="Calibri"/>
            <family val="2"/>
            <scheme val="minor"/>
          </rPr>
          <t>======
ID#AAABDDKrQ2w
Gavin Mudd    (2023-12-20 21:24:04)
historic resources (non-compliant with NI43-101) - hence all data allocated as inferred resources only</t>
        </r>
      </text>
    </comment>
    <comment ref="BH91" authorId="0" shapeId="0" xr:uid="{00000000-0006-0000-0100-00002F020000}">
      <text>
        <r>
          <rPr>
            <sz val="11"/>
            <color theme="1"/>
            <rFont val="Calibri"/>
            <family val="2"/>
            <scheme val="minor"/>
          </rPr>
          <t>======
ID#AAABDDKrQxw
Gavin Mudd    (2023-12-20 21:24:04)
historic resources (non-compliant with NI43-101) - hence all data allocated as inferred resources only</t>
        </r>
      </text>
    </comment>
    <comment ref="BN91" authorId="0" shapeId="0" xr:uid="{00000000-0006-0000-0100-0000F8000000}">
      <text>
        <r>
          <rPr>
            <sz val="11"/>
            <color theme="1"/>
            <rFont val="Calibri"/>
            <family val="2"/>
            <scheme val="minor"/>
          </rPr>
          <t>======
ID#AAABDDKrRYM
Gavin Mudd    (2023-12-20 21:24:04)
historic resources (non-compliant with NI43-101) - hence all data allocated as inferred resources only</t>
        </r>
      </text>
    </comment>
    <comment ref="BO91" authorId="0" shapeId="0" xr:uid="{00000000-0006-0000-0100-0000CF050000}">
      <text>
        <r>
          <rPr>
            <sz val="11"/>
            <color theme="1"/>
            <rFont val="Calibri"/>
            <family val="2"/>
            <scheme val="minor"/>
          </rPr>
          <t>======
ID#AAABDDKrO_U
Gavin Mudd    (2023-12-20 21:24:03)
historic resources (non-compliant with NI43-101) - hence all data allocated as inferred resources only</t>
        </r>
      </text>
    </comment>
    <comment ref="A92" authorId="0" shapeId="0" xr:uid="{00000000-0006-0000-0100-000072000000}">
      <text>
        <r>
          <rPr>
            <sz val="11"/>
            <color theme="1"/>
            <rFont val="Calibri"/>
            <family val="2"/>
            <scheme val="minor"/>
          </rPr>
          <t>======
ID#AAABDDKrRpk
Gavin Mudd    (2023-12-20 21:24:04)
includes Bitinckës, Trenit, Kokogllaves, Serpentine, Kapshticës</t>
        </r>
      </text>
    </comment>
    <comment ref="F92" authorId="0" shapeId="0" xr:uid="{00000000-0006-0000-0100-00002B000000}">
      <text>
        <r>
          <rPr>
            <sz val="11"/>
            <color theme="1"/>
            <rFont val="Calibri"/>
            <family val="2"/>
            <scheme val="minor"/>
          </rPr>
          <t>======
ID#AAABDDKrRw8
Gavin Mudd    (2023-12-20 21:24:04)
previously held by Balkan Resources, which became Arian Resources</t>
        </r>
      </text>
    </comment>
    <comment ref="AY92" authorId="0" shapeId="0" xr:uid="{00000000-0006-0000-0100-0000CB040000}">
      <text>
        <r>
          <rPr>
            <sz val="11"/>
            <color theme="1"/>
            <rFont val="Calibri"/>
            <family val="2"/>
            <scheme val="minor"/>
          </rPr>
          <t>======
ID#AAABDDKrPfI
Gavin Mudd    (2023-12-20 21:24:03)
historic resources (non-compliant with NI43-101) - hence all data allocated as inferred resources only</t>
        </r>
      </text>
    </comment>
    <comment ref="BG92" authorId="0" shapeId="0" xr:uid="{00000000-0006-0000-0100-000008040000}">
      <text>
        <r>
          <rPr>
            <sz val="11"/>
            <color theme="1"/>
            <rFont val="Calibri"/>
            <family val="2"/>
            <scheme val="minor"/>
          </rPr>
          <t>======
ID#AAABDDKrP3A
Gavin Mudd    (2023-12-20 21:24:03)
historic resources (non-compliant with NI43-101) - hence all data allocated as inferred resources only</t>
        </r>
      </text>
    </comment>
    <comment ref="BH92" authorId="0" shapeId="0" xr:uid="{00000000-0006-0000-0100-0000D5040000}">
      <text>
        <r>
          <rPr>
            <sz val="11"/>
            <color theme="1"/>
            <rFont val="Calibri"/>
            <family val="2"/>
            <scheme val="minor"/>
          </rPr>
          <t>======
ID#AAABDDKrPd0
Gavin Mudd    (2023-12-20 21:24:03)
historic resources (non-compliant with NI43-101) - hence all data allocated as inferred resources only</t>
        </r>
      </text>
    </comment>
    <comment ref="BN92" authorId="0" shapeId="0" xr:uid="{00000000-0006-0000-0100-00003E060000}">
      <text>
        <r>
          <rPr>
            <sz val="11"/>
            <color theme="1"/>
            <rFont val="Calibri"/>
            <family val="2"/>
            <scheme val="minor"/>
          </rPr>
          <t>======
ID#AAABCyJQh5Q
Gavin Mudd    (2023-12-20 21:24:02)
historic resources (non-compliant with NI43-101) - hence all data allocated as inferred resources only</t>
        </r>
      </text>
    </comment>
    <comment ref="BO92" authorId="0" shapeId="0" xr:uid="{00000000-0006-0000-0100-0000A3050000}">
      <text>
        <r>
          <rPr>
            <sz val="11"/>
            <color theme="1"/>
            <rFont val="Calibri"/>
            <family val="2"/>
            <scheme val="minor"/>
          </rPr>
          <t>======
ID#AAABDDKrPE8
Gavin Mudd    (2023-12-20 21:24:03)
historic resources (non-compliant with NI43-101) - hence all data allocated as inferred resources only</t>
        </r>
      </text>
    </comment>
    <comment ref="I93" authorId="0" shapeId="0" xr:uid="{00000000-0006-0000-0100-0000E1030000}">
      <text>
        <r>
          <rPr>
            <sz val="11"/>
            <color theme="1"/>
            <rFont val="Calibri"/>
            <family val="2"/>
            <scheme val="minor"/>
          </rPr>
          <t>======
ID#AAABDDKrP7I
Gavin Mudd    (2023-12-20 21:24:03)
assumes proved reserves plus measured resources</t>
        </r>
      </text>
    </comment>
    <comment ref="Q93" authorId="0" shapeId="0" xr:uid="{00000000-0006-0000-0100-000078040000}">
      <text>
        <r>
          <rPr>
            <sz val="11"/>
            <color theme="1"/>
            <rFont val="Calibri"/>
            <family val="2"/>
            <scheme val="minor"/>
          </rPr>
          <t>======
ID#AAABDDKrPo0
Gavin Mudd    (2023-12-20 21:24:03)
assumes proved reserves plus measured resources</t>
        </r>
      </text>
    </comment>
    <comment ref="AD93" authorId="0" shapeId="0" xr:uid="{00000000-0006-0000-0100-00006E030000}">
      <text>
        <r>
          <rPr>
            <sz val="11"/>
            <color theme="1"/>
            <rFont val="Calibri"/>
            <family val="2"/>
            <scheme val="minor"/>
          </rPr>
          <t>======
ID#AAABDDKrQII
Gavin Mudd    (2023-12-20 21:24:03)
assumes probable reserves plus indicated resources</t>
        </r>
      </text>
    </comment>
    <comment ref="AL93" authorId="0" shapeId="0" xr:uid="{00000000-0006-0000-0100-000052040000}">
      <text>
        <r>
          <rPr>
            <sz val="11"/>
            <color theme="1"/>
            <rFont val="Calibri"/>
            <family val="2"/>
            <scheme val="minor"/>
          </rPr>
          <t>======
ID#AAABDDKrPt0
Gavin Mudd    (2023-12-20 21:24:03)
assumes probable reserves plus indicated resources</t>
        </r>
      </text>
    </comment>
    <comment ref="F94" authorId="0" shapeId="0" xr:uid="{00000000-0006-0000-0100-0000A7020000}">
      <text>
        <r>
          <rPr>
            <sz val="11"/>
            <color theme="1"/>
            <rFont val="Calibri"/>
            <family val="2"/>
            <scheme val="minor"/>
          </rPr>
          <t>======
ID#AAABDDKrQhU
Gavin Mudd    (2023-12-20 21:24:04)
previously held by Lisungwe Resources Plc</t>
        </r>
      </text>
    </comment>
    <comment ref="DN94" authorId="0" shapeId="0" xr:uid="{00000000-0006-0000-0100-000014040000}">
      <text>
        <r>
          <rPr>
            <sz val="11"/>
            <color theme="1"/>
            <rFont val="Calibri"/>
            <family val="2"/>
            <scheme val="minor"/>
          </rPr>
          <t>======
ID#AAABDDKrP1o
Gavin Mudd    (2023-12-20 21:24:03)
data from Lisungwe Resources Plc</t>
        </r>
      </text>
    </comment>
    <comment ref="F95" authorId="0" shapeId="0" xr:uid="{00000000-0006-0000-0100-000018010000}">
      <text>
        <r>
          <rPr>
            <sz val="11"/>
            <color theme="1"/>
            <rFont val="Calibri"/>
            <family val="2"/>
            <scheme val="minor"/>
          </rPr>
          <t>======
ID#AAABDDKrRTU
Gavin Mudd    (2023-12-20 21:24:04)
previously held by Northern Mining Ltd; then KGHM</t>
        </r>
      </text>
    </comment>
    <comment ref="DN95" authorId="0" shapeId="0" xr:uid="{00000000-0006-0000-0100-000023010000}">
      <text>
        <r>
          <rPr>
            <sz val="11"/>
            <color theme="1"/>
            <rFont val="Calibri"/>
            <family val="2"/>
            <scheme val="minor"/>
          </rPr>
          <t>======
ID#AAABDDKrRSE
Gavin Mudd    (2023-12-20 21:24:04)
data from Northern Mining Ltd</t>
        </r>
      </text>
    </comment>
    <comment ref="I96" authorId="0" shapeId="0" xr:uid="{00000000-0006-0000-0100-000075060000}">
      <text>
        <r>
          <rPr>
            <sz val="11"/>
            <color theme="1"/>
            <rFont val="Calibri"/>
            <family val="2"/>
            <scheme val="minor"/>
          </rPr>
          <t>======
ID#AAABCyJQhw4
Gavin Mudd    (2023-12-20 21:24:02)
assumes proved reserves plus measured resources</t>
        </r>
      </text>
    </comment>
    <comment ref="AD96" authorId="0" shapeId="0" xr:uid="{00000000-0006-0000-0100-000054040000}">
      <text>
        <r>
          <rPr>
            <sz val="11"/>
            <color theme="1"/>
            <rFont val="Calibri"/>
            <family val="2"/>
            <scheme val="minor"/>
          </rPr>
          <t>======
ID#AAABDDKrPtc
Gavin Mudd    (2023-12-20 21:24:03)
assumes probable reserves plus indicated resources</t>
        </r>
      </text>
    </comment>
    <comment ref="AL96" authorId="0" shapeId="0" xr:uid="{00000000-0006-0000-0100-00002B050000}">
      <text>
        <r>
          <rPr>
            <sz val="11"/>
            <color theme="1"/>
            <rFont val="Calibri"/>
            <family val="2"/>
            <scheme val="minor"/>
          </rPr>
          <t>======
ID#AAABDDKrPTI
Gavin Mudd    (2023-12-20 21:24:03)
assumes probable reserves plus indicated resources</t>
        </r>
      </text>
    </comment>
    <comment ref="F97" authorId="0" shapeId="0" xr:uid="{00000000-0006-0000-0100-00006C030000}">
      <text>
        <r>
          <rPr>
            <sz val="11"/>
            <color theme="1"/>
            <rFont val="Calibri"/>
            <family val="2"/>
            <scheme val="minor"/>
          </rPr>
          <t>======
ID#AAABDDKrQIQ
Gavin Mudd    (2023-12-20 21:24:03)
Perilya Mines were taken over by Zhongjin Lingnan Nonfemet Company in Dec. 2013 ...</t>
        </r>
      </text>
    </comment>
    <comment ref="A98" authorId="0" shapeId="0" xr:uid="{00000000-0006-0000-0100-000051050000}">
      <text>
        <r>
          <rPr>
            <sz val="11"/>
            <color theme="1"/>
            <rFont val="Calibri"/>
            <family val="2"/>
            <scheme val="minor"/>
          </rPr>
          <t>======
ID#AAABDDKrPOw
Gavin Mudd    (2023-12-20 21:24:03)
includes South: Pequizeiro, Baião, Pequizeiro West, Jacutinga, Vila Oito East, Vila Oito West, Vila Oito; North: Vale do Sonhos</t>
        </r>
      </text>
    </comment>
    <comment ref="I99" authorId="0" shapeId="0" xr:uid="{00000000-0006-0000-0100-000081060000}">
      <text>
        <r>
          <rPr>
            <sz val="11"/>
            <color theme="1"/>
            <rFont val="Calibri"/>
            <family val="2"/>
            <scheme val="minor"/>
          </rPr>
          <t>======
ID#AAABCyJQhu4
Gavin Mudd    (2023-12-20 21:24:01)
proved oer reserves assumed same as measured resources (due to lack of total mineral resources data)</t>
        </r>
      </text>
    </comment>
    <comment ref="Q99" authorId="0" shapeId="0" xr:uid="{00000000-0006-0000-0100-000073020000}">
      <text>
        <r>
          <rPr>
            <sz val="11"/>
            <color theme="1"/>
            <rFont val="Calibri"/>
            <family val="2"/>
            <scheme val="minor"/>
          </rPr>
          <t>======
ID#AAABDDKrQpE
Gavin Mudd    (2023-12-20 21:24:04)
proved oer reserves assumed same as measured resources (due to lack of total mineral resources data)</t>
        </r>
      </text>
    </comment>
    <comment ref="R99" authorId="0" shapeId="0" xr:uid="{00000000-0006-0000-0100-0000E6020000}">
      <text>
        <r>
          <rPr>
            <sz val="11"/>
            <color theme="1"/>
            <rFont val="Calibri"/>
            <family val="2"/>
            <scheme val="minor"/>
          </rPr>
          <t>======
ID#AAABDDKrQZM
Gavin Mudd    (2023-12-20 21:24:03)
proved oer reserves assumed same as measured resources (due to lack of total mineral resources data)</t>
        </r>
      </text>
    </comment>
    <comment ref="AD99" authorId="0" shapeId="0" xr:uid="{00000000-0006-0000-0100-0000A8050000}">
      <text>
        <r>
          <rPr>
            <sz val="11"/>
            <color theme="1"/>
            <rFont val="Calibri"/>
            <family val="2"/>
            <scheme val="minor"/>
          </rPr>
          <t>======
ID#AAABDDKrPEU
Gavin Mudd    (2023-12-20 21:24:03)
probable oer reserves assumed same as indicated resources (due to lack of total mineral resources data)</t>
        </r>
      </text>
    </comment>
    <comment ref="AL99" authorId="0" shapeId="0" xr:uid="{00000000-0006-0000-0100-00002C030000}">
      <text>
        <r>
          <rPr>
            <sz val="11"/>
            <color theme="1"/>
            <rFont val="Calibri"/>
            <family val="2"/>
            <scheme val="minor"/>
          </rPr>
          <t>======
ID#AAABDDKrQPo
Gavin Mudd    (2023-12-20 21:24:03)
probable oer reserves assumed same as indicated resources (due to lack of total mineral resources data)</t>
        </r>
      </text>
    </comment>
    <comment ref="AM99" authorId="0" shapeId="0" xr:uid="{00000000-0006-0000-0100-0000CF040000}">
      <text>
        <r>
          <rPr>
            <sz val="11"/>
            <color theme="1"/>
            <rFont val="Calibri"/>
            <family val="2"/>
            <scheme val="minor"/>
          </rPr>
          <t>======
ID#AAABDDKrPek
Gavin Mudd    (2023-12-20 21:24:03)
probable oer reserves assumed same as indicated resources (due to lack of total mineral resources data)</t>
        </r>
      </text>
    </comment>
    <comment ref="AY100" authorId="0" shapeId="0" xr:uid="{00000000-0006-0000-0100-0000B5030000}">
      <text>
        <r>
          <rPr>
            <sz val="11"/>
            <color theme="1"/>
            <rFont val="Calibri"/>
            <family val="2"/>
            <scheme val="minor"/>
          </rPr>
          <t>======
ID#AAABDDKrQAk
Gavin Mudd    (2023-12-20 21:24:03)
historical resourcs, assumed as inferred resources</t>
        </r>
      </text>
    </comment>
    <comment ref="BG100" authorId="0" shapeId="0" xr:uid="{00000000-0006-0000-0100-000037020000}">
      <text>
        <r>
          <rPr>
            <sz val="11"/>
            <color theme="1"/>
            <rFont val="Calibri"/>
            <family val="2"/>
            <scheme val="minor"/>
          </rPr>
          <t>======
ID#AAABDDKrQwk
Gavin Mudd    (2023-12-20 21:24:04)
historical resourcs, assumed as inferred resources</t>
        </r>
      </text>
    </comment>
    <comment ref="BH100" authorId="0" shapeId="0" xr:uid="{00000000-0006-0000-0100-0000D8000000}">
      <text>
        <r>
          <rPr>
            <sz val="11"/>
            <color theme="1"/>
            <rFont val="Calibri"/>
            <family val="2"/>
            <scheme val="minor"/>
          </rPr>
          <t>======
ID#AAABDDKrRb4
Gavin Mudd    (2023-12-20 21:24:04)
value from Berger et al (2011)</t>
        </r>
      </text>
    </comment>
    <comment ref="AY101" authorId="0" shapeId="0" xr:uid="{00000000-0006-0000-0100-0000BC010000}">
      <text>
        <r>
          <rPr>
            <sz val="11"/>
            <color theme="1"/>
            <rFont val="Calibri"/>
            <family val="2"/>
            <scheme val="minor"/>
          </rPr>
          <t>======
ID#AAABDDKrRA0
Gavin Mudd    (2023-12-20 21:24:04)
historical resourcs, assumed as inferred resources</t>
        </r>
      </text>
    </comment>
    <comment ref="BG101" authorId="0" shapeId="0" xr:uid="{00000000-0006-0000-0100-000083020000}">
      <text>
        <r>
          <rPr>
            <sz val="11"/>
            <color theme="1"/>
            <rFont val="Calibri"/>
            <family val="2"/>
            <scheme val="minor"/>
          </rPr>
          <t>======
ID#AAABDDKrQmY
Gavin Mudd    (2023-12-20 21:24:04)
historical resourcs, assumed as inferred resources</t>
        </r>
      </text>
    </comment>
    <comment ref="BH101" authorId="0" shapeId="0" xr:uid="{00000000-0006-0000-0100-000048060000}">
      <text>
        <r>
          <rPr>
            <sz val="11"/>
            <color theme="1"/>
            <rFont val="Calibri"/>
            <family val="2"/>
            <scheme val="minor"/>
          </rPr>
          <t>======
ID#AAABCyJQh30
Gavin Mudd    (2023-12-20 21:24:02)
value from Berger et al (2011)</t>
        </r>
      </text>
    </comment>
    <comment ref="B102" authorId="0" shapeId="0" xr:uid="{00000000-0006-0000-0100-00002C040000}">
      <text>
        <r>
          <rPr>
            <sz val="11"/>
            <color theme="1"/>
            <rFont val="Calibri"/>
            <family val="2"/>
            <scheme val="minor"/>
          </rPr>
          <t>======
ID#AAABDDKrPys
Gavin Mudd    (2023-12-20 21:24:03)
atfer closure in 2013, Americano Nickel has apprently restarted but no information is published.</t>
        </r>
      </text>
    </comment>
    <comment ref="F102" authorId="0" shapeId="0" xr:uid="{00000000-0006-0000-0100-0000EB040000}">
      <text>
        <r>
          <rPr>
            <sz val="11"/>
            <color theme="1"/>
            <rFont val="Calibri"/>
            <family val="2"/>
            <scheme val="minor"/>
          </rPr>
          <t>======
ID#AAABDDKrPbI
Gavin Mudd    (2023-12-20 21:24:03)
Americano Nickel Ltd is a private equity holding company; Falcondo previously owned by Falconbridge Ltd, then Xstrata Plc, then Glencore Plc till August 2015 …</t>
        </r>
      </text>
    </comment>
    <comment ref="DN102" authorId="0" shapeId="0" xr:uid="{00000000-0006-0000-0100-00001E050000}">
      <text>
        <r>
          <rPr>
            <sz val="11"/>
            <color theme="1"/>
            <rFont val="Calibri"/>
            <family val="2"/>
            <scheme val="minor"/>
          </rPr>
          <t>======
ID#AAABDDKrPUo
Gavin Mudd    (2023-12-20 21:24:03)
data from Franco-Nevada - the minority 4.1% shareholder of the Falcondo mine. Data is 2014 Glencore reporting.</t>
        </r>
      </text>
    </comment>
    <comment ref="I103" authorId="0" shapeId="0" xr:uid="{00000000-0006-0000-0100-00003F050000}">
      <text>
        <r>
          <rPr>
            <sz val="11"/>
            <color theme="1"/>
            <rFont val="Calibri"/>
            <family val="2"/>
            <scheme val="minor"/>
          </rPr>
          <t>======
ID#AAABDDKrPRU
Gavin Mudd    (2023-12-20 21:24:03)
assumed same as reserves since no resources reported</t>
        </r>
      </text>
    </comment>
    <comment ref="Q103" authorId="0" shapeId="0" xr:uid="{00000000-0006-0000-0100-0000F7050000}">
      <text>
        <r>
          <rPr>
            <sz val="11"/>
            <color theme="1"/>
            <rFont val="Calibri"/>
            <family val="2"/>
            <scheme val="minor"/>
          </rPr>
          <t>======
ID#AAABDDKrO6k
Gavin Mudd    (2023-12-20 21:24:02)
assumed same as reserves since no resources reported</t>
        </r>
      </text>
    </comment>
    <comment ref="AD103" authorId="0" shapeId="0" xr:uid="{00000000-0006-0000-0100-00008B050000}">
      <text>
        <r>
          <rPr>
            <sz val="11"/>
            <color theme="1"/>
            <rFont val="Calibri"/>
            <family val="2"/>
            <scheme val="minor"/>
          </rPr>
          <t>======
ID#AAABDDKrPHY
Gavin Mudd    (2023-12-20 21:24:03)
assumed same as reserves since no resources reported</t>
        </r>
      </text>
    </comment>
    <comment ref="AL103" authorId="0" shapeId="0" xr:uid="{00000000-0006-0000-0100-000091020000}">
      <text>
        <r>
          <rPr>
            <sz val="11"/>
            <color theme="1"/>
            <rFont val="Calibri"/>
            <family val="2"/>
            <scheme val="minor"/>
          </rPr>
          <t>======
ID#AAABDDKrQk4
Gavin Mudd    (2023-12-20 21:24:04)
assumed same as reserves since no resources reported</t>
        </r>
      </text>
    </comment>
    <comment ref="F106" authorId="0" shapeId="0" xr:uid="{00000000-0006-0000-0100-00004D000000}">
      <text>
        <r>
          <rPr>
            <sz val="11"/>
            <color theme="1"/>
            <rFont val="Calibri"/>
            <family val="2"/>
            <scheme val="minor"/>
          </rPr>
          <t>======
ID#AAABDDKrRts
Gavin Mudd    (2023-12-20 21:24:04)
previously held by Toledo Mining Corp, which was taken over by DMCI Holdings</t>
        </r>
      </text>
    </comment>
    <comment ref="AY106" authorId="0" shapeId="0" xr:uid="{00000000-0006-0000-0100-000097000000}">
      <text>
        <r>
          <rPr>
            <sz val="11"/>
            <color theme="1"/>
            <rFont val="Calibri"/>
            <family val="2"/>
            <scheme val="minor"/>
          </rPr>
          <t>======
ID#AAABDDKrRjY
Gavin Mudd    (2023-12-20 21:24:04)
older data, but only data available</t>
        </r>
      </text>
    </comment>
    <comment ref="BG106" authorId="0" shapeId="0" xr:uid="{00000000-0006-0000-0100-00004A030000}">
      <text>
        <r>
          <rPr>
            <sz val="11"/>
            <color theme="1"/>
            <rFont val="Calibri"/>
            <family val="2"/>
            <scheme val="minor"/>
          </rPr>
          <t>======
ID#AAABDDKrQLg
Gavin Mudd    (2023-12-20 21:24:03)
older data, but only data available</t>
        </r>
      </text>
    </comment>
    <comment ref="BH106" authorId="0" shapeId="0" xr:uid="{00000000-0006-0000-0100-0000B7020000}">
      <text>
        <r>
          <rPr>
            <sz val="11"/>
            <color theme="1"/>
            <rFont val="Calibri"/>
            <family val="2"/>
            <scheme val="minor"/>
          </rPr>
          <t>======
ID#AAABDDKrQf0
Gavin Mudd    (2023-12-20 21:24:03)
data from Berger et al (2011)</t>
        </r>
      </text>
    </comment>
    <comment ref="DN106" authorId="0" shapeId="0" xr:uid="{00000000-0006-0000-0100-0000A3030000}">
      <text>
        <r>
          <rPr>
            <sz val="11"/>
            <color theme="1"/>
            <rFont val="Calibri"/>
            <family val="2"/>
            <scheme val="minor"/>
          </rPr>
          <t>======
ID#AAABDDKrQDE
Gavin Mudd    (2023-12-20 21:24:03)
data from Toledo Mining Corp.</t>
        </r>
      </text>
    </comment>
    <comment ref="F107" authorId="0" shapeId="0" xr:uid="{00000000-0006-0000-0100-000045000000}">
      <text>
        <r>
          <rPr>
            <sz val="11"/>
            <color theme="1"/>
            <rFont val="Calibri"/>
            <family val="2"/>
            <scheme val="minor"/>
          </rPr>
          <t>======
ID#AAABDDKrRuk
Gavin Mudd    (2023-12-20 21:24:04)
previously held by Toledo Mining Corp, which was taken over by DMCI Holdings</t>
        </r>
      </text>
    </comment>
    <comment ref="AY107" authorId="0" shapeId="0" xr:uid="{00000000-0006-0000-0100-0000A5040000}">
      <text>
        <r>
          <rPr>
            <sz val="11"/>
            <color theme="1"/>
            <rFont val="Calibri"/>
            <family val="2"/>
            <scheme val="minor"/>
          </rPr>
          <t>======
ID#AAABDDKrPjE
Gavin Mudd    (2023-12-20 21:24:03)
older data, but only data available</t>
        </r>
      </text>
    </comment>
    <comment ref="BG107" authorId="0" shapeId="0" xr:uid="{00000000-0006-0000-0100-00003D050000}">
      <text>
        <r>
          <rPr>
            <sz val="11"/>
            <color theme="1"/>
            <rFont val="Calibri"/>
            <family val="2"/>
            <scheme val="minor"/>
          </rPr>
          <t>======
ID#AAABDDKrPRs
Gavin Mudd    (2023-12-20 21:24:03)
older data, but only data available</t>
        </r>
      </text>
    </comment>
    <comment ref="DN107" authorId="0" shapeId="0" xr:uid="{00000000-0006-0000-0100-000040050000}">
      <text>
        <r>
          <rPr>
            <sz val="11"/>
            <color theme="1"/>
            <rFont val="Calibri"/>
            <family val="2"/>
            <scheme val="minor"/>
          </rPr>
          <t>======
ID#AAABDDKrPRQ
Gavin Mudd    (2023-12-20 21:24:03)
data from Toledo Mining Corp.</t>
        </r>
      </text>
    </comment>
    <comment ref="I108" authorId="0" shapeId="0" xr:uid="{00000000-0006-0000-0100-0000D4040000}">
      <text>
        <r>
          <rPr>
            <sz val="11"/>
            <color theme="1"/>
            <rFont val="Calibri"/>
            <family val="2"/>
            <scheme val="minor"/>
          </rPr>
          <t>======
ID#AAABDDKrPd4
Gavin Mudd    (2023-12-20 21:24:03)
only total measured &amp; indicated resources reported</t>
        </r>
      </text>
    </comment>
    <comment ref="AD108" authorId="0" shapeId="0" xr:uid="{00000000-0006-0000-0100-00003B000000}">
      <text>
        <r>
          <rPr>
            <sz val="11"/>
            <color theme="1"/>
            <rFont val="Calibri"/>
            <family val="2"/>
            <scheme val="minor"/>
          </rPr>
          <t>======
ID#AAABDDKrRvg
Gavin Mudd    (2023-12-20 21:24:04)
only total measured &amp; indicated resources reported</t>
        </r>
      </text>
    </comment>
    <comment ref="AL108" authorId="0" shapeId="0" xr:uid="{00000000-0006-0000-0100-00009E040000}">
      <text>
        <r>
          <rPr>
            <sz val="11"/>
            <color theme="1"/>
            <rFont val="Calibri"/>
            <family val="2"/>
            <scheme val="minor"/>
          </rPr>
          <t>======
ID#AAABDDKrPjs
Gavin Mudd    (2023-12-20 21:24:03)
only total measured &amp; indicated resources reported</t>
        </r>
      </text>
    </comment>
    <comment ref="AT108" authorId="0" shapeId="0" xr:uid="{00000000-0006-0000-0100-000009020000}">
      <text>
        <r>
          <rPr>
            <sz val="11"/>
            <color theme="1"/>
            <rFont val="Calibri"/>
            <family val="2"/>
            <scheme val="minor"/>
          </rPr>
          <t>======
ID#AAABDDKrQ3I
Gavin Mudd    (2023-12-20 21:24:04)
only total measured &amp; indicated resources reported</t>
        </r>
      </text>
    </comment>
    <comment ref="AY108" authorId="0" shapeId="0" xr:uid="{00000000-0006-0000-0100-0000DC020000}">
      <text>
        <r>
          <rPr>
            <sz val="11"/>
            <color theme="1"/>
            <rFont val="Calibri"/>
            <family val="2"/>
            <scheme val="minor"/>
          </rPr>
          <t>======
ID#AAABDDKrQaw
Gavin Mudd    (2023-12-20 21:24:03)
only total measured &amp; indicated resources reported</t>
        </r>
      </text>
    </comment>
    <comment ref="BG108" authorId="0" shapeId="0" xr:uid="{00000000-0006-0000-0100-0000EA030000}">
      <text>
        <r>
          <rPr>
            <sz val="11"/>
            <color theme="1"/>
            <rFont val="Calibri"/>
            <family val="2"/>
            <scheme val="minor"/>
          </rPr>
          <t>======
ID#AAABDDKrP6c
Gavin Mudd    (2023-12-20 21:24:03)
only total measured &amp; indicated resources reported</t>
        </r>
      </text>
    </comment>
    <comment ref="BO108" authorId="0" shapeId="0" xr:uid="{00000000-0006-0000-0100-000049050000}">
      <text>
        <r>
          <rPr>
            <sz val="11"/>
            <color theme="1"/>
            <rFont val="Calibri"/>
            <family val="2"/>
            <scheme val="minor"/>
          </rPr>
          <t>======
ID#AAABDDKrPPw
Gavin Mudd    (2023-12-20 21:24:03)
only total measured &amp; indicated resources reported</t>
        </r>
      </text>
    </comment>
    <comment ref="CO108" authorId="0" shapeId="0" xr:uid="{00000000-0006-0000-0100-000008050000}">
      <text>
        <r>
          <rPr>
            <sz val="11"/>
            <color theme="1"/>
            <rFont val="Calibri"/>
            <family val="2"/>
            <scheme val="minor"/>
          </rPr>
          <t>======
ID#AAABDDKrPXM
Gavin Mudd    (2023-12-20 21:24:03)
total of proved and probable reserves</t>
        </r>
      </text>
    </comment>
    <comment ref="CW108" authorId="0" shapeId="0" xr:uid="{00000000-0006-0000-0100-00002B060000}">
      <text>
        <r>
          <rPr>
            <sz val="11"/>
            <color theme="1"/>
            <rFont val="Calibri"/>
            <family val="2"/>
            <scheme val="minor"/>
          </rPr>
          <t>======
ID#AAABCyJQh7w
Gavin Mudd    (2023-12-20 21:24:02)
total of proved and probable reserves</t>
        </r>
      </text>
    </comment>
    <comment ref="DE108" authorId="0" shapeId="0" xr:uid="{00000000-0006-0000-0100-00004E050000}">
      <text>
        <r>
          <rPr>
            <sz val="11"/>
            <color theme="1"/>
            <rFont val="Calibri"/>
            <family val="2"/>
            <scheme val="minor"/>
          </rPr>
          <t>======
ID#AAABDDKrPPI
Gavin Mudd    (2023-12-20 21:24:03)
total of proved and probable reserves</t>
        </r>
      </text>
    </comment>
    <comment ref="A109" authorId="0" shapeId="0" xr:uid="{00000000-0006-0000-0100-000088020000}">
      <text>
        <r>
          <rPr>
            <sz val="11"/>
            <color theme="1"/>
            <rFont val="Calibri"/>
            <family val="2"/>
            <scheme val="minor"/>
          </rPr>
          <t>======
ID#AAABDDKrQlk
Gavin Mudd    (2023-12-20 21:24:04)
Bolobolo, Karihatag, Agat South, Agata North</t>
        </r>
      </text>
    </comment>
    <comment ref="F110" authorId="0" shapeId="0" xr:uid="{00000000-0006-0000-0100-000013050000}">
      <text>
        <r>
          <rPr>
            <sz val="11"/>
            <color theme="1"/>
            <rFont val="Calibri"/>
            <family val="2"/>
            <scheme val="minor"/>
          </rPr>
          <t>======
ID#AAABDDKrPVg
Gavin Mudd    (2023-12-20 21:24:03)
previously held by Mbmi Resources, but later sold to DMCI after legal battles</t>
        </r>
      </text>
    </comment>
    <comment ref="DN110" authorId="0" shapeId="0" xr:uid="{00000000-0006-0000-0100-000039020000}">
      <text>
        <r>
          <rPr>
            <sz val="11"/>
            <color theme="1"/>
            <rFont val="Calibri"/>
            <family val="2"/>
            <scheme val="minor"/>
          </rPr>
          <t>======
ID#AAABDDKrQwM
Gavin Mudd    (2023-12-20 21:24:04)
Mbmi Resources</t>
        </r>
      </text>
    </comment>
    <comment ref="I111" authorId="0" shapeId="0" xr:uid="{00000000-0006-0000-0100-00007F010000}">
      <text>
        <r>
          <rPr>
            <sz val="11"/>
            <color theme="1"/>
            <rFont val="Calibri"/>
            <family val="2"/>
            <scheme val="minor"/>
          </rPr>
          <t>======
ID#AAABDDKrRH0
Gavin Mudd    (2023-12-20 21:24:04)
only total measured &amp; indicated resources reported</t>
        </r>
      </text>
    </comment>
    <comment ref="AD111" authorId="0" shapeId="0" xr:uid="{00000000-0006-0000-0100-0000C1000000}">
      <text>
        <r>
          <rPr>
            <sz val="11"/>
            <color theme="1"/>
            <rFont val="Calibri"/>
            <family val="2"/>
            <scheme val="minor"/>
          </rPr>
          <t>======
ID#AAABDDKrRfA
Gavin Mudd    (2023-12-20 21:24:04)
only total measured &amp; indicated resources reported
- this is the original 2010 estimate and does not account for mining since this time</t>
        </r>
      </text>
    </comment>
    <comment ref="AL111" authorId="0" shapeId="0" xr:uid="{00000000-0006-0000-0100-000045020000}">
      <text>
        <r>
          <rPr>
            <sz val="11"/>
            <color theme="1"/>
            <rFont val="Calibri"/>
            <family val="2"/>
            <scheme val="minor"/>
          </rPr>
          <t>======
ID#AAABDDKrQu0
Gavin Mudd    (2023-12-20 21:24:04)
only total measured &amp; indicated resources reported</t>
        </r>
      </text>
    </comment>
    <comment ref="AT111" authorId="0" shapeId="0" xr:uid="{00000000-0006-0000-0100-000033060000}">
      <text>
        <r>
          <rPr>
            <sz val="11"/>
            <color theme="1"/>
            <rFont val="Calibri"/>
            <family val="2"/>
            <scheme val="minor"/>
          </rPr>
          <t>======
ID#AAABCyJQh6s
Gavin Mudd    (2023-12-20 21:24:02)
only total measured &amp; indicated resources reported</t>
        </r>
      </text>
    </comment>
    <comment ref="AY111" authorId="0" shapeId="0" xr:uid="{00000000-0006-0000-0100-000099020000}">
      <text>
        <r>
          <rPr>
            <sz val="11"/>
            <color theme="1"/>
            <rFont val="Calibri"/>
            <family val="2"/>
            <scheme val="minor"/>
          </rPr>
          <t>======
ID#AAABDDKrQjo
Gavin Mudd    (2023-12-20 21:24:04)
only total measured &amp; indicated resources reported</t>
        </r>
      </text>
    </comment>
    <comment ref="BT111" authorId="0" shapeId="0" xr:uid="{00000000-0006-0000-0100-0000D9030000}">
      <text>
        <r>
          <rPr>
            <sz val="11"/>
            <color theme="1"/>
            <rFont val="Calibri"/>
            <family val="2"/>
            <scheme val="minor"/>
          </rPr>
          <t>======
ID#AAABDDKrP7w
Gavin Mudd    (2023-12-20 21:24:03)
only total measured &amp; indicated resources reported</t>
        </r>
      </text>
    </comment>
    <comment ref="CO111" authorId="0" shapeId="0" xr:uid="{00000000-0006-0000-0100-00005C020000}">
      <text>
        <r>
          <rPr>
            <sz val="11"/>
            <color theme="1"/>
            <rFont val="Calibri"/>
            <family val="2"/>
            <scheme val="minor"/>
          </rPr>
          <t>======
ID#AAABDDKrQr8
Gavin Mudd    (2023-12-20 21:24:04)
only total measured &amp; indicated resources reported</t>
        </r>
      </text>
    </comment>
    <comment ref="I112" authorId="0" shapeId="0" xr:uid="{00000000-0006-0000-0100-0000F6040000}">
      <text>
        <r>
          <rPr>
            <sz val="11"/>
            <color theme="1"/>
            <rFont val="Calibri"/>
            <family val="2"/>
            <scheme val="minor"/>
          </rPr>
          <t>======
ID#AAABDDKrPZs
Gavin Mudd    (2023-12-20 21:24:03)
only total measured &amp; indicated resources reported</t>
        </r>
      </text>
    </comment>
    <comment ref="AD112" authorId="0" shapeId="0" xr:uid="{00000000-0006-0000-0100-000002010000}">
      <text>
        <r>
          <rPr>
            <sz val="11"/>
            <color theme="1"/>
            <rFont val="Calibri"/>
            <family val="2"/>
            <scheme val="minor"/>
          </rPr>
          <t>======
ID#AAABDDKrRW0
Gavin Mudd    (2023-12-20 21:24:04)
only total measured &amp; indicated resources reported</t>
        </r>
      </text>
    </comment>
    <comment ref="AL112" authorId="0" shapeId="0" xr:uid="{00000000-0006-0000-0100-000043030000}">
      <text>
        <r>
          <rPr>
            <sz val="11"/>
            <color theme="1"/>
            <rFont val="Calibri"/>
            <family val="2"/>
            <scheme val="minor"/>
          </rPr>
          <t>======
ID#AAABDDKrQMg
Gavin Mudd    (2023-12-20 21:24:03)
only total measured &amp; indicated resources reported</t>
        </r>
      </text>
    </comment>
    <comment ref="AT112" authorId="0" shapeId="0" xr:uid="{00000000-0006-0000-0100-00003F040000}">
      <text>
        <r>
          <rPr>
            <sz val="11"/>
            <color theme="1"/>
            <rFont val="Calibri"/>
            <family val="2"/>
            <scheme val="minor"/>
          </rPr>
          <t>======
ID#AAABDDKrPwk
Gavin Mudd    (2023-12-20 21:24:03)
only total measured &amp; indicated resources reported</t>
        </r>
      </text>
    </comment>
    <comment ref="AY112" authorId="0" shapeId="0" xr:uid="{00000000-0006-0000-0100-000003050000}">
      <text>
        <r>
          <rPr>
            <sz val="11"/>
            <color theme="1"/>
            <rFont val="Calibri"/>
            <family val="2"/>
            <scheme val="minor"/>
          </rPr>
          <t>======
ID#AAABDDKrPXs
Gavin Mudd    (2023-12-20 21:24:03)
only total measured &amp; indicated resources reported</t>
        </r>
      </text>
    </comment>
    <comment ref="BG112" authorId="0" shapeId="0" xr:uid="{00000000-0006-0000-0100-0000C3040000}">
      <text>
        <r>
          <rPr>
            <sz val="11"/>
            <color theme="1"/>
            <rFont val="Calibri"/>
            <family val="2"/>
            <scheme val="minor"/>
          </rPr>
          <t>======
ID#AAABDDKrPf4
Gavin Mudd    (2023-12-20 21:24:03)
only total measured &amp; indicated resources reported</t>
        </r>
      </text>
    </comment>
    <comment ref="BO112" authorId="0" shapeId="0" xr:uid="{00000000-0006-0000-0100-00005B020000}">
      <text>
        <r>
          <rPr>
            <sz val="11"/>
            <color theme="1"/>
            <rFont val="Calibri"/>
            <family val="2"/>
            <scheme val="minor"/>
          </rPr>
          <t>======
ID#AAABDDKrQsA
Gavin Mudd    (2023-12-20 21:24:04)
only total measured &amp; indicated resources reported</t>
        </r>
      </text>
    </comment>
    <comment ref="CO112" authorId="0" shapeId="0" xr:uid="{00000000-0006-0000-0100-0000ED000000}">
      <text>
        <r>
          <rPr>
            <sz val="11"/>
            <color theme="1"/>
            <rFont val="Calibri"/>
            <family val="2"/>
            <scheme val="minor"/>
          </rPr>
          <t>======
ID#AAABDDKrRZk
Gavin Mudd    (2023-12-20 21:24:04)
total of proved and probable reserves</t>
        </r>
      </text>
    </comment>
    <comment ref="CW112" authorId="0" shapeId="0" xr:uid="{00000000-0006-0000-0100-0000E8000000}">
      <text>
        <r>
          <rPr>
            <sz val="11"/>
            <color theme="1"/>
            <rFont val="Calibri"/>
            <family val="2"/>
            <scheme val="minor"/>
          </rPr>
          <t>======
ID#AAABDDKrRaM
Gavin Mudd    (2023-12-20 21:24:04)
total of proved and probable reserves</t>
        </r>
      </text>
    </comment>
    <comment ref="DE112" authorId="0" shapeId="0" xr:uid="{00000000-0006-0000-0100-000084000000}">
      <text>
        <r>
          <rPr>
            <sz val="11"/>
            <color theme="1"/>
            <rFont val="Calibri"/>
            <family val="2"/>
            <scheme val="minor"/>
          </rPr>
          <t>======
ID#AAABDDKrRnA
Gavin Mudd    (2023-12-20 21:24:04)
total of proved and probable reserves</t>
        </r>
      </text>
    </comment>
    <comment ref="A116" authorId="0" shapeId="0" xr:uid="{00000000-0006-0000-0100-000089010000}">
      <text>
        <r>
          <rPr>
            <sz val="11"/>
            <color theme="1"/>
            <rFont val="Calibri"/>
            <family val="2"/>
            <scheme val="minor"/>
          </rPr>
          <t>======
ID#AAABDDKrRGY
Gavin Mudd    (2023-12-20 21:24:04)
includes Pakal Island, Tanjung Buli, Mornopo, Sangaji</t>
        </r>
      </text>
    </comment>
    <comment ref="A117" authorId="0" shapeId="0" xr:uid="{00000000-0006-0000-0100-00009D020000}">
      <text>
        <r>
          <rPr>
            <sz val="11"/>
            <color theme="1"/>
            <rFont val="Calibri"/>
            <family val="2"/>
            <scheme val="minor"/>
          </rPr>
          <t>======
ID#AAABDDKrQi0
Gavin Mudd    (2023-12-20 21:24:04)
includes Lasolo Lalindu, Bahubulu, Tapunopaka, Mandiodo</t>
        </r>
      </text>
    </comment>
    <comment ref="AM122" authorId="0" shapeId="0" xr:uid="{00000000-0006-0000-0100-0000B5020000}">
      <text>
        <r>
          <rPr>
            <sz val="11"/>
            <color theme="1"/>
            <rFont val="Calibri"/>
            <family val="2"/>
            <scheme val="minor"/>
          </rPr>
          <t>======
ID#AAABDDKrQgE
Gavin Mudd    (2023-12-20 21:24:03)
data from WA MINEDEX</t>
        </r>
      </text>
    </comment>
    <comment ref="BH122" authorId="0" shapeId="0" xr:uid="{00000000-0006-0000-0100-0000EA000000}">
      <text>
        <r>
          <rPr>
            <sz val="11"/>
            <color theme="1"/>
            <rFont val="Calibri"/>
            <family val="2"/>
            <scheme val="minor"/>
          </rPr>
          <t>======
ID#AAABDDKrRZ4
Gavin Mudd    (2023-12-20 21:24:04)
data from WA MINEDEX</t>
        </r>
      </text>
    </comment>
    <comment ref="AY123" authorId="0" shapeId="0" xr:uid="{00000000-0006-0000-0100-000090060000}">
      <text>
        <r>
          <rPr>
            <sz val="11"/>
            <color theme="1"/>
            <rFont val="Calibri"/>
            <family val="2"/>
            <scheme val="minor"/>
          </rPr>
          <t>======
ID#AAABCxlEytY
Gavin Mudd    (2023-12-20 21:24:01)
only total resources reported, assumed as inferred</t>
        </r>
      </text>
    </comment>
    <comment ref="BG123" authorId="0" shapeId="0" xr:uid="{00000000-0006-0000-0100-000022000000}">
      <text>
        <r>
          <rPr>
            <sz val="11"/>
            <color theme="1"/>
            <rFont val="Calibri"/>
            <family val="2"/>
            <scheme val="minor"/>
          </rPr>
          <t>======
ID#AAABDDKrRx0
Gavin Mudd    (2023-12-20 21:24:04)
only total resources reported, assumed as inferred</t>
        </r>
      </text>
    </comment>
    <comment ref="AY124" authorId="0" shapeId="0" xr:uid="{00000000-0006-0000-0100-00002F000000}">
      <text>
        <r>
          <rPr>
            <sz val="11"/>
            <color theme="1"/>
            <rFont val="Calibri"/>
            <family val="2"/>
            <scheme val="minor"/>
          </rPr>
          <t>======
ID#AAABDDKrRwg
Gavin Mudd    (2023-12-20 21:24:04)
only total resources reported, assumed as inferred</t>
        </r>
      </text>
    </comment>
    <comment ref="BG124" authorId="0" shapeId="0" xr:uid="{00000000-0006-0000-0100-000014030000}">
      <text>
        <r>
          <rPr>
            <sz val="11"/>
            <color theme="1"/>
            <rFont val="Calibri"/>
            <family val="2"/>
            <scheme val="minor"/>
          </rPr>
          <t>======
ID#AAABDDKrQTE
Gavin Mudd    (2023-12-20 21:24:03)
only total resources reported, assumed as inferred</t>
        </r>
      </text>
    </comment>
    <comment ref="BH124" authorId="0" shapeId="0" xr:uid="{00000000-0006-0000-0100-000097030000}">
      <text>
        <r>
          <rPr>
            <sz val="11"/>
            <color theme="1"/>
            <rFont val="Calibri"/>
            <family val="2"/>
            <scheme val="minor"/>
          </rPr>
          <t>======
ID#AAABDDKrQEc
Gavin Mudd    (2023-12-20 21:24:03)
value from Berger et al (2011)</t>
        </r>
      </text>
    </comment>
    <comment ref="AY125" authorId="0" shapeId="0" xr:uid="{00000000-0006-0000-0100-000012030000}">
      <text>
        <r>
          <rPr>
            <sz val="11"/>
            <color theme="1"/>
            <rFont val="Calibri"/>
            <family val="2"/>
            <scheme val="minor"/>
          </rPr>
          <t>======
ID#AAABDDKrQTQ
Gavin Mudd    (2023-12-20 21:24:03)
historical data, not code-compliant</t>
        </r>
      </text>
    </comment>
    <comment ref="BG125" authorId="0" shapeId="0" xr:uid="{00000000-0006-0000-0100-000069000000}">
      <text>
        <r>
          <rPr>
            <sz val="11"/>
            <color theme="1"/>
            <rFont val="Calibri"/>
            <family val="2"/>
            <scheme val="minor"/>
          </rPr>
          <t>======
ID#AAABDDKrRqs
Gavin Mudd    (2023-12-20 21:24:04)
historical data, not code-compliant</t>
        </r>
      </text>
    </comment>
    <comment ref="AY126" authorId="0" shapeId="0" xr:uid="{00000000-0006-0000-0100-000041040000}">
      <text>
        <r>
          <rPr>
            <sz val="11"/>
            <color theme="1"/>
            <rFont val="Calibri"/>
            <family val="2"/>
            <scheme val="minor"/>
          </rPr>
          <t>======
ID#AAABDDKrPwE
Gavin Mudd    (2023-12-20 21:24:03)
historic resources (non-compliant with NI43-101) - hence all data allocated as inferred resources only</t>
        </r>
      </text>
    </comment>
    <comment ref="BG126" authorId="0" shapeId="0" xr:uid="{00000000-0006-0000-0100-0000CF030000}">
      <text>
        <r>
          <rPr>
            <sz val="11"/>
            <color theme="1"/>
            <rFont val="Calibri"/>
            <family val="2"/>
            <scheme val="minor"/>
          </rPr>
          <t>======
ID#AAABDDKrP9E
Gavin Mudd    (2023-12-20 21:24:03)
historic resources (non-compliant with NI43-101) - hence all data allocated as inferred resources only</t>
        </r>
      </text>
    </comment>
    <comment ref="AY127" authorId="0" shapeId="0" xr:uid="{00000000-0006-0000-0100-0000C6000000}">
      <text>
        <r>
          <rPr>
            <sz val="11"/>
            <color theme="1"/>
            <rFont val="Calibri"/>
            <family val="2"/>
            <scheme val="minor"/>
          </rPr>
          <t>======
ID#AAABDDKrReU
Gavin Mudd    (2023-12-20 21:24:04)
historic resources (non-compliant with NI43-101) - hence all data allocated as inferred resources only</t>
        </r>
      </text>
    </comment>
    <comment ref="BG127" authorId="0" shapeId="0" xr:uid="{00000000-0006-0000-0100-000005050000}">
      <text>
        <r>
          <rPr>
            <sz val="11"/>
            <color theme="1"/>
            <rFont val="Calibri"/>
            <family val="2"/>
            <scheme val="minor"/>
          </rPr>
          <t>======
ID#AAABDDKrPXY
Gavin Mudd    (2023-12-20 21:24:03)
historic resources (non-compliant with NI43-101) - hence all data allocated as inferred resources only</t>
        </r>
      </text>
    </comment>
    <comment ref="AY128" authorId="0" shapeId="0" xr:uid="{00000000-0006-0000-0100-0000BF020000}">
      <text>
        <r>
          <rPr>
            <sz val="11"/>
            <color theme="1"/>
            <rFont val="Calibri"/>
            <family val="2"/>
            <scheme val="minor"/>
          </rPr>
          <t>======
ID#AAABDDKrQes
Gavin Mudd    (2023-12-20 21:24:03)
code basis unclear, assumed as inferred resources only</t>
        </r>
      </text>
    </comment>
    <comment ref="BG128" authorId="0" shapeId="0" xr:uid="{00000000-0006-0000-0100-0000EA040000}">
      <text>
        <r>
          <rPr>
            <sz val="11"/>
            <color theme="1"/>
            <rFont val="Calibri"/>
            <family val="2"/>
            <scheme val="minor"/>
          </rPr>
          <t>======
ID#AAABDDKrPbU
Gavin Mudd    (2023-12-20 21:24:03)
historic resources (non-compliant with NI43-101) - hence all data allocated as inferred resources only</t>
        </r>
      </text>
    </comment>
    <comment ref="BH128" authorId="0" shapeId="0" xr:uid="{00000000-0006-0000-0100-000072030000}">
      <text>
        <r>
          <rPr>
            <sz val="11"/>
            <color theme="1"/>
            <rFont val="Calibri"/>
            <family val="2"/>
            <scheme val="minor"/>
          </rPr>
          <t>======
ID#AAABDDKrQHw
Gavin Mudd    (2023-12-20 21:24:03)
historic resources (non-compliant with NI43-101) - hence all data allocated as inferred resources only</t>
        </r>
      </text>
    </comment>
    <comment ref="BJ128" authorId="0" shapeId="0" xr:uid="{00000000-0006-0000-0100-000009030000}">
      <text>
        <r>
          <rPr>
            <sz val="11"/>
            <color theme="1"/>
            <rFont val="Calibri"/>
            <family val="2"/>
            <scheme val="minor"/>
          </rPr>
          <t>======
ID#AAABDDKrQUY
Gavin Mudd    (2023-12-20 21:24:03)
code basis unclear, assumed as inferred resources only</t>
        </r>
      </text>
    </comment>
    <comment ref="AY129" authorId="0" shapeId="0" xr:uid="{00000000-0006-0000-0100-0000D9040000}">
      <text>
        <r>
          <rPr>
            <sz val="11"/>
            <color theme="1"/>
            <rFont val="Calibri"/>
            <family val="2"/>
            <scheme val="minor"/>
          </rPr>
          <t>======
ID#AAABDDKrPdM
Gavin Mudd    (2023-12-20 21:24:03)
historic resources (non-compliant with NI43-101) - hence all data allocated as inferred resources only</t>
        </r>
      </text>
    </comment>
    <comment ref="BG129" authorId="0" shapeId="0" xr:uid="{00000000-0006-0000-0100-0000BE040000}">
      <text>
        <r>
          <rPr>
            <sz val="11"/>
            <color theme="1"/>
            <rFont val="Calibri"/>
            <family val="2"/>
            <scheme val="minor"/>
          </rPr>
          <t>======
ID#AAABDDKrPgU
Gavin Mudd    (2023-12-20 21:24:03)
historic resources (non-compliant with NI43-101) - hence all data allocated as inferred resources only</t>
        </r>
      </text>
    </comment>
    <comment ref="AY130" authorId="0" shapeId="0" xr:uid="{00000000-0006-0000-0100-000008000000}">
      <text>
        <r>
          <rPr>
            <sz val="11"/>
            <color theme="1"/>
            <rFont val="Calibri"/>
            <family val="2"/>
            <scheme val="minor"/>
          </rPr>
          <t>======
ID#AAABDDKrR1Q
Gavin Mudd    (2023-12-20 21:24:04)
only total resources reported, assumed as inferred</t>
        </r>
      </text>
    </comment>
    <comment ref="BG130" authorId="0" shapeId="0" xr:uid="{00000000-0006-0000-0100-000053000000}">
      <text>
        <r>
          <rPr>
            <sz val="11"/>
            <color theme="1"/>
            <rFont val="Calibri"/>
            <family val="2"/>
            <scheme val="minor"/>
          </rPr>
          <t>======
ID#AAABDDKrRtI
Gavin Mudd    (2023-12-20 21:24:04)
only total resources reported, assumed as inferred</t>
        </r>
      </text>
    </comment>
    <comment ref="A131" authorId="0" shapeId="0" xr:uid="{00000000-0006-0000-0100-000095050000}">
      <text>
        <r>
          <rPr>
            <sz val="11"/>
            <color theme="1"/>
            <rFont val="Calibri"/>
            <family val="2"/>
            <scheme val="minor"/>
          </rPr>
          <t>======
ID#AAABDDKrPGg
Gavin Mudd    (2023-12-20 21:24:03)
possibly also includes Sipilou, Bankouba</t>
        </r>
      </text>
    </comment>
    <comment ref="AY131" authorId="0" shapeId="0" xr:uid="{00000000-0006-0000-0100-0000FD030000}">
      <text>
        <r>
          <rPr>
            <sz val="11"/>
            <color theme="1"/>
            <rFont val="Calibri"/>
            <family val="2"/>
            <scheme val="minor"/>
          </rPr>
          <t>======
ID#AAABDDKrP4g
Gavin Mudd    (2023-12-20 21:24:03)
historic resources (non-compliant with NI43-101) - hence all data allocated as inferred resources only</t>
        </r>
      </text>
    </comment>
    <comment ref="BG131" authorId="0" shapeId="0" xr:uid="{00000000-0006-0000-0100-000068010000}">
      <text>
        <r>
          <rPr>
            <sz val="11"/>
            <color theme="1"/>
            <rFont val="Calibri"/>
            <family val="2"/>
            <scheme val="minor"/>
          </rPr>
          <t>======
ID#AAABDDKrRKk
Gavin Mudd    (2023-12-20 21:24:04)
historic resources (non-compliant with NI43-101) - hence all data allocated as inferred resources only</t>
        </r>
      </text>
    </comment>
    <comment ref="BH131" authorId="0" shapeId="0" xr:uid="{00000000-0006-0000-0100-0000D2030000}">
      <text>
        <r>
          <rPr>
            <sz val="11"/>
            <color theme="1"/>
            <rFont val="Calibri"/>
            <family val="2"/>
            <scheme val="minor"/>
          </rPr>
          <t>======
ID#AAABDDKrP8k
Gavin Mudd    (2023-12-20 21:24:03)
historic resources (non-compliant with NI43-101) - hence all data allocated as inferred resources only</t>
        </r>
      </text>
    </comment>
    <comment ref="AY132" authorId="0" shapeId="0" xr:uid="{00000000-0006-0000-0100-000019020000}">
      <text>
        <r>
          <rPr>
            <sz val="11"/>
            <color theme="1"/>
            <rFont val="Calibri"/>
            <family val="2"/>
            <scheme val="minor"/>
          </rPr>
          <t>======
ID#AAABDDKrQ0k
Gavin Mudd    (2023-12-20 21:24:04)
value estimated from Figure 6 in Dalvi &amp; Bacon (2004)</t>
        </r>
      </text>
    </comment>
    <comment ref="BG132" authorId="0" shapeId="0" xr:uid="{00000000-0006-0000-0100-000057000000}">
      <text>
        <r>
          <rPr>
            <sz val="11"/>
            <color theme="1"/>
            <rFont val="Calibri"/>
            <family val="2"/>
            <scheme val="minor"/>
          </rPr>
          <t>======
ID#AAABDDKrRso
Gavin Mudd    (2023-12-20 21:24:04)
value from SEG Newsleter No. 54, July 2003 (Gleeson et al, 2003)</t>
        </r>
      </text>
    </comment>
    <comment ref="AY133" authorId="0" shapeId="0" xr:uid="{00000000-0006-0000-0100-000022030000}">
      <text>
        <r>
          <rPr>
            <sz val="11"/>
            <color theme="1"/>
            <rFont val="Calibri"/>
            <family val="2"/>
            <scheme val="minor"/>
          </rPr>
          <t>======
ID#AAABDDKrQQ8
Gavin Mudd    (2023-12-20 21:24:03)
historical data, not code-compliant</t>
        </r>
      </text>
    </comment>
    <comment ref="BG133" authorId="0" shapeId="0" xr:uid="{00000000-0006-0000-0100-00005B060000}">
      <text>
        <r>
          <rPr>
            <sz val="11"/>
            <color theme="1"/>
            <rFont val="Calibri"/>
            <family val="2"/>
            <scheme val="minor"/>
          </rPr>
          <t>======
ID#AAABCyJQh1I
Gavin Mudd    (2023-12-20 21:24:02)
historical data, not code-compliant</t>
        </r>
      </text>
    </comment>
    <comment ref="F134" authorId="0" shapeId="0" xr:uid="{00000000-0006-0000-0100-00001A010000}">
      <text>
        <r>
          <rPr>
            <sz val="11"/>
            <color theme="1"/>
            <rFont val="Calibri"/>
            <family val="2"/>
            <scheme val="minor"/>
          </rPr>
          <t>======
ID#AAABDDKrRTA
Gavin Mudd    (2023-12-20 21:24:04)
previously held by Lithic Metals &amp; Energy</t>
        </r>
      </text>
    </comment>
    <comment ref="AY134" authorId="0" shapeId="0" xr:uid="{00000000-0006-0000-0100-000035010000}">
      <text>
        <r>
          <rPr>
            <sz val="11"/>
            <color theme="1"/>
            <rFont val="Calibri"/>
            <family val="2"/>
            <scheme val="minor"/>
          </rPr>
          <t>======
ID#AAABDDKrRQA
Gavin Mudd    (2023-12-20 21:24:04)
historic resources (non-compliant with NI43-101) - hence all data allocated as inferred resources only</t>
        </r>
      </text>
    </comment>
    <comment ref="BG134" authorId="0" shapeId="0" xr:uid="{00000000-0006-0000-0100-000078000000}">
      <text>
        <r>
          <rPr>
            <sz val="11"/>
            <color theme="1"/>
            <rFont val="Calibri"/>
            <family val="2"/>
            <scheme val="minor"/>
          </rPr>
          <t>======
ID#AAABDDKrRo4
Gavin Mudd    (2023-12-20 21:24:04)
historic resources (non-compliant with NI43-101) - hence all data allocated as inferred resources only</t>
        </r>
      </text>
    </comment>
    <comment ref="BH134" authorId="0" shapeId="0" xr:uid="{00000000-0006-0000-0100-000073010000}">
      <text>
        <r>
          <rPr>
            <sz val="11"/>
            <color theme="1"/>
            <rFont val="Calibri"/>
            <family val="2"/>
            <scheme val="minor"/>
          </rPr>
          <t>======
ID#AAABDDKrRJY
Gavin Mudd    (2023-12-20 21:24:04)
historic resources (non-compliant with NI43-101) - hence all data allocated as inferred resources only</t>
        </r>
      </text>
    </comment>
    <comment ref="AY135" authorId="0" shapeId="0" xr:uid="{00000000-0006-0000-0100-0000B4050000}">
      <text>
        <r>
          <rPr>
            <sz val="11"/>
            <color theme="1"/>
            <rFont val="Calibri"/>
            <family val="2"/>
            <scheme val="minor"/>
          </rPr>
          <t>======
ID#AAABDDKrPDQ
Gavin Mudd    (2023-12-20 21:24:03)
historic resources (non-compliant with NI43-101) - hence all data allocated as inferred resources only</t>
        </r>
      </text>
    </comment>
    <comment ref="BG135" authorId="0" shapeId="0" xr:uid="{00000000-0006-0000-0100-00000A050000}">
      <text>
        <r>
          <rPr>
            <sz val="11"/>
            <color theme="1"/>
            <rFont val="Calibri"/>
            <family val="2"/>
            <scheme val="minor"/>
          </rPr>
          <t>======
ID#AAABDDKrPWw
Gavin Mudd    (2023-12-20 21:24:03)
historic resources (non-compliant with NI43-101) - hence all data allocated as inferred resources only</t>
        </r>
      </text>
    </comment>
    <comment ref="BH135" authorId="0" shapeId="0" xr:uid="{00000000-0006-0000-0100-0000E0030000}">
      <text>
        <r>
          <rPr>
            <sz val="11"/>
            <color theme="1"/>
            <rFont val="Calibri"/>
            <family val="2"/>
            <scheme val="minor"/>
          </rPr>
          <t>======
ID#AAABDDKrP7M
Gavin Mudd    (2023-12-20 21:24:03)
historic resources (non-compliant with NI43-101) - hence all data allocated as inferred resources only</t>
        </r>
      </text>
    </comment>
    <comment ref="AY136" authorId="0" shapeId="0" xr:uid="{00000000-0006-0000-0100-00009B060000}">
      <text>
        <r>
          <rPr>
            <sz val="11"/>
            <color theme="1"/>
            <rFont val="Calibri"/>
            <family val="2"/>
            <scheme val="minor"/>
          </rPr>
          <t>======
ID#AAABCxlEysI
Gavin Mudd    (2023-12-20 21:24:01)
historic resources (non-compliant with NI43-101) - hence all data allocated as inferred resources only</t>
        </r>
      </text>
    </comment>
    <comment ref="BG136" authorId="0" shapeId="0" xr:uid="{00000000-0006-0000-0100-000060050000}">
      <text>
        <r>
          <rPr>
            <sz val="11"/>
            <color theme="1"/>
            <rFont val="Calibri"/>
            <family val="2"/>
            <scheme val="minor"/>
          </rPr>
          <t>======
ID#AAABDDKrPM0
Gavin Mudd    (2023-12-20 21:24:03)
historic resources (non-compliant with NI43-101) - hence all data allocated as inferred resources only</t>
        </r>
      </text>
    </comment>
    <comment ref="AY137" authorId="0" shapeId="0" xr:uid="{00000000-0006-0000-0100-0000AD050000}">
      <text>
        <r>
          <rPr>
            <sz val="11"/>
            <color theme="1"/>
            <rFont val="Calibri"/>
            <family val="2"/>
            <scheme val="minor"/>
          </rPr>
          <t>======
ID#AAABDDKrPD4
Gavin Mudd    (2023-12-20 21:24:03)
historic resources (non-compliant with NI43-101) - hence all data allocated as inferred resources only</t>
        </r>
      </text>
    </comment>
    <comment ref="BG137" authorId="0" shapeId="0" xr:uid="{00000000-0006-0000-0100-000043000000}">
      <text>
        <r>
          <rPr>
            <sz val="11"/>
            <color theme="1"/>
            <rFont val="Calibri"/>
            <family val="2"/>
            <scheme val="minor"/>
          </rPr>
          <t>======
ID#AAABDDKrRus
Gavin Mudd    (2023-12-20 21:24:04)
historic resources (non-compliant with NI43-101) - hence all data allocated as inferred resources only</t>
        </r>
      </text>
    </comment>
    <comment ref="F138" authorId="0" shapeId="0" xr:uid="{00000000-0006-0000-0100-000053020000}">
      <text>
        <r>
          <rPr>
            <sz val="11"/>
            <color theme="1"/>
            <rFont val="Calibri"/>
            <family val="2"/>
            <scheme val="minor"/>
          </rPr>
          <t>======
ID#AAABDDKrQs8
Gavin Mudd    (2023-12-20 21:24:04)
previously held by Anglo American Plc</t>
        </r>
      </text>
    </comment>
    <comment ref="I138" authorId="0" shapeId="0" xr:uid="{00000000-0006-0000-0100-000084020000}">
      <text>
        <r>
          <rPr>
            <sz val="11"/>
            <color theme="1"/>
            <rFont val="Calibri"/>
            <family val="2"/>
            <scheme val="minor"/>
          </rPr>
          <t>======
ID#AAABDDKrQmM
Gavin Mudd    (2023-12-20 21:24:04)
no reserves formally reported; assumes left-over mineralisation</t>
        </r>
      </text>
    </comment>
    <comment ref="AD138" authorId="0" shapeId="0" xr:uid="{00000000-0006-0000-0100-000074030000}">
      <text>
        <r>
          <rPr>
            <sz val="11"/>
            <color theme="1"/>
            <rFont val="Calibri"/>
            <family val="2"/>
            <scheme val="minor"/>
          </rPr>
          <t>======
ID#AAABDDKrQHg
Gavin Mudd    (2023-12-20 21:24:03)
no reserves formally reported; assumes left-over mineralisation</t>
        </r>
      </text>
    </comment>
    <comment ref="AY138" authorId="0" shapeId="0" xr:uid="{00000000-0006-0000-0100-000098050000}">
      <text>
        <r>
          <rPr>
            <sz val="11"/>
            <color theme="1"/>
            <rFont val="Calibri"/>
            <family val="2"/>
            <scheme val="minor"/>
          </rPr>
          <t>======
ID#AAABDDKrPGU
Gavin Mudd    (2023-12-20 21:24:03)
no reserves formally reported; assumes left-over mineralisation</t>
        </r>
      </text>
    </comment>
    <comment ref="BG138" authorId="0" shapeId="0" xr:uid="{00000000-0006-0000-0100-0000BE010000}">
      <text>
        <r>
          <rPr>
            <sz val="11"/>
            <color theme="1"/>
            <rFont val="Calibri"/>
            <family val="2"/>
            <scheme val="minor"/>
          </rPr>
          <t>======
ID#AAABDDKrRAo
Gavin Mudd    (2023-12-20 21:24:04)
no reserves formally reported; assumes left-over mineralisation</t>
        </r>
      </text>
    </comment>
    <comment ref="BT138" authorId="0" shapeId="0" xr:uid="{00000000-0006-0000-0100-000032010000}">
      <text>
        <r>
          <rPr>
            <sz val="11"/>
            <color theme="1"/>
            <rFont val="Calibri"/>
            <family val="2"/>
            <scheme val="minor"/>
          </rPr>
          <t>======
ID#AAABDDKrRQM
Gavin Mudd    (2023-12-20 21:24:04)
no reserves formally reported; assumes left-over mineralisation</t>
        </r>
      </text>
    </comment>
    <comment ref="CO138" authorId="0" shapeId="0" xr:uid="{00000000-0006-0000-0100-0000F2040000}">
      <text>
        <r>
          <rPr>
            <sz val="11"/>
            <color theme="1"/>
            <rFont val="Calibri"/>
            <family val="2"/>
            <scheme val="minor"/>
          </rPr>
          <t>======
ID#AAABDDKrPaM
Gavin Mudd    (2023-12-20 21:24:03)
no reserves formally reported; assumes left-over mineralisation</t>
        </r>
      </text>
    </comment>
    <comment ref="AY139" authorId="0" shapeId="0" xr:uid="{00000000-0006-0000-0100-0000F5050000}">
      <text>
        <r>
          <rPr>
            <sz val="11"/>
            <color theme="1"/>
            <rFont val="Calibri"/>
            <family val="2"/>
            <scheme val="minor"/>
          </rPr>
          <t>======
ID#AAABDDKrO6w
Gavin Mudd    (2023-12-20 21:24:02)
only total resources reported, assumed as inferred</t>
        </r>
      </text>
    </comment>
    <comment ref="BG139" authorId="0" shapeId="0" xr:uid="{00000000-0006-0000-0100-000074060000}">
      <text>
        <r>
          <rPr>
            <sz val="11"/>
            <color theme="1"/>
            <rFont val="Calibri"/>
            <family val="2"/>
            <scheme val="minor"/>
          </rPr>
          <t>======
ID#AAABCyJQhw8
Gavin Mudd    (2023-12-20 21:24:02)
only total resources reported, assumed as inferred</t>
        </r>
      </text>
    </comment>
    <comment ref="AY140" authorId="0" shapeId="0" xr:uid="{00000000-0006-0000-0100-00005B050000}">
      <text>
        <r>
          <rPr>
            <sz val="11"/>
            <color theme="1"/>
            <rFont val="Calibri"/>
            <family val="2"/>
            <scheme val="minor"/>
          </rPr>
          <t>======
ID#AAABDDKrPNg
Gavin Mudd    (2023-12-20 21:24:03)
historic resources, assumed as inferred</t>
        </r>
      </text>
    </comment>
    <comment ref="BG140" authorId="0" shapeId="0" xr:uid="{00000000-0006-0000-0100-00004E010000}">
      <text>
        <r>
          <rPr>
            <sz val="11"/>
            <color theme="1"/>
            <rFont val="Calibri"/>
            <family val="2"/>
            <scheme val="minor"/>
          </rPr>
          <t>======
ID#AAABDDKrRNk
Gavin Mudd    (2023-12-20 21:24:04)
historic resources, assumed as inferred</t>
        </r>
      </text>
    </comment>
    <comment ref="AY141" authorId="0" shapeId="0" xr:uid="{00000000-0006-0000-0100-00000C040000}">
      <text>
        <r>
          <rPr>
            <sz val="11"/>
            <color theme="1"/>
            <rFont val="Calibri"/>
            <family val="2"/>
            <scheme val="minor"/>
          </rPr>
          <t>======
ID#AAABDDKrP2c
Gavin Mudd    (2023-12-20 21:24:03)
historic resources, assumed as inferred</t>
        </r>
      </text>
    </comment>
    <comment ref="BG141" authorId="0" shapeId="0" xr:uid="{00000000-0006-0000-0100-00004B040000}">
      <text>
        <r>
          <rPr>
            <sz val="11"/>
            <color theme="1"/>
            <rFont val="Calibri"/>
            <family val="2"/>
            <scheme val="minor"/>
          </rPr>
          <t>======
ID#AAABDDKrPu8
Gavin Mudd    (2023-12-20 21:24:03)
historic resources, assumed as inferred</t>
        </r>
      </text>
    </comment>
    <comment ref="AY142" authorId="0" shapeId="0" xr:uid="{00000000-0006-0000-0100-0000A1050000}">
      <text>
        <r>
          <rPr>
            <sz val="11"/>
            <color theme="1"/>
            <rFont val="Calibri"/>
            <family val="2"/>
            <scheme val="minor"/>
          </rPr>
          <t>======
ID#AAABDDKrPFQ
Gavin Mudd    (2023-12-20 21:24:03)
historic resources, assumed as inferred</t>
        </r>
      </text>
    </comment>
    <comment ref="BG142" authorId="0" shapeId="0" xr:uid="{00000000-0006-0000-0100-000067060000}">
      <text>
        <r>
          <rPr>
            <sz val="11"/>
            <color theme="1"/>
            <rFont val="Calibri"/>
            <family val="2"/>
            <scheme val="minor"/>
          </rPr>
          <t>======
ID#AAABCyJQhzQ
Gavin Mudd    (2023-12-20 21:24:02)
historic resources, assumed as inferred</t>
        </r>
      </text>
    </comment>
    <comment ref="AY143" authorId="0" shapeId="0" xr:uid="{00000000-0006-0000-0100-000000060000}">
      <text>
        <r>
          <rPr>
            <sz val="11"/>
            <color theme="1"/>
            <rFont val="Calibri"/>
            <family val="2"/>
            <scheme val="minor"/>
          </rPr>
          <t>======
ID#AAABCyJQiBQ
Gavin Mudd    (2023-12-20 21:24:02)
historic resources, assumed as inferred</t>
        </r>
      </text>
    </comment>
    <comment ref="BG143" authorId="0" shapeId="0" xr:uid="{00000000-0006-0000-0100-0000BA040000}">
      <text>
        <r>
          <rPr>
            <sz val="11"/>
            <color theme="1"/>
            <rFont val="Calibri"/>
            <family val="2"/>
            <scheme val="minor"/>
          </rPr>
          <t>======
ID#AAABDDKrPgw
Gavin Mudd    (2023-12-20 21:24:03)
historic resources, assumed as inferred</t>
        </r>
      </text>
    </comment>
    <comment ref="AY144" authorId="0" shapeId="0" xr:uid="{00000000-0006-0000-0100-0000DE020000}">
      <text>
        <r>
          <rPr>
            <sz val="11"/>
            <color theme="1"/>
            <rFont val="Calibri"/>
            <family val="2"/>
            <scheme val="minor"/>
          </rPr>
          <t>======
ID#AAABDDKrQac
Gavin Mudd    (2023-12-20 21:24:03)
historic resources, assumed as inferred</t>
        </r>
      </text>
    </comment>
    <comment ref="BG144" authorId="0" shapeId="0" xr:uid="{00000000-0006-0000-0100-0000DB020000}">
      <text>
        <r>
          <rPr>
            <sz val="11"/>
            <color theme="1"/>
            <rFont val="Calibri"/>
            <family val="2"/>
            <scheme val="minor"/>
          </rPr>
          <t>======
ID#AAABDDKrQa8
Gavin Mudd    (2023-12-20 21:24:03)
historic resources, assumed as inferred</t>
        </r>
      </text>
    </comment>
    <comment ref="AY145" authorId="0" shapeId="0" xr:uid="{00000000-0006-0000-0100-0000C2010000}">
      <text>
        <r>
          <rPr>
            <sz val="11"/>
            <color theme="1"/>
            <rFont val="Calibri"/>
            <family val="2"/>
            <scheme val="minor"/>
          </rPr>
          <t>======
ID#AAABDDKrQ_8
Gavin Mudd    (2023-12-20 21:24:04)
2011 data minus 2012 mining; site closed early 2013 ...</t>
        </r>
      </text>
    </comment>
    <comment ref="BH145" authorId="0" shapeId="0" xr:uid="{00000000-0006-0000-0100-0000F3020000}">
      <text>
        <r>
          <rPr>
            <sz val="11"/>
            <color theme="1"/>
            <rFont val="Calibri"/>
            <family val="2"/>
            <scheme val="minor"/>
          </rPr>
          <t>======
ID#AAABDDKrQXw
Gavin Mudd    (2023-12-20 21:24:03)
data from Berger et al (2011)</t>
        </r>
      </text>
    </comment>
    <comment ref="AY146" authorId="0" shapeId="0" xr:uid="{00000000-0006-0000-0100-0000AB030000}">
      <text>
        <r>
          <rPr>
            <sz val="11"/>
            <color theme="1"/>
            <rFont val="Calibri"/>
            <family val="2"/>
            <scheme val="minor"/>
          </rPr>
          <t>======
ID#AAABDDKrQCA
Gavin Mudd    (2023-12-20 21:24:03)
historic resources (non-compliant with NI43-101) - hence all data allocated as inferred resources only</t>
        </r>
      </text>
    </comment>
    <comment ref="BG146" authorId="0" shapeId="0" xr:uid="{00000000-0006-0000-0100-00004B050000}">
      <text>
        <r>
          <rPr>
            <sz val="11"/>
            <color theme="1"/>
            <rFont val="Calibri"/>
            <family val="2"/>
            <scheme val="minor"/>
          </rPr>
          <t>======
ID#AAABDDKrPPo
Gavin Mudd    (2023-12-20 21:24:03)
historic resources (non-compliant with NI43-101) - hence all data allocated as inferred resources only</t>
        </r>
      </text>
    </comment>
    <comment ref="BH146" authorId="0" shapeId="0" xr:uid="{00000000-0006-0000-0100-0000EC050000}">
      <text>
        <r>
          <rPr>
            <sz val="11"/>
            <color theme="1"/>
            <rFont val="Calibri"/>
            <family val="2"/>
            <scheme val="minor"/>
          </rPr>
          <t>======
ID#AAABDDKrO74
Gavin Mudd    (2023-12-20 21:24:03)
historic resources (non-compliant with NI43-101) - hence all data allocated as inferred resources only</t>
        </r>
      </text>
    </comment>
    <comment ref="AY147" authorId="0" shapeId="0" xr:uid="{00000000-0006-0000-0100-000000020000}">
      <text>
        <r>
          <rPr>
            <sz val="11"/>
            <color theme="1"/>
            <rFont val="Calibri"/>
            <family val="2"/>
            <scheme val="minor"/>
          </rPr>
          <t>======
ID#AAABDDKrQ4U
Gavin Mudd    (2023-12-20 21:24:04)
historic resources (non-compliant with NI43-101) - hence all data allocated as inferred resources only</t>
        </r>
      </text>
    </comment>
    <comment ref="BG147" authorId="0" shapeId="0" xr:uid="{00000000-0006-0000-0100-0000C6020000}">
      <text>
        <r>
          <rPr>
            <sz val="11"/>
            <color theme="1"/>
            <rFont val="Calibri"/>
            <family val="2"/>
            <scheme val="minor"/>
          </rPr>
          <t>======
ID#AAABDDKrQd4
Gavin Mudd    (2023-12-20 21:24:03)
historic resources (non-compliant with NI43-101) - hence all data allocated as inferred resources only</t>
        </r>
      </text>
    </comment>
    <comment ref="BH147" authorId="0" shapeId="0" xr:uid="{00000000-0006-0000-0100-0000F9020000}">
      <text>
        <r>
          <rPr>
            <sz val="11"/>
            <color theme="1"/>
            <rFont val="Calibri"/>
            <family val="2"/>
            <scheme val="minor"/>
          </rPr>
          <t>======
ID#AAABDDKrQXA
Gavin Mudd    (2023-12-20 21:24:03)
historic resources (non-compliant with NI43-101) - hence all data allocated as inferred resources only</t>
        </r>
      </text>
    </comment>
    <comment ref="AY148" authorId="0" shapeId="0" xr:uid="{00000000-0006-0000-0100-000067010000}">
      <text>
        <r>
          <rPr>
            <sz val="11"/>
            <color theme="1"/>
            <rFont val="Calibri"/>
            <family val="2"/>
            <scheme val="minor"/>
          </rPr>
          <t>======
ID#AAABDDKrRKo
Gavin Mudd    (2023-12-20 21:24:04)
historic resources (non-compliant with NI43-101) - hence all data allocated as inferred resources only</t>
        </r>
      </text>
    </comment>
    <comment ref="BG148" authorId="0" shapeId="0" xr:uid="{00000000-0006-0000-0100-000049060000}">
      <text>
        <r>
          <rPr>
            <sz val="11"/>
            <color theme="1"/>
            <rFont val="Calibri"/>
            <family val="2"/>
            <scheme val="minor"/>
          </rPr>
          <t>======
ID#AAABCyJQh3o
Gavin Mudd    (2023-12-20 21:24:02)
historic resources (non-compliant with NI43-101) - hence all data allocated as inferred resources only</t>
        </r>
      </text>
    </comment>
    <comment ref="BH148" authorId="0" shapeId="0" xr:uid="{00000000-0006-0000-0100-000048020000}">
      <text>
        <r>
          <rPr>
            <sz val="11"/>
            <color theme="1"/>
            <rFont val="Calibri"/>
            <family val="2"/>
            <scheme val="minor"/>
          </rPr>
          <t>======
ID#AAABDDKrQuo
Gavin Mudd    (2023-12-20 21:24:04)
historic resources (non-compliant with NI43-101) - hence all data allocated as inferred resources only</t>
        </r>
      </text>
    </comment>
    <comment ref="F155" authorId="0" shapeId="0" xr:uid="{00000000-0006-0000-0100-000098000000}">
      <text>
        <r>
          <rPr>
            <sz val="11"/>
            <color theme="1"/>
            <rFont val="Calibri"/>
            <family val="2"/>
            <scheme val="minor"/>
          </rPr>
          <t>======
ID#AAABDDKrRjc
Gavin Mudd    (2023-12-20 21:24:04)
possibly Clean Power Pty Ltd, then MinRex Resources Ltd - but current ownwer unknown</t>
        </r>
      </text>
    </comment>
    <comment ref="AM156" authorId="0" shapeId="0" xr:uid="{00000000-0006-0000-0100-0000D2020000}">
      <text>
        <r>
          <rPr>
            <sz val="11"/>
            <color theme="1"/>
            <rFont val="Calibri"/>
            <family val="2"/>
            <scheme val="minor"/>
          </rPr>
          <t>======
ID#AAABDDKrQcM
Gavin Mudd    (2023-12-20 21:24:03)
value from Barnes (2006)</t>
        </r>
      </text>
    </comment>
    <comment ref="A159" authorId="0" shapeId="0" xr:uid="{00000000-0006-0000-0100-0000B1050000}">
      <text>
        <r>
          <rPr>
            <sz val="11"/>
            <color theme="1"/>
            <rFont val="Calibri"/>
            <family val="2"/>
            <scheme val="minor"/>
          </rPr>
          <t>======
ID#AAABDDKrPDg
Gavin Mudd    (2023-12-20 21:24:03)
includes John Ellis, Merv Daw</t>
        </r>
      </text>
    </comment>
    <comment ref="A160" authorId="0" shapeId="0" xr:uid="{00000000-0006-0000-0100-00001C040000}">
      <text>
        <r>
          <rPr>
            <sz val="11"/>
            <color theme="1"/>
            <rFont val="Calibri"/>
            <family val="2"/>
            <scheme val="minor"/>
          </rPr>
          <t>======
ID#AAABDDKrP0g
Gavin Mudd    (2023-12-20 21:24:03)
formerly known as the "Nornico" project; includes Bell Creek South, Bell Creek North, Bell Creek Northwest, Bell Creek The Neck</t>
        </r>
      </text>
    </comment>
    <comment ref="DN160" authorId="0" shapeId="0" xr:uid="{00000000-0006-0000-0100-00000F060000}">
      <text>
        <r>
          <rPr>
            <sz val="11"/>
            <color theme="1"/>
            <rFont val="Calibri"/>
            <family val="2"/>
            <scheme val="minor"/>
          </rPr>
          <t>======
ID#AAABCyJQh_E
Gavin Mudd    (2023-12-20 21:24:02)
media release (ASX) from former owner Metallica Minerals Ltd</t>
        </r>
      </text>
    </comment>
    <comment ref="A161" authorId="0" shapeId="0" xr:uid="{00000000-0006-0000-0100-00001A000000}">
      <text>
        <r>
          <rPr>
            <sz val="11"/>
            <color theme="1"/>
            <rFont val="Calibri"/>
            <family val="2"/>
            <scheme val="minor"/>
          </rPr>
          <t>======
ID#AAABDDKrRyg
Gavin Mudd    (2023-12-20 21:24:04)
formerly known as the "Nornico" project</t>
        </r>
      </text>
    </comment>
    <comment ref="DN161" authorId="0" shapeId="0" xr:uid="{00000000-0006-0000-0100-000076030000}">
      <text>
        <r>
          <rPr>
            <sz val="11"/>
            <color theme="1"/>
            <rFont val="Calibri"/>
            <family val="2"/>
            <scheme val="minor"/>
          </rPr>
          <t>======
ID#AAABDDKrQHY
Gavin Mudd    (2023-12-20 21:24:03)
media release (ASX) from former owner Metallica Minerals Ltd</t>
        </r>
      </text>
    </comment>
    <comment ref="A162" authorId="0" shapeId="0" xr:uid="{00000000-0006-0000-0100-0000A2050000}">
      <text>
        <r>
          <rPr>
            <sz val="11"/>
            <color theme="1"/>
            <rFont val="Calibri"/>
            <family val="2"/>
            <scheme val="minor"/>
          </rPr>
          <t>======
ID#AAABDDKrPFA
Gavin Mudd    (2023-12-20 21:24:03)
formerly known as the "Nornico" project</t>
        </r>
      </text>
    </comment>
    <comment ref="DN162" authorId="0" shapeId="0" xr:uid="{00000000-0006-0000-0100-000015060000}">
      <text>
        <r>
          <rPr>
            <sz val="11"/>
            <color theme="1"/>
            <rFont val="Calibri"/>
            <family val="2"/>
            <scheme val="minor"/>
          </rPr>
          <t>======
ID#AAABCyJQh-c
Gavin Mudd    (2023-12-20 21:24:02)
media release (ASX) from former owner Metallica Minerals Ltd</t>
        </r>
      </text>
    </comment>
    <comment ref="A163" authorId="0" shapeId="0" xr:uid="{00000000-0006-0000-0100-0000C6010000}">
      <text>
        <r>
          <rPr>
            <sz val="11"/>
            <color theme="1"/>
            <rFont val="Calibri"/>
            <family val="2"/>
            <scheme val="minor"/>
          </rPr>
          <t>======
ID#AAABDDKrQ_Y
Gavin Mudd    (2023-12-20 21:24:04)
formerly known as the "Nornico" project</t>
        </r>
      </text>
    </comment>
    <comment ref="DN163" authorId="0" shapeId="0" xr:uid="{00000000-0006-0000-0100-00007F000000}">
      <text>
        <r>
          <rPr>
            <sz val="11"/>
            <color theme="1"/>
            <rFont val="Calibri"/>
            <family val="2"/>
            <scheme val="minor"/>
          </rPr>
          <t>======
ID#AAABDDKrRoI
Gavin Mudd    (2023-12-20 21:24:04)
media release (ASX) from former owner Metallica Minerals Ltd</t>
        </r>
      </text>
    </comment>
    <comment ref="F166" authorId="0" shapeId="0" xr:uid="{00000000-0006-0000-0100-00007E050000}">
      <text>
        <r>
          <rPr>
            <sz val="11"/>
            <color theme="1"/>
            <rFont val="Calibri"/>
            <family val="2"/>
            <scheme val="minor"/>
          </rPr>
          <t>======
ID#AAABDDKrPI4
Gavin Mudd    (2023-12-20 21:24:03)
previously held by Minara Resources (Anaconda Nickel), now part of Glencore</t>
        </r>
      </text>
    </comment>
    <comment ref="I169" authorId="0" shapeId="0" xr:uid="{00000000-0006-0000-0100-0000DA000000}">
      <text>
        <r>
          <rPr>
            <sz val="11"/>
            <color theme="1"/>
            <rFont val="Calibri"/>
            <family val="2"/>
            <scheme val="minor"/>
          </rPr>
          <t>======
ID#AAABDDKrRbs
Gavin Mudd    (2023-12-20 21:24:04)
only total measured &amp; indicated resources reported</t>
        </r>
      </text>
    </comment>
    <comment ref="AD169" authorId="0" shapeId="0" xr:uid="{00000000-0006-0000-0100-0000DA020000}">
      <text>
        <r>
          <rPr>
            <sz val="11"/>
            <color theme="1"/>
            <rFont val="Calibri"/>
            <family val="2"/>
            <scheme val="minor"/>
          </rPr>
          <t>======
ID#AAABDDKrQbI
Gavin Mudd    (2023-12-20 21:24:03)
only total measured &amp; indicated resources reported</t>
        </r>
      </text>
    </comment>
    <comment ref="AL169" authorId="0" shapeId="0" xr:uid="{00000000-0006-0000-0100-0000A9030000}">
      <text>
        <r>
          <rPr>
            <sz val="11"/>
            <color theme="1"/>
            <rFont val="Calibri"/>
            <family val="2"/>
            <scheme val="minor"/>
          </rPr>
          <t>======
ID#AAABDDKrQCU
Gavin Mudd    (2023-12-20 21:24:03)
only total measured &amp; indicated resources reported</t>
        </r>
      </text>
    </comment>
    <comment ref="AT169" authorId="0" shapeId="0" xr:uid="{00000000-0006-0000-0100-000009010000}">
      <text>
        <r>
          <rPr>
            <sz val="11"/>
            <color theme="1"/>
            <rFont val="Calibri"/>
            <family val="2"/>
            <scheme val="minor"/>
          </rPr>
          <t>======
ID#AAABDDKrRVk
Gavin Mudd    (2023-12-20 21:24:04)
only total measured &amp; indicated resources reported</t>
        </r>
      </text>
    </comment>
    <comment ref="AY169" authorId="0" shapeId="0" xr:uid="{00000000-0006-0000-0100-00006A050000}">
      <text>
        <r>
          <rPr>
            <sz val="11"/>
            <color theme="1"/>
            <rFont val="Calibri"/>
            <family val="2"/>
            <scheme val="minor"/>
          </rPr>
          <t>======
ID#AAABDDKrPLM
Gavin Mudd    (2023-12-20 21:24:03)
only total measured &amp; indicated resources reported</t>
        </r>
      </text>
    </comment>
    <comment ref="BG169" authorId="0" shapeId="0" xr:uid="{00000000-0006-0000-0100-0000CB050000}">
      <text>
        <r>
          <rPr>
            <sz val="11"/>
            <color theme="1"/>
            <rFont val="Calibri"/>
            <family val="2"/>
            <scheme val="minor"/>
          </rPr>
          <t>======
ID#AAABDDKrO_8
Gavin Mudd    (2023-12-20 21:24:03)
only total measured &amp; indicated resources reported</t>
        </r>
      </text>
    </comment>
    <comment ref="BO169" authorId="0" shapeId="0" xr:uid="{00000000-0006-0000-0100-00007E020000}">
      <text>
        <r>
          <rPr>
            <sz val="11"/>
            <color theme="1"/>
            <rFont val="Calibri"/>
            <family val="2"/>
            <scheme val="minor"/>
          </rPr>
          <t>======
ID#AAABDDKrQnU
Gavin Mudd    (2023-12-20 21:24:04)
only total measured &amp; indicated resources reported</t>
        </r>
      </text>
    </comment>
    <comment ref="CO169" authorId="0" shapeId="0" xr:uid="{00000000-0006-0000-0100-000069050000}">
      <text>
        <r>
          <rPr>
            <sz val="11"/>
            <color theme="1"/>
            <rFont val="Calibri"/>
            <family val="2"/>
            <scheme val="minor"/>
          </rPr>
          <t>======
ID#AAABDDKrPLs
Gavin Mudd    (2023-12-20 21:24:03)
total of proved and probable reserves</t>
        </r>
      </text>
    </comment>
    <comment ref="CW169" authorId="0" shapeId="0" xr:uid="{00000000-0006-0000-0100-00008D060000}">
      <text>
        <r>
          <rPr>
            <sz val="11"/>
            <color theme="1"/>
            <rFont val="Calibri"/>
            <family val="2"/>
            <scheme val="minor"/>
          </rPr>
          <t>======
ID#AAABCyJQhtI
Gavin Mudd    (2023-12-20 21:24:01)
total of proved and probable reserves</t>
        </r>
      </text>
    </comment>
    <comment ref="DE169" authorId="0" shapeId="0" xr:uid="{00000000-0006-0000-0100-000094040000}">
      <text>
        <r>
          <rPr>
            <sz val="11"/>
            <color theme="1"/>
            <rFont val="Calibri"/>
            <family val="2"/>
            <scheme val="minor"/>
          </rPr>
          <t>======
ID#AAABDDKrPlI
Gavin Mudd    (2023-12-20 21:24:03)
total of proved and probable reserves</t>
        </r>
      </text>
    </comment>
    <comment ref="AD170" authorId="0" shapeId="0" xr:uid="{00000000-0006-0000-0100-000015000000}">
      <text>
        <r>
          <rPr>
            <sz val="11"/>
            <color theme="1"/>
            <rFont val="Calibri"/>
            <family val="2"/>
            <scheme val="minor"/>
          </rPr>
          <t>======
ID#AAABDDKrRzY
Gavin Mudd    (2023-12-20 21:24:04)
only total indicaed &amp; inferred resources are reported</t>
        </r>
      </text>
    </comment>
    <comment ref="AY170" authorId="0" shapeId="0" xr:uid="{00000000-0006-0000-0100-000094050000}">
      <text>
        <r>
          <rPr>
            <sz val="11"/>
            <color theme="1"/>
            <rFont val="Calibri"/>
            <family val="2"/>
            <scheme val="minor"/>
          </rPr>
          <t>======
ID#AAABDDKrPGk
Gavin Mudd    (2023-12-20 21:24:03)
only total indicaed &amp; inferred resources are reported</t>
        </r>
      </text>
    </comment>
    <comment ref="BG170" authorId="0" shapeId="0" xr:uid="{00000000-0006-0000-0100-0000B0030000}">
      <text>
        <r>
          <rPr>
            <sz val="11"/>
            <color theme="1"/>
            <rFont val="Calibri"/>
            <family val="2"/>
            <scheme val="minor"/>
          </rPr>
          <t>======
ID#AAABDDKrQBg
Gavin Mudd    (2023-12-20 21:24:03)
only total indicaed &amp; inferred resources are reported</t>
        </r>
      </text>
    </comment>
    <comment ref="BH170" authorId="0" shapeId="0" xr:uid="{00000000-0006-0000-0100-000094030000}">
      <text>
        <r>
          <rPr>
            <sz val="11"/>
            <color theme="1"/>
            <rFont val="Calibri"/>
            <family val="2"/>
            <scheme val="minor"/>
          </rPr>
          <t>======
ID#AAABDDKrQEk
Gavin Mudd    (2023-12-20 21:24:03)
only total indicaed &amp; inferred resources are reported</t>
        </r>
      </text>
    </comment>
    <comment ref="DN170" authorId="0" shapeId="0" xr:uid="{00000000-0006-0000-0100-0000D7020000}">
      <text>
        <r>
          <rPr>
            <sz val="11"/>
            <color theme="1"/>
            <rFont val="Calibri"/>
            <family val="2"/>
            <scheme val="minor"/>
          </rPr>
          <t>======
ID#AAABDDKrQbU
Gavin Mudd    (2023-12-20 21:24:03)
data from Regency Mines plc</t>
        </r>
      </text>
    </comment>
    <comment ref="F173" authorId="0" shapeId="0" xr:uid="{00000000-0006-0000-0100-000069040000}">
      <text>
        <r>
          <rPr>
            <sz val="11"/>
            <color theme="1"/>
            <rFont val="Calibri"/>
            <family val="2"/>
            <scheme val="minor"/>
          </rPr>
          <t>======
ID#AAABDDKrPqg
Gavin Mudd    (2023-12-20 21:24:03)
previously a joint venture between European Nickel plc (40%), Rusina Mining (40%), Local Business (20%); current ownership unclear</t>
        </r>
      </text>
    </comment>
    <comment ref="DN173" authorId="0" shapeId="0" xr:uid="{00000000-0006-0000-0100-0000C5040000}">
      <text>
        <r>
          <rPr>
            <sz val="11"/>
            <color theme="1"/>
            <rFont val="Calibri"/>
            <family val="2"/>
            <scheme val="minor"/>
          </rPr>
          <t>======
ID#AAABDDKrPfk
Gavin Mudd    (2023-12-20 21:24:03)
data from European Nickel plc (ENK)</t>
        </r>
      </text>
    </comment>
    <comment ref="BH176" authorId="0" shapeId="0" xr:uid="{00000000-0006-0000-0100-00008A000000}">
      <text>
        <r>
          <rPr>
            <sz val="11"/>
            <color theme="1"/>
            <rFont val="Calibri"/>
            <family val="2"/>
            <scheme val="minor"/>
          </rPr>
          <t>======
ID#AAABDDKrRmI
Gavin Mudd    (2023-12-20 21:24:04)
data from WA MINEDEX</t>
        </r>
      </text>
    </comment>
    <comment ref="BH179" authorId="0" shapeId="0" xr:uid="{00000000-0006-0000-0100-0000AF000000}">
      <text>
        <r>
          <rPr>
            <sz val="11"/>
            <color theme="1"/>
            <rFont val="Calibri"/>
            <family val="2"/>
            <scheme val="minor"/>
          </rPr>
          <t>======
ID#AAABDDKrRhE
Gavin Mudd    (2023-12-20 21:24:04)
value from Barnes (2006)</t>
        </r>
      </text>
    </comment>
    <comment ref="F186" authorId="0" shapeId="0" xr:uid="{00000000-0006-0000-0100-0000CC020000}">
      <text>
        <r>
          <rPr>
            <sz val="11"/>
            <color theme="1"/>
            <rFont val="Calibri"/>
            <family val="2"/>
            <scheme val="minor"/>
          </rPr>
          <t>======
ID#AAABDDKrQdY
Gavin Mudd    (2023-12-20 21:24:03)
previously Proto Resources Ltd, then GME Resources Ltd, now no-one (apparently).</t>
        </r>
      </text>
    </comment>
    <comment ref="BT190" authorId="0" shapeId="0" xr:uid="{00000000-0006-0000-0100-0000B5000000}">
      <text>
        <r>
          <rPr>
            <sz val="11"/>
            <color theme="1"/>
            <rFont val="Calibri"/>
            <family val="2"/>
            <scheme val="minor"/>
          </rPr>
          <t>======
ID#AAABDDKrRgg
Gavin Mudd    (2023-12-20 21:24:04)
only total proven &amp; probable reserves given</t>
        </r>
      </text>
    </comment>
    <comment ref="CO190" authorId="0" shapeId="0" xr:uid="{00000000-0006-0000-0100-0000C4030000}">
      <text>
        <r>
          <rPr>
            <sz val="11"/>
            <color theme="1"/>
            <rFont val="Calibri"/>
            <family val="2"/>
            <scheme val="minor"/>
          </rPr>
          <t>======
ID#AAABDDKrP-c
Gavin Mudd    (2023-12-20 21:24:03)
only total proven &amp; probable reserves given</t>
        </r>
      </text>
    </comment>
    <comment ref="CW190" authorId="0" shapeId="0" xr:uid="{00000000-0006-0000-0100-0000B3020000}">
      <text>
        <r>
          <rPr>
            <sz val="11"/>
            <color theme="1"/>
            <rFont val="Calibri"/>
            <family val="2"/>
            <scheme val="minor"/>
          </rPr>
          <t>======
ID#AAABDDKrQgI
Gavin Mudd    (2023-12-20 21:24:03)
only total proven &amp; probable reserves given</t>
        </r>
      </text>
    </comment>
    <comment ref="CX190" authorId="0" shapeId="0" xr:uid="{00000000-0006-0000-0100-000081030000}">
      <text>
        <r>
          <rPr>
            <sz val="11"/>
            <color theme="1"/>
            <rFont val="Calibri"/>
            <family val="2"/>
            <scheme val="minor"/>
          </rPr>
          <t>======
ID#AAABDDKrQGc
Gavin Mudd    (2023-12-20 21:24:03)
only total proven &amp; probable reserves given</t>
        </r>
      </text>
    </comment>
    <comment ref="F191" authorId="0" shapeId="0" xr:uid="{00000000-0006-0000-0100-000048010000}">
      <text>
        <r>
          <rPr>
            <sz val="11"/>
            <color theme="1"/>
            <rFont val="Calibri"/>
            <family val="2"/>
            <scheme val="minor"/>
          </rPr>
          <t>======
ID#AAABDDKrROM
Gavin Mudd    (2023-12-20 21:24:04)
previously a joint venture between European Nickel plc (40%), Rusina Mining (40%), Local Business (20%); current ownership unclear</t>
        </r>
      </text>
    </comment>
    <comment ref="DN191" authorId="0" shapeId="0" xr:uid="{00000000-0006-0000-0100-0000CB010000}">
      <text>
        <r>
          <rPr>
            <sz val="11"/>
            <color theme="1"/>
            <rFont val="Calibri"/>
            <family val="2"/>
            <scheme val="minor"/>
          </rPr>
          <t>======
ID#AAABDDKrQ-o
Gavin Mudd    (2023-12-20 21:24:04)
data from European Nickel plc (ENK)</t>
        </r>
      </text>
    </comment>
    <comment ref="BI197" authorId="0" shapeId="0" xr:uid="{00000000-0006-0000-0100-0000C2040000}">
      <text>
        <r>
          <rPr>
            <sz val="11"/>
            <color theme="1"/>
            <rFont val="Calibri"/>
            <family val="2"/>
            <scheme val="minor"/>
          </rPr>
          <t>======
ID#AAABDDKrPf8
Gavin Mudd    (2023-12-20 21:24:03)
data from Dec. 2017 quarterly report</t>
        </r>
      </text>
    </comment>
    <comment ref="BJ197" authorId="0" shapeId="0" xr:uid="{00000000-0006-0000-0100-000068040000}">
      <text>
        <r>
          <rPr>
            <sz val="11"/>
            <color theme="1"/>
            <rFont val="Calibri"/>
            <family val="2"/>
            <scheme val="minor"/>
          </rPr>
          <t>======
ID#AAABDDKrPqo
Gavin Mudd    (2023-12-20 21:24:03)
data from Dec. 2017 quarterly report</t>
        </r>
      </text>
    </comment>
    <comment ref="BQ197" authorId="0" shapeId="0" xr:uid="{00000000-0006-0000-0100-000054060000}">
      <text>
        <r>
          <rPr>
            <sz val="11"/>
            <color theme="1"/>
            <rFont val="Calibri"/>
            <family val="2"/>
            <scheme val="minor"/>
          </rPr>
          <t>======
ID#AAABCyJQh2c
Gavin Mudd    (2023-12-20 21:24:02)
data from Dec. 2017 quarterly report</t>
        </r>
      </text>
    </comment>
    <comment ref="BQ199" authorId="0" shapeId="0" xr:uid="{00000000-0006-0000-0100-0000AF010000}">
      <text>
        <r>
          <rPr>
            <sz val="11"/>
            <color theme="1"/>
            <rFont val="Calibri"/>
            <family val="2"/>
            <scheme val="minor"/>
          </rPr>
          <t>======
ID#AAABDDKrRCk
Gavin Mudd    (2023-12-20 21:24:04)
not JORC-code compliant</t>
        </r>
      </text>
    </comment>
    <comment ref="BQ200" authorId="0" shapeId="0" xr:uid="{00000000-0006-0000-0100-0000D1030000}">
      <text>
        <r>
          <rPr>
            <sz val="11"/>
            <color theme="1"/>
            <rFont val="Calibri"/>
            <family val="2"/>
            <scheme val="minor"/>
          </rPr>
          <t>======
ID#AAABDDKrP8s
Gavin Mudd    (2023-12-20 21:24:03)
not JORC-code compliant</t>
        </r>
      </text>
    </comment>
    <comment ref="I201" authorId="0" shapeId="0" xr:uid="{00000000-0006-0000-0100-000028010000}">
      <text>
        <r>
          <rPr>
            <sz val="11"/>
            <color theme="1"/>
            <rFont val="Calibri"/>
            <family val="2"/>
            <scheme val="minor"/>
          </rPr>
          <t>======
ID#AAABDDKrRRc
Gavin Mudd    (2023-12-20 21:24:04)
estimated from 2013 resources minus cumulative production to 2018 (assuming all production is from measured resources)</t>
        </r>
      </text>
    </comment>
    <comment ref="Q201" authorId="0" shapeId="0" xr:uid="{00000000-0006-0000-0100-00008F060000}">
      <text>
        <r>
          <rPr>
            <sz val="11"/>
            <color theme="1"/>
            <rFont val="Calibri"/>
            <family val="2"/>
            <scheme val="minor"/>
          </rPr>
          <t>======
ID#AAABCxlEytk
Gavin Mudd    (2023-12-20 21:24:01)
estimated from 2013 resources minus cumulative production to 2018 (assuming all production is from measured resources)</t>
        </r>
      </text>
    </comment>
    <comment ref="AL201" authorId="0" shapeId="0" xr:uid="{00000000-0006-0000-0100-000010010000}">
      <text>
        <r>
          <rPr>
            <sz val="11"/>
            <color theme="1"/>
            <rFont val="Calibri"/>
            <family val="2"/>
            <scheme val="minor"/>
          </rPr>
          <t>======
ID#AAABDDKrRUk
Gavin Mudd    (2023-12-20 21:24:04)
ore grade by category not given, only total average grade</t>
        </r>
      </text>
    </comment>
    <comment ref="BG201" authorId="0" shapeId="0" xr:uid="{00000000-0006-0000-0100-000026000000}">
      <text>
        <r>
          <rPr>
            <sz val="11"/>
            <color theme="1"/>
            <rFont val="Calibri"/>
            <family val="2"/>
            <scheme val="minor"/>
          </rPr>
          <t>======
ID#AAABDDKrRxY
Gavin Mudd    (2023-12-20 21:24:04)
ore grade by category not given, only total average grade</t>
        </r>
      </text>
    </comment>
    <comment ref="BH203" authorId="0" shapeId="0" xr:uid="{00000000-0006-0000-0100-0000DF010000}">
      <text>
        <r>
          <rPr>
            <sz val="11"/>
            <color theme="1"/>
            <rFont val="Calibri"/>
            <family val="2"/>
            <scheme val="minor"/>
          </rPr>
          <t>======
ID#AAABDDKrQ8I
Gavin Mudd    (2023-12-20 21:24:04)
value from Barnes (2006)</t>
        </r>
      </text>
    </comment>
    <comment ref="A205" authorId="0" shapeId="0" xr:uid="{00000000-0006-0000-0100-000023040000}">
      <text>
        <r>
          <rPr>
            <sz val="11"/>
            <color theme="1"/>
            <rFont val="Calibri"/>
            <family val="2"/>
            <scheme val="minor"/>
          </rPr>
          <t>======
ID#AAABDDKrPzw
Gavin Mudd    (2023-12-20 21:24:03)
formerly known as the "Nornico" project</t>
        </r>
      </text>
    </comment>
    <comment ref="DN205" authorId="0" shapeId="0" xr:uid="{00000000-0006-0000-0100-000004000000}">
      <text>
        <r>
          <rPr>
            <sz val="11"/>
            <color theme="1"/>
            <rFont val="Calibri"/>
            <family val="2"/>
            <scheme val="minor"/>
          </rPr>
          <t>======
ID#AAABDDKrR10
Gavin Mudd    (2023-12-20 21:24:04)
media release (ASX) from former owner Metallica Minerals Ltd</t>
        </r>
      </text>
    </comment>
    <comment ref="A208" authorId="0" shapeId="0" xr:uid="{00000000-0006-0000-0100-0000CC050000}">
      <text>
        <r>
          <rPr>
            <sz val="11"/>
            <color theme="1"/>
            <rFont val="Calibri"/>
            <family val="2"/>
            <scheme val="minor"/>
          </rPr>
          <t>======
ID#AAABDDKrO_0
Gavin Mudd    (2023-12-20 21:24:03)
includes Oriental, Yagrumaje Oeste, Playa La Vaca y Zona Septentrional, Zona Central, Zona A, Zona A Oeste, Sector 11 Bloques (Yamanigüey Ferroniquel), Sector 5 Bloques (Yamanigüey Ferroniquel), Slurry Plant Road, Zona Sur FerroNi I and II</t>
        </r>
      </text>
    </comment>
    <comment ref="A210" authorId="0" shapeId="0" xr:uid="{00000000-0006-0000-0100-000021000000}">
      <text>
        <r>
          <rPr>
            <sz val="11"/>
            <color theme="1"/>
            <rFont val="Calibri"/>
            <family val="2"/>
            <scheme val="minor"/>
          </rPr>
          <t>======
ID#AAABDDKrRx4
Gavin Mudd    (2023-12-20 21:24:04)
includes La Delta, Centarrana, Santa Teresita</t>
        </r>
      </text>
    </comment>
    <comment ref="F211" authorId="0" shapeId="0" xr:uid="{00000000-0006-0000-0100-000042000000}">
      <text>
        <r>
          <rPr>
            <sz val="11"/>
            <color theme="1"/>
            <rFont val="Calibri"/>
            <family val="2"/>
            <scheme val="minor"/>
          </rPr>
          <t>======
ID#AAABDDKrRuw
Gavin Mudd    (2023-12-20 21:24:04)
long variable corporate history - most recently owned by HudBay Minerals; sold to Solway Group in Sept. 2011</t>
        </r>
      </text>
    </comment>
    <comment ref="I211" authorId="0" shapeId="0" xr:uid="{00000000-0006-0000-0100-0000A2040000}">
      <text>
        <r>
          <rPr>
            <sz val="11"/>
            <color theme="1"/>
            <rFont val="Calibri"/>
            <family val="2"/>
            <scheme val="minor"/>
          </rPr>
          <t>======
ID#AAABDDKrPjU
Gavin Mudd    (2023-12-20 21:24:03)
some data from HudBay Minerals</t>
        </r>
      </text>
    </comment>
    <comment ref="Q211" authorId="0" shapeId="0" xr:uid="{00000000-0006-0000-0100-0000EE020000}">
      <text>
        <r>
          <rPr>
            <sz val="11"/>
            <color theme="1"/>
            <rFont val="Calibri"/>
            <family val="2"/>
            <scheme val="minor"/>
          </rPr>
          <t>======
ID#AAABDDKrQYQ
Gavin Mudd    (2023-12-20 21:24:03)
some data from HudBay Minerals</t>
        </r>
      </text>
    </comment>
    <comment ref="R211" authorId="0" shapeId="0" xr:uid="{00000000-0006-0000-0100-000077010000}">
      <text>
        <r>
          <rPr>
            <sz val="11"/>
            <color theme="1"/>
            <rFont val="Calibri"/>
            <family val="2"/>
            <scheme val="minor"/>
          </rPr>
          <t>======
ID#AAABDDKrRIs
Gavin Mudd    (2023-12-20 21:24:04)
some data from HudBay Minerals</t>
        </r>
      </text>
    </comment>
    <comment ref="AD211" authorId="0" shapeId="0" xr:uid="{00000000-0006-0000-0100-000005040000}">
      <text>
        <r>
          <rPr>
            <sz val="11"/>
            <color theme="1"/>
            <rFont val="Calibri"/>
            <family val="2"/>
            <scheme val="minor"/>
          </rPr>
          <t>======
ID#AAABDDKrP3s
Gavin Mudd    (2023-12-20 21:24:03)
some data from HudBay Minerals</t>
        </r>
      </text>
    </comment>
    <comment ref="AL211" authorId="0" shapeId="0" xr:uid="{00000000-0006-0000-0100-00000F000000}">
      <text>
        <r>
          <rPr>
            <sz val="11"/>
            <color theme="1"/>
            <rFont val="Calibri"/>
            <family val="2"/>
            <scheme val="minor"/>
          </rPr>
          <t>======
ID#AAABDDKrR0I
Gavin Mudd    (2023-12-20 21:24:04)
some data from HudBay Minerals</t>
        </r>
      </text>
    </comment>
    <comment ref="AM211" authorId="0" shapeId="0" xr:uid="{00000000-0006-0000-0100-000006030000}">
      <text>
        <r>
          <rPr>
            <sz val="11"/>
            <color theme="1"/>
            <rFont val="Calibri"/>
            <family val="2"/>
            <scheme val="minor"/>
          </rPr>
          <t>======
ID#AAABDDKrQU0
Gavin Mudd    (2023-12-20 21:24:03)
some data from HudBay Minerals</t>
        </r>
      </text>
    </comment>
    <comment ref="AY211" authorId="0" shapeId="0" xr:uid="{00000000-0006-0000-0100-00009B010000}">
      <text>
        <r>
          <rPr>
            <sz val="11"/>
            <color theme="1"/>
            <rFont val="Calibri"/>
            <family val="2"/>
            <scheme val="minor"/>
          </rPr>
          <t>======
ID#AAABDDKrREk
Gavin Mudd    (2023-12-20 21:24:04)
some data from HudBay Minerals</t>
        </r>
      </text>
    </comment>
    <comment ref="BG211" authorId="0" shapeId="0" xr:uid="{00000000-0006-0000-0100-00001C020000}">
      <text>
        <r>
          <rPr>
            <sz val="11"/>
            <color theme="1"/>
            <rFont val="Calibri"/>
            <family val="2"/>
            <scheme val="minor"/>
          </rPr>
          <t>======
ID#AAABDDKrQ0Y
Gavin Mudd    (2023-12-20 21:24:04)
some data from HudBay Minerals</t>
        </r>
      </text>
    </comment>
    <comment ref="BH211" authorId="0" shapeId="0" xr:uid="{00000000-0006-0000-0100-0000A9000000}">
      <text>
        <r>
          <rPr>
            <sz val="11"/>
            <color theme="1"/>
            <rFont val="Calibri"/>
            <family val="2"/>
            <scheme val="minor"/>
          </rPr>
          <t>======
ID#AAABDDKrRhk
Gavin Mudd    (2023-12-20 21:24:04)
some data from HudBay Minerals</t>
        </r>
      </text>
    </comment>
    <comment ref="DN211" authorId="0" shapeId="0" xr:uid="{00000000-0006-0000-0100-000085050000}">
      <text>
        <r>
          <rPr>
            <sz val="11"/>
            <color theme="1"/>
            <rFont val="Calibri"/>
            <family val="2"/>
            <scheme val="minor"/>
          </rPr>
          <t>======
ID#AAABDDKrPHw
Gavin Mudd    (2023-12-20 21:24:03)
data from HudBay Minerals; AIF 2010</t>
        </r>
      </text>
    </comment>
    <comment ref="F212" authorId="0" shapeId="0" xr:uid="{00000000-0006-0000-0100-000047040000}">
      <text>
        <r>
          <rPr>
            <sz val="11"/>
            <color theme="1"/>
            <rFont val="Calibri"/>
            <family val="2"/>
            <scheme val="minor"/>
          </rPr>
          <t>======
ID#AAABDDKrPvY
Gavin Mudd    (2023-12-20 21:24:03)
previously held by Anfield Nickel Corp</t>
        </r>
      </text>
    </comment>
    <comment ref="A214" authorId="0" shapeId="0" xr:uid="{00000000-0006-0000-0100-00008D040000}">
      <text>
        <r>
          <rPr>
            <sz val="11"/>
            <color theme="1"/>
            <rFont val="Calibri"/>
            <family val="2"/>
            <scheme val="minor"/>
          </rPr>
          <t>======
ID#AAABDDKrPl8
Gavin Mudd    (2023-12-20 21:24:03)
USGS call this site "La Sampala"</t>
        </r>
      </text>
    </comment>
    <comment ref="F214" authorId="0" shapeId="0" xr:uid="{00000000-0006-0000-0100-000082000000}">
      <text>
        <r>
          <rPr>
            <sz val="11"/>
            <color theme="1"/>
            <rFont val="Calibri"/>
            <family val="2"/>
            <scheme val="minor"/>
          </rPr>
          <t>======
ID#AAABDDKrRnI
Gavin Mudd    (2023-12-20 21:24:04)
previously held by a Rio Tinto-led joint venture</t>
        </r>
      </text>
    </comment>
    <comment ref="AY214" authorId="0" shapeId="0" xr:uid="{00000000-0006-0000-0100-0000A4000000}">
      <text>
        <r>
          <rPr>
            <sz val="11"/>
            <color theme="1"/>
            <rFont val="Calibri"/>
            <family val="2"/>
            <scheme val="minor"/>
          </rPr>
          <t>======
ID#AAABDDKrRh8
Gavin Mudd    (2023-12-20 21:24:04)
2014 data (Rio Tinto Annual Report 2014)</t>
        </r>
      </text>
    </comment>
    <comment ref="BG214" authorId="0" shapeId="0" xr:uid="{00000000-0006-0000-0100-000033030000}">
      <text>
        <r>
          <rPr>
            <sz val="11"/>
            <color theme="1"/>
            <rFont val="Calibri"/>
            <family val="2"/>
            <scheme val="minor"/>
          </rPr>
          <t>======
ID#AAABDDKrQOo
Gavin Mudd    (2023-12-20 21:24:03)
2014 data (Rio Tinto Annual Report 2014)</t>
        </r>
      </text>
    </comment>
    <comment ref="BH214" authorId="0" shapeId="0" xr:uid="{00000000-0006-0000-0100-0000B6010000}">
      <text>
        <r>
          <rPr>
            <sz val="11"/>
            <color theme="1"/>
            <rFont val="Calibri"/>
            <family val="2"/>
            <scheme val="minor"/>
          </rPr>
          <t>======
ID#AAABDDKrRBk
Gavin Mudd    (2023-12-20 21:24:04)
Rio Tinto media release 28 May 2008</t>
        </r>
      </text>
    </comment>
    <comment ref="DN214" authorId="0" shapeId="0" xr:uid="{00000000-0006-0000-0100-00005F050000}">
      <text>
        <r>
          <rPr>
            <sz val="11"/>
            <color theme="1"/>
            <rFont val="Calibri"/>
            <family val="2"/>
            <scheme val="minor"/>
          </rPr>
          <t>======
ID#AAABDDKrPM4
Gavin Mudd    (2023-12-20 21:24:03)
2014 data (Rio Tinto Annual Report 2014)</t>
        </r>
      </text>
    </comment>
    <comment ref="I215" authorId="0" shapeId="0" xr:uid="{00000000-0006-0000-0100-000050060000}">
      <text>
        <r>
          <rPr>
            <sz val="11"/>
            <color theme="1"/>
            <rFont val="Calibri"/>
            <family val="2"/>
            <scheme val="minor"/>
          </rPr>
          <t>======
ID#AAABCyJQh20
Gavin Mudd    (2023-12-20 21:24:02)
proved reserves added to exclsuive measured resources</t>
        </r>
      </text>
    </comment>
    <comment ref="Q215" authorId="0" shapeId="0" xr:uid="{00000000-0006-0000-0100-00000D030000}">
      <text>
        <r>
          <rPr>
            <sz val="11"/>
            <color theme="1"/>
            <rFont val="Calibri"/>
            <family val="2"/>
            <scheme val="minor"/>
          </rPr>
          <t>======
ID#AAABDDKrQTw
Gavin Mudd    (2023-12-20 21:24:03)
proved reserves added to exclsuive measured resources</t>
        </r>
      </text>
    </comment>
    <comment ref="R215" authorId="0" shapeId="0" xr:uid="{00000000-0006-0000-0100-000092040000}">
      <text>
        <r>
          <rPr>
            <sz val="11"/>
            <color theme="1"/>
            <rFont val="Calibri"/>
            <family val="2"/>
            <scheme val="minor"/>
          </rPr>
          <t>======
ID#AAABDDKrPlQ
Gavin Mudd    (2023-12-20 21:24:03)
proved reserves added to exclsuive measured resources</t>
        </r>
      </text>
    </comment>
    <comment ref="AD215" authorId="0" shapeId="0" xr:uid="{00000000-0006-0000-0100-00003D000000}">
      <text>
        <r>
          <rPr>
            <sz val="11"/>
            <color theme="1"/>
            <rFont val="Calibri"/>
            <family val="2"/>
            <scheme val="minor"/>
          </rPr>
          <t>======
ID#AAABDDKrRvM
Gavin Mudd    (2023-12-20 21:24:04)
probable reserves added to exlusive indicated resources</t>
        </r>
      </text>
    </comment>
    <comment ref="AL215" authorId="0" shapeId="0" xr:uid="{00000000-0006-0000-0100-00007C020000}">
      <text>
        <r>
          <rPr>
            <sz val="11"/>
            <color theme="1"/>
            <rFont val="Calibri"/>
            <family val="2"/>
            <scheme val="minor"/>
          </rPr>
          <t>======
ID#AAABDDKrQno
Gavin Mudd    (2023-12-20 21:24:04)
probable reserves added to exlusive indicated resources</t>
        </r>
      </text>
    </comment>
    <comment ref="AM215" authorId="0" shapeId="0" xr:uid="{00000000-0006-0000-0100-00008C050000}">
      <text>
        <r>
          <rPr>
            <sz val="11"/>
            <color theme="1"/>
            <rFont val="Calibri"/>
            <family val="2"/>
            <scheme val="minor"/>
          </rPr>
          <t>======
ID#AAABDDKrPHQ
Gavin Mudd    (2023-12-20 21:24:03)
probable reserves added to exlusive indicated resources</t>
        </r>
      </text>
    </comment>
    <comment ref="DN215" authorId="0" shapeId="0" xr:uid="{00000000-0006-0000-0100-000024000000}">
      <text>
        <r>
          <rPr>
            <sz val="11"/>
            <color theme="1"/>
            <rFont val="Calibri"/>
            <family val="2"/>
            <scheme val="minor"/>
          </rPr>
          <t>======
ID#AAABDDKrRxo
Gavin Mudd    (2023-12-20 21:24:04)
data from Sherritt</t>
        </r>
      </text>
    </comment>
    <comment ref="I216" authorId="0" shapeId="0" xr:uid="{00000000-0006-0000-0100-000097020000}">
      <text>
        <r>
          <rPr>
            <sz val="11"/>
            <color theme="1"/>
            <rFont val="Calibri"/>
            <family val="2"/>
            <scheme val="minor"/>
          </rPr>
          <t>======
ID#AAABDDKrQj0
Gavin Mudd    (2023-12-20 21:24:04)
Vale only reports reserves, but has from 2015 has not reported any reserves for Goro due to low nickel prices</t>
        </r>
      </text>
    </comment>
    <comment ref="AD216" authorId="0" shapeId="0" xr:uid="{00000000-0006-0000-0100-000057030000}">
      <text>
        <r>
          <rPr>
            <sz val="11"/>
            <color theme="1"/>
            <rFont val="Calibri"/>
            <family val="2"/>
            <scheme val="minor"/>
          </rPr>
          <t>======
ID#AAABDDKrQKE
Gavin Mudd    (2023-12-20 21:24:03)
Vale only reports reserves, but has from 2015 has not reported any reserves for Goro due to low nickel prices</t>
        </r>
      </text>
    </comment>
    <comment ref="AY216" authorId="0" shapeId="0" xr:uid="{00000000-0006-0000-0100-00006E010000}">
      <text>
        <r>
          <rPr>
            <sz val="11"/>
            <color theme="1"/>
            <rFont val="Calibri"/>
            <family val="2"/>
            <scheme val="minor"/>
          </rPr>
          <t>======
ID#AAABDDKrRJs
Gavin Mudd    (2023-12-20 21:24:04)
Vale only reports reserves, but has from 2015 has not reported any reserves for Goro due to low nickel prices
- this estimate base on 2014 reserves minus production 2015 to 2018</t>
        </r>
      </text>
    </comment>
    <comment ref="BG216" authorId="0" shapeId="0" xr:uid="{00000000-0006-0000-0100-000023060000}">
      <text>
        <r>
          <rPr>
            <sz val="11"/>
            <color theme="1"/>
            <rFont val="Calibri"/>
            <family val="2"/>
            <scheme val="minor"/>
          </rPr>
          <t>======
ID#AAABCyJQh8o
Gavin Mudd    (2023-12-20 21:24:02)
Vale only reports reserves, but has from 2015 has not reported any reserves for Goro due to low nickel prices
- this estimate base on 2014 reserves minus production 2015 to 2018</t>
        </r>
      </text>
    </comment>
    <comment ref="BH216" authorId="0" shapeId="0" xr:uid="{00000000-0006-0000-0100-000057020000}">
      <text>
        <r>
          <rPr>
            <sz val="11"/>
            <color theme="1"/>
            <rFont val="Calibri"/>
            <family val="2"/>
            <scheme val="minor"/>
          </rPr>
          <t>======
ID#AAABDDKrQsk
Gavin Mudd    (2023-12-20 21:24:04)
Vale only reports reserves, but has from 2015 has not reported any reserves for Goro due to low nickel prices
- this estimate base on 2014 reserves minus production 2015 to 2018
- cobalt grades not reported for production, so constant reserves value assumed</t>
        </r>
      </text>
    </comment>
    <comment ref="BT216" authorId="0" shapeId="0" xr:uid="{00000000-0006-0000-0100-0000A5050000}">
      <text>
        <r>
          <rPr>
            <sz val="11"/>
            <color theme="1"/>
            <rFont val="Calibri"/>
            <family val="2"/>
            <scheme val="minor"/>
          </rPr>
          <t>======
ID#AAABDDKrPEs
Gavin Mudd    (2023-12-20 21:24:03)
Vale only reports reserves, but has from 2015 has not reported any reserves for Goro due to low nickel prices</t>
        </r>
      </text>
    </comment>
    <comment ref="CO216" authorId="0" shapeId="0" xr:uid="{00000000-0006-0000-0100-0000C9010000}">
      <text>
        <r>
          <rPr>
            <sz val="11"/>
            <color theme="1"/>
            <rFont val="Calibri"/>
            <family val="2"/>
            <scheme val="minor"/>
          </rPr>
          <t>======
ID#AAABDDKrQ-4
Gavin Mudd    (2023-12-20 21:24:04)
Vale only reports reserves, but has from 2015 has not reported any reserves for Goro due to low nickel prices</t>
        </r>
      </text>
    </comment>
    <comment ref="I217" authorId="0" shapeId="0" xr:uid="{00000000-0006-0000-0100-0000BB050000}">
      <text>
        <r>
          <rPr>
            <sz val="11"/>
            <color theme="1"/>
            <rFont val="Calibri"/>
            <family val="2"/>
            <scheme val="minor"/>
          </rPr>
          <t>======
ID#AAABDDKrPCE
Gavin Mudd    (2023-12-20 21:24:03)
only total measured &amp; indicated resources reported</t>
        </r>
      </text>
    </comment>
    <comment ref="AD217" authorId="0" shapeId="0" xr:uid="{00000000-0006-0000-0100-000004050000}">
      <text>
        <r>
          <rPr>
            <sz val="11"/>
            <color theme="1"/>
            <rFont val="Calibri"/>
            <family val="2"/>
            <scheme val="minor"/>
          </rPr>
          <t>======
ID#AAABDDKrPXk
Gavin Mudd    (2023-12-20 21:24:03)
only total measured &amp; indicated resources reported</t>
        </r>
      </text>
    </comment>
    <comment ref="AL217" authorId="0" shapeId="0" xr:uid="{00000000-0006-0000-0100-0000B8050000}">
      <text>
        <r>
          <rPr>
            <sz val="11"/>
            <color theme="1"/>
            <rFont val="Calibri"/>
            <family val="2"/>
            <scheme val="minor"/>
          </rPr>
          <t>======
ID#AAABDDKrPCs
Gavin Mudd    (2023-12-20 21:24:03)
only total measured &amp; indicated resources reported</t>
        </r>
      </text>
    </comment>
    <comment ref="AT217" authorId="0" shapeId="0" xr:uid="{00000000-0006-0000-0100-0000F6010000}">
      <text>
        <r>
          <rPr>
            <sz val="11"/>
            <color theme="1"/>
            <rFont val="Calibri"/>
            <family val="2"/>
            <scheme val="minor"/>
          </rPr>
          <t>======
ID#AAABDDKrQ5c
Gavin Mudd    (2023-12-20 21:24:04)
only total measured &amp; indicated resources reported</t>
        </r>
      </text>
    </comment>
    <comment ref="AY217" authorId="0" shapeId="0" xr:uid="{00000000-0006-0000-0100-00004A000000}">
      <text>
        <r>
          <rPr>
            <sz val="11"/>
            <color theme="1"/>
            <rFont val="Calibri"/>
            <family val="2"/>
            <scheme val="minor"/>
          </rPr>
          <t>======
ID#AAABDDKrRt8
Gavin Mudd    (2023-12-20 21:24:04)
only total measured &amp; indicated resources reported</t>
        </r>
      </text>
    </comment>
    <comment ref="BG217" authorId="0" shapeId="0" xr:uid="{00000000-0006-0000-0100-0000BE050000}">
      <text>
        <r>
          <rPr>
            <sz val="11"/>
            <color theme="1"/>
            <rFont val="Calibri"/>
            <family val="2"/>
            <scheme val="minor"/>
          </rPr>
          <t>======
ID#AAABDDKrPBg
Gavin Mudd    (2023-12-20 21:24:03)
only total measured &amp; indicated resources reported</t>
        </r>
      </text>
    </comment>
    <comment ref="BO217" authorId="0" shapeId="0" xr:uid="{00000000-0006-0000-0100-0000B9050000}">
      <text>
        <r>
          <rPr>
            <sz val="11"/>
            <color theme="1"/>
            <rFont val="Calibri"/>
            <family val="2"/>
            <scheme val="minor"/>
          </rPr>
          <t>======
ID#AAABDDKrPCY
Gavin Mudd    (2023-12-20 21:24:03)
only total measured &amp; indicated resources reported</t>
        </r>
      </text>
    </comment>
    <comment ref="CO217" authorId="0" shapeId="0" xr:uid="{00000000-0006-0000-0100-00006D050000}">
      <text>
        <r>
          <rPr>
            <sz val="11"/>
            <color theme="1"/>
            <rFont val="Calibri"/>
            <family val="2"/>
            <scheme val="minor"/>
          </rPr>
          <t>======
ID#AAABDDKrPK4
Gavin Mudd    (2023-12-20 21:24:03)
total of proved and probable reserves</t>
        </r>
      </text>
    </comment>
    <comment ref="CW217" authorId="0" shapeId="0" xr:uid="{00000000-0006-0000-0100-000019050000}">
      <text>
        <r>
          <rPr>
            <sz val="11"/>
            <color theme="1"/>
            <rFont val="Calibri"/>
            <family val="2"/>
            <scheme val="minor"/>
          </rPr>
          <t>======
ID#AAABDDKrPVE
Gavin Mudd    (2023-12-20 21:24:03)
total of proved and probable reserves</t>
        </r>
      </text>
    </comment>
    <comment ref="DE217" authorId="0" shapeId="0" xr:uid="{00000000-0006-0000-0100-00006B000000}">
      <text>
        <r>
          <rPr>
            <sz val="11"/>
            <color theme="1"/>
            <rFont val="Calibri"/>
            <family val="2"/>
            <scheme val="minor"/>
          </rPr>
          <t>======
ID#AAABDDKrRqU
Gavin Mudd    (2023-12-20 21:24:04)
total of proved and probable reserves</t>
        </r>
      </text>
    </comment>
    <comment ref="I218" authorId="0" shapeId="0" xr:uid="{00000000-0006-0000-0100-0000CC030000}">
      <text>
        <r>
          <rPr>
            <sz val="11"/>
            <color theme="1"/>
            <rFont val="Calibri"/>
            <family val="2"/>
            <scheme val="minor"/>
          </rPr>
          <t>======
ID#AAABDDKrP9o
Gavin Mudd    (2023-12-20 21:24:03)
only total measured &amp; indicated resources reported</t>
        </r>
      </text>
    </comment>
    <comment ref="AD218" authorId="0" shapeId="0" xr:uid="{00000000-0006-0000-0100-0000AA000000}">
      <text>
        <r>
          <rPr>
            <sz val="11"/>
            <color theme="1"/>
            <rFont val="Calibri"/>
            <family val="2"/>
            <scheme val="minor"/>
          </rPr>
          <t>======
ID#AAABDDKrRhg
Gavin Mudd    (2023-12-20 21:24:04)
only total measured &amp; indicated resources reported</t>
        </r>
      </text>
    </comment>
    <comment ref="AL218" authorId="0" shapeId="0" xr:uid="{00000000-0006-0000-0100-0000BB000000}">
      <text>
        <r>
          <rPr>
            <sz val="11"/>
            <color theme="1"/>
            <rFont val="Calibri"/>
            <family val="2"/>
            <scheme val="minor"/>
          </rPr>
          <t>======
ID#AAABDDKrRgI
Gavin Mudd    (2023-12-20 21:24:04)
only total measured &amp; indicated resources reported</t>
        </r>
      </text>
    </comment>
    <comment ref="AT218" authorId="0" shapeId="0" xr:uid="{00000000-0006-0000-0100-000025040000}">
      <text>
        <r>
          <rPr>
            <sz val="11"/>
            <color theme="1"/>
            <rFont val="Calibri"/>
            <family val="2"/>
            <scheme val="minor"/>
          </rPr>
          <t>======
ID#AAABDDKrPzg
Gavin Mudd    (2023-12-20 21:24:03)
only total measured &amp; indicated resources reported</t>
        </r>
      </text>
    </comment>
    <comment ref="AY218" authorId="0" shapeId="0" xr:uid="{00000000-0006-0000-0100-0000A6010000}">
      <text>
        <r>
          <rPr>
            <sz val="11"/>
            <color theme="1"/>
            <rFont val="Calibri"/>
            <family val="2"/>
            <scheme val="minor"/>
          </rPr>
          <t>======
ID#AAABDDKrRDQ
Gavin Mudd    (2023-12-20 21:24:04)
only total measured &amp; indicated resources reported</t>
        </r>
      </text>
    </comment>
    <comment ref="BG218" authorId="0" shapeId="0" xr:uid="{00000000-0006-0000-0100-0000EF000000}">
      <text>
        <r>
          <rPr>
            <sz val="11"/>
            <color theme="1"/>
            <rFont val="Calibri"/>
            <family val="2"/>
            <scheme val="minor"/>
          </rPr>
          <t>======
ID#AAABDDKrRZU
Gavin Mudd    (2023-12-20 21:24:04)
only total measured &amp; indicated resources reported</t>
        </r>
      </text>
    </comment>
    <comment ref="BO218" authorId="0" shapeId="0" xr:uid="{00000000-0006-0000-0100-000071060000}">
      <text>
        <r>
          <rPr>
            <sz val="11"/>
            <color theme="1"/>
            <rFont val="Calibri"/>
            <family val="2"/>
            <scheme val="minor"/>
          </rPr>
          <t>======
ID#AAABCyJQhxs
Gavin Mudd    (2023-12-20 21:24:02)
only total measured &amp; indicated resources reported</t>
        </r>
      </text>
    </comment>
    <comment ref="CO218" authorId="0" shapeId="0" xr:uid="{00000000-0006-0000-0100-000051000000}">
      <text>
        <r>
          <rPr>
            <sz val="11"/>
            <color theme="1"/>
            <rFont val="Calibri"/>
            <family val="2"/>
            <scheme val="minor"/>
          </rPr>
          <t>======
ID#AAABDDKrRtU
Gavin Mudd    (2023-12-20 21:24:04)
total of proved and probable reserves</t>
        </r>
      </text>
    </comment>
    <comment ref="CW218" authorId="0" shapeId="0" xr:uid="{00000000-0006-0000-0100-000016040000}">
      <text>
        <r>
          <rPr>
            <sz val="11"/>
            <color theme="1"/>
            <rFont val="Calibri"/>
            <family val="2"/>
            <scheme val="minor"/>
          </rPr>
          <t>======
ID#AAABDDKrP1Y
Gavin Mudd    (2023-12-20 21:24:03)
total of proved and probable reserves</t>
        </r>
      </text>
    </comment>
    <comment ref="DE218" authorId="0" shapeId="0" xr:uid="{00000000-0006-0000-0100-00000B010000}">
      <text>
        <r>
          <rPr>
            <sz val="11"/>
            <color theme="1"/>
            <rFont val="Calibri"/>
            <family val="2"/>
            <scheme val="minor"/>
          </rPr>
          <t>======
ID#AAABDDKrRVc
Gavin Mudd    (2023-12-20 21:24:04)
total of proved and probable reserves</t>
        </r>
      </text>
    </comment>
    <comment ref="I219" authorId="0" shapeId="0" xr:uid="{00000000-0006-0000-0100-0000B1010000}">
      <text>
        <r>
          <rPr>
            <sz val="11"/>
            <color theme="1"/>
            <rFont val="Calibri"/>
            <family val="2"/>
            <scheme val="minor"/>
          </rPr>
          <t>======
ID#AAABDDKrRCI
Gavin Mudd    (2023-12-20 21:24:04)
only total measured &amp; indicated resources reported</t>
        </r>
      </text>
    </comment>
    <comment ref="AD219" authorId="0" shapeId="0" xr:uid="{00000000-0006-0000-0100-000029020000}">
      <text>
        <r>
          <rPr>
            <sz val="11"/>
            <color theme="1"/>
            <rFont val="Calibri"/>
            <family val="2"/>
            <scheme val="minor"/>
          </rPr>
          <t>======
ID#AAABDDKrQy8
Gavin Mudd    (2023-12-20 21:24:04)
only total measured &amp; indicated resources reported
- this is the original 2010 estimate and does not account for mining since this time</t>
        </r>
      </text>
    </comment>
    <comment ref="AL219" authorId="0" shapeId="0" xr:uid="{00000000-0006-0000-0100-00007D060000}">
      <text>
        <r>
          <rPr>
            <sz val="11"/>
            <color theme="1"/>
            <rFont val="Calibri"/>
            <family val="2"/>
            <scheme val="minor"/>
          </rPr>
          <t>======
ID#AAABCyJQhvY
Gavin Mudd    (2023-12-20 21:24:01)
only total measured &amp; indicated resources reported</t>
        </r>
      </text>
    </comment>
    <comment ref="AT219" authorId="0" shapeId="0" xr:uid="{00000000-0006-0000-0100-00009C040000}">
      <text>
        <r>
          <rPr>
            <sz val="11"/>
            <color theme="1"/>
            <rFont val="Calibri"/>
            <family val="2"/>
            <scheme val="minor"/>
          </rPr>
          <t>======
ID#AAABDDKrPjw
Gavin Mudd    (2023-12-20 21:24:03)
only total measured &amp; indicated resources reported</t>
        </r>
      </text>
    </comment>
    <comment ref="AY219" authorId="0" shapeId="0" xr:uid="{00000000-0006-0000-0100-00004E040000}">
      <text>
        <r>
          <rPr>
            <sz val="11"/>
            <color theme="1"/>
            <rFont val="Calibri"/>
            <family val="2"/>
            <scheme val="minor"/>
          </rPr>
          <t>======
ID#AAABDDKrPuM
Gavin Mudd    (2023-12-20 21:24:03)
only total measured &amp; indicated resources reported</t>
        </r>
      </text>
    </comment>
    <comment ref="BT219" authorId="0" shapeId="0" xr:uid="{00000000-0006-0000-0100-000043050000}">
      <text>
        <r>
          <rPr>
            <sz val="11"/>
            <color theme="1"/>
            <rFont val="Calibri"/>
            <family val="2"/>
            <scheme val="minor"/>
          </rPr>
          <t>======
ID#AAABDDKrPQ8
Gavin Mudd    (2023-12-20 21:24:03)
only total measured &amp; indicated resources reported</t>
        </r>
      </text>
    </comment>
    <comment ref="CO219" authorId="0" shapeId="0" xr:uid="{00000000-0006-0000-0100-000026060000}">
      <text>
        <r>
          <rPr>
            <sz val="11"/>
            <color theme="1"/>
            <rFont val="Calibri"/>
            <family val="2"/>
            <scheme val="minor"/>
          </rPr>
          <t>======
ID#AAABCyJQh8M
Gavin Mudd    (2023-12-20 21:24:02)
only total measured &amp; indicated resources reported</t>
        </r>
      </text>
    </comment>
    <comment ref="I220" authorId="0" shapeId="0" xr:uid="{00000000-0006-0000-0100-0000EF050000}">
      <text>
        <r>
          <rPr>
            <sz val="11"/>
            <color theme="1"/>
            <rFont val="Calibri"/>
            <family val="2"/>
            <scheme val="minor"/>
          </rPr>
          <t>======
ID#AAABDDKrO7c
Gavin Mudd    (2023-12-20 21:24:03)
only total measured &amp; indicated resources reported</t>
        </r>
      </text>
    </comment>
    <comment ref="AD220" authorId="0" shapeId="0" xr:uid="{00000000-0006-0000-0100-000047060000}">
      <text>
        <r>
          <rPr>
            <sz val="11"/>
            <color theme="1"/>
            <rFont val="Calibri"/>
            <family val="2"/>
            <scheme val="minor"/>
          </rPr>
          <t>======
ID#AAABCyJQh34
Gavin Mudd    (2023-12-20 21:24:02)
only total measured &amp; indicated resources reported</t>
        </r>
      </text>
    </comment>
    <comment ref="AY220" authorId="0" shapeId="0" xr:uid="{00000000-0006-0000-0100-0000E7000000}">
      <text>
        <r>
          <rPr>
            <sz val="11"/>
            <color theme="1"/>
            <rFont val="Calibri"/>
            <family val="2"/>
            <scheme val="minor"/>
          </rPr>
          <t>======
ID#AAABDDKrRaU
Gavin Mudd    (2023-12-20 21:24:04)
only total measured &amp; indicated resources reported</t>
        </r>
      </text>
    </comment>
    <comment ref="BT220" authorId="0" shapeId="0" xr:uid="{00000000-0006-0000-0100-000012000000}">
      <text>
        <r>
          <rPr>
            <sz val="11"/>
            <color theme="1"/>
            <rFont val="Calibri"/>
            <family val="2"/>
            <scheme val="minor"/>
          </rPr>
          <t>======
ID#AAABDDKrRzs
Gavin Mudd    (2023-12-20 21:24:04)
only total proved &amp; probable reserves reported</t>
        </r>
      </text>
    </comment>
    <comment ref="CO220" authorId="0" shapeId="0" xr:uid="{00000000-0006-0000-0100-000078010000}">
      <text>
        <r>
          <rPr>
            <sz val="11"/>
            <color theme="1"/>
            <rFont val="Calibri"/>
            <family val="2"/>
            <scheme val="minor"/>
          </rPr>
          <t>======
ID#AAABDDKrRIk
Gavin Mudd    (2023-12-20 21:24:04)
only total proved &amp; probable reserves reported</t>
        </r>
      </text>
    </comment>
    <comment ref="F221" authorId="0" shapeId="0" xr:uid="{00000000-0006-0000-0100-000079000000}">
      <text>
        <r>
          <rPr>
            <sz val="11"/>
            <color theme="1"/>
            <rFont val="Calibri"/>
            <family val="2"/>
            <scheme val="minor"/>
          </rPr>
          <t>======
ID#AAABDDKrRog
Gavin Mudd    (2023-12-20 21:24:04)
previously held by Toledo Mining Corp, which was taken over by DMCI Holdings</t>
        </r>
      </text>
    </comment>
    <comment ref="AY221" authorId="0" shapeId="0" xr:uid="{00000000-0006-0000-0100-000026030000}">
      <text>
        <r>
          <rPr>
            <sz val="11"/>
            <color theme="1"/>
            <rFont val="Calibri"/>
            <family val="2"/>
            <scheme val="minor"/>
          </rPr>
          <t>======
ID#AAABDDKrQQc
Gavin Mudd    (2023-12-20 21:24:03)
older data, but only data available</t>
        </r>
      </text>
    </comment>
    <comment ref="BG221" authorId="0" shapeId="0" xr:uid="{00000000-0006-0000-0100-00000F030000}">
      <text>
        <r>
          <rPr>
            <sz val="11"/>
            <color theme="1"/>
            <rFont val="Calibri"/>
            <family val="2"/>
            <scheme val="minor"/>
          </rPr>
          <t>======
ID#AAABDDKrQTc
Gavin Mudd    (2023-12-20 21:24:03)
older data, but only data available</t>
        </r>
      </text>
    </comment>
    <comment ref="DN221" authorId="0" shapeId="0" xr:uid="{00000000-0006-0000-0100-000067020000}">
      <text>
        <r>
          <rPr>
            <sz val="11"/>
            <color theme="1"/>
            <rFont val="Calibri"/>
            <family val="2"/>
            <scheme val="minor"/>
          </rPr>
          <t>======
ID#AAABDDKrQqk
Gavin Mudd    (2023-12-20 21:24:04)
data from Toledo Mining Corp.</t>
        </r>
      </text>
    </comment>
    <comment ref="F222" authorId="0" shapeId="0" xr:uid="{00000000-0006-0000-0100-000090000000}">
      <text>
        <r>
          <rPr>
            <sz val="11"/>
            <color theme="1"/>
            <rFont val="Calibri"/>
            <family val="2"/>
            <scheme val="minor"/>
          </rPr>
          <t>======
ID#AAABDDKrRlA
Gavin Mudd    (2023-12-20 21:24:04)
previously held by Pelican Resources</t>
        </r>
      </text>
    </comment>
    <comment ref="DN222" authorId="0" shapeId="0" xr:uid="{00000000-0006-0000-0100-00009C060000}">
      <text>
        <r>
          <rPr>
            <sz val="11"/>
            <color theme="1"/>
            <rFont val="Calibri"/>
            <family val="2"/>
            <scheme val="minor"/>
          </rPr>
          <t>======
ID#AAABCxlEysA
Gavin Mudd    (2023-12-20 21:24:01)
data from Pelican Resources</t>
        </r>
      </text>
    </comment>
    <comment ref="AY227" authorId="0" shapeId="0" xr:uid="{00000000-0006-0000-0100-0000BF000000}">
      <text>
        <r>
          <rPr>
            <sz val="11"/>
            <color theme="1"/>
            <rFont val="Calibri"/>
            <family val="2"/>
            <scheme val="minor"/>
          </rPr>
          <t>======
ID#AAABDDKrRfY
Gavin Mudd    (2023-12-20 21:24:04)
only total resources reported, assumed as inferred</t>
        </r>
      </text>
    </comment>
    <comment ref="BG227" authorId="0" shapeId="0" xr:uid="{00000000-0006-0000-0100-00009A050000}">
      <text>
        <r>
          <rPr>
            <sz val="11"/>
            <color theme="1"/>
            <rFont val="Calibri"/>
            <family val="2"/>
            <scheme val="minor"/>
          </rPr>
          <t>======
ID#AAABDDKrPGE
Gavin Mudd    (2023-12-20 21:24:03)
only total resources reported, assumed as inferred</t>
        </r>
      </text>
    </comment>
    <comment ref="DN227" authorId="0" shapeId="0" xr:uid="{00000000-0006-0000-0100-000091050000}">
      <text>
        <r>
          <rPr>
            <sz val="11"/>
            <color theme="1"/>
            <rFont val="Calibri"/>
            <family val="2"/>
            <scheme val="minor"/>
          </rPr>
          <t>======
ID#AAABDDKrPG0
Gavin Mudd    (2023-12-20 21:24:03)
data from Lara Exploration - report on Aragauaia project (plus Berger et al, 2011)</t>
        </r>
      </text>
    </comment>
    <comment ref="A229" authorId="0" shapeId="0" xr:uid="{00000000-0006-0000-0100-00005F000000}">
      <text>
        <r>
          <rPr>
            <sz val="11"/>
            <color theme="1"/>
            <rFont val="Calibri"/>
            <family val="2"/>
            <scheme val="minor"/>
          </rPr>
          <t>======
ID#AAABDDKrRrs
Gavin Mudd    (2023-12-20 21:24:04)
includes Pakal Island, Tanjung Buli, Mornopo, Sangaji</t>
        </r>
      </text>
    </comment>
    <comment ref="A230" authorId="0" shapeId="0" xr:uid="{00000000-0006-0000-0100-0000B4040000}">
      <text>
        <r>
          <rPr>
            <sz val="11"/>
            <color theme="1"/>
            <rFont val="Calibri"/>
            <family val="2"/>
            <scheme val="minor"/>
          </rPr>
          <t>======
ID#AAABDDKrPhU
Gavin Mudd    (2023-12-20 21:24:03)
includes Lasolo Lalindu, Bahubulu, Tapunopaka, Mandiodo</t>
        </r>
      </text>
    </comment>
    <comment ref="F231" authorId="0" shapeId="0" xr:uid="{00000000-0006-0000-0100-0000F9040000}">
      <text>
        <r>
          <rPr>
            <sz val="11"/>
            <color theme="1"/>
            <rFont val="Calibri"/>
            <family val="2"/>
            <scheme val="minor"/>
          </rPr>
          <t>======
ID#AAABDDKrPZI
Gavin Mudd    (2023-12-20 21:24:03)
Hanking satte they owj 52.5% of the joint venture but do not state partners</t>
        </r>
      </text>
    </comment>
    <comment ref="AY231" authorId="0" shapeId="0" xr:uid="{00000000-0006-0000-0100-000034050000}">
      <text>
        <r>
          <rPr>
            <sz val="11"/>
            <color theme="1"/>
            <rFont val="Calibri"/>
            <family val="2"/>
            <scheme val="minor"/>
          </rPr>
          <t>======
ID#AAABDDKrPSQ
Gavin Mudd    (2023-12-20 21:24:03)
includes low grade ore targetted for nickel pig iron (NPI)</t>
        </r>
      </text>
    </comment>
    <comment ref="BG231" authorId="0" shapeId="0" xr:uid="{00000000-0006-0000-0100-000049010000}">
      <text>
        <r>
          <rPr>
            <sz val="11"/>
            <color theme="1"/>
            <rFont val="Calibri"/>
            <family val="2"/>
            <scheme val="minor"/>
          </rPr>
          <t>======
ID#AAABDDKrROE
Gavin Mudd    (2023-12-20 21:24:04)
includes low grade ore targetted for nickel pig iron (NPI)</t>
        </r>
      </text>
    </comment>
    <comment ref="DN231" authorId="0" shapeId="0" xr:uid="{00000000-0006-0000-0100-00002B040000}">
      <text>
        <r>
          <rPr>
            <sz val="11"/>
            <color theme="1"/>
            <rFont val="Calibri"/>
            <family val="2"/>
            <scheme val="minor"/>
          </rPr>
          <t>======
ID#AAABDDKrPy0
Gavin Mudd    (2023-12-20 21:24:03)
China Hanking sold to Tuochuan Capital in July 2018</t>
        </r>
      </text>
    </comment>
    <comment ref="A236" authorId="0" shapeId="0" xr:uid="{00000000-0006-0000-0100-000091060000}">
      <text>
        <r>
          <rPr>
            <sz val="11"/>
            <color theme="1"/>
            <rFont val="Calibri"/>
            <family val="2"/>
            <scheme val="minor"/>
          </rPr>
          <t>======
ID#AAABCxlEytU
Gavin Mudd    (2023-12-20 21:24:01)
MMDC - Marcventures Mining &amp; Development Corp</t>
        </r>
      </text>
    </comment>
    <comment ref="I236" authorId="0" shapeId="0" xr:uid="{00000000-0006-0000-0100-00009A040000}">
      <text>
        <r>
          <rPr>
            <sz val="11"/>
            <color theme="1"/>
            <rFont val="Calibri"/>
            <family val="2"/>
            <scheme val="minor"/>
          </rPr>
          <t>======
ID#AAABDDKrPkE
Gavin Mudd    (2023-12-20 21:24:03)
only total measured &amp; indicated resources reported</t>
        </r>
      </text>
    </comment>
    <comment ref="AD236" authorId="0" shapeId="0" xr:uid="{00000000-0006-0000-0100-000084050000}">
      <text>
        <r>
          <rPr>
            <sz val="11"/>
            <color theme="1"/>
            <rFont val="Calibri"/>
            <family val="2"/>
            <scheme val="minor"/>
          </rPr>
          <t>======
ID#AAABDDKrPIA
Gavin Mudd    (2023-12-20 21:24:03)
only total measured &amp; indicated resources reported</t>
        </r>
      </text>
    </comment>
    <comment ref="AL236" authorId="0" shapeId="0" xr:uid="{00000000-0006-0000-0100-00007C030000}">
      <text>
        <r>
          <rPr>
            <sz val="11"/>
            <color theme="1"/>
            <rFont val="Calibri"/>
            <family val="2"/>
            <scheme val="minor"/>
          </rPr>
          <t>======
ID#AAABDDKrQG0
Gavin Mudd    (2023-12-20 21:24:03)
only total measured &amp; indicated resources reported</t>
        </r>
      </text>
    </comment>
    <comment ref="AT236" authorId="0" shapeId="0" xr:uid="{00000000-0006-0000-0100-0000CB030000}">
      <text>
        <r>
          <rPr>
            <sz val="11"/>
            <color theme="1"/>
            <rFont val="Calibri"/>
            <family val="2"/>
            <scheme val="minor"/>
          </rPr>
          <t>======
ID#AAABDDKrP9s
Gavin Mudd    (2023-12-20 21:24:03)
only total measured &amp; indicated resources reported</t>
        </r>
      </text>
    </comment>
    <comment ref="A237" authorId="0" shapeId="0" xr:uid="{00000000-0006-0000-0100-00009A060000}">
      <text>
        <r>
          <rPr>
            <sz val="11"/>
            <color theme="1"/>
            <rFont val="Calibri"/>
            <family val="2"/>
            <scheme val="minor"/>
          </rPr>
          <t>======
ID#AAABCxlEysM
Gavin Mudd    (2023-12-20 21:24:01)
BRC - Brightgreen Resources Corp</t>
        </r>
      </text>
    </comment>
    <comment ref="F238" authorId="0" shapeId="0" xr:uid="{00000000-0006-0000-0100-000001010000}">
      <text>
        <r>
          <rPr>
            <sz val="11"/>
            <color theme="1"/>
            <rFont val="Calibri"/>
            <family val="2"/>
            <scheme val="minor"/>
          </rPr>
          <t>======
ID#AAABDDKrRW4
Gavin Mudd    (2023-12-20 21:24:04)
possibly Clean Power Pty Ltd, then MinRex Resources Ltd - but current ownwer unknown</t>
        </r>
      </text>
    </comment>
    <comment ref="DN238" authorId="0" shapeId="0" xr:uid="{00000000-0006-0000-0100-00008A020000}">
      <text>
        <r>
          <rPr>
            <sz val="11"/>
            <color theme="1"/>
            <rFont val="Calibri"/>
            <family val="2"/>
            <scheme val="minor"/>
          </rPr>
          <t>======
ID#AAABDDKrQlc
Gavin Mudd    (2023-12-20 21:24:04)
"Final Report On Exploration Licences 4964, 5185, 5315 Lake Innes, N.S.W.  Nickel/Cobalt/Scandium Laterite Project for Jervois Mining"</t>
        </r>
      </text>
    </comment>
    <comment ref="F239" authorId="0" shapeId="0" xr:uid="{00000000-0006-0000-0100-0000E3030000}">
      <text>
        <r>
          <rPr>
            <sz val="11"/>
            <color theme="1"/>
            <rFont val="Calibri"/>
            <family val="2"/>
            <scheme val="minor"/>
          </rPr>
          <t>======
ID#AAABDDKrP7A
Gavin Mudd    (2023-12-20 21:24:03)
possibly Clean Power Pty Ltd, then MinRex Resources Ltd - but current ownwer unknown</t>
        </r>
      </text>
    </comment>
    <comment ref="DN239" authorId="0" shapeId="0" xr:uid="{00000000-0006-0000-0100-0000B7000000}">
      <text>
        <r>
          <rPr>
            <sz val="11"/>
            <color theme="1"/>
            <rFont val="Calibri"/>
            <family val="2"/>
            <scheme val="minor"/>
          </rPr>
          <t>======
ID#AAABDDKrRgY
Gavin Mudd    (2023-12-20 21:24:04)
"Final Report On Exploration Licences 4964, 5185, 5315 Lake Innes, N.S.W.  Nickel/Cobalt/Scandium Laterite Project for Jervois Mining"</t>
        </r>
      </text>
    </comment>
    <comment ref="F240" authorId="0" shapeId="0" xr:uid="{00000000-0006-0000-0100-0000FD000000}">
      <text>
        <r>
          <rPr>
            <sz val="11"/>
            <color theme="1"/>
            <rFont val="Calibri"/>
            <family val="2"/>
            <scheme val="minor"/>
          </rPr>
          <t>======
ID#AAABDDKrRXk
Gavin Mudd    (2023-12-20 21:24:04)
possibly Clean Power Pty Ltd, then MinRex Resources Ltd - but current ownwer unknown</t>
        </r>
      </text>
    </comment>
    <comment ref="DN240" authorId="0" shapeId="0" xr:uid="{00000000-0006-0000-0100-0000A5020000}">
      <text>
        <r>
          <rPr>
            <sz val="11"/>
            <color theme="1"/>
            <rFont val="Calibri"/>
            <family val="2"/>
            <scheme val="minor"/>
          </rPr>
          <t>======
ID#AAABDDKrQho
Gavin Mudd    (2023-12-20 21:24:04)
"Final Report On Exploration Licences 4964, 5185, 5315 Lake Innes, N.S.W.  Nickel/Cobalt/Scandium Laterite Project for Jervois Mining"</t>
        </r>
      </text>
    </comment>
    <comment ref="AY241" authorId="0" shapeId="0" xr:uid="{00000000-0006-0000-0100-0000A2000000}">
      <text>
        <r>
          <rPr>
            <sz val="11"/>
            <color theme="1"/>
            <rFont val="Calibri"/>
            <family val="2"/>
            <scheme val="minor"/>
          </rPr>
          <t>======
ID#AAABDDKrRiI
Gavin Mudd    (2023-12-20 21:24:04)
historic resources (non-compliant with NI43-101) - hence all data allocated as inferred resources only</t>
        </r>
      </text>
    </comment>
    <comment ref="BG241" authorId="0" shapeId="0" xr:uid="{00000000-0006-0000-0100-000030010000}">
      <text>
        <r>
          <rPr>
            <sz val="11"/>
            <color theme="1"/>
            <rFont val="Calibri"/>
            <family val="2"/>
            <scheme val="minor"/>
          </rPr>
          <t>======
ID#AAABDDKrRQU
Gavin Mudd    (2023-12-20 21:24:04)
historic resources (non-compliant with NI43-101) - hence all data allocated as inferred resources only</t>
        </r>
      </text>
    </comment>
    <comment ref="BH241" authorId="0" shapeId="0" xr:uid="{00000000-0006-0000-0100-0000A6040000}">
      <text>
        <r>
          <rPr>
            <sz val="11"/>
            <color theme="1"/>
            <rFont val="Calibri"/>
            <family val="2"/>
            <scheme val="minor"/>
          </rPr>
          <t>======
ID#AAABDDKrPjA
Gavin Mudd    (2023-12-20 21:24:03)
historic resources (non-compliant with NI43-101) - hence all data allocated as inferred resources only. Co value from Cabri et al (2017)</t>
        </r>
      </text>
    </comment>
    <comment ref="AY242" authorId="0" shapeId="0" xr:uid="{00000000-0006-0000-0100-0000D3040000}">
      <text>
        <r>
          <rPr>
            <sz val="11"/>
            <color theme="1"/>
            <rFont val="Calibri"/>
            <family val="2"/>
            <scheme val="minor"/>
          </rPr>
          <t>======
ID#AAABDDKrPd8
Gavin Mudd    (2023-12-20 21:24:03)
historic resources (non-compliant with NI43-101) - hence all data allocated as inferred resources only</t>
        </r>
      </text>
    </comment>
    <comment ref="BG242" authorId="0" shapeId="0" xr:uid="{00000000-0006-0000-0100-0000E0050000}">
      <text>
        <r>
          <rPr>
            <sz val="11"/>
            <color theme="1"/>
            <rFont val="Calibri"/>
            <family val="2"/>
            <scheme val="minor"/>
          </rPr>
          <t>======
ID#AAABDDKrO9g
Gavin Mudd    (2023-12-20 21:24:03)
historic resources (non-compliant with NI43-101) - hence all data allocated as inferred resources only</t>
        </r>
      </text>
    </comment>
    <comment ref="AY243" authorId="0" shapeId="0" xr:uid="{00000000-0006-0000-0100-0000E7030000}">
      <text>
        <r>
          <rPr>
            <sz val="11"/>
            <color theme="1"/>
            <rFont val="Calibri"/>
            <family val="2"/>
            <scheme val="minor"/>
          </rPr>
          <t>======
ID#AAABDDKrP6o
Gavin Mudd    (2023-12-20 21:24:03)
historic resources (non-compliant with NI43-101) - hence all data allocated as inferred resources only; adjusted for 13 years mining @ ~0.7 Mt ore/yr since 2005</t>
        </r>
      </text>
    </comment>
    <comment ref="BG243" authorId="0" shapeId="0" xr:uid="{00000000-0006-0000-0100-0000FC040000}">
      <text>
        <r>
          <rPr>
            <sz val="11"/>
            <color theme="1"/>
            <rFont val="Calibri"/>
            <family val="2"/>
            <scheme val="minor"/>
          </rPr>
          <t>======
ID#AAABDDKrPYs
Gavin Mudd    (2023-12-20 21:24:03)
historic resources (non-compliant with NI43-101) - hence all data allocated as inferred resources only</t>
        </r>
      </text>
    </comment>
    <comment ref="AY244" authorId="0" shapeId="0" xr:uid="{00000000-0006-0000-0100-00009F000000}">
      <text>
        <r>
          <rPr>
            <sz val="11"/>
            <color theme="1"/>
            <rFont val="Calibri"/>
            <family val="2"/>
            <scheme val="minor"/>
          </rPr>
          <t>======
ID#AAABDDKrRik
Gavin Mudd    (2023-12-20 21:24:04)
historic resources (non-compliant with NI43-101) - hence all data allocated as inferred resources only; adjusted for 13 years mining @ ~1.35 Mt ore/yr since 2005</t>
        </r>
      </text>
    </comment>
    <comment ref="BG244" authorId="0" shapeId="0" xr:uid="{00000000-0006-0000-0100-000065020000}">
      <text>
        <r>
          <rPr>
            <sz val="11"/>
            <color theme="1"/>
            <rFont val="Calibri"/>
            <family val="2"/>
            <scheme val="minor"/>
          </rPr>
          <t>======
ID#AAABDDKrQq4
Gavin Mudd    (2023-12-20 21:24:04)
historic resources (non-compliant with NI43-101) - hence all data allocated as inferred resources only</t>
        </r>
      </text>
    </comment>
    <comment ref="AY245" authorId="0" shapeId="0" xr:uid="{00000000-0006-0000-0100-0000FF040000}">
      <text>
        <r>
          <rPr>
            <sz val="11"/>
            <color theme="1"/>
            <rFont val="Calibri"/>
            <family val="2"/>
            <scheme val="minor"/>
          </rPr>
          <t>======
ID#AAABDDKrPYc
Gavin Mudd    (2023-12-20 21:24:03)
historic resources (non-compliant with NI43-101) - hence all data allocated as inferred resources only; adjusted for 13 years mining @ ~0.7 Mt ore/yr since 2005</t>
        </r>
      </text>
    </comment>
    <comment ref="BG245" authorId="0" shapeId="0" xr:uid="{00000000-0006-0000-0100-000028050000}">
      <text>
        <r>
          <rPr>
            <sz val="11"/>
            <color theme="1"/>
            <rFont val="Calibri"/>
            <family val="2"/>
            <scheme val="minor"/>
          </rPr>
          <t>======
ID#AAABDDKrPTc
Gavin Mudd    (2023-12-20 21:24:03)
historic resources (non-compliant with NI43-101) - hence all data allocated as inferred resources only</t>
        </r>
      </text>
    </comment>
    <comment ref="BH245" authorId="0" shapeId="0" xr:uid="{00000000-0006-0000-0100-0000B3010000}">
      <text>
        <r>
          <rPr>
            <sz val="11"/>
            <color theme="1"/>
            <rFont val="Calibri"/>
            <family val="2"/>
            <scheme val="minor"/>
          </rPr>
          <t>======
ID#AAABDDKrRB4
Gavin Mudd    (2023-12-20 21:24:04)
historic resources (non-compliant with NI43-101) - hence all data allocated as inferred resources only</t>
        </r>
      </text>
    </comment>
    <comment ref="F246" authorId="0" shapeId="0" xr:uid="{00000000-0006-0000-0100-00003D010000}">
      <text>
        <r>
          <rPr>
            <sz val="11"/>
            <color theme="1"/>
            <rFont val="Calibri"/>
            <family val="2"/>
            <scheme val="minor"/>
          </rPr>
          <t>======
ID#AAABDDKrRPU
Gavin Mudd    (2023-12-20 21:24:04)
previously held by Lithic Metals &amp; Energy</t>
        </r>
      </text>
    </comment>
    <comment ref="AY246" authorId="0" shapeId="0" xr:uid="{00000000-0006-0000-0100-00000E000000}">
      <text>
        <r>
          <rPr>
            <sz val="11"/>
            <color theme="1"/>
            <rFont val="Calibri"/>
            <family val="2"/>
            <scheme val="minor"/>
          </rPr>
          <t>======
ID#AAABDDKrR0M
Gavin Mudd    (2023-12-20 21:24:04)
historic resources (non-compliant with NI43-101) - hence all data allocated as inferred resources only</t>
        </r>
      </text>
    </comment>
    <comment ref="BG246" authorId="0" shapeId="0" xr:uid="{00000000-0006-0000-0100-0000A0040000}">
      <text>
        <r>
          <rPr>
            <sz val="11"/>
            <color theme="1"/>
            <rFont val="Calibri"/>
            <family val="2"/>
            <scheme val="minor"/>
          </rPr>
          <t>======
ID#AAABDDKrPjY
Gavin Mudd    (2023-12-20 21:24:03)
historic resources (non-compliant with NI43-101) - hence all data allocated as inferred resources only</t>
        </r>
      </text>
    </comment>
    <comment ref="F247" authorId="0" shapeId="0" xr:uid="{00000000-0006-0000-0100-00003D060000}">
      <text>
        <r>
          <rPr>
            <sz val="11"/>
            <color theme="1"/>
            <rFont val="Calibri"/>
            <family val="2"/>
            <scheme val="minor"/>
          </rPr>
          <t>======
ID#AAABCyJQh5U
Gavin Mudd    (2023-12-20 21:24:02)
previously a joint venture between European Nickel plc (40%), Rusina Mining (40%), Local Business (20%); current ownership unclear</t>
        </r>
      </text>
    </comment>
    <comment ref="AY247" authorId="0" shapeId="0" xr:uid="{00000000-0006-0000-0100-0000D0020000}">
      <text>
        <r>
          <rPr>
            <sz val="11"/>
            <color theme="1"/>
            <rFont val="Calibri"/>
            <family val="2"/>
            <scheme val="minor"/>
          </rPr>
          <t>======
ID#AAABDDKrQcs
Gavin Mudd    (2023-12-20 21:24:03)
code basis unclear, assumed as inferred, non-code compliant</t>
        </r>
      </text>
    </comment>
    <comment ref="BG247" authorId="0" shapeId="0" xr:uid="{00000000-0006-0000-0100-00007A020000}">
      <text>
        <r>
          <rPr>
            <sz val="11"/>
            <color theme="1"/>
            <rFont val="Calibri"/>
            <family val="2"/>
            <scheme val="minor"/>
          </rPr>
          <t>======
ID#AAABDDKrQn4
Gavin Mudd    (2023-12-20 21:24:04)
code basis unclear, assumed as inferred, non-code compliant</t>
        </r>
      </text>
    </comment>
    <comment ref="AY248" authorId="0" shapeId="0" xr:uid="{00000000-0006-0000-0100-000057010000}">
      <text>
        <r>
          <rPr>
            <sz val="11"/>
            <color theme="1"/>
            <rFont val="Calibri"/>
            <family val="2"/>
            <scheme val="minor"/>
          </rPr>
          <t>======
ID#AAABDDKrRMY
Gavin Mudd    (2023-12-20 21:24:04)
code basis unclear, assumed as inferred, non-code compliant</t>
        </r>
      </text>
    </comment>
    <comment ref="BG248" authorId="0" shapeId="0" xr:uid="{00000000-0006-0000-0100-0000B6020000}">
      <text>
        <r>
          <rPr>
            <sz val="11"/>
            <color theme="1"/>
            <rFont val="Calibri"/>
            <family val="2"/>
            <scheme val="minor"/>
          </rPr>
          <t>======
ID#AAABDDKrQf4
Gavin Mudd    (2023-12-20 21:24:03)
code basis unclear, assumed as inferred, non-code compliant</t>
        </r>
      </text>
    </comment>
    <comment ref="F249" authorId="0" shapeId="0" xr:uid="{00000000-0006-0000-0100-0000D0010000}">
      <text>
        <r>
          <rPr>
            <sz val="11"/>
            <color theme="1"/>
            <rFont val="Calibri"/>
            <family val="2"/>
            <scheme val="minor"/>
          </rPr>
          <t>======
ID#AAABDDKrQ98
Gavin Mudd    (2023-12-20 21:24:04)
previously held by European Nickel Plc</t>
        </r>
      </text>
    </comment>
    <comment ref="AY249" authorId="0" shapeId="0" xr:uid="{00000000-0006-0000-0100-0000EE000000}">
      <text>
        <r>
          <rPr>
            <sz val="11"/>
            <color theme="1"/>
            <rFont val="Calibri"/>
            <family val="2"/>
            <scheme val="minor"/>
          </rPr>
          <t>======
ID#AAABDDKrRZY
Gavin Mudd    (2023-12-20 21:24:04)
originally reported as probable reserves, but assued as inferred resources due to failure of project</t>
        </r>
      </text>
    </comment>
    <comment ref="BG249" authorId="0" shapeId="0" xr:uid="{00000000-0006-0000-0100-0000E8040000}">
      <text>
        <r>
          <rPr>
            <sz val="11"/>
            <color theme="1"/>
            <rFont val="Calibri"/>
            <family val="2"/>
            <scheme val="minor"/>
          </rPr>
          <t>======
ID#AAABDDKrPbc
Gavin Mudd    (2023-12-20 21:24:03)
originally reported as probable reserves, but assued as inferred resources due to failure of project</t>
        </r>
      </text>
    </comment>
    <comment ref="DN249" authorId="0" shapeId="0" xr:uid="{00000000-0006-0000-0100-0000A8040000}">
      <text>
        <r>
          <rPr>
            <sz val="11"/>
            <color theme="1"/>
            <rFont val="Calibri"/>
            <family val="2"/>
            <scheme val="minor"/>
          </rPr>
          <t>======
ID#AAABDDKrPis
Gavin Mudd    (2023-12-20 21:24:03)
data from European Nickel Plc</t>
        </r>
      </text>
    </comment>
    <comment ref="AY250" authorId="0" shapeId="0" xr:uid="{00000000-0006-0000-0100-00007A000000}">
      <text>
        <r>
          <rPr>
            <sz val="11"/>
            <color theme="1"/>
            <rFont val="Calibri"/>
            <family val="2"/>
            <scheme val="minor"/>
          </rPr>
          <t>======
ID#AAABDDKrRoc
Gavin Mudd    (2023-12-20 21:24:04)
originally reported as probable reserves, but assued as inferred resources due to failure of project</t>
        </r>
      </text>
    </comment>
    <comment ref="BG250" authorId="0" shapeId="0" xr:uid="{00000000-0006-0000-0100-000084030000}">
      <text>
        <r>
          <rPr>
            <sz val="11"/>
            <color theme="1"/>
            <rFont val="Calibri"/>
            <family val="2"/>
            <scheme val="minor"/>
          </rPr>
          <t>======
ID#AAABDDKrQGM
Gavin Mudd    (2023-12-20 21:24:03)
originally reported as probable reserves, but assued as inferred resources due to failure of project</t>
        </r>
      </text>
    </comment>
    <comment ref="DN250" authorId="0" shapeId="0" xr:uid="{00000000-0006-0000-0100-0000C3000000}">
      <text>
        <r>
          <rPr>
            <sz val="11"/>
            <color theme="1"/>
            <rFont val="Calibri"/>
            <family val="2"/>
            <scheme val="minor"/>
          </rPr>
          <t>======
ID#AAABDDKrRes
Gavin Mudd    (2023-12-20 21:24:04)
data from European Nickel Plc</t>
        </r>
      </text>
    </comment>
    <comment ref="AY251" authorId="0" shapeId="0" xr:uid="{00000000-0006-0000-0100-0000CE040000}">
      <text>
        <r>
          <rPr>
            <sz val="11"/>
            <color theme="1"/>
            <rFont val="Calibri"/>
            <family val="2"/>
            <scheme val="minor"/>
          </rPr>
          <t>======
ID#AAABDDKrPe0
Gavin Mudd    (2023-12-20 21:24:03)
historic resources (non-compliant with NI43-101) - hence all data allocated as inferred resources only</t>
        </r>
      </text>
    </comment>
    <comment ref="BG251" authorId="0" shapeId="0" xr:uid="{00000000-0006-0000-0100-00002E010000}">
      <text>
        <r>
          <rPr>
            <sz val="11"/>
            <color theme="1"/>
            <rFont val="Calibri"/>
            <family val="2"/>
            <scheme val="minor"/>
          </rPr>
          <t>======
ID#AAABDDKrRQc
Gavin Mudd    (2023-12-20 21:24:04)
historic resources (non-compliant with NI43-101) - hence all data allocated as inferred resources only</t>
        </r>
      </text>
    </comment>
    <comment ref="AY252" authorId="0" shapeId="0" xr:uid="{00000000-0006-0000-0100-00003E020000}">
      <text>
        <r>
          <rPr>
            <sz val="11"/>
            <color theme="1"/>
            <rFont val="Calibri"/>
            <family val="2"/>
            <scheme val="minor"/>
          </rPr>
          <t>======
ID#AAABDDKrQvo
Gavin Mudd    (2023-12-20 21:24:04)
historic resources (non-compliant with NI43-101) - hence all data allocated as inferred resources only; adjusted for 13 years mining @ ~0.7 Mt ore/yr since 2005</t>
        </r>
      </text>
    </comment>
    <comment ref="BG252" authorId="0" shapeId="0" xr:uid="{00000000-0006-0000-0100-00006F020000}">
      <text>
        <r>
          <rPr>
            <sz val="11"/>
            <color theme="1"/>
            <rFont val="Calibri"/>
            <family val="2"/>
            <scheme val="minor"/>
          </rPr>
          <t>======
ID#AAABDDKrQpo
Gavin Mudd    (2023-12-20 21:24:04)
historic resources (non-compliant with NI43-101) - hence all data allocated as inferred resources only</t>
        </r>
      </text>
    </comment>
    <comment ref="AY253" authorId="0" shapeId="0" xr:uid="{00000000-0006-0000-0100-00000C060000}">
      <text>
        <r>
          <rPr>
            <sz val="11"/>
            <color theme="1"/>
            <rFont val="Calibri"/>
            <family val="2"/>
            <scheme val="minor"/>
          </rPr>
          <t>======
ID#AAABCyJQh_s
Gavin Mudd    (2023-12-20 21:24:02)
historical resourcs, assumed as inferred resources</t>
        </r>
      </text>
    </comment>
    <comment ref="BG253" authorId="0" shapeId="0" xr:uid="{00000000-0006-0000-0100-000081050000}">
      <text>
        <r>
          <rPr>
            <sz val="11"/>
            <color theme="1"/>
            <rFont val="Calibri"/>
            <family val="2"/>
            <scheme val="minor"/>
          </rPr>
          <t>======
ID#AAABDDKrPIg
Gavin Mudd    (2023-12-20 21:24:03)
historical resourcs, assumed as inferred resources</t>
        </r>
      </text>
    </comment>
    <comment ref="BH253" authorId="0" shapeId="0" xr:uid="{00000000-0006-0000-0100-00003A060000}">
      <text>
        <r>
          <rPr>
            <sz val="11"/>
            <color theme="1"/>
            <rFont val="Calibri"/>
            <family val="2"/>
            <scheme val="minor"/>
          </rPr>
          <t>======
ID#AAABCyJQh6A
Gavin Mudd    (2023-12-20 21:24:02)
historical resourcs, assumed as inferred resources</t>
        </r>
      </text>
    </comment>
    <comment ref="F254" authorId="0" shapeId="0" xr:uid="{00000000-0006-0000-0100-000001050000}">
      <text>
        <r>
          <rPr>
            <sz val="11"/>
            <color theme="1"/>
            <rFont val="Calibri"/>
            <family val="2"/>
            <scheme val="minor"/>
          </rPr>
          <t>======
ID#AAABDDKrPYA
Gavin Mudd    (2023-12-20 21:24:03)
previously held by Central West Gold NL</t>
        </r>
      </text>
    </comment>
    <comment ref="AY254" authorId="0" shapeId="0" xr:uid="{00000000-0006-0000-0100-000015040000}">
      <text>
        <r>
          <rPr>
            <sz val="11"/>
            <color theme="1"/>
            <rFont val="Calibri"/>
            <family val="2"/>
            <scheme val="minor"/>
          </rPr>
          <t>======
ID#AAABDDKrP1c
Gavin Mudd    (2023-12-20 21:24:03)
historical resource only, assumed as inferred resources</t>
        </r>
      </text>
    </comment>
    <comment ref="BG254" authorId="0" shapeId="0" xr:uid="{00000000-0006-0000-0100-00005A010000}">
      <text>
        <r>
          <rPr>
            <sz val="11"/>
            <color theme="1"/>
            <rFont val="Calibri"/>
            <family val="2"/>
            <scheme val="minor"/>
          </rPr>
          <t>======
ID#AAABDDKrRMQ
Gavin Mudd    (2023-12-20 21:24:04)
historical resource only, assumed as inferred resourcesvalue from 2007 Annual Report</t>
        </r>
      </text>
    </comment>
    <comment ref="BH254" authorId="0" shapeId="0" xr:uid="{00000000-0006-0000-0100-00000E020000}">
      <text>
        <r>
          <rPr>
            <sz val="11"/>
            <color theme="1"/>
            <rFont val="Calibri"/>
            <family val="2"/>
            <scheme val="minor"/>
          </rPr>
          <t>======
ID#AAABDDKrQ2c
Gavin Mudd    (2023-12-20 21:24:04)
historical resource only, assumed as inferred resources</t>
        </r>
      </text>
    </comment>
    <comment ref="DN254" authorId="0" shapeId="0" xr:uid="{00000000-0006-0000-0100-0000DB000000}">
      <text>
        <r>
          <rPr>
            <sz val="11"/>
            <color theme="1"/>
            <rFont val="Calibri"/>
            <family val="2"/>
            <scheme val="minor"/>
          </rPr>
          <t>======
ID#AAABDDKrRbg
Gavin Mudd    (2023-12-20 21:24:04)
data from Central West Gold NL</t>
        </r>
      </text>
    </comment>
    <comment ref="AY255" authorId="0" shapeId="0" xr:uid="{00000000-0006-0000-0100-000075000000}">
      <text>
        <r>
          <rPr>
            <sz val="11"/>
            <color theme="1"/>
            <rFont val="Calibri"/>
            <family val="2"/>
            <scheme val="minor"/>
          </rPr>
          <t>======
ID#AAABDDKrRpE
Gavin Mudd    (2023-12-20 21:24:04)
historic resources (non-compliant with NI43-101) - hence all data allocated as inferred resources only</t>
        </r>
      </text>
    </comment>
    <comment ref="BG255" authorId="0" shapeId="0" xr:uid="{00000000-0006-0000-0100-000093050000}">
      <text>
        <r>
          <rPr>
            <sz val="11"/>
            <color theme="1"/>
            <rFont val="Calibri"/>
            <family val="2"/>
            <scheme val="minor"/>
          </rPr>
          <t>======
ID#AAABDDKrPGo
Gavin Mudd    (2023-12-20 21:24:03)
historic resources (non-compliant with NI43-101) - hence all data allocated as inferred resources only</t>
        </r>
      </text>
    </comment>
    <comment ref="BH255" authorId="0" shapeId="0" xr:uid="{00000000-0006-0000-0100-00001F030000}">
      <text>
        <r>
          <rPr>
            <sz val="11"/>
            <color theme="1"/>
            <rFont val="Calibri"/>
            <family val="2"/>
            <scheme val="minor"/>
          </rPr>
          <t>======
ID#AAABDDKrQRM
Gavin Mudd    (2023-12-20 21:24:03)
historic resources (non-compliant with NI43-101) - hence all data allocated as inferred resources only</t>
        </r>
      </text>
    </comment>
    <comment ref="AY256" authorId="0" shapeId="0" xr:uid="{00000000-0006-0000-0100-0000FA020000}">
      <text>
        <r>
          <rPr>
            <sz val="11"/>
            <color theme="1"/>
            <rFont val="Calibri"/>
            <family val="2"/>
            <scheme val="minor"/>
          </rPr>
          <t>======
ID#AAABDDKrQW4
Gavin Mudd    (2023-12-20 21:24:03)
historic resources (non-compliant with NI43-101) - hence all data allocated as inferred resources only</t>
        </r>
      </text>
    </comment>
    <comment ref="BG256" authorId="0" shapeId="0" xr:uid="{00000000-0006-0000-0100-00007D020000}">
      <text>
        <r>
          <rPr>
            <sz val="11"/>
            <color theme="1"/>
            <rFont val="Calibri"/>
            <family val="2"/>
            <scheme val="minor"/>
          </rPr>
          <t>======
ID#AAABDDKrQng
Gavin Mudd    (2023-12-20 21:24:04)
historic resources (non-compliant with NI43-101) - hence all data allocated as inferred resources only</t>
        </r>
      </text>
    </comment>
    <comment ref="BH256" authorId="0" shapeId="0" xr:uid="{00000000-0006-0000-0100-0000F4040000}">
      <text>
        <r>
          <rPr>
            <sz val="11"/>
            <color theme="1"/>
            <rFont val="Calibri"/>
            <family val="2"/>
            <scheme val="minor"/>
          </rPr>
          <t>======
ID#AAABDDKrPZ4
Gavin Mudd    (2023-12-20 21:24:03)
historic resources (non-compliant with NI43-101) - hence all data allocated as inferred resources only</t>
        </r>
      </text>
    </comment>
    <comment ref="BN256" authorId="0" shapeId="0" xr:uid="{00000000-0006-0000-0100-00002A040000}">
      <text>
        <r>
          <rPr>
            <sz val="11"/>
            <color theme="1"/>
            <rFont val="Calibri"/>
            <family val="2"/>
            <scheme val="minor"/>
          </rPr>
          <t>======
ID#AAABDDKrPy4
Gavin Mudd    (2023-12-20 21:24:03)
historic resources (non-compliant with NI43-101) - hence all data allocated as inferred resources only</t>
        </r>
      </text>
    </comment>
    <comment ref="BO256" authorId="0" shapeId="0" xr:uid="{00000000-0006-0000-0100-0000C1010000}">
      <text>
        <r>
          <rPr>
            <sz val="11"/>
            <color theme="1"/>
            <rFont val="Calibri"/>
            <family val="2"/>
            <scheme val="minor"/>
          </rPr>
          <t>======
ID#AAABDDKrRAM
Gavin Mudd    (2023-12-20 21:24:04)
historic resources (non-compliant with NI43-101) - hence all data allocated as inferred resources only</t>
        </r>
      </text>
    </comment>
    <comment ref="AY257" authorId="0" shapeId="0" xr:uid="{00000000-0006-0000-0100-000020050000}">
      <text>
        <r>
          <rPr>
            <sz val="11"/>
            <color theme="1"/>
            <rFont val="Calibri"/>
            <family val="2"/>
            <scheme val="minor"/>
          </rPr>
          <t>======
ID#AAABDDKrPUY
Gavin Mudd    (2023-12-20 21:24:03)
code basis unclear, assumed as inferred, non-code compliant</t>
        </r>
      </text>
    </comment>
    <comment ref="BG257" authorId="0" shapeId="0" xr:uid="{00000000-0006-0000-0100-0000BD030000}">
      <text>
        <r>
          <rPr>
            <sz val="11"/>
            <color theme="1"/>
            <rFont val="Calibri"/>
            <family val="2"/>
            <scheme val="minor"/>
          </rPr>
          <t>======
ID#AAABDDKrP_k
Gavin Mudd    (2023-12-20 21:24:03)
code basis unclear, assumed as inferred, non-code compliant</t>
        </r>
      </text>
    </comment>
    <comment ref="BH257" authorId="0" shapeId="0" xr:uid="{00000000-0006-0000-0100-00002A050000}">
      <text>
        <r>
          <rPr>
            <sz val="11"/>
            <color theme="1"/>
            <rFont val="Calibri"/>
            <family val="2"/>
            <scheme val="minor"/>
          </rPr>
          <t>======
ID#AAABDDKrPTQ
Gavin Mudd    (2023-12-20 21:24:03)
code basis unclear, assumed as inferred, non-code compliant</t>
        </r>
      </text>
    </comment>
    <comment ref="AY258" authorId="0" shapeId="0" xr:uid="{00000000-0006-0000-0100-0000B4030000}">
      <text>
        <r>
          <rPr>
            <sz val="11"/>
            <color theme="1"/>
            <rFont val="Calibri"/>
            <family val="2"/>
            <scheme val="minor"/>
          </rPr>
          <t>======
ID#AAABDDKrQAs
Gavin Mudd    (2023-12-20 21:24:03)
historic resources (non-compliant with NI43-101) - hence all data allocated as inferred resources only</t>
        </r>
      </text>
    </comment>
    <comment ref="BG258" authorId="0" shapeId="0" xr:uid="{00000000-0006-0000-0100-00006D030000}">
      <text>
        <r>
          <rPr>
            <sz val="11"/>
            <color theme="1"/>
            <rFont val="Calibri"/>
            <family val="2"/>
            <scheme val="minor"/>
          </rPr>
          <t>======
ID#AAABDDKrQIM
Gavin Mudd    (2023-12-20 21:24:03)
historic resources (non-compliant with NI43-101) - hence all data allocated as inferred resources only</t>
        </r>
      </text>
    </comment>
    <comment ref="BH258" authorId="0" shapeId="0" xr:uid="{00000000-0006-0000-0100-0000EF040000}">
      <text>
        <r>
          <rPr>
            <sz val="11"/>
            <color theme="1"/>
            <rFont val="Calibri"/>
            <family val="2"/>
            <scheme val="minor"/>
          </rPr>
          <t>======
ID#AAABDDKrPag
Gavin Mudd    (2023-12-20 21:24:03)
historic resources (non-compliant with NI43-101) - hence all data allocated as inferred resources only</t>
        </r>
      </text>
    </comment>
    <comment ref="AY259" authorId="0" shapeId="0" xr:uid="{00000000-0006-0000-0100-0000CB000000}">
      <text>
        <r>
          <rPr>
            <sz val="11"/>
            <color theme="1"/>
            <rFont val="Calibri"/>
            <family val="2"/>
            <scheme val="minor"/>
          </rPr>
          <t>======
ID#AAABDDKrRdk
Gavin Mudd    (2023-12-20 21:24:04)
historic resources (non-compliant with NI43-101) - hence all data allocated as inferred resources only</t>
        </r>
      </text>
    </comment>
    <comment ref="BG259" authorId="0" shapeId="0" xr:uid="{00000000-0006-0000-0100-000004030000}">
      <text>
        <r>
          <rPr>
            <sz val="11"/>
            <color theme="1"/>
            <rFont val="Calibri"/>
            <family val="2"/>
            <scheme val="minor"/>
          </rPr>
          <t>======
ID#AAABDDKrQU8
Gavin Mudd    (2023-12-20 21:24:03)
historic resources (non-compliant with NI43-101) - hence all data allocated as inferred resources only</t>
        </r>
      </text>
    </comment>
    <comment ref="AY260" authorId="0" shapeId="0" xr:uid="{00000000-0006-0000-0100-000030000000}">
      <text>
        <r>
          <rPr>
            <sz val="11"/>
            <color theme="1"/>
            <rFont val="Calibri"/>
            <family val="2"/>
            <scheme val="minor"/>
          </rPr>
          <t>======
ID#AAABDDKrRwU
Gavin Mudd    (2023-12-20 21:24:04)
historic resources (non-compliant with NI43-101) - hence all data allocated as inferred resources only; adjusted for 13 years mining @ ~0.3 Mt ore/yr since 2005</t>
        </r>
      </text>
    </comment>
    <comment ref="BG260" authorId="0" shapeId="0" xr:uid="{00000000-0006-0000-0100-000056010000}">
      <text>
        <r>
          <rPr>
            <sz val="11"/>
            <color theme="1"/>
            <rFont val="Calibri"/>
            <family val="2"/>
            <scheme val="minor"/>
          </rPr>
          <t>======
ID#AAABDDKrRMo
Gavin Mudd    (2023-12-20 21:24:04)
historic resources (non-compliant with NI43-101) - hence all data allocated as inferred resources only</t>
        </r>
      </text>
    </comment>
    <comment ref="AY261" authorId="0" shapeId="0" xr:uid="{00000000-0006-0000-0100-00005C010000}">
      <text>
        <r>
          <rPr>
            <sz val="11"/>
            <color theme="1"/>
            <rFont val="Calibri"/>
            <family val="2"/>
            <scheme val="minor"/>
          </rPr>
          <t>======
ID#AAABDDKrRMI
Gavin Mudd    (2023-12-20 21:24:04)
historic resources (non-compliant with NI43-101) - hence all data allocated as inferred resources only; adjusted for 13 years mining @ ~0.7 Mt ore/yr since 2005</t>
        </r>
      </text>
    </comment>
    <comment ref="BG261" authorId="0" shapeId="0" xr:uid="{00000000-0006-0000-0100-00001F050000}">
      <text>
        <r>
          <rPr>
            <sz val="11"/>
            <color theme="1"/>
            <rFont val="Calibri"/>
            <family val="2"/>
            <scheme val="minor"/>
          </rPr>
          <t>======
ID#AAABDDKrPUk
Gavin Mudd    (2023-12-20 21:24:03)
historic resources (non-compliant with NI43-101) - hence all data allocated as inferred resources only</t>
        </r>
      </text>
    </comment>
    <comment ref="BH261" authorId="0" shapeId="0" xr:uid="{00000000-0006-0000-0100-0000BF030000}">
      <text>
        <r>
          <rPr>
            <sz val="11"/>
            <color theme="1"/>
            <rFont val="Calibri"/>
            <family val="2"/>
            <scheme val="minor"/>
          </rPr>
          <t>======
ID#AAABDDKrP_Y
Gavin Mudd    (2023-12-20 21:24:03)
historic resources (non-compliant with NI43-101) - hence all data allocated as inferred resources only</t>
        </r>
      </text>
    </comment>
    <comment ref="AY262" authorId="0" shapeId="0" xr:uid="{00000000-0006-0000-0100-000014050000}">
      <text>
        <r>
          <rPr>
            <sz val="11"/>
            <color theme="1"/>
            <rFont val="Calibri"/>
            <family val="2"/>
            <scheme val="minor"/>
          </rPr>
          <t>======
ID#AAABDDKrPVY
Gavin Mudd    (2023-12-20 21:24:03)
historic resources (non-compliant with NI43-101) - hence all data allocated as inferred resources only; adjusted for 13 years mining @ ~0.7 Mt ore/yr since 2005</t>
        </r>
      </text>
    </comment>
    <comment ref="BG262" authorId="0" shapeId="0" xr:uid="{00000000-0006-0000-0100-00006B020000}">
      <text>
        <r>
          <rPr>
            <sz val="11"/>
            <color theme="1"/>
            <rFont val="Calibri"/>
            <family val="2"/>
            <scheme val="minor"/>
          </rPr>
          <t>======
ID#AAABDDKrQqM
Gavin Mudd    (2023-12-20 21:24:04)
historic resources (non-compliant with NI43-101) - hence all data allocated as inferred resources only</t>
        </r>
      </text>
    </comment>
    <comment ref="AY263" authorId="0" shapeId="0" xr:uid="{00000000-0006-0000-0100-000041050000}">
      <text>
        <r>
          <rPr>
            <sz val="11"/>
            <color theme="1"/>
            <rFont val="Calibri"/>
            <family val="2"/>
            <scheme val="minor"/>
          </rPr>
          <t>======
ID#AAABDDKrPRE
Gavin Mudd    (2023-12-20 21:24:03)
historic resources (non-compliant with NI43-101) - hence all data allocated as inferred resources only; adjusted for 13 years mining @ ~0.7 Mt ore/yr since 2005</t>
        </r>
      </text>
    </comment>
    <comment ref="BG263" authorId="0" shapeId="0" xr:uid="{00000000-0006-0000-0100-0000E7050000}">
      <text>
        <r>
          <rPr>
            <sz val="11"/>
            <color theme="1"/>
            <rFont val="Calibri"/>
            <family val="2"/>
            <scheme val="minor"/>
          </rPr>
          <t>======
ID#AAABDDKrO8w
Gavin Mudd    (2023-12-20 21:24:03)
historic resources (non-compliant with NI43-101) - hence all data allocated as inferred resources only</t>
        </r>
      </text>
    </comment>
    <comment ref="BH263" authorId="0" shapeId="0" xr:uid="{00000000-0006-0000-0100-000086000000}">
      <text>
        <r>
          <rPr>
            <sz val="11"/>
            <color theme="1"/>
            <rFont val="Calibri"/>
            <family val="2"/>
            <scheme val="minor"/>
          </rPr>
          <t>======
ID#AAABDDKrRm4
Gavin Mudd    (2023-12-20 21:24:04)
historic resources (non-compliant with NI43-101) - hence all data allocated as inferred resources only</t>
        </r>
      </text>
    </comment>
    <comment ref="F264" authorId="0" shapeId="0" xr:uid="{00000000-0006-0000-0100-0000F2050000}">
      <text>
        <r>
          <rPr>
            <sz val="11"/>
            <color theme="1"/>
            <rFont val="Calibri"/>
            <family val="2"/>
            <scheme val="minor"/>
          </rPr>
          <t>======
ID#AAABDDKrO7A
Gavin Mudd    (2023-12-20 21:24:02)
current (late 2019) ownership remains unclear</t>
        </r>
      </text>
    </comment>
    <comment ref="AY264" authorId="0" shapeId="0" xr:uid="{00000000-0006-0000-0100-0000D0050000}">
      <text>
        <r>
          <rPr>
            <sz val="11"/>
            <color theme="1"/>
            <rFont val="Calibri"/>
            <family val="2"/>
            <scheme val="minor"/>
          </rPr>
          <t>======
ID#AAABDDKrO_Q
Gavin Mudd    (2023-12-20 21:24:03)
historical data, not code-compliant</t>
        </r>
      </text>
    </comment>
    <comment ref="BG264" authorId="0" shapeId="0" xr:uid="{00000000-0006-0000-0100-00001E010000}">
      <text>
        <r>
          <rPr>
            <sz val="11"/>
            <color theme="1"/>
            <rFont val="Calibri"/>
            <family val="2"/>
            <scheme val="minor"/>
          </rPr>
          <t>======
ID#AAABDDKrRSo
Gavin Mudd    (2023-12-20 21:24:04)
historical data, not code-compliant</t>
        </r>
      </text>
    </comment>
    <comment ref="AY265" authorId="0" shapeId="0" xr:uid="{00000000-0006-0000-0100-0000C9040000}">
      <text>
        <r>
          <rPr>
            <sz val="11"/>
            <color theme="1"/>
            <rFont val="Calibri"/>
            <family val="2"/>
            <scheme val="minor"/>
          </rPr>
          <t>======
ID#AAABDDKrPfQ
Gavin Mudd    (2023-12-20 21:24:03)
historic resources (non-compliant with NI43-101) - hence all data allocated as inferred resources only; adjusted for 13 years mining @ ~0.3 Mt ore/yr since 2005</t>
        </r>
      </text>
    </comment>
    <comment ref="BG265" authorId="0" shapeId="0" xr:uid="{00000000-0006-0000-0100-0000F6000000}">
      <text>
        <r>
          <rPr>
            <sz val="11"/>
            <color theme="1"/>
            <rFont val="Calibri"/>
            <family val="2"/>
            <scheme val="minor"/>
          </rPr>
          <t>======
ID#AAABDDKrRYU
Gavin Mudd    (2023-12-20 21:24:04)
historic resources (non-compliant with NI43-101) - hence all data allocated as inferred resources only</t>
        </r>
      </text>
    </comment>
    <comment ref="F266" authorId="0" shapeId="0" xr:uid="{00000000-0006-0000-0100-0000A3040000}">
      <text>
        <r>
          <rPr>
            <sz val="11"/>
            <color theme="1"/>
            <rFont val="Calibri"/>
            <family val="2"/>
            <scheme val="minor"/>
          </rPr>
          <t>======
ID#AAABDDKrPjM
Gavin Mudd    (2023-12-20 21:24:03)
previously held by Diamond Fields International Inc, sold to unnamed buyer in Dec. 2017</t>
        </r>
      </text>
    </comment>
    <comment ref="AY266" authorId="0" shapeId="0" xr:uid="{00000000-0006-0000-0100-000074020000}">
      <text>
        <r>
          <rPr>
            <sz val="11"/>
            <color theme="1"/>
            <rFont val="Calibri"/>
            <family val="2"/>
            <scheme val="minor"/>
          </rPr>
          <t>======
ID#AAABDDKrQo8
Gavin Mudd    (2023-12-20 21:24:04)
historic resources (non-compliant with NI43-101) - hence all data allocated as inferred resources only</t>
        </r>
      </text>
    </comment>
    <comment ref="BG266" authorId="0" shapeId="0" xr:uid="{00000000-0006-0000-0100-000033040000}">
      <text>
        <r>
          <rPr>
            <sz val="11"/>
            <color theme="1"/>
            <rFont val="Calibri"/>
            <family val="2"/>
            <scheme val="minor"/>
          </rPr>
          <t>======
ID#AAABDDKrPxo
Gavin Mudd    (2023-12-20 21:24:03)
historic resources (non-compliant with NI43-101) - hence all data allocated as inferred resources only</t>
        </r>
      </text>
    </comment>
    <comment ref="AY267" authorId="0" shapeId="0" xr:uid="{00000000-0006-0000-0100-0000EC020000}">
      <text>
        <r>
          <rPr>
            <sz val="11"/>
            <color theme="1"/>
            <rFont val="Calibri"/>
            <family val="2"/>
            <scheme val="minor"/>
          </rPr>
          <t>======
ID#AAABDDKrQYs
Gavin Mudd    (2023-12-20 21:24:03)
historic resources (non-compliant with NI43-101) - hence all data allocated as inferred resources only</t>
        </r>
      </text>
    </comment>
    <comment ref="BG267" authorId="0" shapeId="0" xr:uid="{00000000-0006-0000-0100-000065040000}">
      <text>
        <r>
          <rPr>
            <sz val="11"/>
            <color theme="1"/>
            <rFont val="Calibri"/>
            <family val="2"/>
            <scheme val="minor"/>
          </rPr>
          <t>======
ID#AAABDDKrPrY
Gavin Mudd    (2023-12-20 21:24:03)
historic resources (non-compliant with NI43-101) - hence all data allocated as inferred resources only</t>
        </r>
      </text>
    </comment>
    <comment ref="AY268" authorId="0" shapeId="0" xr:uid="{00000000-0006-0000-0100-000093020000}">
      <text>
        <r>
          <rPr>
            <sz val="11"/>
            <color theme="1"/>
            <rFont val="Calibri"/>
            <family val="2"/>
            <scheme val="minor"/>
          </rPr>
          <t>======
ID#AAABDDKrQkQ
Gavin Mudd    (2023-12-20 21:24:04)
historic resources (non-compliant with NI43-101) - hence all data allocated as inferred resources only</t>
        </r>
      </text>
    </comment>
    <comment ref="BG268" authorId="0" shapeId="0" xr:uid="{00000000-0006-0000-0100-000046020000}">
      <text>
        <r>
          <rPr>
            <sz val="11"/>
            <color theme="1"/>
            <rFont val="Calibri"/>
            <family val="2"/>
            <scheme val="minor"/>
          </rPr>
          <t>======
ID#AAABDDKrQuw
Gavin Mudd    (2023-12-20 21:24:04)
historic resources (non-compliant with NI43-101) - hence all data allocated as inferred resources only</t>
        </r>
      </text>
    </comment>
    <comment ref="AY269" authorId="0" shapeId="0" xr:uid="{00000000-0006-0000-0100-00000D010000}">
      <text>
        <r>
          <rPr>
            <sz val="11"/>
            <color theme="1"/>
            <rFont val="Calibri"/>
            <family val="2"/>
            <scheme val="minor"/>
          </rPr>
          <t>======
ID#AAABDDKrRVM
Gavin Mudd    (2023-12-20 21:24:04)
code basis unclear, assumed as inferred, non-code compliant</t>
        </r>
      </text>
    </comment>
    <comment ref="BG269" authorId="0" shapeId="0" xr:uid="{00000000-0006-0000-0100-00001B050000}">
      <text>
        <r>
          <rPr>
            <sz val="11"/>
            <color theme="1"/>
            <rFont val="Calibri"/>
            <family val="2"/>
            <scheme val="minor"/>
          </rPr>
          <t>======
ID#AAABDDKrPU4
Gavin Mudd    (2023-12-20 21:24:03)
code basis unclear, assumed as inferred, non-code compliant</t>
        </r>
      </text>
    </comment>
    <comment ref="BH269" authorId="0" shapeId="0" xr:uid="{00000000-0006-0000-0100-0000B2050000}">
      <text>
        <r>
          <rPr>
            <sz val="11"/>
            <color theme="1"/>
            <rFont val="Calibri"/>
            <family val="2"/>
            <scheme val="minor"/>
          </rPr>
          <t>======
ID#AAABDDKrPDc
Gavin Mudd    (2023-12-20 21:24:03)
average Co value from Cabri et al (2017)</t>
        </r>
      </text>
    </comment>
    <comment ref="AY270" authorId="0" shapeId="0" xr:uid="{00000000-0006-0000-0100-00002D030000}">
      <text>
        <r>
          <rPr>
            <sz val="11"/>
            <color theme="1"/>
            <rFont val="Calibri"/>
            <family val="2"/>
            <scheme val="minor"/>
          </rPr>
          <t>======
ID#AAABDDKrQPg
Gavin Mudd    (2023-12-20 21:24:03)
older data, but only data available</t>
        </r>
      </text>
    </comment>
    <comment ref="BG270" authorId="0" shapeId="0" xr:uid="{00000000-0006-0000-0100-000063020000}">
      <text>
        <r>
          <rPr>
            <sz val="11"/>
            <color theme="1"/>
            <rFont val="Calibri"/>
            <family val="2"/>
            <scheme val="minor"/>
          </rPr>
          <t>======
ID#AAABDDKrQrM
Gavin Mudd    (2023-12-20 21:24:04)
older data, but only data available</t>
        </r>
      </text>
    </comment>
    <comment ref="AY271" authorId="0" shapeId="0" xr:uid="{00000000-0006-0000-0100-00006B060000}">
      <text>
        <r>
          <rPr>
            <sz val="11"/>
            <color theme="1"/>
            <rFont val="Calibri"/>
            <family val="2"/>
            <scheme val="minor"/>
          </rPr>
          <t>======
ID#AAABCyJQhyk
Gavin Mudd    (2023-12-20 21:24:02)
code basis unclear, assumed as inferred, non-code compliant</t>
        </r>
      </text>
    </comment>
    <comment ref="BG271" authorId="0" shapeId="0" xr:uid="{00000000-0006-0000-0100-00007F060000}">
      <text>
        <r>
          <rPr>
            <sz val="11"/>
            <color theme="1"/>
            <rFont val="Calibri"/>
            <family val="2"/>
            <scheme val="minor"/>
          </rPr>
          <t>======
ID#AAABCyJQhvI
Gavin Mudd    (2023-12-20 21:24:01)
code basis unclear, assumed as inferred, non-code compliant</t>
        </r>
      </text>
    </comment>
    <comment ref="AY273" authorId="0" shapeId="0" xr:uid="{00000000-0006-0000-0100-000017000000}">
      <text>
        <r>
          <rPr>
            <sz val="11"/>
            <color theme="1"/>
            <rFont val="Calibri"/>
            <family val="2"/>
            <scheme val="minor"/>
          </rPr>
          <t>======
ID#AAABDDKrRzE
Gavin Mudd    (2023-12-20 21:24:04)
ASSUMED; based on reported 210 kt Ni in Mosusu (2014)</t>
        </r>
      </text>
    </comment>
    <comment ref="BG273" authorId="0" shapeId="0" xr:uid="{00000000-0006-0000-0100-000040030000}">
      <text>
        <r>
          <rPr>
            <sz val="11"/>
            <color theme="1"/>
            <rFont val="Calibri"/>
            <family val="2"/>
            <scheme val="minor"/>
          </rPr>
          <t>======
ID#AAABDDKrQMw
Gavin Mudd    (2023-12-20 21:24:03)
ASSUMED; based on reported 210 kt Ni in Mosusu (2014)</t>
        </r>
      </text>
    </comment>
    <comment ref="AY275" authorId="0" shapeId="0" xr:uid="{00000000-0006-0000-0100-0000B9040000}">
      <text>
        <r>
          <rPr>
            <sz val="11"/>
            <color theme="1"/>
            <rFont val="Calibri"/>
            <family val="2"/>
            <scheme val="minor"/>
          </rPr>
          <t>======
ID#AAABDDKrPg4
Gavin Mudd    (2023-12-20 21:24:03)
only total resources reported, assumed as inferred</t>
        </r>
      </text>
    </comment>
    <comment ref="BG275" authorId="0" shapeId="0" xr:uid="{00000000-0006-0000-0100-00009C030000}">
      <text>
        <r>
          <rPr>
            <sz val="11"/>
            <color theme="1"/>
            <rFont val="Calibri"/>
            <family val="2"/>
            <scheme val="minor"/>
          </rPr>
          <t>======
ID#AAABDDKrQDs
Gavin Mudd    (2023-12-20 21:24:03)
only total resources reported, assumed as inferred</t>
        </r>
      </text>
    </comment>
    <comment ref="BH275" authorId="0" shapeId="0" xr:uid="{00000000-0006-0000-0100-00004B000000}">
      <text>
        <r>
          <rPr>
            <sz val="11"/>
            <color theme="1"/>
            <rFont val="Calibri"/>
            <family val="2"/>
            <scheme val="minor"/>
          </rPr>
          <t>======
ID#AAABDDKrRt4
Gavin Mudd    (2023-12-20 21:24:04)
only total resources reported, assumed as inferred</t>
        </r>
      </text>
    </comment>
    <comment ref="AY276" authorId="0" shapeId="0" xr:uid="{00000000-0006-0000-0100-00007F040000}">
      <text>
        <r>
          <rPr>
            <sz val="11"/>
            <color theme="1"/>
            <rFont val="Calibri"/>
            <family val="2"/>
            <scheme val="minor"/>
          </rPr>
          <t>======
ID#AAABDDKrPns
Gavin Mudd    (2023-12-20 21:24:03)
only total resources reported, assumed as inferred</t>
        </r>
      </text>
    </comment>
    <comment ref="BG276" authorId="0" shapeId="0" xr:uid="{00000000-0006-0000-0100-0000DD040000}">
      <text>
        <r>
          <rPr>
            <sz val="11"/>
            <color theme="1"/>
            <rFont val="Calibri"/>
            <family val="2"/>
            <scheme val="minor"/>
          </rPr>
          <t>======
ID#AAABDDKrPc8
Gavin Mudd    (2023-12-20 21:24:03)
only total resources reported, assumed as inferred</t>
        </r>
      </text>
    </comment>
    <comment ref="BH276" authorId="0" shapeId="0" xr:uid="{00000000-0006-0000-0100-0000AC010000}">
      <text>
        <r>
          <rPr>
            <sz val="11"/>
            <color theme="1"/>
            <rFont val="Calibri"/>
            <family val="2"/>
            <scheme val="minor"/>
          </rPr>
          <t>======
ID#AAABDDKrRCw
Gavin Mudd    (2023-12-20 21:24:04)
only total resources reported, assumed as inferred</t>
        </r>
      </text>
    </comment>
    <comment ref="AY277" authorId="0" shapeId="0" xr:uid="{00000000-0006-0000-0100-000032040000}">
      <text>
        <r>
          <rPr>
            <sz val="11"/>
            <color theme="1"/>
            <rFont val="Calibri"/>
            <family val="2"/>
            <scheme val="minor"/>
          </rPr>
          <t>======
ID#AAABDDKrPx0
Gavin Mudd    (2023-12-20 21:24:03)
historic resources (non-compliant with NI43-101) - hence all data allocated as inferred resources only</t>
        </r>
      </text>
    </comment>
    <comment ref="BG277" authorId="0" shapeId="0" xr:uid="{00000000-0006-0000-0100-00001C010000}">
      <text>
        <r>
          <rPr>
            <sz val="11"/>
            <color theme="1"/>
            <rFont val="Calibri"/>
            <family val="2"/>
            <scheme val="minor"/>
          </rPr>
          <t>======
ID#AAABDDKrRSw
Gavin Mudd    (2023-12-20 21:24:04)
historic resources (non-compliant with NI43-101) - hence all data allocated as inferred resources only</t>
        </r>
      </text>
    </comment>
    <comment ref="BH277" authorId="0" shapeId="0" xr:uid="{00000000-0006-0000-0100-000080030000}">
      <text>
        <r>
          <rPr>
            <sz val="11"/>
            <color theme="1"/>
            <rFont val="Calibri"/>
            <family val="2"/>
            <scheme val="minor"/>
          </rPr>
          <t>======
ID#AAABDDKrQGg
Gavin Mudd    (2023-12-20 21:24:03)
historic resources (non-compliant with NI43-101) - hence all data allocated as inferred resources only</t>
        </r>
      </text>
    </comment>
    <comment ref="BN277" authorId="0" shapeId="0" xr:uid="{00000000-0006-0000-0100-0000BF040000}">
      <text>
        <r>
          <rPr>
            <sz val="11"/>
            <color theme="1"/>
            <rFont val="Calibri"/>
            <family val="2"/>
            <scheme val="minor"/>
          </rPr>
          <t>======
ID#AAABDDKrPgQ
Gavin Mudd    (2023-12-20 21:24:03)
historic resources (non-compliant with NI43-101) - hence all data allocated as inferred resources only</t>
        </r>
      </text>
    </comment>
    <comment ref="BO277" authorId="0" shapeId="0" xr:uid="{00000000-0006-0000-0100-000018030000}">
      <text>
        <r>
          <rPr>
            <sz val="11"/>
            <color theme="1"/>
            <rFont val="Calibri"/>
            <family val="2"/>
            <scheme val="minor"/>
          </rPr>
          <t>======
ID#AAABDDKrQSo
Gavin Mudd    (2023-12-20 21:24:03)
historic resources (non-compliant with NI43-101) - hence all data allocated as inferred resources only</t>
        </r>
      </text>
    </comment>
    <comment ref="AY278" authorId="0" shapeId="0" xr:uid="{00000000-0006-0000-0100-0000F7000000}">
      <text>
        <r>
          <rPr>
            <sz val="11"/>
            <color theme="1"/>
            <rFont val="Calibri"/>
            <family val="2"/>
            <scheme val="minor"/>
          </rPr>
          <t>======
ID#AAABDDKrRYQ
Gavin Mudd    (2023-12-20 21:24:04)
historic resources (non-compliant with NI43-101) - hence all data allocated as inferred resources only</t>
        </r>
      </text>
    </comment>
    <comment ref="BG278" authorId="0" shapeId="0" xr:uid="{00000000-0006-0000-0100-0000D2050000}">
      <text>
        <r>
          <rPr>
            <sz val="11"/>
            <color theme="1"/>
            <rFont val="Calibri"/>
            <family val="2"/>
            <scheme val="minor"/>
          </rPr>
          <t>======
ID#AAABDDKrO_I
Gavin Mudd    (2023-12-20 21:24:03)
historic resources (non-compliant with NI43-101) - hence all data allocated as inferred resources only</t>
        </r>
      </text>
    </comment>
    <comment ref="BH278" authorId="0" shapeId="0" xr:uid="{00000000-0006-0000-0100-000052010000}">
      <text>
        <r>
          <rPr>
            <sz val="11"/>
            <color theme="1"/>
            <rFont val="Calibri"/>
            <family val="2"/>
            <scheme val="minor"/>
          </rPr>
          <t>======
ID#AAABDDKrRNA
Gavin Mudd    (2023-12-20 21:24:04)
historic resources (non-compliant with NI43-101) - hence all data allocated as inferred resources only</t>
        </r>
      </text>
    </comment>
    <comment ref="BN278" authorId="0" shapeId="0" xr:uid="{00000000-0006-0000-0100-00002E040000}">
      <text>
        <r>
          <rPr>
            <sz val="11"/>
            <color theme="1"/>
            <rFont val="Calibri"/>
            <family val="2"/>
            <scheme val="minor"/>
          </rPr>
          <t>======
ID#AAABDDKrPyg
Gavin Mudd    (2023-12-20 21:24:03)
historic resources (non-compliant with NI43-101) - hence all data allocated as inferred resources only</t>
        </r>
      </text>
    </comment>
    <comment ref="BO278" authorId="0" shapeId="0" xr:uid="{00000000-0006-0000-0100-000002060000}">
      <text>
        <r>
          <rPr>
            <sz val="11"/>
            <color theme="1"/>
            <rFont val="Calibri"/>
            <family val="2"/>
            <scheme val="minor"/>
          </rPr>
          <t>======
ID#AAABCyJQiBA
Gavin Mudd    (2023-12-20 21:24:02)
historic resources (non-compliant with NI43-101) - hence all data allocated as inferred resources only</t>
        </r>
      </text>
    </comment>
    <comment ref="AY279" authorId="0" shapeId="0" xr:uid="{00000000-0006-0000-0100-000099030000}">
      <text>
        <r>
          <rPr>
            <sz val="11"/>
            <color theme="1"/>
            <rFont val="Calibri"/>
            <family val="2"/>
            <scheme val="minor"/>
          </rPr>
          <t>======
ID#AAABDDKrQEU
Gavin Mudd    (2023-12-20 21:24:03)
historic resources (non-compliant with NI43-101) - hence all data allocated as inferred resources only</t>
        </r>
      </text>
    </comment>
    <comment ref="BG279" authorId="0" shapeId="0" xr:uid="{00000000-0006-0000-0100-0000C7030000}">
      <text>
        <r>
          <rPr>
            <sz val="11"/>
            <color theme="1"/>
            <rFont val="Calibri"/>
            <family val="2"/>
            <scheme val="minor"/>
          </rPr>
          <t>======
ID#AAABDDKrP-I
Gavin Mudd    (2023-12-20 21:24:03)
historic resources (non-compliant with NI43-101) - hence all data allocated as inferred resources only</t>
        </r>
      </text>
    </comment>
    <comment ref="BN279" authorId="0" shapeId="0" xr:uid="{00000000-0006-0000-0100-00005C040000}">
      <text>
        <r>
          <rPr>
            <sz val="11"/>
            <color theme="1"/>
            <rFont val="Calibri"/>
            <family val="2"/>
            <scheme val="minor"/>
          </rPr>
          <t>======
ID#AAABDDKrPsw
Gavin Mudd    (2023-12-20 21:24:03)
historic resources (non-compliant with NI43-101) - hence all data allocated as inferred resources only</t>
        </r>
      </text>
    </comment>
    <comment ref="BO279" authorId="0" shapeId="0" xr:uid="{00000000-0006-0000-0100-00006F050000}">
      <text>
        <r>
          <rPr>
            <sz val="11"/>
            <color theme="1"/>
            <rFont val="Calibri"/>
            <family val="2"/>
            <scheme val="minor"/>
          </rPr>
          <t>======
ID#AAABDDKrPKs
Gavin Mudd    (2023-12-20 21:24:03)
historic resources (non-compliant with NI43-101) - hence all data allocated as inferred resources only</t>
        </r>
      </text>
    </comment>
    <comment ref="F280" authorId="0" shapeId="0" xr:uid="{00000000-0006-0000-0100-0000F0040000}">
      <text>
        <r>
          <rPr>
            <sz val="11"/>
            <color theme="1"/>
            <rFont val="Calibri"/>
            <family val="2"/>
            <scheme val="minor"/>
          </rPr>
          <t>======
ID#AAABDDKrPak
Gavin Mudd    (2023-12-20 21:24:03)
previously held by Solomon Gold Plc (which became SolGold)</t>
        </r>
      </text>
    </comment>
    <comment ref="AD280" authorId="0" shapeId="0" xr:uid="{00000000-0006-0000-0100-00002C000000}">
      <text>
        <r>
          <rPr>
            <sz val="11"/>
            <color theme="1"/>
            <rFont val="Calibri"/>
            <family val="2"/>
            <scheme val="minor"/>
          </rPr>
          <t>======
ID#AAABDDKrRw4
Gavin Mudd    (2023-12-20 21:24:04)
although stated as 'indicate and inferred' resources, no split provided - assumed all as inferred</t>
        </r>
      </text>
    </comment>
    <comment ref="AY280" authorId="0" shapeId="0" xr:uid="{00000000-0006-0000-0100-0000DA010000}">
      <text>
        <r>
          <rPr>
            <sz val="11"/>
            <color theme="1"/>
            <rFont val="Calibri"/>
            <family val="2"/>
            <scheme val="minor"/>
          </rPr>
          <t>======
ID#AAABDDKrQ80
Gavin Mudd    (2023-12-20 21:24:04)
although stated as 'indicate and inferred' resources, no split provided - assumed all as inferred</t>
        </r>
      </text>
    </comment>
    <comment ref="BG280" authorId="0" shapeId="0" xr:uid="{00000000-0006-0000-0100-000047010000}">
      <text>
        <r>
          <rPr>
            <sz val="11"/>
            <color theme="1"/>
            <rFont val="Calibri"/>
            <family val="2"/>
            <scheme val="minor"/>
          </rPr>
          <t>======
ID#AAABDDKrROU
Gavin Mudd    (2023-12-20 21:24:04)
although stated as 'indicate and inferred' resources, no split provided - assumed all as inferred</t>
        </r>
      </text>
    </comment>
    <comment ref="BH280" authorId="0" shapeId="0" xr:uid="{00000000-0006-0000-0100-000085060000}">
      <text>
        <r>
          <rPr>
            <sz val="11"/>
            <color theme="1"/>
            <rFont val="Calibri"/>
            <family val="2"/>
            <scheme val="minor"/>
          </rPr>
          <t>======
ID#AAABCyJQhug
Gavin Mudd    (2023-12-20 21:24:01)
although stated as 'indicate and inferred' resources, no split provided - assumed all as inferred</t>
        </r>
      </text>
    </comment>
    <comment ref="DN280" authorId="0" shapeId="0" xr:uid="{00000000-0006-0000-0100-00006B050000}">
      <text>
        <r>
          <rPr>
            <sz val="11"/>
            <color theme="1"/>
            <rFont val="Calibri"/>
            <family val="2"/>
            <scheme val="minor"/>
          </rPr>
          <t>======
ID#AAABDDKrPLI
Gavin Mudd    (2023-12-20 21:24:03)
data from Solomon Gold Plc (which became SolGold)</t>
        </r>
      </text>
    </comment>
    <comment ref="AY281" authorId="0" shapeId="0" xr:uid="{00000000-0006-0000-0100-0000D8010000}">
      <text>
        <r>
          <rPr>
            <sz val="11"/>
            <color theme="1"/>
            <rFont val="Calibri"/>
            <family val="2"/>
            <scheme val="minor"/>
          </rPr>
          <t>======
ID#AAABDDKrQ9I
Gavin Mudd    (2023-12-20 21:24:04)
historical data, not code-compliant</t>
        </r>
      </text>
    </comment>
    <comment ref="BG281" authorId="0" shapeId="0" xr:uid="{00000000-0006-0000-0100-00006B030000}">
      <text>
        <r>
          <rPr>
            <sz val="11"/>
            <color theme="1"/>
            <rFont val="Calibri"/>
            <family val="2"/>
            <scheme val="minor"/>
          </rPr>
          <t>======
ID#AAABDDKrQIU
Gavin Mudd    (2023-12-20 21:24:03)
historical data, not code-compliant</t>
        </r>
      </text>
    </comment>
    <comment ref="AY282" authorId="0" shapeId="0" xr:uid="{00000000-0006-0000-0100-00004E060000}">
      <text>
        <r>
          <rPr>
            <sz val="11"/>
            <color theme="1"/>
            <rFont val="Calibri"/>
            <family val="2"/>
            <scheme val="minor"/>
          </rPr>
          <t>======
ID#AAABCyJQh3M
Gavin Mudd    (2023-12-20 21:24:02)
historical data, not code-compliant</t>
        </r>
      </text>
    </comment>
    <comment ref="BG282" authorId="0" shapeId="0" xr:uid="{00000000-0006-0000-0100-0000F5010000}">
      <text>
        <r>
          <rPr>
            <sz val="11"/>
            <color theme="1"/>
            <rFont val="Calibri"/>
            <family val="2"/>
            <scheme val="minor"/>
          </rPr>
          <t>======
ID#AAABDDKrQ5g
Gavin Mudd    (2023-12-20 21:24:04)
historical data, not code-compliant</t>
        </r>
      </text>
    </comment>
    <comment ref="AY283" authorId="0" shapeId="0" xr:uid="{00000000-0006-0000-0100-0000EC010000}">
      <text>
        <r>
          <rPr>
            <sz val="11"/>
            <color theme="1"/>
            <rFont val="Calibri"/>
            <family val="2"/>
            <scheme val="minor"/>
          </rPr>
          <t>======
ID#AAABDDKrQ6Y
Gavin Mudd    (2023-12-20 21:24:04)
code basis unclear, assumed as inferred, non-code compliant</t>
        </r>
      </text>
    </comment>
    <comment ref="BG283" authorId="0" shapeId="0" xr:uid="{00000000-0006-0000-0100-000053030000}">
      <text>
        <r>
          <rPr>
            <sz val="11"/>
            <color theme="1"/>
            <rFont val="Calibri"/>
            <family val="2"/>
            <scheme val="minor"/>
          </rPr>
          <t>======
ID#AAABDDKrQKc
Gavin Mudd    (2023-12-20 21:24:03)
code basis unclear, assumed as inferred, non-code compliant</t>
        </r>
      </text>
    </comment>
    <comment ref="AY284" authorId="0" shapeId="0" xr:uid="{00000000-0006-0000-0100-000004020000}">
      <text>
        <r>
          <rPr>
            <sz val="11"/>
            <color theme="1"/>
            <rFont val="Calibri"/>
            <family val="2"/>
            <scheme val="minor"/>
          </rPr>
          <t>======
ID#AAABDDKrQ3k
Gavin Mudd    (2023-12-20 21:24:04)
code basis unclear, assumed as inferred, non-code compliant</t>
        </r>
      </text>
    </comment>
    <comment ref="BG284" authorId="0" shapeId="0" xr:uid="{00000000-0006-0000-0100-000048040000}">
      <text>
        <r>
          <rPr>
            <sz val="11"/>
            <color theme="1"/>
            <rFont val="Calibri"/>
            <family val="2"/>
            <scheme val="minor"/>
          </rPr>
          <t>======
ID#AAABDDKrPvQ
Gavin Mudd    (2023-12-20 21:24:03)
code basis unclear, assumed as inferred, non-code compliant</t>
        </r>
      </text>
    </comment>
    <comment ref="AY285" authorId="0" shapeId="0" xr:uid="{00000000-0006-0000-0100-000064000000}">
      <text>
        <r>
          <rPr>
            <sz val="11"/>
            <color theme="1"/>
            <rFont val="Calibri"/>
            <family val="2"/>
            <scheme val="minor"/>
          </rPr>
          <t>======
ID#AAABDDKrRrQ
Gavin Mudd    (2023-12-20 21:24:04)
code basis unclear, assumed as inferred, non-code compliant</t>
        </r>
      </text>
    </comment>
    <comment ref="BG285" authorId="0" shapeId="0" xr:uid="{00000000-0006-0000-0100-000011060000}">
      <text>
        <r>
          <rPr>
            <sz val="11"/>
            <color theme="1"/>
            <rFont val="Calibri"/>
            <family val="2"/>
            <scheme val="minor"/>
          </rPr>
          <t>======
ID#AAABCyJQh-4
Gavin Mudd    (2023-12-20 21:24:02)
code basis unclear, assumed as inferred, non-code compliant</t>
        </r>
      </text>
    </comment>
    <comment ref="A292" authorId="0" shapeId="0" xr:uid="{00000000-0006-0000-0100-0000EB030000}">
      <text>
        <r>
          <rPr>
            <sz val="11"/>
            <color theme="1"/>
            <rFont val="Calibri"/>
            <family val="2"/>
            <scheme val="minor"/>
          </rPr>
          <t>======
ID#AAABDDKrP6Q
Gavin Mudd    (2023-12-20 21:24:03)
includes Corella, Hannibals, Harrier, Harakka, Wedgetail</t>
        </r>
      </text>
    </comment>
    <comment ref="AD292" authorId="0" shapeId="0" xr:uid="{00000000-0006-0000-0100-00004A020000}">
      <text>
        <r>
          <rPr>
            <sz val="11"/>
            <color theme="1"/>
            <rFont val="Calibri"/>
            <family val="2"/>
            <scheme val="minor"/>
          </rPr>
          <t>======
ID#AAABDDKrQuc
Gavin Mudd    (2023-12-20 21:24:04)
includes measured and indicated</t>
        </r>
      </text>
    </comment>
    <comment ref="AL292" authorId="0" shapeId="0" xr:uid="{00000000-0006-0000-0100-0000C3020000}">
      <text>
        <r>
          <rPr>
            <sz val="11"/>
            <color theme="1"/>
            <rFont val="Calibri"/>
            <family val="2"/>
            <scheme val="minor"/>
          </rPr>
          <t>======
ID#AAABDDKrQeE
Gavin Mudd    (2023-12-20 21:24:03)
includes measured and indicated</t>
        </r>
      </text>
    </comment>
    <comment ref="AE294" authorId="0" shapeId="0" xr:uid="{00000000-0006-0000-0100-00005C030000}">
      <text>
        <r>
          <rPr>
            <sz val="11"/>
            <color theme="1"/>
            <rFont val="Calibri"/>
            <family val="2"/>
            <scheme val="minor"/>
          </rPr>
          <t>======
ID#AAABDDKrQJk
Author    (2023-12-20 21:24:03)
assumed based on historic milling data</t>
        </r>
      </text>
    </comment>
    <comment ref="AM294" authorId="0" shapeId="0" xr:uid="{00000000-0006-0000-0100-000069060000}">
      <text>
        <r>
          <rPr>
            <sz val="11"/>
            <color theme="1"/>
            <rFont val="Calibri"/>
            <family val="2"/>
            <scheme val="minor"/>
          </rPr>
          <t>======
ID#AAABCyJQhyw
Author    (2023-12-20 21:24:02)
assumed based on historic milling data</t>
        </r>
      </text>
    </comment>
    <comment ref="AZ294" authorId="0" shapeId="0" xr:uid="{00000000-0006-0000-0100-0000DF000000}">
      <text>
        <r>
          <rPr>
            <sz val="11"/>
            <color theme="1"/>
            <rFont val="Calibri"/>
            <family val="2"/>
            <scheme val="minor"/>
          </rPr>
          <t>======
ID#AAABDDKrRa4
Author    (2023-12-20 21:24:04)
assumed based on historic milling data</t>
        </r>
      </text>
    </comment>
    <comment ref="BH294" authorId="0" shapeId="0" xr:uid="{00000000-0006-0000-0100-000072040000}">
      <text>
        <r>
          <rPr>
            <sz val="11"/>
            <color theme="1"/>
            <rFont val="Calibri"/>
            <family val="2"/>
            <scheme val="minor"/>
          </rPr>
          <t>======
ID#AAABDDKrPps
Author    (2023-12-20 21:24:03)
assumed based on historic milling data</t>
        </r>
      </text>
    </comment>
    <comment ref="A297" authorId="0" shapeId="0" xr:uid="{00000000-0006-0000-0100-00008C010000}">
      <text>
        <r>
          <rPr>
            <sz val="11"/>
            <color theme="1"/>
            <rFont val="Calibri"/>
            <family val="2"/>
            <scheme val="minor"/>
          </rPr>
          <t>======
ID#AAABDDKrRF8
Gavin Mudd    (2023-12-20 21:24:04)
includes Cassini, Burnett, Miitel, Wannaway, Carnilya, Otter Juan, McMahon/Ken, Durkin North, Gellatly, Voyce, Cameron, Stockwell</t>
        </r>
      </text>
    </comment>
    <comment ref="J297" authorId="0" shapeId="0" xr:uid="{00000000-0006-0000-0100-000051030000}">
      <text>
        <r>
          <rPr>
            <sz val="11"/>
            <color theme="1"/>
            <rFont val="Calibri"/>
            <family val="2"/>
            <scheme val="minor"/>
          </rPr>
          <t>======
ID#AAABDDKrQKw
Author    (2023-12-20 21:24:03)
assumed based on historic milling data</t>
        </r>
      </text>
    </comment>
    <comment ref="R297" authorId="0" shapeId="0" xr:uid="{00000000-0006-0000-0100-0000F3010000}">
      <text>
        <r>
          <rPr>
            <sz val="11"/>
            <color theme="1"/>
            <rFont val="Calibri"/>
            <family val="2"/>
            <scheme val="minor"/>
          </rPr>
          <t>======
ID#AAABDDKrQ5o
Author    (2023-12-20 21:24:04)
assumed based on historic milling data</t>
        </r>
      </text>
    </comment>
    <comment ref="AE297" authorId="0" shapeId="0" xr:uid="{00000000-0006-0000-0100-0000DD030000}">
      <text>
        <r>
          <rPr>
            <sz val="11"/>
            <color theme="1"/>
            <rFont val="Calibri"/>
            <family val="2"/>
            <scheme val="minor"/>
          </rPr>
          <t>======
ID#AAABDDKrP7c
Author    (2023-12-20 21:24:03)
assumed based on historic milling data</t>
        </r>
      </text>
    </comment>
    <comment ref="AM297" authorId="0" shapeId="0" xr:uid="{00000000-0006-0000-0100-00001D020000}">
      <text>
        <r>
          <rPr>
            <sz val="11"/>
            <color theme="1"/>
            <rFont val="Calibri"/>
            <family val="2"/>
            <scheme val="minor"/>
          </rPr>
          <t>======
ID#AAABDDKrQ0E
Author    (2023-12-20 21:24:04)
assumed based on historic milling data</t>
        </r>
      </text>
    </comment>
    <comment ref="AY297" authorId="0" shapeId="0" xr:uid="{00000000-0006-0000-0100-000096040000}">
      <text>
        <r>
          <rPr>
            <sz val="11"/>
            <color theme="1"/>
            <rFont val="Calibri"/>
            <family val="2"/>
            <scheme val="minor"/>
          </rPr>
          <t>======
ID#AAABDDKrPkw
Gavin Mudd    (2023-12-20 21:24:03)
includes Grimsby from WA MINEDEX</t>
        </r>
      </text>
    </comment>
    <comment ref="AZ297" authorId="0" shapeId="0" xr:uid="{00000000-0006-0000-0100-000018060000}">
      <text>
        <r>
          <rPr>
            <sz val="11"/>
            <color theme="1"/>
            <rFont val="Calibri"/>
            <family val="2"/>
            <scheme val="minor"/>
          </rPr>
          <t>======
ID#AAABCyJQh-I
Author    (2023-12-20 21:24:02)
assumed based on historic milling data</t>
        </r>
      </text>
    </comment>
    <comment ref="BG297" authorId="0" shapeId="0" xr:uid="{00000000-0006-0000-0100-000005060000}">
      <text>
        <r>
          <rPr>
            <sz val="11"/>
            <color theme="1"/>
            <rFont val="Calibri"/>
            <family val="2"/>
            <scheme val="minor"/>
          </rPr>
          <t>======
ID#AAABCyJQiAo
Gavin Mudd    (2023-12-20 21:24:02)
includes Grimsby from WA MINEDEX</t>
        </r>
      </text>
    </comment>
    <comment ref="BH297" authorId="0" shapeId="0" xr:uid="{00000000-0006-0000-0100-000038000000}">
      <text>
        <r>
          <rPr>
            <sz val="11"/>
            <color theme="1"/>
            <rFont val="Calibri"/>
            <family val="2"/>
            <scheme val="minor"/>
          </rPr>
          <t>======
ID#AAABDDKrRvs
Author    (2023-12-20 21:24:04)
assumed based on historic milling data</t>
        </r>
      </text>
    </comment>
    <comment ref="BU297" authorId="0" shapeId="0" xr:uid="{00000000-0006-0000-0100-000045050000}">
      <text>
        <r>
          <rPr>
            <sz val="11"/>
            <color theme="1"/>
            <rFont val="Calibri"/>
            <family val="2"/>
            <scheme val="minor"/>
          </rPr>
          <t>======
ID#AAABDDKrPQs
Author    (2023-12-20 21:24:03)
assumed based on historic milling data</t>
        </r>
      </text>
    </comment>
    <comment ref="CC297" authorId="0" shapeId="0" xr:uid="{00000000-0006-0000-0100-00004C030000}">
      <text>
        <r>
          <rPr>
            <sz val="11"/>
            <color theme="1"/>
            <rFont val="Calibri"/>
            <family val="2"/>
            <scheme val="minor"/>
          </rPr>
          <t>======
ID#AAABDDKrQLY
Author    (2023-12-20 21:24:03)
assumed based on historic milling data</t>
        </r>
      </text>
    </comment>
    <comment ref="CP297" authorId="0" shapeId="0" xr:uid="{00000000-0006-0000-0100-000089000000}">
      <text>
        <r>
          <rPr>
            <sz val="11"/>
            <color theme="1"/>
            <rFont val="Calibri"/>
            <family val="2"/>
            <scheme val="minor"/>
          </rPr>
          <t>======
ID#AAABDDKrRmM
Author    (2023-12-20 21:24:04)
assumed based on historic milling data</t>
        </r>
      </text>
    </comment>
    <comment ref="CX297" authorId="0" shapeId="0" xr:uid="{00000000-0006-0000-0100-0000DB040000}">
      <text>
        <r>
          <rPr>
            <sz val="11"/>
            <color theme="1"/>
            <rFont val="Calibri"/>
            <family val="2"/>
            <scheme val="minor"/>
          </rPr>
          <t>======
ID#AAABDDKrPdE
Author    (2023-12-20 21:24:03)
assumed based on historic milling data</t>
        </r>
      </text>
    </comment>
    <comment ref="J298" authorId="0" shapeId="0" xr:uid="{00000000-0006-0000-0100-000055020000}">
      <text>
        <r>
          <rPr>
            <sz val="11"/>
            <color theme="1"/>
            <rFont val="Calibri"/>
            <family val="2"/>
            <scheme val="minor"/>
          </rPr>
          <t>======
ID#AAABDDKrQsw
Author    (2023-12-20 21:24:04)
assumed based on historic milling data</t>
        </r>
      </text>
    </comment>
    <comment ref="R298" authorId="0" shapeId="0" xr:uid="{00000000-0006-0000-0100-00002F050000}">
      <text>
        <r>
          <rPr>
            <sz val="11"/>
            <color theme="1"/>
            <rFont val="Calibri"/>
            <family val="2"/>
            <scheme val="minor"/>
          </rPr>
          <t>======
ID#AAABDDKrPS0
Author    (2023-12-20 21:24:03)
assumed based on historic milling data</t>
        </r>
      </text>
    </comment>
    <comment ref="AE298" authorId="0" shapeId="0" xr:uid="{00000000-0006-0000-0100-000031030000}">
      <text>
        <r>
          <rPr>
            <sz val="11"/>
            <color theme="1"/>
            <rFont val="Calibri"/>
            <family val="2"/>
            <scheme val="minor"/>
          </rPr>
          <t>======
ID#AAABDDKrQO0
Author    (2023-12-20 21:24:03)
assumed based on historic milling data</t>
        </r>
      </text>
    </comment>
    <comment ref="AM298" authorId="0" shapeId="0" xr:uid="{00000000-0006-0000-0100-000056020000}">
      <text>
        <r>
          <rPr>
            <sz val="11"/>
            <color theme="1"/>
            <rFont val="Calibri"/>
            <family val="2"/>
            <scheme val="minor"/>
          </rPr>
          <t>======
ID#AAABDDKrQss
Author    (2023-12-20 21:24:04)
assumed based on historic milling data</t>
        </r>
      </text>
    </comment>
    <comment ref="AZ298" authorId="0" shapeId="0" xr:uid="{00000000-0006-0000-0100-000044010000}">
      <text>
        <r>
          <rPr>
            <sz val="11"/>
            <color theme="1"/>
            <rFont val="Calibri"/>
            <family val="2"/>
            <scheme val="minor"/>
          </rPr>
          <t>======
ID#AAABDDKrROk
Author    (2023-12-20 21:24:04)
assumed based on historic milling data</t>
        </r>
      </text>
    </comment>
    <comment ref="BH298" authorId="0" shapeId="0" xr:uid="{00000000-0006-0000-0100-0000DC010000}">
      <text>
        <r>
          <rPr>
            <sz val="11"/>
            <color theme="1"/>
            <rFont val="Calibri"/>
            <family val="2"/>
            <scheme val="minor"/>
          </rPr>
          <t>======
ID#AAABDDKrQ8g
Author    (2023-12-20 21:24:04)
assumed based on historic milling data</t>
        </r>
      </text>
    </comment>
    <comment ref="CP298" authorId="0" shapeId="0" xr:uid="{00000000-0006-0000-0100-000031020000}">
      <text>
        <r>
          <rPr>
            <sz val="11"/>
            <color theme="1"/>
            <rFont val="Calibri"/>
            <family val="2"/>
            <scheme val="minor"/>
          </rPr>
          <t>======
ID#AAABDDKrQxg
Author    (2023-12-20 21:24:04)
assumed based on historic milling data</t>
        </r>
      </text>
    </comment>
    <comment ref="CX298" authorId="0" shapeId="0" xr:uid="{00000000-0006-0000-0100-000033000000}">
      <text>
        <r>
          <rPr>
            <sz val="11"/>
            <color theme="1"/>
            <rFont val="Calibri"/>
            <family val="2"/>
            <scheme val="minor"/>
          </rPr>
          <t>======
ID#AAABDDKrRwE
Author    (2023-12-20 21:24:04)
assumed based on historic milling data</t>
        </r>
      </text>
    </comment>
    <comment ref="F299" authorId="0" shapeId="0" xr:uid="{00000000-0006-0000-0100-000003010000}">
      <text>
        <r>
          <rPr>
            <sz val="11"/>
            <color theme="1"/>
            <rFont val="Calibri"/>
            <family val="2"/>
            <scheme val="minor"/>
          </rPr>
          <t>======
ID#AAABDDKrRWg
Gavin Mudd    (2023-12-20 21:24:04)
previously known as Royal Nickel Corp.</t>
        </r>
      </text>
    </comment>
    <comment ref="J299" authorId="0" shapeId="0" xr:uid="{00000000-0006-0000-0100-000092030000}">
      <text>
        <r>
          <rPr>
            <sz val="11"/>
            <color theme="1"/>
            <rFont val="Calibri"/>
            <family val="2"/>
            <scheme val="minor"/>
          </rPr>
          <t>======
ID#AAABDDKrQE4
Author    (2023-12-20 21:24:03)
assumed based on historic milling data</t>
        </r>
      </text>
    </comment>
    <comment ref="R299" authorId="0" shapeId="0" xr:uid="{00000000-0006-0000-0100-0000E0040000}">
      <text>
        <r>
          <rPr>
            <sz val="11"/>
            <color theme="1"/>
            <rFont val="Calibri"/>
            <family val="2"/>
            <scheme val="minor"/>
          </rPr>
          <t>======
ID#AAABDDKrPcs
Author    (2023-12-20 21:24:03)
assumed based on historic milling data</t>
        </r>
      </text>
    </comment>
    <comment ref="AE299" authorId="0" shapeId="0" xr:uid="{00000000-0006-0000-0100-0000F6050000}">
      <text>
        <r>
          <rPr>
            <sz val="11"/>
            <color theme="1"/>
            <rFont val="Calibri"/>
            <family val="2"/>
            <scheme val="minor"/>
          </rPr>
          <t>======
ID#AAABDDKrO6s
Author    (2023-12-20 21:24:02)
assumed based on historic milling data</t>
        </r>
      </text>
    </comment>
    <comment ref="AM299" authorId="0" shapeId="0" xr:uid="{00000000-0006-0000-0100-0000F3030000}">
      <text>
        <r>
          <rPr>
            <sz val="11"/>
            <color theme="1"/>
            <rFont val="Calibri"/>
            <family val="2"/>
            <scheme val="minor"/>
          </rPr>
          <t>======
ID#AAABDDKrP5Y
Author    (2023-12-20 21:24:03)
assumed based on historic milling data</t>
        </r>
      </text>
    </comment>
    <comment ref="AZ299" authorId="0" shapeId="0" xr:uid="{00000000-0006-0000-0100-00000A040000}">
      <text>
        <r>
          <rPr>
            <sz val="11"/>
            <color theme="1"/>
            <rFont val="Calibri"/>
            <family val="2"/>
            <scheme val="minor"/>
          </rPr>
          <t>======
ID#AAABDDKrP20
Author    (2023-12-20 21:24:03)
assumed based on historic milling data</t>
        </r>
      </text>
    </comment>
    <comment ref="BH299" authorId="0" shapeId="0" xr:uid="{00000000-0006-0000-0100-00009B040000}">
      <text>
        <r>
          <rPr>
            <sz val="11"/>
            <color theme="1"/>
            <rFont val="Calibri"/>
            <family val="2"/>
            <scheme val="minor"/>
          </rPr>
          <t>======
ID#AAABDDKrPkA
Author    (2023-12-20 21:24:03)
assumed based on historic milling data</t>
        </r>
      </text>
    </comment>
    <comment ref="AE302" authorId="0" shapeId="0" xr:uid="{00000000-0006-0000-0100-000063010000}">
      <text>
        <r>
          <rPr>
            <sz val="11"/>
            <color theme="1"/>
            <rFont val="Calibri"/>
            <family val="2"/>
            <scheme val="minor"/>
          </rPr>
          <t>======
ID#AAABDDKrRLI
Author    (2023-12-20 21:24:04)
assumed based on historic milling data</t>
        </r>
      </text>
    </comment>
    <comment ref="AM302" authorId="0" shapeId="0" xr:uid="{00000000-0006-0000-0100-000088000000}">
      <text>
        <r>
          <rPr>
            <sz val="11"/>
            <color theme="1"/>
            <rFont val="Calibri"/>
            <family val="2"/>
            <scheme val="minor"/>
          </rPr>
          <t>======
ID#AAABDDKrRmQ
Author    (2023-12-20 21:24:04)
assumed based on historic milling data</t>
        </r>
      </text>
    </comment>
    <comment ref="AZ302" authorId="0" shapeId="0" xr:uid="{00000000-0006-0000-0100-00009F040000}">
      <text>
        <r>
          <rPr>
            <sz val="11"/>
            <color theme="1"/>
            <rFont val="Calibri"/>
            <family val="2"/>
            <scheme val="minor"/>
          </rPr>
          <t>======
ID#AAABDDKrPjg
Author    (2023-12-20 21:24:03)
assumed based on historic milling data</t>
        </r>
      </text>
    </comment>
    <comment ref="BH302" authorId="0" shapeId="0" xr:uid="{00000000-0006-0000-0100-000015010000}">
      <text>
        <r>
          <rPr>
            <sz val="11"/>
            <color theme="1"/>
            <rFont val="Calibri"/>
            <family val="2"/>
            <scheme val="minor"/>
          </rPr>
          <t>======
ID#AAABDDKrRT0
Author    (2023-12-20 21:24:04)
assumed based on historic milling data</t>
        </r>
      </text>
    </comment>
    <comment ref="AM303" authorId="0" shapeId="0" xr:uid="{00000000-0006-0000-0100-0000F8030000}">
      <text>
        <r>
          <rPr>
            <sz val="11"/>
            <color theme="1"/>
            <rFont val="Calibri"/>
            <family val="2"/>
            <scheme val="minor"/>
          </rPr>
          <t>======
ID#AAABDDKrP44
Gavin Mudd    (2023-12-20 21:24:03)
assumes older WA MINEDEX data for %Co in the Lounge Lizard resource</t>
        </r>
      </text>
    </comment>
    <comment ref="BH303" authorId="0" shapeId="0" xr:uid="{00000000-0006-0000-0100-000013020000}">
      <text>
        <r>
          <rPr>
            <sz val="11"/>
            <color theme="1"/>
            <rFont val="Calibri"/>
            <family val="2"/>
            <scheme val="minor"/>
          </rPr>
          <t>======
ID#AAABDDKrQ10
Gavin Mudd    (2023-12-20 21:24:04)
assumes older WA MINEDEX data for %Co in the Lounge Lizard resource</t>
        </r>
      </text>
    </comment>
    <comment ref="CX303" authorId="0" shapeId="0" xr:uid="{00000000-0006-0000-0100-00008A050000}">
      <text>
        <r>
          <rPr>
            <sz val="11"/>
            <color theme="1"/>
            <rFont val="Calibri"/>
            <family val="2"/>
            <scheme val="minor"/>
          </rPr>
          <t>======
ID#AAABDDKrPHc
Gavin Mudd    (2023-12-20 21:24:03)
assumes older WA MINEDEX data for %Co in the Lounge Lizard resource</t>
        </r>
      </text>
    </comment>
    <comment ref="A304" authorId="0" shapeId="0" xr:uid="{00000000-0006-0000-0100-00005D040000}">
      <text>
        <r>
          <rPr>
            <sz val="11"/>
            <color theme="1"/>
            <rFont val="Calibri"/>
            <family val="2"/>
            <scheme val="minor"/>
          </rPr>
          <t>======
ID#AAABDDKrPsc
Gavin Mudd    (2023-12-20 21:24:03)
includes Mount Windarra, South Windarra, Cerberus</t>
        </r>
      </text>
    </comment>
    <comment ref="AE304" authorId="0" shapeId="0" xr:uid="{00000000-0006-0000-0100-0000E4020000}">
      <text>
        <r>
          <rPr>
            <sz val="11"/>
            <color theme="1"/>
            <rFont val="Calibri"/>
            <family val="2"/>
            <scheme val="minor"/>
          </rPr>
          <t>======
ID#AAABDDKrQZc
Gavin Mudd    (2023-12-20 21:24:03)
grade for indicated &amp; inferred only</t>
        </r>
      </text>
    </comment>
    <comment ref="AM304" authorId="0" shapeId="0" xr:uid="{00000000-0006-0000-0100-00004D040000}">
      <text>
        <r>
          <rPr>
            <sz val="11"/>
            <color theme="1"/>
            <rFont val="Calibri"/>
            <family val="2"/>
            <scheme val="minor"/>
          </rPr>
          <t>======
ID#AAABDDKrPu0
Gavin Mudd    (2023-12-20 21:24:03)
grade for indicated &amp; inferred only</t>
        </r>
      </text>
    </comment>
    <comment ref="AZ304" authorId="0" shapeId="0" xr:uid="{00000000-0006-0000-0100-00000B040000}">
      <text>
        <r>
          <rPr>
            <sz val="11"/>
            <color theme="1"/>
            <rFont val="Calibri"/>
            <family val="2"/>
            <scheme val="minor"/>
          </rPr>
          <t>======
ID#AAABDDKrP2Y
Gavin Mudd    (2023-12-20 21:24:03)
grade for indicated &amp; inferred only</t>
        </r>
      </text>
    </comment>
    <comment ref="BH304" authorId="0" shapeId="0" xr:uid="{00000000-0006-0000-0100-000058060000}">
      <text>
        <r>
          <rPr>
            <sz val="11"/>
            <color theme="1"/>
            <rFont val="Calibri"/>
            <family val="2"/>
            <scheme val="minor"/>
          </rPr>
          <t>======
ID#AAABCyJQh2E
Gavin Mudd    (2023-12-20 21:24:02)
grade for indicated &amp; inferred only</t>
        </r>
      </text>
    </comment>
    <comment ref="AM305" authorId="0" shapeId="0" xr:uid="{00000000-0006-0000-0100-0000AE020000}">
      <text>
        <r>
          <rPr>
            <sz val="11"/>
            <color theme="1"/>
            <rFont val="Calibri"/>
            <family val="2"/>
            <scheme val="minor"/>
          </rPr>
          <t>======
ID#AAABDDKrQgk
Gavin Mudd    (2023-12-20 21:24:03)
data from WA MINEDEX</t>
        </r>
      </text>
    </comment>
    <comment ref="AO305" authorId="0" shapeId="0" xr:uid="{00000000-0006-0000-0100-000099050000}">
      <text>
        <r>
          <rPr>
            <sz val="11"/>
            <color theme="1"/>
            <rFont val="Calibri"/>
            <family val="2"/>
            <scheme val="minor"/>
          </rPr>
          <t>======
ID#AAABDDKrPGM
Gavin Mudd    (2023-12-20 21:24:03)
data from WA MINEDEX</t>
        </r>
      </text>
    </comment>
    <comment ref="BH305" authorId="0" shapeId="0" xr:uid="{00000000-0006-0000-0100-0000BD000000}">
      <text>
        <r>
          <rPr>
            <sz val="11"/>
            <color theme="1"/>
            <rFont val="Calibri"/>
            <family val="2"/>
            <scheme val="minor"/>
          </rPr>
          <t>======
ID#AAABDDKrRfg
Gavin Mudd    (2023-12-20 21:24:04)
data from WA MINEDEX</t>
        </r>
      </text>
    </comment>
    <comment ref="BJ305" authorId="0" shapeId="0" xr:uid="{00000000-0006-0000-0100-000031040000}">
      <text>
        <r>
          <rPr>
            <sz val="11"/>
            <color theme="1"/>
            <rFont val="Calibri"/>
            <family val="2"/>
            <scheme val="minor"/>
          </rPr>
          <t>======
ID#AAABDDKrPxw
Gavin Mudd    (2023-12-20 21:24:03)
data from WA MINEDEX</t>
        </r>
      </text>
    </comment>
    <comment ref="AE306" authorId="0" shapeId="0" xr:uid="{00000000-0006-0000-0100-000071000000}">
      <text>
        <r>
          <rPr>
            <sz val="11"/>
            <color theme="1"/>
            <rFont val="Calibri"/>
            <family val="2"/>
            <scheme val="minor"/>
          </rPr>
          <t>======
ID#AAABDDKrRp4
Gavin Mudd    (2023-12-20 21:24:04)
grade for indicated &amp; inferred only</t>
        </r>
      </text>
    </comment>
    <comment ref="AM306" authorId="0" shapeId="0" xr:uid="{00000000-0006-0000-0100-000005010000}">
      <text>
        <r>
          <rPr>
            <sz val="11"/>
            <color theme="1"/>
            <rFont val="Calibri"/>
            <family val="2"/>
            <scheme val="minor"/>
          </rPr>
          <t>======
ID#AAABDDKrRWY
Gavin Mudd    (2023-12-20 21:24:04)
grade for indicated &amp; inferred only</t>
        </r>
      </text>
    </comment>
    <comment ref="AZ306" authorId="0" shapeId="0" xr:uid="{00000000-0006-0000-0100-0000FF020000}">
      <text>
        <r>
          <rPr>
            <sz val="11"/>
            <color theme="1"/>
            <rFont val="Calibri"/>
            <family val="2"/>
            <scheme val="minor"/>
          </rPr>
          <t>======
ID#AAABDDKrQVo
Gavin Mudd    (2023-12-20 21:24:03)
grade for indicated &amp; inferred only</t>
        </r>
      </text>
    </comment>
    <comment ref="BH306" authorId="0" shapeId="0" xr:uid="{00000000-0006-0000-0100-0000E3040000}">
      <text>
        <r>
          <rPr>
            <sz val="11"/>
            <color theme="1"/>
            <rFont val="Calibri"/>
            <family val="2"/>
            <scheme val="minor"/>
          </rPr>
          <t>======
ID#AAABDDKrPcE
Gavin Mudd    (2023-12-20 21:24:03)
grade for indicated &amp; inferred only</t>
        </r>
      </text>
    </comment>
    <comment ref="AE307" authorId="0" shapeId="0" xr:uid="{00000000-0006-0000-0100-0000A4040000}">
      <text>
        <r>
          <rPr>
            <sz val="11"/>
            <color theme="1"/>
            <rFont val="Calibri"/>
            <family val="2"/>
            <scheme val="minor"/>
          </rPr>
          <t>======
ID#AAABDDKrPjI
Gavin Mudd    (2023-12-20 21:24:03)
grade for indicated &amp; inferred only</t>
        </r>
      </text>
    </comment>
    <comment ref="AM307" authorId="0" shapeId="0" xr:uid="{00000000-0006-0000-0100-00005A060000}">
      <text>
        <r>
          <rPr>
            <sz val="11"/>
            <color theme="1"/>
            <rFont val="Calibri"/>
            <family val="2"/>
            <scheme val="minor"/>
          </rPr>
          <t>======
ID#AAABCyJQh1U
Gavin Mudd    (2023-12-20 21:24:02)
grade for indicated &amp; inferred only</t>
        </r>
      </text>
    </comment>
    <comment ref="AZ307" authorId="0" shapeId="0" xr:uid="{00000000-0006-0000-0100-000041060000}">
      <text>
        <r>
          <rPr>
            <sz val="11"/>
            <color theme="1"/>
            <rFont val="Calibri"/>
            <family val="2"/>
            <scheme val="minor"/>
          </rPr>
          <t>======
ID#AAABCyJQh4Y
Gavin Mudd    (2023-12-20 21:24:02)
grade for indicated &amp; inferred only</t>
        </r>
      </text>
    </comment>
    <comment ref="BH307" authorId="0" shapeId="0" xr:uid="{00000000-0006-0000-0100-00008B040000}">
      <text>
        <r>
          <rPr>
            <sz val="11"/>
            <color theme="1"/>
            <rFont val="Calibri"/>
            <family val="2"/>
            <scheme val="minor"/>
          </rPr>
          <t>======
ID#AAABDDKrPmE
Gavin Mudd    (2023-12-20 21:24:03)
grade for indicated &amp; inferred only</t>
        </r>
      </text>
    </comment>
    <comment ref="BI311" authorId="0" shapeId="0" xr:uid="{00000000-0006-0000-0100-000025000000}">
      <text>
        <r>
          <rPr>
            <sz val="11"/>
            <color theme="1"/>
            <rFont val="Calibri"/>
            <family val="2"/>
            <scheme val="minor"/>
          </rPr>
          <t>======
ID#AAABDDKrRxk
Gavin Mudd    (2023-12-20 21:24:04)
greade reported as 0.5 g/t PGEs, assumes 30% Pt split</t>
        </r>
      </text>
    </comment>
    <comment ref="BJ311" authorId="0" shapeId="0" xr:uid="{00000000-0006-0000-0100-000099060000}">
      <text>
        <r>
          <rPr>
            <sz val="11"/>
            <color theme="1"/>
            <rFont val="Calibri"/>
            <family val="2"/>
            <scheme val="minor"/>
          </rPr>
          <t>======
ID#AAABCxlEysU
Gavin Mudd    (2023-12-20 21:24:01)
greade reported as 0.5 g/t PGEs, assumes 60% Pd split</t>
        </r>
      </text>
    </comment>
    <comment ref="BK311" authorId="0" shapeId="0" xr:uid="{00000000-0006-0000-0100-0000C1050000}">
      <text>
        <r>
          <rPr>
            <sz val="11"/>
            <color theme="1"/>
            <rFont val="Calibri"/>
            <family val="2"/>
            <scheme val="minor"/>
          </rPr>
          <t>======
ID#AAABDDKrPBI
Gavin Mudd    (2023-12-20 21:24:03)
greade reported as 0.5 g/t PGEs, assumes 10% Rh split</t>
        </r>
      </text>
    </comment>
    <comment ref="AE317" authorId="0" shapeId="0" xr:uid="{00000000-0006-0000-0100-0000CA030000}">
      <text>
        <r>
          <rPr>
            <sz val="11"/>
            <color theme="1"/>
            <rFont val="Calibri"/>
            <family val="2"/>
            <scheme val="minor"/>
          </rPr>
          <t>======
ID#AAABDDKrP90
Author    (2023-12-20 21:24:03)
assumed based on historic milling data</t>
        </r>
      </text>
    </comment>
    <comment ref="AM317" authorId="0" shapeId="0" xr:uid="{00000000-0006-0000-0100-0000E6050000}">
      <text>
        <r>
          <rPr>
            <sz val="11"/>
            <color theme="1"/>
            <rFont val="Calibri"/>
            <family val="2"/>
            <scheme val="minor"/>
          </rPr>
          <t>======
ID#AAABDDKrO80
Gavin Mudd    (2023-12-20 21:24:03)
data from WA MINEDEX</t>
        </r>
      </text>
    </comment>
    <comment ref="AZ317" authorId="0" shapeId="0" xr:uid="{00000000-0006-0000-0100-0000A7030000}">
      <text>
        <r>
          <rPr>
            <sz val="11"/>
            <color theme="1"/>
            <rFont val="Calibri"/>
            <family val="2"/>
            <scheme val="minor"/>
          </rPr>
          <t>======
ID#AAABDDKrQCk
Author    (2023-12-20 21:24:03)
assumed based on historic milling data</t>
        </r>
      </text>
    </comment>
    <comment ref="BH317" authorId="0" shapeId="0" xr:uid="{00000000-0006-0000-0100-000024050000}">
      <text>
        <r>
          <rPr>
            <sz val="11"/>
            <color theme="1"/>
            <rFont val="Calibri"/>
            <family val="2"/>
            <scheme val="minor"/>
          </rPr>
          <t>======
ID#AAABDDKrPT8
Gavin Mudd    (2023-12-20 21:24:03)
data from WA MINEDEX</t>
        </r>
      </text>
    </comment>
    <comment ref="AE322" authorId="0" shapeId="0" xr:uid="{00000000-0006-0000-0100-000049030000}">
      <text>
        <r>
          <rPr>
            <sz val="11"/>
            <color theme="1"/>
            <rFont val="Calibri"/>
            <family val="2"/>
            <scheme val="minor"/>
          </rPr>
          <t>======
ID#AAABDDKrQLk
Author    (2023-12-20 21:24:03)
assumed based on historic milling data</t>
        </r>
      </text>
    </comment>
    <comment ref="AM322" authorId="0" shapeId="0" xr:uid="{00000000-0006-0000-0100-000080010000}">
      <text>
        <r>
          <rPr>
            <sz val="11"/>
            <color theme="1"/>
            <rFont val="Calibri"/>
            <family val="2"/>
            <scheme val="minor"/>
          </rPr>
          <t>======
ID#AAABDDKrRHk
Author    (2023-12-20 21:24:04)
assumed based on historic milling data</t>
        </r>
      </text>
    </comment>
    <comment ref="AZ322" authorId="0" shapeId="0" xr:uid="{00000000-0006-0000-0100-00009B000000}">
      <text>
        <r>
          <rPr>
            <sz val="11"/>
            <color theme="1"/>
            <rFont val="Calibri"/>
            <family val="2"/>
            <scheme val="minor"/>
          </rPr>
          <t>======
ID#AAABDDKrRi0
Author    (2023-12-20 21:24:04)
assumed based on historic milling data</t>
        </r>
      </text>
    </comment>
    <comment ref="BH322" authorId="0" shapeId="0" xr:uid="{00000000-0006-0000-0100-000035030000}">
      <text>
        <r>
          <rPr>
            <sz val="11"/>
            <color theme="1"/>
            <rFont val="Calibri"/>
            <family val="2"/>
            <scheme val="minor"/>
          </rPr>
          <t>======
ID#AAABDDKrQOU
Author    (2023-12-20 21:24:03)
assumed based on historic milling data</t>
        </r>
      </text>
    </comment>
    <comment ref="AE326" authorId="0" shapeId="0" xr:uid="{00000000-0006-0000-0100-000079020000}">
      <text>
        <r>
          <rPr>
            <sz val="11"/>
            <color theme="1"/>
            <rFont val="Calibri"/>
            <family val="2"/>
            <scheme val="minor"/>
          </rPr>
          <t>======
ID#AAABDDKrQoA
Author    (2023-12-20 21:24:04)
assumed based on historic milling data</t>
        </r>
      </text>
    </comment>
    <comment ref="AM326" authorId="0" shapeId="0" xr:uid="{00000000-0006-0000-0100-0000F4050000}">
      <text>
        <r>
          <rPr>
            <sz val="11"/>
            <color theme="1"/>
            <rFont val="Calibri"/>
            <family val="2"/>
            <scheme val="minor"/>
          </rPr>
          <t>======
ID#AAABDDKrO60
Author    (2023-12-20 21:24:02)
assumed based on historic milling data</t>
        </r>
      </text>
    </comment>
    <comment ref="AZ326" authorId="0" shapeId="0" xr:uid="{00000000-0006-0000-0100-000009060000}">
      <text>
        <r>
          <rPr>
            <sz val="11"/>
            <color theme="1"/>
            <rFont val="Calibri"/>
            <family val="2"/>
            <scheme val="minor"/>
          </rPr>
          <t>======
ID#AAABCyJQh_8
Author    (2023-12-20 21:24:02)
assumed based on historic milling data</t>
        </r>
      </text>
    </comment>
    <comment ref="BH326" authorId="0" shapeId="0" xr:uid="{00000000-0006-0000-0100-000021020000}">
      <text>
        <r>
          <rPr>
            <sz val="11"/>
            <color theme="1"/>
            <rFont val="Calibri"/>
            <family val="2"/>
            <scheme val="minor"/>
          </rPr>
          <t>======
ID#AAABDDKrQzs
Author    (2023-12-20 21:24:04)
assumed based on historic milling data</t>
        </r>
      </text>
    </comment>
    <comment ref="F332" authorId="0" shapeId="0" xr:uid="{00000000-0006-0000-0100-000034040000}">
      <text>
        <r>
          <rPr>
            <sz val="11"/>
            <color theme="1"/>
            <rFont val="Calibri"/>
            <family val="2"/>
            <scheme val="minor"/>
          </rPr>
          <t>======
ID#AAABDDKrPxk
Gavin Mudd    (2023-12-20 21:24:03)
previously held by Canadian Arrow Mines (which went bankrupt and was transformed into Tartisan Nickel); Tartisan Nickel sold the project to VaniCom Resources Ltd in early 2019 - which is now Class 1 Nickel Ltd</t>
        </r>
      </text>
    </comment>
    <comment ref="DN332" authorId="0" shapeId="0" xr:uid="{00000000-0006-0000-0100-00002E060000}">
      <text>
        <r>
          <rPr>
            <sz val="11"/>
            <color theme="1"/>
            <rFont val="Calibri"/>
            <family val="2"/>
            <scheme val="minor"/>
          </rPr>
          <t>======
ID#AAABCyJQh7Y
Gavin Mudd    (2023-12-20 21:24:02)
data from First Nickel</t>
        </r>
      </text>
    </comment>
    <comment ref="F334" authorId="0" shapeId="0" xr:uid="{00000000-0006-0000-0100-000093010000}">
      <text>
        <r>
          <rPr>
            <sz val="11"/>
            <color theme="1"/>
            <rFont val="Calibri"/>
            <family val="2"/>
            <scheme val="minor"/>
          </rPr>
          <t>======
ID#AAABDDKrRFU
Gavin Mudd    (2023-12-20 21:24:04)
formerly known as Royal Nickel Corp</t>
        </r>
      </text>
    </comment>
    <comment ref="F335" authorId="0" shapeId="0" xr:uid="{00000000-0006-0000-0100-000014010000}">
      <text>
        <r>
          <rPr>
            <sz val="11"/>
            <color theme="1"/>
            <rFont val="Calibri"/>
            <family val="2"/>
            <scheme val="minor"/>
          </rPr>
          <t>======
ID#AAABDDKrRUA
Gavin Mudd    (2023-12-20 21:24:04)
First Nickel went bankrupt in mid-2015, then sold to Transition Metals Corp.; sold to VaniCom Ltd in August 2018 - which is now Class 1 Nickel Ltd</t>
        </r>
      </text>
    </comment>
    <comment ref="DN335" authorId="0" shapeId="0" xr:uid="{00000000-0006-0000-0100-000021040000}">
      <text>
        <r>
          <rPr>
            <sz val="11"/>
            <color theme="1"/>
            <rFont val="Calibri"/>
            <family val="2"/>
            <scheme val="minor"/>
          </rPr>
          <t>======
ID#AAABDDKrPz4
Gavin Mudd    (2023-12-20 21:24:03)
data from First Nickel</t>
        </r>
      </text>
    </comment>
    <comment ref="F339" authorId="0" shapeId="0" xr:uid="{00000000-0006-0000-0100-000062060000}">
      <text>
        <r>
          <rPr>
            <sz val="11"/>
            <color theme="1"/>
            <rFont val="Calibri"/>
            <family val="2"/>
            <scheme val="minor"/>
          </rPr>
          <t>======
ID#AAABCyJQhz4
Gavin Mudd    (2023-12-20 21:24:02)
previously known as Liberty Mines</t>
        </r>
      </text>
    </comment>
    <comment ref="F340" authorId="0" shapeId="0" xr:uid="{00000000-0006-0000-0100-0000C5020000}">
      <text>
        <r>
          <rPr>
            <sz val="11"/>
            <color theme="1"/>
            <rFont val="Calibri"/>
            <family val="2"/>
            <scheme val="minor"/>
          </rPr>
          <t>======
ID#AAABDDKrQd8
Gavin Mudd    (2023-12-20 21:24:03)
previously known as Liberty Mines</t>
        </r>
      </text>
    </comment>
    <comment ref="F341" authorId="0" shapeId="0" xr:uid="{00000000-0006-0000-0100-00008C030000}">
      <text>
        <r>
          <rPr>
            <sz val="11"/>
            <color theme="1"/>
            <rFont val="Calibri"/>
            <family val="2"/>
            <scheme val="minor"/>
          </rPr>
          <t>======
ID#AAABDDKrQFc
Gavin Mudd    (2023-12-20 21:24:03)
previously known as Liberty Mines</t>
        </r>
      </text>
    </comment>
    <comment ref="AY342" authorId="0" shapeId="0" xr:uid="{00000000-0006-0000-0100-0000EF010000}">
      <text>
        <r>
          <rPr>
            <sz val="11"/>
            <color theme="1"/>
            <rFont val="Calibri"/>
            <family val="2"/>
            <scheme val="minor"/>
          </rPr>
          <t>======
ID#AAABDDKrQ6I
Gavin Mudd    (2023-12-20 21:24:04)
historic resources (non-compliant with NI43-101) - hence all data allocated as inferred resources only</t>
        </r>
      </text>
    </comment>
    <comment ref="BG342" authorId="0" shapeId="0" xr:uid="{00000000-0006-0000-0100-0000DF020000}">
      <text>
        <r>
          <rPr>
            <sz val="11"/>
            <color theme="1"/>
            <rFont val="Calibri"/>
            <family val="2"/>
            <scheme val="minor"/>
          </rPr>
          <t>======
ID#AAABDDKrQaY
Gavin Mudd    (2023-12-20 21:24:03)
historic resources (non-compliant with NI43-101) - hence all data allocated as inferred resources only</t>
        </r>
      </text>
    </comment>
    <comment ref="BH342" authorId="0" shapeId="0" xr:uid="{00000000-0006-0000-0100-000070020000}">
      <text>
        <r>
          <rPr>
            <sz val="11"/>
            <color theme="1"/>
            <rFont val="Calibri"/>
            <family val="2"/>
            <scheme val="minor"/>
          </rPr>
          <t>======
ID#AAABDDKrQpk
Gavin Mudd    (2023-12-20 21:24:04)
data from Sandstad et al (2012)</t>
        </r>
      </text>
    </comment>
    <comment ref="AY343" authorId="0" shapeId="0" xr:uid="{00000000-0006-0000-0100-000022060000}">
      <text>
        <r>
          <rPr>
            <sz val="11"/>
            <color theme="1"/>
            <rFont val="Calibri"/>
            <family val="2"/>
            <scheme val="minor"/>
          </rPr>
          <t>======
ID#AAABCyJQh80
Gavin Mudd    (2023-12-20 21:24:02)
historic resources (non-compliant with NI43-101) - hence all data allocated as inferred resources only</t>
        </r>
      </text>
    </comment>
    <comment ref="AZ343" authorId="0" shapeId="0" xr:uid="{00000000-0006-0000-0100-000043060000}">
      <text>
        <r>
          <rPr>
            <sz val="11"/>
            <color theme="1"/>
            <rFont val="Calibri"/>
            <family val="2"/>
            <scheme val="minor"/>
          </rPr>
          <t>======
ID#AAABCyJQh4M
Gavin Mudd    (2023-12-20 21:24:02)
historic resources (non-compliant with NI43-101) - hence all data allocated as inferred resources only</t>
        </r>
      </text>
    </comment>
    <comment ref="BG343" authorId="0" shapeId="0" xr:uid="{00000000-0006-0000-0100-00007A060000}">
      <text>
        <r>
          <rPr>
            <sz val="11"/>
            <color theme="1"/>
            <rFont val="Calibri"/>
            <family val="2"/>
            <scheme val="minor"/>
          </rPr>
          <t>======
ID#AAABCyJQhvk
Gavin Mudd    (2023-12-20 21:24:01)
historic resources (non-compliant with NI43-101) - hence all data allocated as inferred resources only</t>
        </r>
      </text>
    </comment>
    <comment ref="BH343" authorId="0" shapeId="0" xr:uid="{00000000-0006-0000-0100-0000A0030000}">
      <text>
        <r>
          <rPr>
            <sz val="11"/>
            <color theme="1"/>
            <rFont val="Calibri"/>
            <family val="2"/>
            <scheme val="minor"/>
          </rPr>
          <t>======
ID#AAABDDKrQDc
Gavin Mudd    (2023-12-20 21:24:03)
historic resources (non-compliant with NI43-101) - hence all data allocated as inferred resources only</t>
        </r>
      </text>
    </comment>
    <comment ref="F344" authorId="0" shapeId="0" xr:uid="{00000000-0006-0000-0100-00008F020000}">
      <text>
        <r>
          <rPr>
            <sz val="11"/>
            <color theme="1"/>
            <rFont val="Calibri"/>
            <family val="2"/>
            <scheme val="minor"/>
          </rPr>
          <t>======
ID#AAABDDKrQlA
Gavin Mudd    (2023-12-20 21:24:04)
previously held by African Nickel Plc</t>
        </r>
      </text>
    </comment>
    <comment ref="F345" authorId="0" shapeId="0" xr:uid="{00000000-0006-0000-0100-00003F010000}">
      <text>
        <r>
          <rPr>
            <sz val="11"/>
            <color theme="1"/>
            <rFont val="Calibri"/>
            <family val="2"/>
            <scheme val="minor"/>
          </rPr>
          <t>======
ID#AAABDDKrRPM
Gavin Mudd    (2023-12-20 21:24:04)
previously held by Mwana Africa Plc, which was taken over by Asa Resource Group; Asa Resource Group bankrupt, Bindura complex sold to Sotic International Ltd in Oct. 2019</t>
        </r>
      </text>
    </comment>
    <comment ref="DN345" authorId="0" shapeId="0" xr:uid="{00000000-0006-0000-0100-00008C040000}">
      <text>
        <r>
          <rPr>
            <sz val="11"/>
            <color theme="1"/>
            <rFont val="Calibri"/>
            <family val="2"/>
            <scheme val="minor"/>
          </rPr>
          <t>======
ID#AAABDDKrPmA
Gavin Mudd    (2023-12-20 21:24:03)
data from Mwana Africa</t>
        </r>
      </text>
    </comment>
    <comment ref="AY346" authorId="0" shapeId="0" xr:uid="{00000000-0006-0000-0100-000064020000}">
      <text>
        <r>
          <rPr>
            <sz val="11"/>
            <color theme="1"/>
            <rFont val="Calibri"/>
            <family val="2"/>
            <scheme val="minor"/>
          </rPr>
          <t>======
ID#AAABDDKrQrI
Gavin Mudd    (2023-12-20 21:24:04)
historical resource, not NI43-101 compliant</t>
        </r>
      </text>
    </comment>
    <comment ref="BG346" authorId="0" shapeId="0" xr:uid="{00000000-0006-0000-0100-000040060000}">
      <text>
        <r>
          <rPr>
            <sz val="11"/>
            <color theme="1"/>
            <rFont val="Calibri"/>
            <family val="2"/>
            <scheme val="minor"/>
          </rPr>
          <t>======
ID#AAABCyJQh4g
Gavin Mudd    (2023-12-20 21:24:02)
historical resource, not NI43-101 compliant</t>
        </r>
      </text>
    </comment>
    <comment ref="F347" authorId="0" shapeId="0" xr:uid="{00000000-0006-0000-0100-0000CD000000}">
      <text>
        <r>
          <rPr>
            <sz val="11"/>
            <color theme="1"/>
            <rFont val="Calibri"/>
            <family val="2"/>
            <scheme val="minor"/>
          </rPr>
          <t>======
ID#AAABDDKrRdU
Gavin Mudd    (2023-12-20 21:24:04)
previously held by Royal Nickel Corp (which is now RNC Minerals)</t>
        </r>
      </text>
    </comment>
    <comment ref="I347" authorId="0" shapeId="0" xr:uid="{00000000-0006-0000-0100-0000DF030000}">
      <text>
        <r>
          <rPr>
            <sz val="11"/>
            <color theme="1"/>
            <rFont val="Calibri"/>
            <family val="2"/>
            <scheme val="minor"/>
          </rPr>
          <t>======
ID#AAABDDKrP7Q
Gavin Mudd    (2023-12-20 21:24:03)
historic resources (non-compliant with NI43-101) - hence all data allocated as inferred resources only</t>
        </r>
      </text>
    </comment>
    <comment ref="AD347" authorId="0" shapeId="0" xr:uid="{00000000-0006-0000-0100-0000F8020000}">
      <text>
        <r>
          <rPr>
            <sz val="11"/>
            <color theme="1"/>
            <rFont val="Calibri"/>
            <family val="2"/>
            <scheme val="minor"/>
          </rPr>
          <t>======
ID#AAABDDKrQXQ
Gavin Mudd    (2023-12-20 21:24:03)
historic resources (non-compliant with NI43-101) - hence all data allocated as inferred resources only</t>
        </r>
      </text>
    </comment>
    <comment ref="AY347" authorId="0" shapeId="0" xr:uid="{00000000-0006-0000-0100-0000FA000000}">
      <text>
        <r>
          <rPr>
            <sz val="11"/>
            <color theme="1"/>
            <rFont val="Calibri"/>
            <family val="2"/>
            <scheme val="minor"/>
          </rPr>
          <t>======
ID#AAABDDKrRYA
Gavin Mudd    (2023-12-20 21:24:04)
historic resources (non-compliant with NI43-101) - hence all data allocated as inferred resources only</t>
        </r>
      </text>
    </comment>
    <comment ref="BG347" authorId="0" shapeId="0" xr:uid="{00000000-0006-0000-0100-00003D020000}">
      <text>
        <r>
          <rPr>
            <sz val="11"/>
            <color theme="1"/>
            <rFont val="Calibri"/>
            <family val="2"/>
            <scheme val="minor"/>
          </rPr>
          <t>======
ID#AAABDDKrQv0
Gavin Mudd    (2023-12-20 21:24:04)
historic resources (non-compliant with NI43-101) - hence all data allocated as inferred resources only</t>
        </r>
      </text>
    </comment>
    <comment ref="DN347" authorId="0" shapeId="0" xr:uid="{00000000-0006-0000-0100-000030050000}">
      <text>
        <r>
          <rPr>
            <sz val="11"/>
            <color theme="1"/>
            <rFont val="Calibri"/>
            <family val="2"/>
            <scheme val="minor"/>
          </rPr>
          <t>======
ID#AAABDDKrPSo
Gavin Mudd    (2023-12-20 21:24:03)
data from Royal Nickel Corp</t>
        </r>
      </text>
    </comment>
    <comment ref="AY348" authorId="0" shapeId="0" xr:uid="{00000000-0006-0000-0100-000027010000}">
      <text>
        <r>
          <rPr>
            <sz val="11"/>
            <color theme="1"/>
            <rFont val="Calibri"/>
            <family val="2"/>
            <scheme val="minor"/>
          </rPr>
          <t>======
ID#AAABDDKrRRg
Gavin Mudd    (2023-12-20 21:24:04)
historic resources (non-compliant with NI43-101) - hence all data allocated as inferred resources only</t>
        </r>
      </text>
    </comment>
    <comment ref="AZ348" authorId="0" shapeId="0" xr:uid="{00000000-0006-0000-0100-00007E060000}">
      <text>
        <r>
          <rPr>
            <sz val="11"/>
            <color theme="1"/>
            <rFont val="Calibri"/>
            <family val="2"/>
            <scheme val="minor"/>
          </rPr>
          <t>======
ID#AAABCyJQhvM
Gavin Mudd    (2023-12-20 21:24:01)
historic resources (non-compliant with NI43-101) - hence all data allocated as inferred resources only</t>
        </r>
      </text>
    </comment>
    <comment ref="BF348" authorId="0" shapeId="0" xr:uid="{00000000-0006-0000-0100-0000D4030000}">
      <text>
        <r>
          <rPr>
            <sz val="11"/>
            <color theme="1"/>
            <rFont val="Calibri"/>
            <family val="2"/>
            <scheme val="minor"/>
          </rPr>
          <t>======
ID#AAABDDKrP8Q
Gavin Mudd    (2023-12-20 21:24:03)
historic resources (non-compliant with NI43-101) - hence all data allocated as inferred resources only</t>
        </r>
      </text>
    </comment>
    <comment ref="BG348" authorId="0" shapeId="0" xr:uid="{00000000-0006-0000-0100-00007B020000}">
      <text>
        <r>
          <rPr>
            <sz val="11"/>
            <color theme="1"/>
            <rFont val="Calibri"/>
            <family val="2"/>
            <scheme val="minor"/>
          </rPr>
          <t>======
ID#AAABDDKrQnw
Gavin Mudd    (2023-12-20 21:24:04)
historic resources (non-compliant with NI43-101) - hence all data allocated as inferred resources only</t>
        </r>
      </text>
    </comment>
    <comment ref="AY349" authorId="0" shapeId="0" xr:uid="{00000000-0006-0000-0100-000007040000}">
      <text>
        <r>
          <rPr>
            <sz val="11"/>
            <color theme="1"/>
            <rFont val="Calibri"/>
            <family val="2"/>
            <scheme val="minor"/>
          </rPr>
          <t>======
ID#AAABDDKrP3I
Gavin Mudd    (2023-12-20 21:24:03)
historic resources (non-compliant with NI43-101) - hence all data allocated as inferred resources only</t>
        </r>
      </text>
    </comment>
    <comment ref="BG349" authorId="0" shapeId="0" xr:uid="{00000000-0006-0000-0100-0000A0000000}">
      <text>
        <r>
          <rPr>
            <sz val="11"/>
            <color theme="1"/>
            <rFont val="Calibri"/>
            <family val="2"/>
            <scheme val="minor"/>
          </rPr>
          <t>======
ID#AAABDDKrRig
Gavin Mudd    (2023-12-20 21:24:04)
historic resources (non-compliant with NI43-101) - hence all data allocated as inferred resources only</t>
        </r>
      </text>
    </comment>
    <comment ref="AY350" authorId="0" shapeId="0" xr:uid="{00000000-0006-0000-0100-000070030000}">
      <text>
        <r>
          <rPr>
            <sz val="11"/>
            <color theme="1"/>
            <rFont val="Calibri"/>
            <family val="2"/>
            <scheme val="minor"/>
          </rPr>
          <t>======
ID#AAABDDKrQH8
Gavin Mudd    (2023-12-20 21:24:03)
historic resources (non-compliant with NI43-101) - hence all data allocated as inferred resources only</t>
        </r>
      </text>
    </comment>
    <comment ref="BG350" authorId="0" shapeId="0" xr:uid="{00000000-0006-0000-0100-000062030000}">
      <text>
        <r>
          <rPr>
            <sz val="11"/>
            <color theme="1"/>
            <rFont val="Calibri"/>
            <family val="2"/>
            <scheme val="minor"/>
          </rPr>
          <t>======
ID#AAABDDKrQJA
Gavin Mudd    (2023-12-20 21:24:03)
historic resources (non-compliant with NI43-101) - hence all data allocated as inferred resources only</t>
        </r>
      </text>
    </comment>
    <comment ref="AY351" authorId="0" shapeId="0" xr:uid="{00000000-0006-0000-0100-000066010000}">
      <text>
        <r>
          <rPr>
            <sz val="11"/>
            <color theme="1"/>
            <rFont val="Calibri"/>
            <family val="2"/>
            <scheme val="minor"/>
          </rPr>
          <t>======
ID#AAABDDKrRKs
Gavin Mudd    (2023-12-20 21:24:04)
historic resources (non-compliant with NI43-101) - hence all data allocated as inferred resources only</t>
        </r>
      </text>
    </comment>
    <comment ref="AZ351" authorId="0" shapeId="0" xr:uid="{00000000-0006-0000-0100-000094060000}">
      <text>
        <r>
          <rPr>
            <sz val="11"/>
            <color theme="1"/>
            <rFont val="Calibri"/>
            <family val="2"/>
            <scheme val="minor"/>
          </rPr>
          <t>======
ID#AAABCxlEys8
Gavin Mudd    (2023-12-20 21:24:01)
historic resources (non-compliant with NI43-101) - hence all data allocated as inferred resources only</t>
        </r>
      </text>
    </comment>
    <comment ref="BG351" authorId="0" shapeId="0" xr:uid="{00000000-0006-0000-0100-000047020000}">
      <text>
        <r>
          <rPr>
            <sz val="11"/>
            <color theme="1"/>
            <rFont val="Calibri"/>
            <family val="2"/>
            <scheme val="minor"/>
          </rPr>
          <t>======
ID#AAABDDKrQus
Gavin Mudd    (2023-12-20 21:24:04)
historic resources (non-compliant with NI43-101) - hence all data allocated as inferred resources only</t>
        </r>
      </text>
    </comment>
    <comment ref="AY352" authorId="0" shapeId="0" xr:uid="{00000000-0006-0000-0100-00005A020000}">
      <text>
        <r>
          <rPr>
            <sz val="11"/>
            <color theme="1"/>
            <rFont val="Calibri"/>
            <family val="2"/>
            <scheme val="minor"/>
          </rPr>
          <t>======
ID#AAABDDKrQsE
Gavin Mudd    (2023-12-20 21:24:04)
historic resources (non-compliant with NI43-101) - hence all data allocated as inferred resources only</t>
        </r>
      </text>
    </comment>
    <comment ref="BG352" authorId="0" shapeId="0" xr:uid="{00000000-0006-0000-0100-000007060000}">
      <text>
        <r>
          <rPr>
            <sz val="11"/>
            <color theme="1"/>
            <rFont val="Calibri"/>
            <family val="2"/>
            <scheme val="minor"/>
          </rPr>
          <t>======
ID#AAABCyJQiAI
Gavin Mudd    (2023-12-20 21:24:02)
historic resources (non-compliant with NI43-101) - hence all data allocated as inferred resources only</t>
        </r>
      </text>
    </comment>
    <comment ref="AY353" authorId="0" shapeId="0" xr:uid="{00000000-0006-0000-0100-000078020000}">
      <text>
        <r>
          <rPr>
            <sz val="11"/>
            <color theme="1"/>
            <rFont val="Calibri"/>
            <family val="2"/>
            <scheme val="minor"/>
          </rPr>
          <t>======
ID#AAABDDKrQoc
Gavin Mudd    (2023-12-20 21:24:04)
historic resources (non-compliant with NI43-101) - hence all data allocated as inferred resources only</t>
        </r>
      </text>
    </comment>
    <comment ref="BG353" authorId="0" shapeId="0" xr:uid="{00000000-0006-0000-0100-000025060000}">
      <text>
        <r>
          <rPr>
            <sz val="11"/>
            <color theme="1"/>
            <rFont val="Calibri"/>
            <family val="2"/>
            <scheme val="minor"/>
          </rPr>
          <t>======
ID#AAABCyJQh8Q
Gavin Mudd    (2023-12-20 21:24:02)
historic resources (non-compliant with NI43-101) - hence all data allocated as inferred resources only</t>
        </r>
      </text>
    </comment>
    <comment ref="AY354" authorId="0" shapeId="0" xr:uid="{00000000-0006-0000-0100-000024020000}">
      <text>
        <r>
          <rPr>
            <sz val="11"/>
            <color theme="1"/>
            <rFont val="Calibri"/>
            <family val="2"/>
            <scheme val="minor"/>
          </rPr>
          <t>======
ID#AAABDDKrQzc
Gavin Mudd    (2023-12-20 21:24:04)
historic resources (non-compliant with NI43-101) - hence all data allocated as inferred resources only</t>
        </r>
      </text>
    </comment>
    <comment ref="BG354" authorId="0" shapeId="0" xr:uid="{00000000-0006-0000-0100-0000EB050000}">
      <text>
        <r>
          <rPr>
            <sz val="11"/>
            <color theme="1"/>
            <rFont val="Calibri"/>
            <family val="2"/>
            <scheme val="minor"/>
          </rPr>
          <t>======
ID#AAABDDKrO78
Gavin Mudd    (2023-12-20 21:24:03)
historic resources (non-compliant with NI43-101) - hence all data allocated as inferred resources only</t>
        </r>
      </text>
    </comment>
    <comment ref="AY355" authorId="0" shapeId="0" xr:uid="{00000000-0006-0000-0100-000087020000}">
      <text>
        <r>
          <rPr>
            <sz val="11"/>
            <color theme="1"/>
            <rFont val="Calibri"/>
            <family val="2"/>
            <scheme val="minor"/>
          </rPr>
          <t>======
ID#AAABDDKrQlo
Gavin Mudd    (2023-12-20 21:24:04)
historic resources (non-compliant with NI43-101) - hence all data allocated as inferred resources only</t>
        </r>
      </text>
    </comment>
    <comment ref="BG355" authorId="0" shapeId="0" xr:uid="{00000000-0006-0000-0100-000069020000}">
      <text>
        <r>
          <rPr>
            <sz val="11"/>
            <color theme="1"/>
            <rFont val="Calibri"/>
            <family val="2"/>
            <scheme val="minor"/>
          </rPr>
          <t>======
ID#AAABDDKrQqc
Gavin Mudd    (2023-12-20 21:24:04)
historic resources (non-compliant with NI43-101) - hence all data allocated as inferred resources only</t>
        </r>
      </text>
    </comment>
    <comment ref="AY356" authorId="0" shapeId="0" xr:uid="{00000000-0006-0000-0100-0000A1040000}">
      <text>
        <r>
          <rPr>
            <sz val="11"/>
            <color theme="1"/>
            <rFont val="Calibri"/>
            <family val="2"/>
            <scheme val="minor"/>
          </rPr>
          <t>======
ID#AAABDDKrPjQ
Gavin Mudd    (2023-12-20 21:24:03)
historic resources (non-compliant with NI43-101) - hence all data allocated as inferred resources only</t>
        </r>
      </text>
    </comment>
    <comment ref="BG356" authorId="0" shapeId="0" xr:uid="{00000000-0006-0000-0100-0000C6030000}">
      <text>
        <r>
          <rPr>
            <sz val="11"/>
            <color theme="1"/>
            <rFont val="Calibri"/>
            <family val="2"/>
            <scheme val="minor"/>
          </rPr>
          <t>======
ID#AAABDDKrP-U
Gavin Mudd    (2023-12-20 21:24:03)
historic resources (non-compliant with NI43-101) - hence all data allocated as inferred resources only</t>
        </r>
      </text>
    </comment>
    <comment ref="C357" authorId="0" shapeId="0" xr:uid="{00000000-0006-0000-0100-0000B8010000}">
      <text>
        <r>
          <rPr>
            <sz val="11"/>
            <color theme="1"/>
            <rFont val="Calibri"/>
            <family val="2"/>
            <scheme val="minor"/>
          </rPr>
          <t>======
ID#AAABDDKrRBM
Gavin Mudd    (2023-12-20 21:24:04)
value from Ontario Mineral Deposit Inventory database</t>
        </r>
      </text>
    </comment>
    <comment ref="D357" authorId="0" shapeId="0" xr:uid="{00000000-0006-0000-0100-00001D050000}">
      <text>
        <r>
          <rPr>
            <sz val="11"/>
            <color theme="1"/>
            <rFont val="Calibri"/>
            <family val="2"/>
            <scheme val="minor"/>
          </rPr>
          <t>======
ID#AAABDDKrPUs
Gavin Mudd    (2023-12-20 21:24:03)
value from Ontario Mineral Deposit Inventory database</t>
        </r>
      </text>
    </comment>
    <comment ref="C358" authorId="0" shapeId="0" xr:uid="{00000000-0006-0000-0100-00009B030000}">
      <text>
        <r>
          <rPr>
            <sz val="11"/>
            <color theme="1"/>
            <rFont val="Calibri"/>
            <family val="2"/>
            <scheme val="minor"/>
          </rPr>
          <t>======
ID#AAABDDKrQD4
Gavin Mudd    (2023-12-20 21:24:03)
value from Ontario Mineral Deposit Inventory database</t>
        </r>
      </text>
    </comment>
    <comment ref="D358" authorId="0" shapeId="0" xr:uid="{00000000-0006-0000-0100-00000F050000}">
      <text>
        <r>
          <rPr>
            <sz val="11"/>
            <color theme="1"/>
            <rFont val="Calibri"/>
            <family val="2"/>
            <scheme val="minor"/>
          </rPr>
          <t>======
ID#AAABDDKrPWQ
Gavin Mudd    (2023-12-20 21:24:03)
value from Ontario Mineral Deposit Inventory database</t>
        </r>
      </text>
    </comment>
    <comment ref="I358" authorId="0" shapeId="0" xr:uid="{00000000-0006-0000-0100-0000E2050000}">
      <text>
        <r>
          <rPr>
            <sz val="11"/>
            <color theme="1"/>
            <rFont val="Calibri"/>
            <family val="2"/>
            <scheme val="minor"/>
          </rPr>
          <t>======
ID#AAABDDKrO9Q
Gavin Mudd    (2023-12-20 21:24:03)
proved ore reserves assumed same as measured resources (due to lack of total mineral resources data)</t>
        </r>
      </text>
    </comment>
    <comment ref="J358" authorId="0" shapeId="0" xr:uid="{00000000-0006-0000-0100-00002C060000}">
      <text>
        <r>
          <rPr>
            <sz val="11"/>
            <color theme="1"/>
            <rFont val="Calibri"/>
            <family val="2"/>
            <scheme val="minor"/>
          </rPr>
          <t>======
ID#AAABCyJQh7o
Gavin Mudd    (2023-12-20 21:24:02)
proved ore reserves assumed same as measured resources (due to lack of total mineral resources data)</t>
        </r>
      </text>
    </comment>
    <comment ref="K358" authorId="0" shapeId="0" xr:uid="{00000000-0006-0000-0100-0000CA000000}">
      <text>
        <r>
          <rPr>
            <sz val="11"/>
            <color theme="1"/>
            <rFont val="Calibri"/>
            <family val="2"/>
            <scheme val="minor"/>
          </rPr>
          <t>======
ID#AAABDDKrRdo
Gavin Mudd    (2023-12-20 21:24:04)
proved ore reserves assumed same as measured resources (due to lack of total mineral resources data)</t>
        </r>
      </text>
    </comment>
    <comment ref="Q358" authorId="0" shapeId="0" xr:uid="{00000000-0006-0000-0100-00004E000000}">
      <text>
        <r>
          <rPr>
            <sz val="11"/>
            <color theme="1"/>
            <rFont val="Calibri"/>
            <family val="2"/>
            <scheme val="minor"/>
          </rPr>
          <t>======
ID#AAABDDKrRtk
Gavin Mudd    (2023-12-20 21:24:04)
proved ore reserves assumed same as measured resources (due to lack of total mineral resources data)</t>
        </r>
      </text>
    </comment>
    <comment ref="R358" authorId="0" shapeId="0" xr:uid="{00000000-0006-0000-0100-000087000000}">
      <text>
        <r>
          <rPr>
            <sz val="11"/>
            <color theme="1"/>
            <rFont val="Calibri"/>
            <family val="2"/>
            <scheme val="minor"/>
          </rPr>
          <t>======
ID#AAABDDKrRm0
Gavin Mudd    (2023-12-20 21:24:04)
proved ore reserves assumed same as measured resources (due to lack of total mineral resources data)</t>
        </r>
      </text>
    </comment>
    <comment ref="S358" authorId="0" shapeId="0" xr:uid="{00000000-0006-0000-0100-000011030000}">
      <text>
        <r>
          <rPr>
            <sz val="11"/>
            <color theme="1"/>
            <rFont val="Calibri"/>
            <family val="2"/>
            <scheme val="minor"/>
          </rPr>
          <t>======
ID#AAABDDKrQTI
Gavin Mudd    (2023-12-20 21:24:03)
proved ore reserves assumed same as measured resources (due to lack of total mineral resources data)</t>
        </r>
      </text>
    </comment>
    <comment ref="T358" authorId="0" shapeId="0" xr:uid="{00000000-0006-0000-0100-00001B060000}">
      <text>
        <r>
          <rPr>
            <sz val="11"/>
            <color theme="1"/>
            <rFont val="Calibri"/>
            <family val="2"/>
            <scheme val="minor"/>
          </rPr>
          <t>======
ID#AAABCyJQh9k
Gavin Mudd    (2023-12-20 21:24:02)
proved ore reserves assumed same as measured resources (due to lack of total mineral resources data)</t>
        </r>
      </text>
    </comment>
    <comment ref="AD358" authorId="0" shapeId="0" xr:uid="{00000000-0006-0000-0100-000079050000}">
      <text>
        <r>
          <rPr>
            <sz val="11"/>
            <color theme="1"/>
            <rFont val="Calibri"/>
            <family val="2"/>
            <scheme val="minor"/>
          </rPr>
          <t>======
ID#AAABDDKrPJc
Gavin Mudd    (2023-12-20 21:24:03)
probable ore reserves assumed same as indicated resources (due to lack of total mineral resources data)</t>
        </r>
      </text>
    </comment>
    <comment ref="AE358" authorId="0" shapeId="0" xr:uid="{00000000-0006-0000-0100-000032050000}">
      <text>
        <r>
          <rPr>
            <sz val="11"/>
            <color theme="1"/>
            <rFont val="Calibri"/>
            <family val="2"/>
            <scheme val="minor"/>
          </rPr>
          <t>======
ID#AAABDDKrPSg
Gavin Mudd    (2023-12-20 21:24:03)
probable ore reserves assumed same as indicated resources (due to lack of total mineral resources data)</t>
        </r>
      </text>
    </comment>
    <comment ref="AF358" authorId="0" shapeId="0" xr:uid="{00000000-0006-0000-0100-0000FC010000}">
      <text>
        <r>
          <rPr>
            <sz val="11"/>
            <color theme="1"/>
            <rFont val="Calibri"/>
            <family val="2"/>
            <scheme val="minor"/>
          </rPr>
          <t>======
ID#AAABDDKrQ40
Gavin Mudd    (2023-12-20 21:24:04)
probable ore reserves assumed same as indicated resources (due to lack of total mineral resources data)</t>
        </r>
      </text>
    </comment>
    <comment ref="AL358" authorId="0" shapeId="0" xr:uid="{00000000-0006-0000-0100-000074010000}">
      <text>
        <r>
          <rPr>
            <sz val="11"/>
            <color theme="1"/>
            <rFont val="Calibri"/>
            <family val="2"/>
            <scheme val="minor"/>
          </rPr>
          <t>======
ID#AAABDDKrRJI
Gavin Mudd    (2023-12-20 21:24:04)
probable ore reserves assumed same as indicated resources (due to lack of total mineral resources data)</t>
        </r>
      </text>
    </comment>
    <comment ref="AM358" authorId="0" shapeId="0" xr:uid="{00000000-0006-0000-0100-0000DC030000}">
      <text>
        <r>
          <rPr>
            <sz val="11"/>
            <color theme="1"/>
            <rFont val="Calibri"/>
            <family val="2"/>
            <scheme val="minor"/>
          </rPr>
          <t>======
ID#AAABDDKrP7g
Gavin Mudd    (2023-12-20 21:24:03)
probable ore reserves assumed same as indicated resources (due to lack of total mineral resources data)</t>
        </r>
      </text>
    </comment>
    <comment ref="AN358" authorId="0" shapeId="0" xr:uid="{00000000-0006-0000-0100-0000EE040000}">
      <text>
        <r>
          <rPr>
            <sz val="11"/>
            <color theme="1"/>
            <rFont val="Calibri"/>
            <family val="2"/>
            <scheme val="minor"/>
          </rPr>
          <t>======
ID#AAABDDKrPao
Gavin Mudd    (2023-12-20 21:24:03)
probable ore reserves assumed same as indicated resources (due to lack of total mineral resources data)</t>
        </r>
      </text>
    </comment>
    <comment ref="AO358" authorId="0" shapeId="0" xr:uid="{00000000-0006-0000-0100-000008010000}">
      <text>
        <r>
          <rPr>
            <sz val="11"/>
            <color theme="1"/>
            <rFont val="Calibri"/>
            <family val="2"/>
            <scheme val="minor"/>
          </rPr>
          <t>======
ID#AAABDDKrRV8
Gavin Mudd    (2023-12-20 21:24:04)
probable ore reserves assumed same as indicated resources (due to lack of total mineral resources data)</t>
        </r>
      </text>
    </comment>
    <comment ref="C359" authorId="0" shapeId="0" xr:uid="{00000000-0006-0000-0100-0000C5010000}">
      <text>
        <r>
          <rPr>
            <sz val="11"/>
            <color theme="1"/>
            <rFont val="Calibri"/>
            <family val="2"/>
            <scheme val="minor"/>
          </rPr>
          <t>======
ID#AAABDDKrQ_c
Gavin Mudd    (2023-12-20 21:24:04)
value from Ontario Mineral Deposit Inventory database</t>
        </r>
      </text>
    </comment>
    <comment ref="D359" authorId="0" shapeId="0" xr:uid="{00000000-0006-0000-0100-000039060000}">
      <text>
        <r>
          <rPr>
            <sz val="11"/>
            <color theme="1"/>
            <rFont val="Calibri"/>
            <family val="2"/>
            <scheme val="minor"/>
          </rPr>
          <t>======
ID#AAABCyJQh6I
Gavin Mudd    (2023-12-20 21:24:02)
value from Ontario Mineral Deposit Inventory database</t>
        </r>
      </text>
    </comment>
    <comment ref="F359" authorId="0" shapeId="0" xr:uid="{00000000-0006-0000-0100-000094010000}">
      <text>
        <r>
          <rPr>
            <sz val="11"/>
            <color theme="1"/>
            <rFont val="Calibri"/>
            <family val="2"/>
            <scheme val="minor"/>
          </rPr>
          <t>======
ID#AAABDDKrRFI
Gavin Mudd    (2023-12-20 21:24:04)
First Nickel went bankrupt in mid-2015, current status appears to be Transition Metals Corp.</t>
        </r>
      </text>
    </comment>
    <comment ref="AD359" authorId="0" shapeId="0" xr:uid="{00000000-0006-0000-0100-00004F050000}">
      <text>
        <r>
          <rPr>
            <sz val="11"/>
            <color theme="1"/>
            <rFont val="Calibri"/>
            <family val="2"/>
            <scheme val="minor"/>
          </rPr>
          <t>======
ID#AAABDDKrPO8
Gavin Mudd    (2023-12-20 21:24:03)
minnig from mid-2012 to 2015 deducted from reserves</t>
        </r>
      </text>
    </comment>
    <comment ref="AE359" authorId="0" shapeId="0" xr:uid="{00000000-0006-0000-0100-00008E030000}">
      <text>
        <r>
          <rPr>
            <sz val="11"/>
            <color theme="1"/>
            <rFont val="Calibri"/>
            <family val="2"/>
            <scheme val="minor"/>
          </rPr>
          <t>======
ID#AAABDDKrQFI
Gavin Mudd    (2023-12-20 21:24:03)
minnig from mid-2012 to 2015 deducted from reserves</t>
        </r>
      </text>
    </comment>
    <comment ref="AL359" authorId="0" shapeId="0" xr:uid="{00000000-0006-0000-0100-00002A010000}">
      <text>
        <r>
          <rPr>
            <sz val="11"/>
            <color theme="1"/>
            <rFont val="Calibri"/>
            <family val="2"/>
            <scheme val="minor"/>
          </rPr>
          <t>======
ID#AAABDDKrRRA
Gavin Mudd    (2023-12-20 21:24:04)
minnig from mid-2012 to 2015 deducted from reserves</t>
        </r>
      </text>
    </comment>
    <comment ref="AM359" authorId="0" shapeId="0" xr:uid="{00000000-0006-0000-0100-000070010000}">
      <text>
        <r>
          <rPr>
            <sz val="11"/>
            <color theme="1"/>
            <rFont val="Calibri"/>
            <family val="2"/>
            <scheme val="minor"/>
          </rPr>
          <t>======
ID#AAABDDKrRJk
Gavin Mudd    (2023-12-20 21:24:04)
minnig from mid-2012 to 2015 deducted from reserves</t>
        </r>
      </text>
    </comment>
    <comment ref="BT359" authorId="0" shapeId="0" xr:uid="{00000000-0006-0000-0100-0000D9010000}">
      <text>
        <r>
          <rPr>
            <sz val="11"/>
            <color theme="1"/>
            <rFont val="Calibri"/>
            <family val="2"/>
            <scheme val="minor"/>
          </rPr>
          <t>======
ID#AAABDDKrQ9A
Gavin Mudd    (2023-12-20 21:24:04)
minnig from mid-2012 to 2015 deducted from reserves</t>
        </r>
      </text>
    </comment>
    <comment ref="BU359" authorId="0" shapeId="0" xr:uid="{00000000-0006-0000-0100-000079040000}">
      <text>
        <r>
          <rPr>
            <sz val="11"/>
            <color theme="1"/>
            <rFont val="Calibri"/>
            <family val="2"/>
            <scheme val="minor"/>
          </rPr>
          <t>======
ID#AAABDDKrPoc
Gavin Mudd    (2023-12-20 21:24:03)
minnig from mid-2012 to 2015 deducted from reserves</t>
        </r>
      </text>
    </comment>
    <comment ref="CB359" authorId="0" shapeId="0" xr:uid="{00000000-0006-0000-0100-000028030000}">
      <text>
        <r>
          <rPr>
            <sz val="11"/>
            <color theme="1"/>
            <rFont val="Calibri"/>
            <family val="2"/>
            <scheme val="minor"/>
          </rPr>
          <t>======
ID#AAABDDKrQQM
Gavin Mudd    (2023-12-20 21:24:03)
minnig from mid-2012 to 2015 deducted from reserves</t>
        </r>
      </text>
    </comment>
    <comment ref="CC359" authorId="0" shapeId="0" xr:uid="{00000000-0006-0000-0100-000056000000}">
      <text>
        <r>
          <rPr>
            <sz val="11"/>
            <color theme="1"/>
            <rFont val="Calibri"/>
            <family val="2"/>
            <scheme val="minor"/>
          </rPr>
          <t>======
ID#AAABDDKrRsw
Gavin Mudd    (2023-12-20 21:24:04)
Cobalt grade assumed same for all mined ore as reserves</t>
        </r>
      </text>
    </comment>
    <comment ref="C360" authorId="0" shapeId="0" xr:uid="{00000000-0006-0000-0100-00005F040000}">
      <text>
        <r>
          <rPr>
            <sz val="11"/>
            <color theme="1"/>
            <rFont val="Calibri"/>
            <family val="2"/>
            <scheme val="minor"/>
          </rPr>
          <t>======
ID#AAABDDKrPsI
Gavin Mudd    (2023-12-20 21:24:03)
value from Ontario Mineral Deposit Inventory database</t>
        </r>
      </text>
    </comment>
    <comment ref="D360" authorId="0" shapeId="0" xr:uid="{00000000-0006-0000-0100-0000E1020000}">
      <text>
        <r>
          <rPr>
            <sz val="11"/>
            <color theme="1"/>
            <rFont val="Calibri"/>
            <family val="2"/>
            <scheme val="minor"/>
          </rPr>
          <t>======
ID#AAABDDKrQaM
Gavin Mudd    (2023-12-20 21:24:03)
value from Ontario Mineral Deposit Inventory database</t>
        </r>
      </text>
    </comment>
    <comment ref="AM360" authorId="0" shapeId="0" xr:uid="{00000000-0006-0000-0100-000051040000}">
      <text>
        <r>
          <rPr>
            <sz val="11"/>
            <color theme="1"/>
            <rFont val="Calibri"/>
            <family val="2"/>
            <scheme val="minor"/>
          </rPr>
          <t>======
ID#AAABDDKrPt8
Gavin Mudd    (2023-12-20 21:24:03)
data from Tech Rep (2011-12)</t>
        </r>
      </text>
    </comment>
    <comment ref="BH360" authorId="0" shapeId="0" xr:uid="{00000000-0006-0000-0100-0000AC020000}">
      <text>
        <r>
          <rPr>
            <sz val="11"/>
            <color theme="1"/>
            <rFont val="Calibri"/>
            <family val="2"/>
            <scheme val="minor"/>
          </rPr>
          <t>======
ID#AAABDDKrQgs
Gavin Mudd    (2023-12-20 21:24:03)
data from Tech Rep (2011-12)</t>
        </r>
      </text>
    </comment>
    <comment ref="C361" authorId="0" shapeId="0" xr:uid="{00000000-0006-0000-0100-00005D010000}">
      <text>
        <r>
          <rPr>
            <sz val="11"/>
            <color theme="1"/>
            <rFont val="Calibri"/>
            <family val="2"/>
            <scheme val="minor"/>
          </rPr>
          <t>======
ID#AAABDDKrRMA
Gavin Mudd    (2023-12-20 21:24:04)
value from Ontario Mineral Deposit Inventory database</t>
        </r>
      </text>
    </comment>
    <comment ref="D361" authorId="0" shapeId="0" xr:uid="{00000000-0006-0000-0100-0000E9010000}">
      <text>
        <r>
          <rPr>
            <sz val="11"/>
            <color theme="1"/>
            <rFont val="Calibri"/>
            <family val="2"/>
            <scheme val="minor"/>
          </rPr>
          <t>======
ID#AAABDDKrQ68
Gavin Mudd    (2023-12-20 21:24:04)
value from Ontario Mineral Deposit Inventory database</t>
        </r>
      </text>
    </comment>
    <comment ref="F361" authorId="0" shapeId="0" xr:uid="{00000000-0006-0000-0100-0000FD040000}">
      <text>
        <r>
          <rPr>
            <sz val="11"/>
            <color theme="1"/>
            <rFont val="Calibri"/>
            <family val="2"/>
            <scheme val="minor"/>
          </rPr>
          <t>======
ID#AAABDDKrPYk
Gavin Mudd    (2023-12-20 21:24:03)
previously held by QuadraFNX, taken over by KGHM</t>
        </r>
      </text>
    </comment>
    <comment ref="S361" authorId="0" shapeId="0" xr:uid="{00000000-0006-0000-0100-000082040000}">
      <text>
        <r>
          <rPr>
            <sz val="11"/>
            <color theme="1"/>
            <rFont val="Calibri"/>
            <family val="2"/>
            <scheme val="minor"/>
          </rPr>
          <t>======
ID#AAABDDKrPm8
Gavin Mudd    (2023-12-20 21:24:03)
assumes 40% as Pt</t>
        </r>
      </text>
    </comment>
    <comment ref="T361" authorId="0" shapeId="0" xr:uid="{00000000-0006-0000-0100-000003030000}">
      <text>
        <r>
          <rPr>
            <sz val="11"/>
            <color theme="1"/>
            <rFont val="Calibri"/>
            <family val="2"/>
            <scheme val="minor"/>
          </rPr>
          <t>======
ID#AAABDDKrQVE
Gavin Mudd    (2023-12-20 21:24:03)
assumes 60% as Pd</t>
        </r>
      </text>
    </comment>
    <comment ref="AN361" authorId="0" shapeId="0" xr:uid="{00000000-0006-0000-0100-000045060000}">
      <text>
        <r>
          <rPr>
            <sz val="11"/>
            <color theme="1"/>
            <rFont val="Calibri"/>
            <family val="2"/>
            <scheme val="minor"/>
          </rPr>
          <t>======
ID#AAABCyJQh4A
Gavin Mudd    (2023-12-20 21:24:02)
assumes 40% as Pt</t>
        </r>
      </text>
    </comment>
    <comment ref="AO361" authorId="0" shapeId="0" xr:uid="{00000000-0006-0000-0100-000038010000}">
      <text>
        <r>
          <rPr>
            <sz val="11"/>
            <color theme="1"/>
            <rFont val="Calibri"/>
            <family val="2"/>
            <scheme val="minor"/>
          </rPr>
          <t>======
ID#AAABDDKrRP0
Gavin Mudd    (2023-12-20 21:24:04)
assumes 60% as Pd</t>
        </r>
      </text>
    </comment>
    <comment ref="BI361" authorId="0" shapeId="0" xr:uid="{00000000-0006-0000-0100-00002D000000}">
      <text>
        <r>
          <rPr>
            <sz val="11"/>
            <color theme="1"/>
            <rFont val="Calibri"/>
            <family val="2"/>
            <scheme val="minor"/>
          </rPr>
          <t>======
ID#AAABDDKrRww
Gavin Mudd    (2023-12-20 21:24:04)
assumes 40% as Pt</t>
        </r>
      </text>
    </comment>
    <comment ref="BJ361" authorId="0" shapeId="0" xr:uid="{00000000-0006-0000-0100-0000A6000000}">
      <text>
        <r>
          <rPr>
            <sz val="11"/>
            <color theme="1"/>
            <rFont val="Calibri"/>
            <family val="2"/>
            <scheme val="minor"/>
          </rPr>
          <t>======
ID#AAABDDKrRh0
Gavin Mudd    (2023-12-20 21:24:04)
assumes 60% as Pd</t>
        </r>
      </text>
    </comment>
    <comment ref="DN361" authorId="0" shapeId="0" xr:uid="{00000000-0006-0000-0100-00007A030000}">
      <text>
        <r>
          <rPr>
            <sz val="11"/>
            <color theme="1"/>
            <rFont val="Calibri"/>
            <family val="2"/>
            <scheme val="minor"/>
          </rPr>
          <t>======
ID#AAABDDKrQHA
Gavin Mudd    (2023-12-20 21:24:03)
data from QuadraFNX Mining</t>
        </r>
      </text>
    </comment>
    <comment ref="C362" authorId="0" shapeId="0" xr:uid="{00000000-0006-0000-0100-000081000000}">
      <text>
        <r>
          <rPr>
            <sz val="11"/>
            <color theme="1"/>
            <rFont val="Calibri"/>
            <family val="2"/>
            <scheme val="minor"/>
          </rPr>
          <t>======
ID#AAABDDKrRnc
Gavin Mudd    (2023-12-20 21:24:04)
value from Ontario Mineral Deposit Inventory database</t>
        </r>
      </text>
    </comment>
    <comment ref="D362" authorId="0" shapeId="0" xr:uid="{00000000-0006-0000-0100-000066030000}">
      <text>
        <r>
          <rPr>
            <sz val="11"/>
            <color theme="1"/>
            <rFont val="Calibri"/>
            <family val="2"/>
            <scheme val="minor"/>
          </rPr>
          <t>======
ID#AAABDDKrQIw
Gavin Mudd    (2023-12-20 21:24:03)
value from Ontario Mineral Deposit Inventory database</t>
        </r>
      </text>
    </comment>
    <comment ref="C363" authorId="0" shapeId="0" xr:uid="{00000000-0006-0000-0100-000027030000}">
      <text>
        <r>
          <rPr>
            <sz val="11"/>
            <color theme="1"/>
            <rFont val="Calibri"/>
            <family val="2"/>
            <scheme val="minor"/>
          </rPr>
          <t>======
ID#AAABDDKrQQQ
Gavin Mudd    (2023-12-20 21:24:03)
value from Ontario Mineral Deposit Inventory database</t>
        </r>
      </text>
    </comment>
    <comment ref="D363" authorId="0" shapeId="0" xr:uid="{00000000-0006-0000-0100-0000CE050000}">
      <text>
        <r>
          <rPr>
            <sz val="11"/>
            <color theme="1"/>
            <rFont val="Calibri"/>
            <family val="2"/>
            <scheme val="minor"/>
          </rPr>
          <t>======
ID#AAABDDKrO_o
Gavin Mudd    (2023-12-20 21:24:03)
value from Ontario Mineral Deposit Inventory database</t>
        </r>
      </text>
    </comment>
    <comment ref="AD363" authorId="0" shapeId="0" xr:uid="{00000000-0006-0000-0100-0000C4000000}">
      <text>
        <r>
          <rPr>
            <sz val="11"/>
            <color theme="1"/>
            <rFont val="Calibri"/>
            <family val="2"/>
            <scheme val="minor"/>
          </rPr>
          <t>======
ID#AAABDDKrReo
Gavin Mudd    (2023-12-20 21:24:04)
only combined measured &amp; indicated resources stated</t>
        </r>
      </text>
    </comment>
    <comment ref="AE363" authorId="0" shapeId="0" xr:uid="{00000000-0006-0000-0100-00008F050000}">
      <text>
        <r>
          <rPr>
            <sz val="11"/>
            <color theme="1"/>
            <rFont val="Calibri"/>
            <family val="2"/>
            <scheme val="minor"/>
          </rPr>
          <t>======
ID#AAABDDKrPHE
Gavin Mudd    (2023-12-20 21:24:03)
only combined measured &amp; indicated resources stated</t>
        </r>
      </text>
    </comment>
    <comment ref="AL363" authorId="0" shapeId="0" xr:uid="{00000000-0006-0000-0100-00009F030000}">
      <text>
        <r>
          <rPr>
            <sz val="11"/>
            <color theme="1"/>
            <rFont val="Calibri"/>
            <family val="2"/>
            <scheme val="minor"/>
          </rPr>
          <t>======
ID#AAABDDKrQDg
Gavin Mudd    (2023-12-20 21:24:03)
only combined measured &amp; indicated resources stated</t>
        </r>
      </text>
    </comment>
    <comment ref="DN363" authorId="0" shapeId="0" xr:uid="{00000000-0006-0000-0100-00006C010000}">
      <text>
        <r>
          <rPr>
            <sz val="11"/>
            <color theme="1"/>
            <rFont val="Calibri"/>
            <family val="2"/>
            <scheme val="minor"/>
          </rPr>
          <t>======
ID#AAABDDKrRJ4
Gavin Mudd    (2023-12-20 21:24:04)
data from FNX Mining Company</t>
        </r>
      </text>
    </comment>
    <comment ref="C364" authorId="0" shapeId="0" xr:uid="{00000000-0006-0000-0100-0000CF020000}">
      <text>
        <r>
          <rPr>
            <sz val="11"/>
            <color theme="1"/>
            <rFont val="Calibri"/>
            <family val="2"/>
            <scheme val="minor"/>
          </rPr>
          <t>======
ID#AAABDDKrQcw
Gavin Mudd    (2023-12-20 21:24:03)
value from Ontario Mineral Deposit Inventory database</t>
        </r>
      </text>
    </comment>
    <comment ref="D364" authorId="0" shapeId="0" xr:uid="{00000000-0006-0000-0100-000032020000}">
      <text>
        <r>
          <rPr>
            <sz val="11"/>
            <color theme="1"/>
            <rFont val="Calibri"/>
            <family val="2"/>
            <scheme val="minor"/>
          </rPr>
          <t>======
ID#AAABDDKrQxM
Gavin Mudd    (2023-12-20 21:24:04)
value from Ontario Mineral Deposit Inventory database</t>
        </r>
      </text>
    </comment>
    <comment ref="F364" authorId="0" shapeId="0" xr:uid="{00000000-0006-0000-0100-000052030000}">
      <text>
        <r>
          <rPr>
            <sz val="11"/>
            <color theme="1"/>
            <rFont val="Calibri"/>
            <family val="2"/>
            <scheme val="minor"/>
          </rPr>
          <t>======
ID#AAABDDKrQKs
Gavin Mudd    (2023-12-20 21:24:03)
previously held by QuadraFNX, taken over by KGHM</t>
        </r>
      </text>
    </comment>
    <comment ref="C365" authorId="0" shapeId="0" xr:uid="{00000000-0006-0000-0100-000016050000}">
      <text>
        <r>
          <rPr>
            <sz val="11"/>
            <color theme="1"/>
            <rFont val="Calibri"/>
            <family val="2"/>
            <scheme val="minor"/>
          </rPr>
          <t>======
ID#AAABDDKrPVQ
Gavin Mudd    (2023-12-20 21:24:03)
value from Ontario Mineral Deposit Inventory database</t>
        </r>
      </text>
    </comment>
    <comment ref="D365" authorId="0" shapeId="0" xr:uid="{00000000-0006-0000-0100-0000A6020000}">
      <text>
        <r>
          <rPr>
            <sz val="11"/>
            <color theme="1"/>
            <rFont val="Calibri"/>
            <family val="2"/>
            <scheme val="minor"/>
          </rPr>
          <t>======
ID#AAABDDKrQhY
Gavin Mudd    (2023-12-20 21:24:04)
value from Ontario Mineral Deposit Inventory database</t>
        </r>
      </text>
    </comment>
    <comment ref="F365" authorId="0" shapeId="0" xr:uid="{00000000-0006-0000-0100-0000D0030000}">
      <text>
        <r>
          <rPr>
            <sz val="11"/>
            <color theme="1"/>
            <rFont val="Calibri"/>
            <family val="2"/>
            <scheme val="minor"/>
          </rPr>
          <t>======
ID#AAABDDKrP8o
Gavin Mudd    (2023-12-20 21:24:03)
previously held by QuadraFNX, taken over by KGHM</t>
        </r>
      </text>
    </comment>
    <comment ref="DN365" authorId="0" shapeId="0" xr:uid="{00000000-0006-0000-0100-000055030000}">
      <text>
        <r>
          <rPr>
            <sz val="11"/>
            <color theme="1"/>
            <rFont val="Calibri"/>
            <family val="2"/>
            <scheme val="minor"/>
          </rPr>
          <t>======
ID#AAABDDKrQKU
Gavin Mudd    (2023-12-20 21:24:03)
data from QuadraFNX Mining</t>
        </r>
      </text>
    </comment>
    <comment ref="C366" authorId="0" shapeId="0" xr:uid="{00000000-0006-0000-0100-00000A000000}">
      <text>
        <r>
          <rPr>
            <sz val="11"/>
            <color theme="1"/>
            <rFont val="Calibri"/>
            <family val="2"/>
            <scheme val="minor"/>
          </rPr>
          <t>======
ID#AAABDDKrR1A
Gavin Mudd    (2023-12-20 21:24:04)
value from Tech Rep (2009-01)</t>
        </r>
      </text>
    </comment>
    <comment ref="D366" authorId="0" shapeId="0" xr:uid="{00000000-0006-0000-0100-00006F060000}">
      <text>
        <r>
          <rPr>
            <sz val="11"/>
            <color theme="1"/>
            <rFont val="Calibri"/>
            <family val="2"/>
            <scheme val="minor"/>
          </rPr>
          <t>======
ID#AAABCyJQhyA
Gavin Mudd    (2023-12-20 21:24:02)
value from Tech Rep (2009-01)</t>
        </r>
      </text>
    </comment>
    <comment ref="F367" authorId="0" shapeId="0" xr:uid="{00000000-0006-0000-0100-0000E9020000}">
      <text>
        <r>
          <rPr>
            <sz val="11"/>
            <color theme="1"/>
            <rFont val="Calibri"/>
            <family val="2"/>
            <scheme val="minor"/>
          </rPr>
          <t>======
ID#AAABDDKrQY8
Gavin Mudd    (2023-12-20 21:24:03)
now part of Sibanye-Stillwater</t>
        </r>
      </text>
    </comment>
    <comment ref="AD367" authorId="0" shapeId="0" xr:uid="{00000000-0006-0000-0100-0000DA050000}">
      <text>
        <r>
          <rPr>
            <sz val="11"/>
            <color theme="1"/>
            <rFont val="Calibri"/>
            <family val="2"/>
            <scheme val="minor"/>
          </rPr>
          <t>======
ID#AAABDDKrO-U
Gavin Mudd    (2023-12-20 21:24:03)
data from Wallbridge Mining</t>
        </r>
      </text>
    </comment>
    <comment ref="AE367" authorId="0" shapeId="0" xr:uid="{00000000-0006-0000-0100-000030020000}">
      <text>
        <r>
          <rPr>
            <sz val="11"/>
            <color theme="1"/>
            <rFont val="Calibri"/>
            <family val="2"/>
            <scheme val="minor"/>
          </rPr>
          <t>======
ID#AAABDDKrQxk
Gavin Mudd    (2023-12-20 21:24:04)
data from Wallbridge Mining</t>
        </r>
      </text>
    </comment>
    <comment ref="AF367" authorId="0" shapeId="0" xr:uid="{00000000-0006-0000-0100-0000BA010000}">
      <text>
        <r>
          <rPr>
            <sz val="11"/>
            <color theme="1"/>
            <rFont val="Calibri"/>
            <family val="2"/>
            <scheme val="minor"/>
          </rPr>
          <t>======
ID#AAABDDKrRA8
Gavin Mudd    (2023-12-20 21:24:04)
data from Wallbridge Mining</t>
        </r>
      </text>
    </comment>
    <comment ref="AL367" authorId="0" shapeId="0" xr:uid="{00000000-0006-0000-0100-0000B9030000}">
      <text>
        <r>
          <rPr>
            <sz val="11"/>
            <color theme="1"/>
            <rFont val="Calibri"/>
            <family val="2"/>
            <scheme val="minor"/>
          </rPr>
          <t>======
ID#AAABDDKrQAM
Gavin Mudd    (2023-12-20 21:24:03)
data from Wallbridge Mining</t>
        </r>
      </text>
    </comment>
    <comment ref="AM367" authorId="0" shapeId="0" xr:uid="{00000000-0006-0000-0100-0000AA030000}">
      <text>
        <r>
          <rPr>
            <sz val="11"/>
            <color theme="1"/>
            <rFont val="Calibri"/>
            <family val="2"/>
            <scheme val="minor"/>
          </rPr>
          <t>======
ID#AAABDDKrQCI
Gavin Mudd    (2023-12-20 21:24:03)
data from Wallbridge Mining</t>
        </r>
      </text>
    </comment>
    <comment ref="AN367" authorId="0" shapeId="0" xr:uid="{00000000-0006-0000-0100-00000C050000}">
      <text>
        <r>
          <rPr>
            <sz val="11"/>
            <color theme="1"/>
            <rFont val="Calibri"/>
            <family val="2"/>
            <scheme val="minor"/>
          </rPr>
          <t>======
ID#AAABDDKrPWk
Gavin Mudd    (2023-12-20 21:24:03)
data from Wallbridge Mining</t>
        </r>
      </text>
    </comment>
    <comment ref="AO367" authorId="0" shapeId="0" xr:uid="{00000000-0006-0000-0100-000061020000}">
      <text>
        <r>
          <rPr>
            <sz val="11"/>
            <color theme="1"/>
            <rFont val="Calibri"/>
            <family val="2"/>
            <scheme val="minor"/>
          </rPr>
          <t>======
ID#AAABDDKrQrc
Gavin Mudd    (2023-12-20 21:24:04)
data from Wallbridge Mining</t>
        </r>
      </text>
    </comment>
    <comment ref="AY367" authorId="0" shapeId="0" xr:uid="{00000000-0006-0000-0100-000062010000}">
      <text>
        <r>
          <rPr>
            <sz val="11"/>
            <color theme="1"/>
            <rFont val="Calibri"/>
            <family val="2"/>
            <scheme val="minor"/>
          </rPr>
          <t>======
ID#AAABDDKrRLk
Gavin Mudd    (2023-12-20 21:24:04)
data from Wallbridge Mining</t>
        </r>
      </text>
    </comment>
    <comment ref="AZ367" authorId="0" shapeId="0" xr:uid="{00000000-0006-0000-0100-000091010000}">
      <text>
        <r>
          <rPr>
            <sz val="11"/>
            <color theme="1"/>
            <rFont val="Calibri"/>
            <family val="2"/>
            <scheme val="minor"/>
          </rPr>
          <t>======
ID#AAABDDKrRFc
Gavin Mudd    (2023-12-20 21:24:04)
data from Wallbridge Mining</t>
        </r>
      </text>
    </comment>
    <comment ref="BA367" authorId="0" shapeId="0" xr:uid="{00000000-0006-0000-0100-00007B040000}">
      <text>
        <r>
          <rPr>
            <sz val="11"/>
            <color theme="1"/>
            <rFont val="Calibri"/>
            <family val="2"/>
            <scheme val="minor"/>
          </rPr>
          <t>======
ID#AAABDDKrPoI
Gavin Mudd    (2023-12-20 21:24:03)
data from Wallbridge Mining</t>
        </r>
      </text>
    </comment>
    <comment ref="BG367" authorId="0" shapeId="0" xr:uid="{00000000-0006-0000-0100-00005A030000}">
      <text>
        <r>
          <rPr>
            <sz val="11"/>
            <color theme="1"/>
            <rFont val="Calibri"/>
            <family val="2"/>
            <scheme val="minor"/>
          </rPr>
          <t>======
ID#AAABDDKrQJs
Gavin Mudd    (2023-12-20 21:24:03)
data from Wallbridge Mining</t>
        </r>
      </text>
    </comment>
    <comment ref="BH367" authorId="0" shapeId="0" xr:uid="{00000000-0006-0000-0100-000027050000}">
      <text>
        <r>
          <rPr>
            <sz val="11"/>
            <color theme="1"/>
            <rFont val="Calibri"/>
            <family val="2"/>
            <scheme val="minor"/>
          </rPr>
          <t>======
ID#AAABDDKrPTg
Gavin Mudd    (2023-12-20 21:24:03)
data from Wallbridge Mining</t>
        </r>
      </text>
    </comment>
    <comment ref="BI367" authorId="0" shapeId="0" xr:uid="{00000000-0006-0000-0100-00009C020000}">
      <text>
        <r>
          <rPr>
            <sz val="11"/>
            <color theme="1"/>
            <rFont val="Calibri"/>
            <family val="2"/>
            <scheme val="minor"/>
          </rPr>
          <t>======
ID#AAABDDKrQi8
Gavin Mudd    (2023-12-20 21:24:04)
data from Wallbridge Mining</t>
        </r>
      </text>
    </comment>
    <comment ref="BJ367" authorId="0" shapeId="0" xr:uid="{00000000-0006-0000-0100-000067050000}">
      <text>
        <r>
          <rPr>
            <sz val="11"/>
            <color theme="1"/>
            <rFont val="Calibri"/>
            <family val="2"/>
            <scheme val="minor"/>
          </rPr>
          <t>======
ID#AAABDDKrPL8
Gavin Mudd    (2023-12-20 21:24:03)
data from Wallbridge Mining</t>
        </r>
      </text>
    </comment>
    <comment ref="C369" authorId="0" shapeId="0" xr:uid="{00000000-0006-0000-0100-0000B6050000}">
      <text>
        <r>
          <rPr>
            <sz val="11"/>
            <color theme="1"/>
            <rFont val="Calibri"/>
            <family val="2"/>
            <scheme val="minor"/>
          </rPr>
          <t>======
ID#AAABDDKrPCw
Gavin Mudd    (2023-12-20 21:24:03)
value from Ontario Mineral Deposit Inventory database</t>
        </r>
      </text>
    </comment>
    <comment ref="D369" authorId="0" shapeId="0" xr:uid="{00000000-0006-0000-0100-00005F010000}">
      <text>
        <r>
          <rPr>
            <sz val="11"/>
            <color theme="1"/>
            <rFont val="Calibri"/>
            <family val="2"/>
            <scheme val="minor"/>
          </rPr>
          <t>======
ID#AAABDDKrRL8
Gavin Mudd    (2023-12-20 21:24:04)
value from Ontario Mineral Deposit Inventory database</t>
        </r>
      </text>
    </comment>
    <comment ref="AY369" authorId="0" shapeId="0" xr:uid="{00000000-0006-0000-0100-000038020000}">
      <text>
        <r>
          <rPr>
            <sz val="11"/>
            <color theme="1"/>
            <rFont val="Calibri"/>
            <family val="2"/>
            <scheme val="minor"/>
          </rPr>
          <t>======
ID#AAABDDKrQwg
Author    (2023-12-20 21:24:04)
estimated from historic reserve minus mine production; historical resource assumed as inferred</t>
        </r>
      </text>
    </comment>
    <comment ref="AY370" authorId="0" shapeId="0" xr:uid="{00000000-0006-0000-0100-0000D5010000}">
      <text>
        <r>
          <rPr>
            <sz val="11"/>
            <color theme="1"/>
            <rFont val="Calibri"/>
            <family val="2"/>
            <scheme val="minor"/>
          </rPr>
          <t>======
ID#AAABDDKrQ9k
Gavin Mudd    (2023-12-20 21:24:04)
historic resources (non-compliant with NI43-101) - hence all data allocated as inferred resources only</t>
        </r>
      </text>
    </comment>
    <comment ref="AZ370" authorId="0" shapeId="0" xr:uid="{00000000-0006-0000-0100-0000FB000000}">
      <text>
        <r>
          <rPr>
            <sz val="11"/>
            <color theme="1"/>
            <rFont val="Calibri"/>
            <family val="2"/>
            <scheme val="minor"/>
          </rPr>
          <t>======
ID#AAABDDKrRX4
Gavin Mudd    (2023-12-20 21:24:04)
historic resources (non-compliant with NI43-101) - hence all data allocated as inferred resources only</t>
        </r>
      </text>
    </comment>
    <comment ref="BG370" authorId="0" shapeId="0" xr:uid="{00000000-0006-0000-0100-000046010000}">
      <text>
        <r>
          <rPr>
            <sz val="11"/>
            <color theme="1"/>
            <rFont val="Calibri"/>
            <family val="2"/>
            <scheme val="minor"/>
          </rPr>
          <t>======
ID#AAABDDKrROY
Gavin Mudd    (2023-12-20 21:24:04)
historic resources (non-compliant with NI43-101) - hence all data allocated as inferred resources only</t>
        </r>
      </text>
    </comment>
    <comment ref="F371" authorId="0" shapeId="0" xr:uid="{00000000-0006-0000-0100-0000D7010000}">
      <text>
        <r>
          <rPr>
            <sz val="11"/>
            <color theme="1"/>
            <rFont val="Calibri"/>
            <family val="2"/>
            <scheme val="minor"/>
          </rPr>
          <t>======
ID#AAABDDKrQ9Q
Gavin Mudd    (2023-12-20 21:24:04)
taken over by Sibanye-Stillwater in mid-2019</t>
        </r>
      </text>
    </comment>
    <comment ref="R371" authorId="0" shapeId="0" xr:uid="{00000000-0006-0000-0100-000092060000}">
      <text>
        <r>
          <rPr>
            <sz val="11"/>
            <color theme="1"/>
            <rFont val="Calibri"/>
            <family val="2"/>
            <scheme val="minor"/>
          </rPr>
          <t>======
ID#AAABCxlEytQ
Gavin Mudd    (2023-12-20 21:24:01)
value from Tech Rep (2014-03)</t>
        </r>
      </text>
    </comment>
    <comment ref="AM371" authorId="0" shapeId="0" xr:uid="{00000000-0006-0000-0100-000084010000}">
      <text>
        <r>
          <rPr>
            <sz val="11"/>
            <color theme="1"/>
            <rFont val="Calibri"/>
            <family val="2"/>
            <scheme val="minor"/>
          </rPr>
          <t>======
ID#AAABDDKrRHI
Gavin Mudd    (2023-12-20 21:24:04)
value from Tech Rep (2014-03)</t>
        </r>
      </text>
    </comment>
    <comment ref="BH371" authorId="0" shapeId="0" xr:uid="{00000000-0006-0000-0100-00001B010000}">
      <text>
        <r>
          <rPr>
            <sz val="11"/>
            <color theme="1"/>
            <rFont val="Calibri"/>
            <family val="2"/>
            <scheme val="minor"/>
          </rPr>
          <t>======
ID#AAABDDKrRS0
Gavin Mudd    (2023-12-20 21:24:04)
value from Tech Rep (2014-03)</t>
        </r>
      </text>
    </comment>
    <comment ref="CC371" authorId="0" shapeId="0" xr:uid="{00000000-0006-0000-0100-000052000000}">
      <text>
        <r>
          <rPr>
            <sz val="11"/>
            <color theme="1"/>
            <rFont val="Calibri"/>
            <family val="2"/>
            <scheme val="minor"/>
          </rPr>
          <t>======
ID#AAABDDKrRtM
Gavin Mudd    (2023-12-20 21:24:04)
value from Tech Rep (2014-03)</t>
        </r>
      </text>
    </comment>
    <comment ref="CX371" authorId="0" shapeId="0" xr:uid="{00000000-0006-0000-0100-0000D8050000}">
      <text>
        <r>
          <rPr>
            <sz val="11"/>
            <color theme="1"/>
            <rFont val="Calibri"/>
            <family val="2"/>
            <scheme val="minor"/>
          </rPr>
          <t>======
ID#AAABDDKrO-o
Gavin Mudd    (2023-12-20 21:24:03)
value from Tech Rep (2014-03)</t>
        </r>
      </text>
    </comment>
    <comment ref="A373" authorId="0" shapeId="0" xr:uid="{00000000-0006-0000-0100-0000D4050000}">
      <text>
        <r>
          <rPr>
            <sz val="11"/>
            <color theme="1"/>
            <rFont val="Calibri"/>
            <family val="2"/>
            <scheme val="minor"/>
          </rPr>
          <t>======
ID#AAABDDKrO_A
Author    (2023-12-20 21:24:03)
includes Kilvenjärvi, Ahmavaara, Suhanko
North, Siika-Kämä, Konttijärvi</t>
        </r>
      </text>
    </comment>
    <comment ref="F373" authorId="0" shapeId="0" xr:uid="{00000000-0006-0000-0100-0000B3000000}">
      <text>
        <r>
          <rPr>
            <sz val="11"/>
            <color theme="1"/>
            <rFont val="Calibri"/>
            <family val="2"/>
            <scheme val="minor"/>
          </rPr>
          <t>======
ID#AAABDDKrRg0
Gavin Mudd    (2023-12-20 21:24:04)
previously held by Gold Fields Ltd</t>
        </r>
      </text>
    </comment>
    <comment ref="I373" authorId="0" shapeId="0" xr:uid="{00000000-0006-0000-0100-000019010000}">
      <text>
        <r>
          <rPr>
            <sz val="11"/>
            <color theme="1"/>
            <rFont val="Calibri"/>
            <family val="2"/>
            <scheme val="minor"/>
          </rPr>
          <t>======
ID#AAABDDKrRTI
Gavin Mudd    (2023-12-20 21:24:04)
2016 Gold Fields data</t>
        </r>
      </text>
    </comment>
    <comment ref="J373" authorId="0" shapeId="0" xr:uid="{00000000-0006-0000-0100-0000D9000000}">
      <text>
        <r>
          <rPr>
            <sz val="11"/>
            <color theme="1"/>
            <rFont val="Calibri"/>
            <family val="2"/>
            <scheme val="minor"/>
          </rPr>
          <t>======
ID#AAABDDKrRbw
Gavin Mudd    (2023-12-20 21:24:04)
2016 Gold Fields data</t>
        </r>
      </text>
    </comment>
    <comment ref="K373" authorId="0" shapeId="0" xr:uid="{00000000-0006-0000-0100-00007D010000}">
      <text>
        <r>
          <rPr>
            <sz val="11"/>
            <color theme="1"/>
            <rFont val="Calibri"/>
            <family val="2"/>
            <scheme val="minor"/>
          </rPr>
          <t>======
ID#AAABDDKrRII
Gavin Mudd    (2023-12-20 21:24:04)
2016 Gold Fields data</t>
        </r>
      </text>
    </comment>
    <comment ref="Q373" authorId="0" shapeId="0" xr:uid="{00000000-0006-0000-0100-000066020000}">
      <text>
        <r>
          <rPr>
            <sz val="11"/>
            <color theme="1"/>
            <rFont val="Calibri"/>
            <family val="2"/>
            <scheme val="minor"/>
          </rPr>
          <t>======
ID#AAABDDKrQq8
Gavin Mudd    (2023-12-20 21:24:04)
2016 Gold Fields data</t>
        </r>
      </text>
    </comment>
    <comment ref="S373" authorId="0" shapeId="0" xr:uid="{00000000-0006-0000-0100-00003A010000}">
      <text>
        <r>
          <rPr>
            <sz val="11"/>
            <color theme="1"/>
            <rFont val="Calibri"/>
            <family val="2"/>
            <scheme val="minor"/>
          </rPr>
          <t>======
ID#AAABDDKrRPk
Gavin Mudd    (2023-12-20 21:24:04)
2016 Gold Fields data</t>
        </r>
      </text>
    </comment>
    <comment ref="T373" authorId="0" shapeId="0" xr:uid="{00000000-0006-0000-0100-0000EF020000}">
      <text>
        <r>
          <rPr>
            <sz val="11"/>
            <color theme="1"/>
            <rFont val="Calibri"/>
            <family val="2"/>
            <scheme val="minor"/>
          </rPr>
          <t>======
ID#AAABDDKrQYI
Gavin Mudd    (2023-12-20 21:24:03)
2016 Gold Fields data</t>
        </r>
      </text>
    </comment>
    <comment ref="AD373" authorId="0" shapeId="0" xr:uid="{00000000-0006-0000-0100-0000F4010000}">
      <text>
        <r>
          <rPr>
            <sz val="11"/>
            <color theme="1"/>
            <rFont val="Calibri"/>
            <family val="2"/>
            <scheme val="minor"/>
          </rPr>
          <t>======
ID#AAABDDKrQ5k
Gavin Mudd    (2023-12-20 21:24:04)
2016 Gold Fields data</t>
        </r>
      </text>
    </comment>
    <comment ref="AE373" authorId="0" shapeId="0" xr:uid="{00000000-0006-0000-0100-000082050000}">
      <text>
        <r>
          <rPr>
            <sz val="11"/>
            <color theme="1"/>
            <rFont val="Calibri"/>
            <family val="2"/>
            <scheme val="minor"/>
          </rPr>
          <t>======
ID#AAABDDKrPIU
Gavin Mudd    (2023-12-20 21:24:03)
2016 Gold Fields data</t>
        </r>
      </text>
    </comment>
    <comment ref="AF373" authorId="0" shapeId="0" xr:uid="{00000000-0006-0000-0100-00005A040000}">
      <text>
        <r>
          <rPr>
            <sz val="11"/>
            <color theme="1"/>
            <rFont val="Calibri"/>
            <family val="2"/>
            <scheme val="minor"/>
          </rPr>
          <t>======
ID#AAABDDKrPtA
Gavin Mudd    (2023-12-20 21:24:03)
2016 Gold Fields data</t>
        </r>
      </text>
    </comment>
    <comment ref="AL373" authorId="0" shapeId="0" xr:uid="{00000000-0006-0000-0100-0000EB000000}">
      <text>
        <r>
          <rPr>
            <sz val="11"/>
            <color theme="1"/>
            <rFont val="Calibri"/>
            <family val="2"/>
            <scheme val="minor"/>
          </rPr>
          <t>======
ID#AAABDDKrRZw
Gavin Mudd    (2023-12-20 21:24:04)
2016 Gold Fields data</t>
        </r>
      </text>
    </comment>
    <comment ref="AN373" authorId="0" shapeId="0" xr:uid="{00000000-0006-0000-0100-000021050000}">
      <text>
        <r>
          <rPr>
            <sz val="11"/>
            <color theme="1"/>
            <rFont val="Calibri"/>
            <family val="2"/>
            <scheme val="minor"/>
          </rPr>
          <t>======
ID#AAABDDKrPUg
Gavin Mudd    (2023-12-20 21:24:03)
2016 Gold Fields data</t>
        </r>
      </text>
    </comment>
    <comment ref="AO373" authorId="0" shapeId="0" xr:uid="{00000000-0006-0000-0100-000050000000}">
      <text>
        <r>
          <rPr>
            <sz val="11"/>
            <color theme="1"/>
            <rFont val="Calibri"/>
            <family val="2"/>
            <scheme val="minor"/>
          </rPr>
          <t>======
ID#AAABDDKrRtY
Gavin Mudd    (2023-12-20 21:24:04)
2016 Gold Fields data</t>
        </r>
      </text>
    </comment>
    <comment ref="AY373" authorId="0" shapeId="0" xr:uid="{00000000-0006-0000-0100-0000C9000000}">
      <text>
        <r>
          <rPr>
            <sz val="11"/>
            <color theme="1"/>
            <rFont val="Calibri"/>
            <family val="2"/>
            <scheme val="minor"/>
          </rPr>
          <t>======
ID#AAABDDKrRds
Gavin Mudd    (2023-12-20 21:24:04)
2016 Gold Fields data</t>
        </r>
      </text>
    </comment>
    <comment ref="AZ373" authorId="0" shapeId="0" xr:uid="{00000000-0006-0000-0100-0000FD010000}">
      <text>
        <r>
          <rPr>
            <sz val="11"/>
            <color theme="1"/>
            <rFont val="Calibri"/>
            <family val="2"/>
            <scheme val="minor"/>
          </rPr>
          <t>======
ID#AAABDDKrQ4s
Gavin Mudd    (2023-12-20 21:24:04)
2016 Gold Fields data</t>
        </r>
      </text>
    </comment>
    <comment ref="BA373" authorId="0" shapeId="0" xr:uid="{00000000-0006-0000-0100-000015020000}">
      <text>
        <r>
          <rPr>
            <sz val="11"/>
            <color theme="1"/>
            <rFont val="Calibri"/>
            <family val="2"/>
            <scheme val="minor"/>
          </rPr>
          <t>======
ID#AAABDDKrQ1Q
Gavin Mudd    (2023-12-20 21:24:04)
2016 Gold Fields data</t>
        </r>
      </text>
    </comment>
    <comment ref="BG373" authorId="0" shapeId="0" xr:uid="{00000000-0006-0000-0100-0000E0020000}">
      <text>
        <r>
          <rPr>
            <sz val="11"/>
            <color theme="1"/>
            <rFont val="Calibri"/>
            <family val="2"/>
            <scheme val="minor"/>
          </rPr>
          <t>======
ID#AAABDDKrQaU
Gavin Mudd    (2023-12-20 21:24:03)
2016 Gold Fields data</t>
        </r>
      </text>
    </comment>
    <comment ref="BI373" authorId="0" shapeId="0" xr:uid="{00000000-0006-0000-0100-0000A9040000}">
      <text>
        <r>
          <rPr>
            <sz val="11"/>
            <color theme="1"/>
            <rFont val="Calibri"/>
            <family val="2"/>
            <scheme val="minor"/>
          </rPr>
          <t>======
ID#AAABDDKrPic
Gavin Mudd    (2023-12-20 21:24:03)
2016 Gold Fields data</t>
        </r>
      </text>
    </comment>
    <comment ref="BJ373" authorId="0" shapeId="0" xr:uid="{00000000-0006-0000-0100-000098020000}">
      <text>
        <r>
          <rPr>
            <sz val="11"/>
            <color theme="1"/>
            <rFont val="Calibri"/>
            <family val="2"/>
            <scheme val="minor"/>
          </rPr>
          <t>======
ID#AAABDDKrQj4
Gavin Mudd    (2023-12-20 21:24:04)
2016 Gold Fields data</t>
        </r>
      </text>
    </comment>
    <comment ref="DN373" authorId="0" shapeId="0" xr:uid="{00000000-0006-0000-0100-000007000000}">
      <text>
        <r>
          <rPr>
            <sz val="11"/>
            <color theme="1"/>
            <rFont val="Calibri"/>
            <family val="2"/>
            <scheme val="minor"/>
          </rPr>
          <t>======
ID#AAABDDKrR1k
Gavin Mudd    (2023-12-20 21:24:04)
2016 Gold Fields data</t>
        </r>
      </text>
    </comment>
    <comment ref="F374" authorId="0" shapeId="0" xr:uid="{00000000-0006-0000-0100-000039050000}">
      <text>
        <r>
          <rPr>
            <sz val="11"/>
            <color theme="1"/>
            <rFont val="Calibri"/>
            <family val="2"/>
            <scheme val="minor"/>
          </rPr>
          <t>======
ID#AAABDDKrPR8
Gavin Mudd    (2023-12-20 21:24:03)
previously held by Nortec Minerals Corp, Finore Mining (note: Palladium One was formerly Nickel On Resources)</t>
        </r>
      </text>
    </comment>
    <comment ref="AM374" authorId="0" shapeId="0" xr:uid="{00000000-0006-0000-0100-000049000000}">
      <text>
        <r>
          <rPr>
            <sz val="11"/>
            <color theme="1"/>
            <rFont val="Calibri"/>
            <family val="2"/>
            <scheme val="minor"/>
          </rPr>
          <t>======
ID#AAABDDKrRuA
Gavin Mudd    (2023-12-20 21:24:04)
from Tech Rep (2011-03)</t>
        </r>
      </text>
    </comment>
    <comment ref="BH374" authorId="0" shapeId="0" xr:uid="{00000000-0006-0000-0100-00007A010000}">
      <text>
        <r>
          <rPr>
            <sz val="11"/>
            <color theme="1"/>
            <rFont val="Calibri"/>
            <family val="2"/>
            <scheme val="minor"/>
          </rPr>
          <t>======
ID#AAABDDKrRIc
Gavin Mudd    (2023-12-20 21:24:04)
from Tech Rep (2011-03)</t>
        </r>
      </text>
    </comment>
    <comment ref="F375" authorId="0" shapeId="0" xr:uid="{00000000-0006-0000-0100-000066060000}">
      <text>
        <r>
          <rPr>
            <sz val="11"/>
            <color theme="1"/>
            <rFont val="Calibri"/>
            <family val="2"/>
            <scheme val="minor"/>
          </rPr>
          <t>======
ID#AAABCyJQhzY
Gavin Mudd    (2023-12-20 21:24:02)
previously owned by First Quantum Minerals</t>
        </r>
      </text>
    </comment>
    <comment ref="I375" authorId="0" shapeId="0" xr:uid="{00000000-0006-0000-0100-0000EB020000}">
      <text>
        <r>
          <rPr>
            <sz val="11"/>
            <color theme="1"/>
            <rFont val="Calibri"/>
            <family val="2"/>
            <scheme val="minor"/>
          </rPr>
          <t>======
ID#AAABDDKrQYw
Gavin Mudd    (2023-12-20 21:24:03)
assumes proved reserves plus measured resources</t>
        </r>
      </text>
    </comment>
    <comment ref="J375" authorId="0" shapeId="0" xr:uid="{00000000-0006-0000-0100-000020030000}">
      <text>
        <r>
          <rPr>
            <sz val="11"/>
            <color theme="1"/>
            <rFont val="Calibri"/>
            <family val="2"/>
            <scheme val="minor"/>
          </rPr>
          <t>======
ID#AAABDDKrQRE
Gavin Mudd    (2023-12-20 21:24:03)
assumes proved reserves plus measured resources</t>
        </r>
      </text>
    </comment>
    <comment ref="K375" authorId="0" shapeId="0" xr:uid="{00000000-0006-0000-0100-000044050000}">
      <text>
        <r>
          <rPr>
            <sz val="11"/>
            <color theme="1"/>
            <rFont val="Calibri"/>
            <family val="2"/>
            <scheme val="minor"/>
          </rPr>
          <t>======
ID#AAABDDKrPQw
Gavin Mudd    (2023-12-20 21:24:03)
assumes proved reserves plus measured resources</t>
        </r>
      </text>
    </comment>
    <comment ref="Q375" authorId="0" shapeId="0" xr:uid="{00000000-0006-0000-0100-00000E060000}">
      <text>
        <r>
          <rPr>
            <sz val="11"/>
            <color theme="1"/>
            <rFont val="Calibri"/>
            <family val="2"/>
            <scheme val="minor"/>
          </rPr>
          <t>======
ID#AAABCyJQh_I
Gavin Mudd    (2023-12-20 21:24:02)
assumes proved reserves plus measured resources</t>
        </r>
      </text>
    </comment>
    <comment ref="R375" authorId="0" shapeId="0" xr:uid="{00000000-0006-0000-0100-00002E050000}">
      <text>
        <r>
          <rPr>
            <sz val="11"/>
            <color theme="1"/>
            <rFont val="Calibri"/>
            <family val="2"/>
            <scheme val="minor"/>
          </rPr>
          <t>======
ID#AAABDDKrPS4
Gavin Mudd    (2023-12-20 21:24:03)
assumes proved reserves plus measured resources</t>
        </r>
      </text>
    </comment>
    <comment ref="S375" authorId="0" shapeId="0" xr:uid="{00000000-0006-0000-0100-0000C4010000}">
      <text>
        <r>
          <rPr>
            <sz val="11"/>
            <color theme="1"/>
            <rFont val="Calibri"/>
            <family val="2"/>
            <scheme val="minor"/>
          </rPr>
          <t>======
ID#AAABDDKrQ_k
Gavin Mudd    (2023-12-20 21:24:04)
assumes proved reserves plus measured resources</t>
        </r>
      </text>
    </comment>
    <comment ref="T375" authorId="0" shapeId="0" xr:uid="{00000000-0006-0000-0100-000097060000}">
      <text>
        <r>
          <rPr>
            <sz val="11"/>
            <color theme="1"/>
            <rFont val="Calibri"/>
            <family val="2"/>
            <scheme val="minor"/>
          </rPr>
          <t>======
ID#AAABCxlEysc
Gavin Mudd    (2023-12-20 21:24:01)
assumes proved reserves plus measured resources</t>
        </r>
      </text>
    </comment>
    <comment ref="AD375" authorId="0" shapeId="0" xr:uid="{00000000-0006-0000-0100-0000E1000000}">
      <text>
        <r>
          <rPr>
            <sz val="11"/>
            <color theme="1"/>
            <rFont val="Calibri"/>
            <family val="2"/>
            <scheme val="minor"/>
          </rPr>
          <t>======
ID#AAABDDKrRaw
Gavin Mudd    (2023-12-20 21:24:04)
assumes probable reserves plus indicated resources</t>
        </r>
      </text>
    </comment>
    <comment ref="AE375" authorId="0" shapeId="0" xr:uid="{00000000-0006-0000-0100-00004C010000}">
      <text>
        <r>
          <rPr>
            <sz val="11"/>
            <color theme="1"/>
            <rFont val="Calibri"/>
            <family val="2"/>
            <scheme val="minor"/>
          </rPr>
          <t>======
ID#AAABDDKrRN4
Gavin Mudd    (2023-12-20 21:24:04)
assumes probable reserves plus indicated resources</t>
        </r>
      </text>
    </comment>
    <comment ref="AF375" authorId="0" shapeId="0" xr:uid="{00000000-0006-0000-0100-000079030000}">
      <text>
        <r>
          <rPr>
            <sz val="11"/>
            <color theme="1"/>
            <rFont val="Calibri"/>
            <family val="2"/>
            <scheme val="minor"/>
          </rPr>
          <t>======
ID#AAABDDKrQG8
Gavin Mudd    (2023-12-20 21:24:03)
assumes probable reserves plus indicated resources</t>
        </r>
      </text>
    </comment>
    <comment ref="AL375" authorId="0" shapeId="0" xr:uid="{00000000-0006-0000-0100-0000AE000000}">
      <text>
        <r>
          <rPr>
            <sz val="11"/>
            <color theme="1"/>
            <rFont val="Calibri"/>
            <family val="2"/>
            <scheme val="minor"/>
          </rPr>
          <t>======
ID#AAABDDKrRhM
Gavin Mudd    (2023-12-20 21:24:04)
assumes probable reserves plus indicated resources</t>
        </r>
      </text>
    </comment>
    <comment ref="AM375" authorId="0" shapeId="0" xr:uid="{00000000-0006-0000-0100-00000A030000}">
      <text>
        <r>
          <rPr>
            <sz val="11"/>
            <color theme="1"/>
            <rFont val="Calibri"/>
            <family val="2"/>
            <scheme val="minor"/>
          </rPr>
          <t>======
ID#AAABDDKrQUU
Gavin Mudd    (2023-12-20 21:24:03)
assumes probable reserves plus indicated resources</t>
        </r>
      </text>
    </comment>
    <comment ref="AN375" authorId="0" shapeId="0" xr:uid="{00000000-0006-0000-0100-00007E040000}">
      <text>
        <r>
          <rPr>
            <sz val="11"/>
            <color theme="1"/>
            <rFont val="Calibri"/>
            <family val="2"/>
            <scheme val="minor"/>
          </rPr>
          <t>======
ID#AAABDDKrPnw
Gavin Mudd    (2023-12-20 21:24:03)
assumes probable reserves plus indicated resources</t>
        </r>
      </text>
    </comment>
    <comment ref="AO375" authorId="0" shapeId="0" xr:uid="{00000000-0006-0000-0100-000012020000}">
      <text>
        <r>
          <rPr>
            <sz val="11"/>
            <color theme="1"/>
            <rFont val="Calibri"/>
            <family val="2"/>
            <scheme val="minor"/>
          </rPr>
          <t>======
ID#AAABDDKrQ1s
Gavin Mudd    (2023-12-20 21:24:04)
assumes probable reserves plus indicated resources</t>
        </r>
      </text>
    </comment>
    <comment ref="F383" authorId="0" shapeId="0" xr:uid="{00000000-0006-0000-0100-000088010000}">
      <text>
        <r>
          <rPr>
            <sz val="11"/>
            <color theme="1"/>
            <rFont val="Calibri"/>
            <family val="2"/>
            <scheme val="minor"/>
          </rPr>
          <t>======
ID#AAABDDKrRGo
Gavin Mudd    (2023-12-20 21:24:04)
previously held Blackthorn Resources; data from BR 2009 AnnRep</t>
        </r>
      </text>
    </comment>
    <comment ref="DN383" authorId="0" shapeId="0" xr:uid="{00000000-0006-0000-0100-0000C8000000}">
      <text>
        <r>
          <rPr>
            <sz val="11"/>
            <color theme="1"/>
            <rFont val="Calibri"/>
            <family val="2"/>
            <scheme val="minor"/>
          </rPr>
          <t>======
ID#AAABDDKrReM
Gavin Mudd    (2023-12-20 21:24:04)
data from Blackthorn Resources Ltd</t>
        </r>
      </text>
    </comment>
    <comment ref="J384" authorId="0" shapeId="0" xr:uid="{00000000-0006-0000-0100-0000C2030000}">
      <text>
        <r>
          <rPr>
            <sz val="11"/>
            <color theme="1"/>
            <rFont val="Calibri"/>
            <family val="2"/>
            <scheme val="minor"/>
          </rPr>
          <t>======
ID#AAABDDKrP-o
Gavin Mudd    (2023-12-20 21:24:03)
2017 data</t>
        </r>
      </text>
    </comment>
    <comment ref="Q384" authorId="0" shapeId="0" xr:uid="{00000000-0006-0000-0100-0000E2000000}">
      <text>
        <r>
          <rPr>
            <sz val="11"/>
            <color theme="1"/>
            <rFont val="Calibri"/>
            <family val="2"/>
            <scheme val="minor"/>
          </rPr>
          <t>======
ID#AAABDDKrRa0
Gavin Mudd    (2023-12-20 21:24:04)
2017 data</t>
        </r>
      </text>
    </comment>
    <comment ref="AE384" authorId="0" shapeId="0" xr:uid="{00000000-0006-0000-0100-00002C020000}">
      <text>
        <r>
          <rPr>
            <sz val="11"/>
            <color theme="1"/>
            <rFont val="Calibri"/>
            <family val="2"/>
            <scheme val="minor"/>
          </rPr>
          <t>======
ID#AAABDDKrQyY
Gavin Mudd    (2023-12-20 21:24:04)
2017 data</t>
        </r>
      </text>
    </comment>
    <comment ref="AL384" authorId="0" shapeId="0" xr:uid="{00000000-0006-0000-0100-0000BC000000}">
      <text>
        <r>
          <rPr>
            <sz val="11"/>
            <color theme="1"/>
            <rFont val="Calibri"/>
            <family val="2"/>
            <scheme val="minor"/>
          </rPr>
          <t>======
ID#AAABDDKrRfs
Gavin Mudd    (2023-12-20 21:24:04)
2017 data</t>
        </r>
      </text>
    </comment>
    <comment ref="AZ384" authorId="0" shapeId="0" xr:uid="{00000000-0006-0000-0100-0000D7030000}">
      <text>
        <r>
          <rPr>
            <sz val="11"/>
            <color theme="1"/>
            <rFont val="Calibri"/>
            <family val="2"/>
            <scheme val="minor"/>
          </rPr>
          <t>======
ID#AAABDDKrP74
Gavin Mudd    (2023-12-20 21:24:03)
2017 data</t>
        </r>
      </text>
    </comment>
    <comment ref="BG384" authorId="0" shapeId="0" xr:uid="{00000000-0006-0000-0100-00008B020000}">
      <text>
        <r>
          <rPr>
            <sz val="11"/>
            <color theme="1"/>
            <rFont val="Calibri"/>
            <family val="2"/>
            <scheme val="minor"/>
          </rPr>
          <t>======
ID#AAABDDKrQlY
Gavin Mudd    (2023-12-20 21:24:04)
2017 data</t>
        </r>
      </text>
    </comment>
    <comment ref="B385" authorId="0" shapeId="0" xr:uid="{00000000-0006-0000-0100-0000A7000000}">
      <text>
        <r>
          <rPr>
            <sz val="11"/>
            <color theme="1"/>
            <rFont val="Calibri"/>
            <family val="2"/>
            <scheme val="minor"/>
          </rPr>
          <t>======
ID#AAABDDKrRhs
Gavin Mudd    (2023-12-20 21:24:04)
mine restarted in mid-2019</t>
        </r>
      </text>
    </comment>
    <comment ref="F385" authorId="0" shapeId="0" xr:uid="{00000000-0006-0000-0100-0000BB010000}">
      <text>
        <r>
          <rPr>
            <sz val="11"/>
            <color theme="1"/>
            <rFont val="Calibri"/>
            <family val="2"/>
            <scheme val="minor"/>
          </rPr>
          <t>======
ID#AAABDDKrRA4
Gavin Mudd    (2023-12-20 21:24:04)
previously held by Mirabela Nickel - which went bankrupt in ~2013</t>
        </r>
      </text>
    </comment>
    <comment ref="F386" authorId="0" shapeId="0" xr:uid="{00000000-0006-0000-0100-000061060000}">
      <text>
        <r>
          <rPr>
            <sz val="11"/>
            <color theme="1"/>
            <rFont val="Calibri"/>
            <family val="2"/>
            <scheme val="minor"/>
          </rPr>
          <t>======
ID#AAABCyJQh0I
Gavin Mudd    (2023-12-20 21:24:02)
previously held by an Anglo Am Pt / Solitario joint venture; then Jaganda Mines, now ValOre</t>
        </r>
      </text>
    </comment>
    <comment ref="AZ386" authorId="0" shapeId="0" xr:uid="{00000000-0006-0000-0100-00009A030000}">
      <text>
        <r>
          <rPr>
            <sz val="11"/>
            <color theme="1"/>
            <rFont val="Calibri"/>
            <family val="2"/>
            <scheme val="minor"/>
          </rPr>
          <t>======
ID#AAABDDKrQD8
Gavin Mudd    (2023-12-20 21:24:03)
from Jangada Mines presentation (Q4 2018)</t>
        </r>
      </text>
    </comment>
    <comment ref="BG386" authorId="0" shapeId="0" xr:uid="{00000000-0006-0000-0100-000093040000}">
      <text>
        <r>
          <rPr>
            <sz val="11"/>
            <color theme="1"/>
            <rFont val="Calibri"/>
            <family val="2"/>
            <scheme val="minor"/>
          </rPr>
          <t>======
ID#AAABDDKrPlM
Gavin Mudd    (2023-12-20 21:24:03)
from Jangada Mines presentation (Q4 2018)</t>
        </r>
      </text>
    </comment>
    <comment ref="BH386" authorId="0" shapeId="0" xr:uid="{00000000-0006-0000-0100-00000E040000}">
      <text>
        <r>
          <rPr>
            <sz val="11"/>
            <color theme="1"/>
            <rFont val="Calibri"/>
            <family val="2"/>
            <scheme val="minor"/>
          </rPr>
          <t>======
ID#AAABDDKrP2Q
Gavin Mudd    (2023-12-20 21:24:03)
from Jangada Mines presentation (Q4 2018)</t>
        </r>
      </text>
    </comment>
    <comment ref="BN386" authorId="0" shapeId="0" xr:uid="{00000000-0006-0000-0100-0000DB050000}">
      <text>
        <r>
          <rPr>
            <sz val="11"/>
            <color theme="1"/>
            <rFont val="Calibri"/>
            <family val="2"/>
            <scheme val="minor"/>
          </rPr>
          <t>======
ID#AAABDDKrO-Q
Gavin Mudd    (2023-12-20 21:24:03)
from Jangada Mines presentation (Q4 2018)</t>
        </r>
      </text>
    </comment>
    <comment ref="AD387" authorId="0" shapeId="0" xr:uid="{00000000-0006-0000-0100-000065000000}">
      <text>
        <r>
          <rPr>
            <sz val="11"/>
            <color theme="1"/>
            <rFont val="Calibri"/>
            <family val="2"/>
            <scheme val="minor"/>
          </rPr>
          <t>======
ID#AAABDDKrRrE
Gavin Mudd    (2023-12-20 21:24:04)
only total resources presented, assumed as indicated resources</t>
        </r>
      </text>
    </comment>
    <comment ref="AE387" authorId="0" shapeId="0" xr:uid="{00000000-0006-0000-0100-000010060000}">
      <text>
        <r>
          <rPr>
            <sz val="11"/>
            <color theme="1"/>
            <rFont val="Calibri"/>
            <family val="2"/>
            <scheme val="minor"/>
          </rPr>
          <t>======
ID#AAABCyJQh-8
Gavin Mudd    (2023-12-20 21:24:02)
only total resources presented, assumed as indicated resources</t>
        </r>
      </text>
    </comment>
    <comment ref="AL387" authorId="0" shapeId="0" xr:uid="{00000000-0006-0000-0100-0000A3020000}">
      <text>
        <r>
          <rPr>
            <sz val="11"/>
            <color theme="1"/>
            <rFont val="Calibri"/>
            <family val="2"/>
            <scheme val="minor"/>
          </rPr>
          <t>======
ID#AAABDDKrQh4
Gavin Mudd    (2023-12-20 21:24:04)
only total resources presented, assumed as indicated resources</t>
        </r>
      </text>
    </comment>
    <comment ref="AN387" authorId="0" shapeId="0" xr:uid="{00000000-0006-0000-0100-000054030000}">
      <text>
        <r>
          <rPr>
            <sz val="11"/>
            <color theme="1"/>
            <rFont val="Calibri"/>
            <family val="2"/>
            <scheme val="minor"/>
          </rPr>
          <t>======
ID#AAABDDKrQKY
Gavin Mudd    (2023-12-20 21:24:03)
only total resources presented, assumed as indicated resources; 3E g/t - 35% assumed as Pt</t>
        </r>
      </text>
    </comment>
    <comment ref="AO387" authorId="0" shapeId="0" xr:uid="{00000000-0006-0000-0100-000016020000}">
      <text>
        <r>
          <rPr>
            <sz val="11"/>
            <color theme="1"/>
            <rFont val="Calibri"/>
            <family val="2"/>
            <scheme val="minor"/>
          </rPr>
          <t>======
ID#AAABDDKrQ1E
Gavin Mudd    (2023-12-20 21:24:04)
only total resources presented, assumed as indicated resources; 3E g/t - 55% assumed as Pd</t>
        </r>
      </text>
    </comment>
    <comment ref="AQ388" authorId="0" shapeId="0" xr:uid="{00000000-0006-0000-0100-0000DF040000}">
      <text>
        <r>
          <rPr>
            <sz val="11"/>
            <color theme="1"/>
            <rFont val="Calibri"/>
            <family val="2"/>
            <scheme val="minor"/>
          </rPr>
          <t>======
ID#AAABDDKrPcw
Gavin Mudd    (2023-12-20 21:24:03)
g/t Ru</t>
        </r>
      </text>
    </comment>
    <comment ref="AR388" authorId="0" shapeId="0" xr:uid="{00000000-0006-0000-0100-0000D6020000}">
      <text>
        <r>
          <rPr>
            <sz val="11"/>
            <color theme="1"/>
            <rFont val="Calibri"/>
            <family val="2"/>
            <scheme val="minor"/>
          </rPr>
          <t>======
ID#AAABDDKrQbY
Gavin Mudd    (2023-12-20 21:24:03)
g/t Ir</t>
        </r>
      </text>
    </comment>
    <comment ref="BL388" authorId="0" shapeId="0" xr:uid="{00000000-0006-0000-0100-00001F040000}">
      <text>
        <r>
          <rPr>
            <sz val="11"/>
            <color theme="1"/>
            <rFont val="Calibri"/>
            <family val="2"/>
            <scheme val="minor"/>
          </rPr>
          <t>======
ID#AAABDDKrP0I
Gavin Mudd    (2023-12-20 21:24:03)
g/t Ru</t>
        </r>
      </text>
    </comment>
    <comment ref="BM388" authorId="0" shapeId="0" xr:uid="{00000000-0006-0000-0100-000033010000}">
      <text>
        <r>
          <rPr>
            <sz val="11"/>
            <color theme="1"/>
            <rFont val="Calibri"/>
            <family val="2"/>
            <scheme val="minor"/>
          </rPr>
          <t>======
ID#AAABDDKrRQI
Gavin Mudd    (2023-12-20 21:24:04)
g/t Ir</t>
        </r>
      </text>
    </comment>
    <comment ref="V389" authorId="0" shapeId="0" xr:uid="{00000000-0006-0000-0100-0000D3010000}">
      <text>
        <r>
          <rPr>
            <sz val="11"/>
            <color theme="1"/>
            <rFont val="Calibri"/>
            <family val="2"/>
            <scheme val="minor"/>
          </rPr>
          <t>======
ID#AAABDDKrQ90
Gavin Mudd    (2023-12-20 21:24:04)
g/t Ru</t>
        </r>
      </text>
    </comment>
    <comment ref="W389" authorId="0" shapeId="0" xr:uid="{00000000-0006-0000-0100-00004C060000}">
      <text>
        <r>
          <rPr>
            <sz val="11"/>
            <color theme="1"/>
            <rFont val="Calibri"/>
            <family val="2"/>
            <scheme val="minor"/>
          </rPr>
          <t>======
ID#AAABCyJQh3c
Gavin Mudd    (2023-12-20 21:24:02)
g/t Ir</t>
        </r>
      </text>
    </comment>
    <comment ref="F393" authorId="0" shapeId="0" xr:uid="{00000000-0006-0000-0100-00003B050000}">
      <text>
        <r>
          <rPr>
            <sz val="11"/>
            <color theme="1"/>
            <rFont val="Calibri"/>
            <family val="2"/>
            <scheme val="minor"/>
          </rPr>
          <t>======
ID#AAABDDKrPR0
Gavin Mudd    (2023-12-20 21:24:03)
Platfields Ltd went bankrupt; current owner unclear</t>
        </r>
      </text>
    </comment>
    <comment ref="DN395" authorId="0" shapeId="0" xr:uid="{00000000-0006-0000-0100-00002E000000}">
      <text>
        <r>
          <rPr>
            <sz val="11"/>
            <color theme="1"/>
            <rFont val="Calibri"/>
            <family val="2"/>
            <scheme val="minor"/>
          </rPr>
          <t>======
ID#AAABDDKrRws
Gavin Mudd    (2023-12-20 21:24:04)
data from Aquarius Platinum Ltd</t>
        </r>
      </text>
    </comment>
    <comment ref="A398" authorId="0" shapeId="0" xr:uid="{00000000-0006-0000-0100-0000CB020000}">
      <text>
        <r>
          <rPr>
            <sz val="11"/>
            <color theme="1"/>
            <rFont val="Calibri"/>
            <family val="2"/>
            <scheme val="minor"/>
          </rPr>
          <t>======
ID#AAABDDKrQdk
Gavin Mudd    (2023-12-20 21:24:03)
now includes Schietfontein, Zilkaatsnek</t>
        </r>
      </text>
    </comment>
    <comment ref="DN400" authorId="0" shapeId="0" xr:uid="{00000000-0006-0000-0100-0000FC030000}">
      <text>
        <r>
          <rPr>
            <sz val="11"/>
            <color theme="1"/>
            <rFont val="Calibri"/>
            <family val="2"/>
            <scheme val="minor"/>
          </rPr>
          <t>======
ID#AAABDDKrP4o
Gavin Mudd    (2023-12-20 21:24:03)
2015 Aquarius Platinum data</t>
        </r>
      </text>
    </comment>
    <comment ref="A405" authorId="0" shapeId="0" xr:uid="{00000000-0006-0000-0100-0000D4000000}">
      <text>
        <r>
          <rPr>
            <sz val="11"/>
            <color theme="1"/>
            <rFont val="Calibri"/>
            <family val="2"/>
            <scheme val="minor"/>
          </rPr>
          <t>======
ID#AAABDDKrRcg
Gavin Mudd    (2023-12-20 21:24:04)
note these leases lapsed in 2018 and were not renewed - 2017 data assumed</t>
        </r>
      </text>
    </comment>
    <comment ref="V405" authorId="0" shapeId="0" xr:uid="{00000000-0006-0000-0100-000059000000}">
      <text>
        <r>
          <rPr>
            <sz val="11"/>
            <color theme="1"/>
            <rFont val="Calibri"/>
            <family val="2"/>
            <scheme val="minor"/>
          </rPr>
          <t>======
ID#AAABDDKrRsY
Gavin Mudd    (2023-12-20 21:24:04)
g/t Ru</t>
        </r>
      </text>
    </comment>
    <comment ref="W405" authorId="0" shapeId="0" xr:uid="{00000000-0006-0000-0100-00008F010000}">
      <text>
        <r>
          <rPr>
            <sz val="11"/>
            <color theme="1"/>
            <rFont val="Calibri"/>
            <family val="2"/>
            <scheme val="minor"/>
          </rPr>
          <t>======
ID#AAABDDKrRFw
Gavin Mudd    (2023-12-20 21:24:04)
g/t Ir</t>
        </r>
      </text>
    </comment>
    <comment ref="AQ405" authorId="0" shapeId="0" xr:uid="{00000000-0006-0000-0100-000033050000}">
      <text>
        <r>
          <rPr>
            <sz val="11"/>
            <color theme="1"/>
            <rFont val="Calibri"/>
            <family val="2"/>
            <scheme val="minor"/>
          </rPr>
          <t>======
ID#AAABDDKrPSc
Gavin Mudd    (2023-12-20 21:24:03)
g/t Ru</t>
        </r>
      </text>
    </comment>
    <comment ref="AR405" authorId="0" shapeId="0" xr:uid="{00000000-0006-0000-0100-000028040000}">
      <text>
        <r>
          <rPr>
            <sz val="11"/>
            <color theme="1"/>
            <rFont val="Calibri"/>
            <family val="2"/>
            <scheme val="minor"/>
          </rPr>
          <t>======
ID#AAABDDKrPzQ
Gavin Mudd    (2023-12-20 21:24:03)
g/t Ir</t>
        </r>
      </text>
    </comment>
    <comment ref="BL405" authorId="0" shapeId="0" xr:uid="{00000000-0006-0000-0100-000042060000}">
      <text>
        <r>
          <rPr>
            <sz val="11"/>
            <color theme="1"/>
            <rFont val="Calibri"/>
            <family val="2"/>
            <scheme val="minor"/>
          </rPr>
          <t>======
ID#AAABCyJQh4Q
Gavin Mudd    (2023-12-20 21:24:02)
g/t Ru</t>
        </r>
      </text>
    </comment>
    <comment ref="BM405" authorId="0" shapeId="0" xr:uid="{00000000-0006-0000-0100-000014060000}">
      <text>
        <r>
          <rPr>
            <sz val="11"/>
            <color theme="1"/>
            <rFont val="Calibri"/>
            <family val="2"/>
            <scheme val="minor"/>
          </rPr>
          <t>======
ID#AAABCyJQh-k
Gavin Mudd    (2023-12-20 21:24:02)
g/t Ir</t>
        </r>
      </text>
    </comment>
    <comment ref="F406" authorId="0" shapeId="0" xr:uid="{00000000-0006-0000-0100-000072010000}">
      <text>
        <r>
          <rPr>
            <sz val="11"/>
            <color theme="1"/>
            <rFont val="Calibri"/>
            <family val="2"/>
            <scheme val="minor"/>
          </rPr>
          <t>======
ID#AAABDDKrRJc
Gavin Mudd    (2023-12-20 21:24:04)
previously held by Realm Resources Ltd</t>
        </r>
      </text>
    </comment>
    <comment ref="V407" authorId="0" shapeId="0" xr:uid="{00000000-0006-0000-0100-00006F000000}">
      <text>
        <r>
          <rPr>
            <sz val="11"/>
            <color theme="1"/>
            <rFont val="Calibri"/>
            <family val="2"/>
            <scheme val="minor"/>
          </rPr>
          <t>======
ID#AAABDDKrRqA
Gavin Mudd    (2023-12-20 21:24:04)
g/t Ru</t>
        </r>
      </text>
    </comment>
    <comment ref="W407" authorId="0" shapeId="0" xr:uid="{00000000-0006-0000-0100-00005C060000}">
      <text>
        <r>
          <rPr>
            <sz val="11"/>
            <color theme="1"/>
            <rFont val="Calibri"/>
            <family val="2"/>
            <scheme val="minor"/>
          </rPr>
          <t>======
ID#AAABCyJQh1M
Gavin Mudd    (2023-12-20 21:24:02)
g/t Ir</t>
        </r>
      </text>
    </comment>
    <comment ref="AQ407" authorId="0" shapeId="0" xr:uid="{00000000-0006-0000-0100-000021060000}">
      <text>
        <r>
          <rPr>
            <sz val="11"/>
            <color theme="1"/>
            <rFont val="Calibri"/>
            <family val="2"/>
            <scheme val="minor"/>
          </rPr>
          <t>======
ID#AAABCyJQh9E
Gavin Mudd    (2023-12-20 21:24:02)
g/t Ru</t>
        </r>
      </text>
    </comment>
    <comment ref="AR407" authorId="0" shapeId="0" xr:uid="{00000000-0006-0000-0100-00009D060000}">
      <text>
        <r>
          <rPr>
            <sz val="11"/>
            <color theme="1"/>
            <rFont val="Calibri"/>
            <family val="2"/>
            <scheme val="minor"/>
          </rPr>
          <t>======
ID#AAABCxlEyr0
Gavin Mudd    (2023-12-20 21:24:01)
g/t Ir</t>
        </r>
      </text>
    </comment>
    <comment ref="CG407" authorId="0" shapeId="0" xr:uid="{00000000-0006-0000-0100-0000F7040000}">
      <text>
        <r>
          <rPr>
            <sz val="11"/>
            <color theme="1"/>
            <rFont val="Calibri"/>
            <family val="2"/>
            <scheme val="minor"/>
          </rPr>
          <t>======
ID#AAABDDKrPZc
Gavin Mudd    (2023-12-20 21:24:03)
g/t Ru</t>
        </r>
      </text>
    </comment>
    <comment ref="CH407" authorId="0" shapeId="0" xr:uid="{00000000-0006-0000-0100-00004B010000}">
      <text>
        <r>
          <rPr>
            <sz val="11"/>
            <color theme="1"/>
            <rFont val="Calibri"/>
            <family val="2"/>
            <scheme val="minor"/>
          </rPr>
          <t>======
ID#AAABDDKrROA
Gavin Mudd    (2023-12-20 21:24:04)
g/t Ir</t>
        </r>
      </text>
    </comment>
    <comment ref="F409" authorId="0" shapeId="0" xr:uid="{00000000-0006-0000-0100-00009E030000}">
      <text>
        <r>
          <rPr>
            <sz val="11"/>
            <color theme="1"/>
            <rFont val="Calibri"/>
            <family val="2"/>
            <scheme val="minor"/>
          </rPr>
          <t>======
ID#AAABDDKrQDk
Gavin Mudd    (2023-12-20 21:24:03)
74% interest held by Village Main Reef, but they appear to be bankrupt ...</t>
        </r>
      </text>
    </comment>
    <comment ref="F410" authorId="0" shapeId="0" xr:uid="{00000000-0006-0000-0100-000018000000}">
      <text>
        <r>
          <rPr>
            <sz val="11"/>
            <color theme="1"/>
            <rFont val="Calibri"/>
            <family val="2"/>
            <scheme val="minor"/>
          </rPr>
          <t>======
ID#AAABDDKrRy4
Gavin Mudd    (2023-12-20 21:24:04)
Platfields Ltd went bankrupt; current owner unclear</t>
        </r>
      </text>
    </comment>
    <comment ref="F413" authorId="0" shapeId="0" xr:uid="{00000000-0006-0000-0100-000087040000}">
      <text>
        <r>
          <rPr>
            <sz val="11"/>
            <color theme="1"/>
            <rFont val="Calibri"/>
            <family val="2"/>
            <scheme val="minor"/>
          </rPr>
          <t>======
ID#AAABDDKrPmg
Gavin Mudd    (2023-12-20 21:24:03)
now part of Sibanye-Stillwater</t>
        </r>
      </text>
    </comment>
    <comment ref="V413" authorId="0" shapeId="0" xr:uid="{00000000-0006-0000-0100-0000CE030000}">
      <text>
        <r>
          <rPr>
            <sz val="11"/>
            <color theme="1"/>
            <rFont val="Calibri"/>
            <family val="2"/>
            <scheme val="minor"/>
          </rPr>
          <t>======
ID#AAABDDKrP9Y
Gavin Mudd    (2023-12-20 21:24:03)
g/t Ru</t>
        </r>
      </text>
    </comment>
    <comment ref="W413" authorId="0" shapeId="0" xr:uid="{00000000-0006-0000-0100-000041010000}">
      <text>
        <r>
          <rPr>
            <sz val="11"/>
            <color theme="1"/>
            <rFont val="Calibri"/>
            <family val="2"/>
            <scheme val="minor"/>
          </rPr>
          <t>======
ID#AAABDDKrRPE
Gavin Mudd    (2023-12-20 21:24:04)
g/t Ir</t>
        </r>
      </text>
    </comment>
    <comment ref="AQ413" authorId="0" shapeId="0" xr:uid="{00000000-0006-0000-0100-0000CE000000}">
      <text>
        <r>
          <rPr>
            <sz val="11"/>
            <color theme="1"/>
            <rFont val="Calibri"/>
            <family val="2"/>
            <scheme val="minor"/>
          </rPr>
          <t>======
ID#AAABDDKrRdQ
Gavin Mudd    (2023-12-20 21:24:04)
g/t Ru</t>
        </r>
      </text>
    </comment>
    <comment ref="AR413" authorId="0" shapeId="0" xr:uid="{00000000-0006-0000-0100-000009040000}">
      <text>
        <r>
          <rPr>
            <sz val="11"/>
            <color theme="1"/>
            <rFont val="Calibri"/>
            <family val="2"/>
            <scheme val="minor"/>
          </rPr>
          <t>======
ID#AAABDDKrP28
Gavin Mudd    (2023-12-20 21:24:03)
g/t Ir</t>
        </r>
      </text>
    </comment>
    <comment ref="BL413" authorId="0" shapeId="0" xr:uid="{00000000-0006-0000-0100-0000F5030000}">
      <text>
        <r>
          <rPr>
            <sz val="11"/>
            <color theme="1"/>
            <rFont val="Calibri"/>
            <family val="2"/>
            <scheme val="minor"/>
          </rPr>
          <t>======
ID#AAABDDKrP5c
Gavin Mudd    (2023-12-20 21:24:03)
g/t Ru</t>
        </r>
      </text>
    </comment>
    <comment ref="BM413" authorId="0" shapeId="0" xr:uid="{00000000-0006-0000-0100-0000CC040000}">
      <text>
        <r>
          <rPr>
            <sz val="11"/>
            <color theme="1"/>
            <rFont val="Calibri"/>
            <family val="2"/>
            <scheme val="minor"/>
          </rPr>
          <t>======
ID#AAABDDKrPfA
Gavin Mudd    (2023-12-20 21:24:03)
g/t Ir</t>
        </r>
      </text>
    </comment>
    <comment ref="CG413" authorId="0" shapeId="0" xr:uid="{00000000-0006-0000-0100-0000CD010000}">
      <text>
        <r>
          <rPr>
            <sz val="11"/>
            <color theme="1"/>
            <rFont val="Calibri"/>
            <family val="2"/>
            <scheme val="minor"/>
          </rPr>
          <t>======
ID#AAABDDKrQ-U
Gavin Mudd    (2023-12-20 21:24:04)
g/t Ru</t>
        </r>
      </text>
    </comment>
    <comment ref="CH413" authorId="0" shapeId="0" xr:uid="{00000000-0006-0000-0100-00000D060000}">
      <text>
        <r>
          <rPr>
            <sz val="11"/>
            <color theme="1"/>
            <rFont val="Calibri"/>
            <family val="2"/>
            <scheme val="minor"/>
          </rPr>
          <t>======
ID#AAABCyJQh_Y
Gavin Mudd    (2023-12-20 21:24:02)
g/t Ir</t>
        </r>
      </text>
    </comment>
    <comment ref="DB413" authorId="0" shapeId="0" xr:uid="{00000000-0006-0000-0100-000010000000}">
      <text>
        <r>
          <rPr>
            <sz val="11"/>
            <color theme="1"/>
            <rFont val="Calibri"/>
            <family val="2"/>
            <scheme val="minor"/>
          </rPr>
          <t>======
ID#AAABDDKrRz4
Gavin Mudd    (2023-12-20 21:24:04)
g/t Ru</t>
        </r>
      </text>
    </comment>
    <comment ref="DC413" authorId="0" shapeId="0" xr:uid="{00000000-0006-0000-0100-000022040000}">
      <text>
        <r>
          <rPr>
            <sz val="11"/>
            <color theme="1"/>
            <rFont val="Calibri"/>
            <family val="2"/>
            <scheme val="minor"/>
          </rPr>
          <t>======
ID#AAABDDKrPz0
Gavin Mudd    (2023-12-20 21:24:03)
g/t Ir</t>
        </r>
      </text>
    </comment>
    <comment ref="V415" authorId="0" shapeId="0" xr:uid="{00000000-0006-0000-0100-000092020000}">
      <text>
        <r>
          <rPr>
            <sz val="11"/>
            <color theme="1"/>
            <rFont val="Calibri"/>
            <family val="2"/>
            <scheme val="minor"/>
          </rPr>
          <t>======
ID#AAABDDKrQkk
Gavin Mudd    (2023-12-20 21:24:04)
g/t Ru</t>
        </r>
      </text>
    </comment>
    <comment ref="W415" authorId="0" shapeId="0" xr:uid="{00000000-0006-0000-0100-0000AE010000}">
      <text>
        <r>
          <rPr>
            <sz val="11"/>
            <color theme="1"/>
            <rFont val="Calibri"/>
            <family val="2"/>
            <scheme val="minor"/>
          </rPr>
          <t>======
ID#AAABDDKrRCg
Gavin Mudd    (2023-12-20 21:24:04)
g/t Ir</t>
        </r>
      </text>
    </comment>
    <comment ref="AQ415" authorId="0" shapeId="0" xr:uid="{00000000-0006-0000-0100-0000C6050000}">
      <text>
        <r>
          <rPr>
            <sz val="11"/>
            <color theme="1"/>
            <rFont val="Calibri"/>
            <family val="2"/>
            <scheme val="minor"/>
          </rPr>
          <t>======
ID#AAABDDKrPAY
Gavin Mudd    (2023-12-20 21:24:03)
g/t Ru</t>
        </r>
      </text>
    </comment>
    <comment ref="AR415" authorId="0" shapeId="0" xr:uid="{00000000-0006-0000-0100-0000EC000000}">
      <text>
        <r>
          <rPr>
            <sz val="11"/>
            <color theme="1"/>
            <rFont val="Calibri"/>
            <family val="2"/>
            <scheme val="minor"/>
          </rPr>
          <t>======
ID#AAABDDKrRZo
Gavin Mudd    (2023-12-20 21:24:04)
g/t Ir</t>
        </r>
      </text>
    </comment>
    <comment ref="BL415" authorId="0" shapeId="0" xr:uid="{00000000-0006-0000-0100-000096030000}">
      <text>
        <r>
          <rPr>
            <sz val="11"/>
            <color theme="1"/>
            <rFont val="Calibri"/>
            <family val="2"/>
            <scheme val="minor"/>
          </rPr>
          <t>======
ID#AAABDDKrQEo
Gavin Mudd    (2023-12-20 21:24:03)
g/t Ru</t>
        </r>
      </text>
    </comment>
    <comment ref="BM415" authorId="0" shapeId="0" xr:uid="{00000000-0006-0000-0100-0000BD050000}">
      <text>
        <r>
          <rPr>
            <sz val="11"/>
            <color theme="1"/>
            <rFont val="Calibri"/>
            <family val="2"/>
            <scheme val="minor"/>
          </rPr>
          <t>======
ID#AAABDDKrPB0
Gavin Mudd    (2023-12-20 21:24:03)
g/t Ir</t>
        </r>
      </text>
    </comment>
    <comment ref="CG415" authorId="0" shapeId="0" xr:uid="{00000000-0006-0000-0100-000095030000}">
      <text>
        <r>
          <rPr>
            <sz val="11"/>
            <color theme="1"/>
            <rFont val="Calibri"/>
            <family val="2"/>
            <scheme val="minor"/>
          </rPr>
          <t>======
ID#AAABDDKrQEs
Gavin Mudd    (2023-12-20 21:24:03)
g/t Ru</t>
        </r>
      </text>
    </comment>
    <comment ref="CH415" authorId="0" shapeId="0" xr:uid="{00000000-0006-0000-0100-00008F030000}">
      <text>
        <r>
          <rPr>
            <sz val="11"/>
            <color theme="1"/>
            <rFont val="Calibri"/>
            <family val="2"/>
            <scheme val="minor"/>
          </rPr>
          <t>======
ID#AAABDDKrQFM
Gavin Mudd    (2023-12-20 21:24:03)
g/t Ir</t>
        </r>
      </text>
    </comment>
    <comment ref="DB415" authorId="0" shapeId="0" xr:uid="{00000000-0006-0000-0100-0000FE010000}">
      <text>
        <r>
          <rPr>
            <sz val="11"/>
            <color theme="1"/>
            <rFont val="Calibri"/>
            <family val="2"/>
            <scheme val="minor"/>
          </rPr>
          <t>======
ID#AAABDDKrQ4o
Gavin Mudd    (2023-12-20 21:24:04)
g/t Ru</t>
        </r>
      </text>
    </comment>
    <comment ref="DC415" authorId="0" shapeId="0" xr:uid="{00000000-0006-0000-0100-000061030000}">
      <text>
        <r>
          <rPr>
            <sz val="11"/>
            <color theme="1"/>
            <rFont val="Calibri"/>
            <family val="2"/>
            <scheme val="minor"/>
          </rPr>
          <t>======
ID#AAABDDKrQJE
Gavin Mudd    (2023-12-20 21:24:03)
g/t Ir</t>
        </r>
      </text>
    </comment>
    <comment ref="F416" authorId="0" shapeId="0" xr:uid="{00000000-0006-0000-0100-0000F5040000}">
      <text>
        <r>
          <rPr>
            <sz val="11"/>
            <color theme="1"/>
            <rFont val="Calibri"/>
            <family val="2"/>
            <scheme val="minor"/>
          </rPr>
          <t>======
ID#AAABDDKrPZ0
Gavin Mudd    (2023-12-20 21:24:03)
previously Wesizwe Pt Ltd</t>
        </r>
      </text>
    </comment>
    <comment ref="DN416" authorId="0" shapeId="0" xr:uid="{00000000-0006-0000-0100-000005030000}">
      <text>
        <r>
          <rPr>
            <sz val="11"/>
            <color theme="1"/>
            <rFont val="Calibri"/>
            <family val="2"/>
            <scheme val="minor"/>
          </rPr>
          <t>======
ID#AAABDDKrQUw
Gavin Mudd    (2023-12-20 21:24:03)
data from Wesizwe Pt Ltd</t>
        </r>
      </text>
    </comment>
    <comment ref="F417" authorId="0" shapeId="0" xr:uid="{00000000-0006-0000-0100-000011040000}">
      <text>
        <r>
          <rPr>
            <sz val="11"/>
            <color theme="1"/>
            <rFont val="Calibri"/>
            <family val="2"/>
            <scheme val="minor"/>
          </rPr>
          <t>======
ID#AAABDDKrP14
Gavin Mudd    (2023-12-20 21:24:03)
previously Aquiarius Platinum Ltd, now part of Sibanye-Stillwater Ltd</t>
        </r>
      </text>
    </comment>
    <comment ref="DN417" authorId="0" shapeId="0" xr:uid="{00000000-0006-0000-0100-000085040000}">
      <text>
        <r>
          <rPr>
            <sz val="11"/>
            <color theme="1"/>
            <rFont val="Calibri"/>
            <family val="2"/>
            <scheme val="minor"/>
          </rPr>
          <t>======
ID#AAABDDKrPms
Gavin Mudd    (2023-12-20 21:24:03)
2015 Aquarius Platinum data</t>
        </r>
      </text>
    </comment>
    <comment ref="V422" authorId="0" shapeId="0" xr:uid="{00000000-0006-0000-0100-000085030000}">
      <text>
        <r>
          <rPr>
            <sz val="11"/>
            <color theme="1"/>
            <rFont val="Calibri"/>
            <family val="2"/>
            <scheme val="minor"/>
          </rPr>
          <t>======
ID#AAABDDKrQGI
Gavin Mudd    (2023-12-20 21:24:03)
g/t Ru</t>
        </r>
      </text>
    </comment>
    <comment ref="W422" authorId="0" shapeId="0" xr:uid="{00000000-0006-0000-0100-000011020000}">
      <text>
        <r>
          <rPr>
            <sz val="11"/>
            <color theme="1"/>
            <rFont val="Calibri"/>
            <family val="2"/>
            <scheme val="minor"/>
          </rPr>
          <t>======
ID#AAABDDKrQ1w
Gavin Mudd    (2023-12-20 21:24:04)
g/t Ir</t>
        </r>
      </text>
    </comment>
    <comment ref="AQ422" authorId="0" shapeId="0" xr:uid="{00000000-0006-0000-0100-0000C7050000}">
      <text>
        <r>
          <rPr>
            <sz val="11"/>
            <color theme="1"/>
            <rFont val="Calibri"/>
            <family val="2"/>
            <scheme val="minor"/>
          </rPr>
          <t>======
ID#AAABDDKrPAM
Gavin Mudd    (2023-12-20 21:24:03)
g/t Ru</t>
        </r>
      </text>
    </comment>
    <comment ref="AR422" authorId="0" shapeId="0" xr:uid="{00000000-0006-0000-0100-000098010000}">
      <text>
        <r>
          <rPr>
            <sz val="11"/>
            <color theme="1"/>
            <rFont val="Calibri"/>
            <family val="2"/>
            <scheme val="minor"/>
          </rPr>
          <t>======
ID#AAABDDKrRFA
Gavin Mudd    (2023-12-20 21:24:04)
g/t Ir</t>
        </r>
      </text>
    </comment>
    <comment ref="BL422" authorId="0" shapeId="0" xr:uid="{00000000-0006-0000-0100-00006D020000}">
      <text>
        <r>
          <rPr>
            <sz val="11"/>
            <color theme="1"/>
            <rFont val="Calibri"/>
            <family val="2"/>
            <scheme val="minor"/>
          </rPr>
          <t>======
ID#AAABDDKrQp8
Gavin Mudd    (2023-12-20 21:24:04)
g/t Ru</t>
        </r>
      </text>
    </comment>
    <comment ref="BM422" authorId="0" shapeId="0" xr:uid="{00000000-0006-0000-0100-000059060000}">
      <text>
        <r>
          <rPr>
            <sz val="11"/>
            <color theme="1"/>
            <rFont val="Calibri"/>
            <family val="2"/>
            <scheme val="minor"/>
          </rPr>
          <t>======
ID#AAABCyJQh18
Gavin Mudd    (2023-12-20 21:24:02)
g/t Ir</t>
        </r>
      </text>
    </comment>
    <comment ref="DN422" authorId="0" shapeId="0" xr:uid="{00000000-0006-0000-0100-000056030000}">
      <text>
        <r>
          <rPr>
            <sz val="11"/>
            <color theme="1"/>
            <rFont val="Calibri"/>
            <family val="2"/>
            <scheme val="minor"/>
          </rPr>
          <t>======
ID#AAABDDKrQKM
Gavin Mudd    (2023-12-20 21:24:03)
data from Platinum Australia</t>
        </r>
      </text>
    </comment>
    <comment ref="A425" authorId="0" shapeId="0" xr:uid="{00000000-0006-0000-0100-0000FC050000}">
      <text>
        <r>
          <rPr>
            <sz val="11"/>
            <color theme="1"/>
            <rFont val="Calibri"/>
            <family val="2"/>
            <scheme val="minor"/>
          </rPr>
          <t>======
ID#AAABDDKrO5o
Gavin Mudd    (2023-12-20 21:24:02)
includes Siphumelele, Khuseleka, Khomanani, Thembelani, Bathopele</t>
        </r>
      </text>
    </comment>
    <comment ref="DN425" authorId="0" shapeId="0" xr:uid="{00000000-0006-0000-0100-0000C1020000}">
      <text>
        <r>
          <rPr>
            <sz val="11"/>
            <color theme="1"/>
            <rFont val="Calibri"/>
            <family val="2"/>
            <scheme val="minor"/>
          </rPr>
          <t>======
ID#AAABDDKrQeQ
Gavin Mudd    (2023-12-20 21:24:03)
including 2017 data for Merensky-UG2 ore spit</t>
        </r>
      </text>
    </comment>
    <comment ref="V433" authorId="0" shapeId="0" xr:uid="{00000000-0006-0000-0100-0000B2020000}">
      <text>
        <r>
          <rPr>
            <sz val="11"/>
            <color theme="1"/>
            <rFont val="Calibri"/>
            <family val="2"/>
            <scheme val="minor"/>
          </rPr>
          <t>======
ID#AAABDDKrQgM
Gavin Mudd    (2023-12-20 21:24:03)
g/t Ru</t>
        </r>
      </text>
    </comment>
    <comment ref="W433" authorId="0" shapeId="0" xr:uid="{00000000-0006-0000-0100-000002000000}">
      <text>
        <r>
          <rPr>
            <sz val="11"/>
            <color theme="1"/>
            <rFont val="Calibri"/>
            <family val="2"/>
            <scheme val="minor"/>
          </rPr>
          <t>======
ID#AAABDDKrR2A
Gavin Mudd    (2023-12-20 21:24:04)
g/t Ir</t>
        </r>
      </text>
    </comment>
    <comment ref="AQ433" authorId="0" shapeId="0" xr:uid="{00000000-0006-0000-0100-00002A060000}">
      <text>
        <r>
          <rPr>
            <sz val="11"/>
            <color theme="1"/>
            <rFont val="Calibri"/>
            <family val="2"/>
            <scheme val="minor"/>
          </rPr>
          <t>======
ID#AAABCyJQh74
Gavin Mudd    (2023-12-20 21:24:02)
g/t Ru</t>
        </r>
      </text>
    </comment>
    <comment ref="AR433" authorId="0" shapeId="0" xr:uid="{00000000-0006-0000-0100-00001D060000}">
      <text>
        <r>
          <rPr>
            <sz val="11"/>
            <color theme="1"/>
            <rFont val="Calibri"/>
            <family val="2"/>
            <scheme val="minor"/>
          </rPr>
          <t>======
ID#AAABCyJQh9c
Gavin Mudd    (2023-12-20 21:24:02)
g/t Ir</t>
        </r>
      </text>
    </comment>
    <comment ref="BL433" authorId="0" shapeId="0" xr:uid="{00000000-0006-0000-0100-000037000000}">
      <text>
        <r>
          <rPr>
            <sz val="11"/>
            <color theme="1"/>
            <rFont val="Calibri"/>
            <family val="2"/>
            <scheme val="minor"/>
          </rPr>
          <t>======
ID#AAABDDKrRvw
Gavin Mudd    (2023-12-20 21:24:04)
g/t Ru</t>
        </r>
      </text>
    </comment>
    <comment ref="BM433" authorId="0" shapeId="0" xr:uid="{00000000-0006-0000-0100-000007050000}">
      <text>
        <r>
          <rPr>
            <sz val="11"/>
            <color theme="1"/>
            <rFont val="Calibri"/>
            <family val="2"/>
            <scheme val="minor"/>
          </rPr>
          <t>======
ID#AAABDDKrPXQ
Gavin Mudd    (2023-12-20 21:24:03)
g/t Ir</t>
        </r>
      </text>
    </comment>
    <comment ref="CG433" authorId="0" shapeId="0" xr:uid="{00000000-0006-0000-0100-000035040000}">
      <text>
        <r>
          <rPr>
            <sz val="11"/>
            <color theme="1"/>
            <rFont val="Calibri"/>
            <family val="2"/>
            <scheme val="minor"/>
          </rPr>
          <t>======
ID#AAABDDKrPxg
Gavin Mudd    (2023-12-20 21:24:03)
g/t Ru</t>
        </r>
      </text>
    </comment>
    <comment ref="CH433" authorId="0" shapeId="0" xr:uid="{00000000-0006-0000-0100-000027000000}">
      <text>
        <r>
          <rPr>
            <sz val="11"/>
            <color theme="1"/>
            <rFont val="Calibri"/>
            <family val="2"/>
            <scheme val="minor"/>
          </rPr>
          <t>======
ID#AAABDDKrRxU
Gavin Mudd    (2023-12-20 21:24:04)
g/t Ir</t>
        </r>
      </text>
    </comment>
    <comment ref="DB433" authorId="0" shapeId="0" xr:uid="{00000000-0006-0000-0100-0000E3020000}">
      <text>
        <r>
          <rPr>
            <sz val="11"/>
            <color theme="1"/>
            <rFont val="Calibri"/>
            <family val="2"/>
            <scheme val="minor"/>
          </rPr>
          <t>======
ID#AAABDDKrQZo
Gavin Mudd    (2023-12-20 21:24:03)
g/t Ru</t>
        </r>
      </text>
    </comment>
    <comment ref="DC433" authorId="0" shapeId="0" xr:uid="{00000000-0006-0000-0100-0000A3000000}">
      <text>
        <r>
          <rPr>
            <sz val="11"/>
            <color theme="1"/>
            <rFont val="Calibri"/>
            <family val="2"/>
            <scheme val="minor"/>
          </rPr>
          <t>======
ID#AAABDDKrRiA
Gavin Mudd    (2023-12-20 21:24:04)
g/t Ir</t>
        </r>
      </text>
    </comment>
    <comment ref="DN434" authorId="0" shapeId="0" xr:uid="{00000000-0006-0000-0100-0000F3000000}">
      <text>
        <r>
          <rPr>
            <sz val="11"/>
            <color theme="1"/>
            <rFont val="Calibri"/>
            <family val="2"/>
            <scheme val="minor"/>
          </rPr>
          <t>======
ID#AAABDDKrRYk
Gavin Mudd    (2023-12-20 21:24:04)
2017 Anglo American Platinum data</t>
        </r>
      </text>
    </comment>
    <comment ref="F439" authorId="0" shapeId="0" xr:uid="{00000000-0006-0000-0100-0000E1010000}">
      <text>
        <r>
          <rPr>
            <sz val="11"/>
            <color theme="1"/>
            <rFont val="Calibri"/>
            <family val="2"/>
            <scheme val="minor"/>
          </rPr>
          <t>======
ID#AAABDDKrQ74
Gavin Mudd    (2023-12-20 21:24:04)
now part of Sibanye-Stillwater</t>
        </r>
      </text>
    </comment>
    <comment ref="F440" authorId="0" shapeId="0" xr:uid="{00000000-0006-0000-0100-00007F050000}">
      <text>
        <r>
          <rPr>
            <sz val="11"/>
            <color theme="1"/>
            <rFont val="Calibri"/>
            <family val="2"/>
            <scheme val="minor"/>
          </rPr>
          <t>======
ID#AAABDDKrPIs
Gavin Mudd    (2023-12-20 21:24:03)
previously held by Caledonia Mining Corp.</t>
        </r>
      </text>
    </comment>
    <comment ref="DN440" authorId="0" shapeId="0" xr:uid="{00000000-0006-0000-0100-00003B030000}">
      <text>
        <r>
          <rPr>
            <sz val="11"/>
            <color theme="1"/>
            <rFont val="Calibri"/>
            <family val="2"/>
            <scheme val="minor"/>
          </rPr>
          <t>======
ID#AAABDDKrQNU
Gavin Mudd    (2023-12-20 21:24:03)
data from Caledonia Mining Corp.</t>
        </r>
      </text>
    </comment>
    <comment ref="DN441" authorId="0" shapeId="0" xr:uid="{00000000-0006-0000-0100-0000B2040000}">
      <text>
        <r>
          <rPr>
            <sz val="11"/>
            <color theme="1"/>
            <rFont val="Calibri"/>
            <family val="2"/>
            <scheme val="minor"/>
          </rPr>
          <t>======
ID#AAABDDKrPhs
Gavin Mudd    (2023-12-20 21:24:03)
data from Wesizwe Pt Ltd</t>
        </r>
      </text>
    </comment>
    <comment ref="AZ442" authorId="0" shapeId="0" xr:uid="{00000000-0006-0000-0100-0000FF030000}">
      <text>
        <r>
          <rPr>
            <sz val="11"/>
            <color theme="1"/>
            <rFont val="Calibri"/>
            <family val="2"/>
            <scheme val="minor"/>
          </rPr>
          <t>======
ID#AAABDDKrP4Q
Gavin Mudd    (2023-12-20 21:24:03)
data from Sedibelo</t>
        </r>
      </text>
    </comment>
    <comment ref="BA442" authorId="0" shapeId="0" xr:uid="{00000000-0006-0000-0100-00007D000000}">
      <text>
        <r>
          <rPr>
            <sz val="11"/>
            <color theme="1"/>
            <rFont val="Calibri"/>
            <family val="2"/>
            <scheme val="minor"/>
          </rPr>
          <t>======
ID#AAABDDKrRoQ
Gavin Mudd    (2023-12-20 21:24:04)
data from Sedibelo</t>
        </r>
      </text>
    </comment>
    <comment ref="BG442" authorId="0" shapeId="0" xr:uid="{00000000-0006-0000-0100-0000E0010000}">
      <text>
        <r>
          <rPr>
            <sz val="11"/>
            <color theme="1"/>
            <rFont val="Calibri"/>
            <family val="2"/>
            <scheme val="minor"/>
          </rPr>
          <t>======
ID#AAABDDKrQ8A
Gavin Mudd    (2023-12-20 21:24:04)
data from Sedibelo</t>
        </r>
      </text>
    </comment>
    <comment ref="BI442" authorId="0" shapeId="0" xr:uid="{00000000-0006-0000-0100-0000E7040000}">
      <text>
        <r>
          <rPr>
            <sz val="11"/>
            <color theme="1"/>
            <rFont val="Calibri"/>
            <family val="2"/>
            <scheme val="minor"/>
          </rPr>
          <t>======
ID#AAABDDKrPbk
Gavin Mudd    (2023-12-20 21:24:03)
data from Sedibelo</t>
        </r>
      </text>
    </comment>
    <comment ref="BJ442" authorId="0" shapeId="0" xr:uid="{00000000-0006-0000-0100-0000AD010000}">
      <text>
        <r>
          <rPr>
            <sz val="11"/>
            <color theme="1"/>
            <rFont val="Calibri"/>
            <family val="2"/>
            <scheme val="minor"/>
          </rPr>
          <t>======
ID#AAABDDKrRCs
Gavin Mudd    (2023-12-20 21:24:04)
data from Sedibelo</t>
        </r>
      </text>
    </comment>
    <comment ref="K443" authorId="0" shapeId="0" xr:uid="{00000000-0006-0000-0100-00003A050000}">
      <text>
        <r>
          <rPr>
            <sz val="11"/>
            <color theme="1"/>
            <rFont val="Calibri"/>
            <family val="2"/>
            <scheme val="minor"/>
          </rPr>
          <t>======
ID#AAABDDKrPR4
Gavin Mudd    (2023-12-20 21:24:03)
assumes difference in 4E prill split is 50% Au, 50% Rh</t>
        </r>
      </text>
    </comment>
    <comment ref="S443" authorId="0" shapeId="0" xr:uid="{00000000-0006-0000-0100-000058000000}">
      <text>
        <r>
          <rPr>
            <sz val="11"/>
            <color theme="1"/>
            <rFont val="Calibri"/>
            <family val="2"/>
            <scheme val="minor"/>
          </rPr>
          <t>======
ID#AAABDDKrRsc
Gavin Mudd    (2023-12-20 21:24:04)
assumes 75% Pt recovery from recent processing data</t>
        </r>
      </text>
    </comment>
    <comment ref="T443" authorId="0" shapeId="0" xr:uid="{00000000-0006-0000-0100-0000EE050000}">
      <text>
        <r>
          <rPr>
            <sz val="11"/>
            <color theme="1"/>
            <rFont val="Calibri"/>
            <family val="2"/>
            <scheme val="minor"/>
          </rPr>
          <t>======
ID#AAABDDKrO7k
Gavin Mudd    (2023-12-20 21:24:03)
assumes 75% Pd recovery from recent processing data</t>
        </r>
      </text>
    </comment>
    <comment ref="U443" authorId="0" shapeId="0" xr:uid="{00000000-0006-0000-0100-0000F0000000}">
      <text>
        <r>
          <rPr>
            <sz val="11"/>
            <color theme="1"/>
            <rFont val="Calibri"/>
            <family val="2"/>
            <scheme val="minor"/>
          </rPr>
          <t>======
ID#AAABDDKrRZM
Gavin Mudd    (2023-12-20 21:24:04)
assumes difference in 4E prill split is 50% Au, 50% Rh</t>
        </r>
      </text>
    </comment>
    <comment ref="AF443" authorId="0" shapeId="0" xr:uid="{00000000-0006-0000-0100-000001040000}">
      <text>
        <r>
          <rPr>
            <sz val="11"/>
            <color theme="1"/>
            <rFont val="Calibri"/>
            <family val="2"/>
            <scheme val="minor"/>
          </rPr>
          <t>======
ID#AAABDDKrP4A
Gavin Mudd    (2023-12-20 21:24:03)
assumes difference in 4E prill split is 50% Au, 50% Rh</t>
        </r>
      </text>
    </comment>
    <comment ref="AN443" authorId="0" shapeId="0" xr:uid="{00000000-0006-0000-0100-0000AF050000}">
      <text>
        <r>
          <rPr>
            <sz val="11"/>
            <color theme="1"/>
            <rFont val="Calibri"/>
            <family val="2"/>
            <scheme val="minor"/>
          </rPr>
          <t>======
ID#AAABDDKrPDk
Gavin Mudd    (2023-12-20 21:24:03)
assumes 75% Pt recovery from recent processing data</t>
        </r>
      </text>
    </comment>
    <comment ref="AO443" authorId="0" shapeId="0" xr:uid="{00000000-0006-0000-0100-000096020000}">
      <text>
        <r>
          <rPr>
            <sz val="11"/>
            <color theme="1"/>
            <rFont val="Calibri"/>
            <family val="2"/>
            <scheme val="minor"/>
          </rPr>
          <t>======
ID#AAABDDKrQkE
Gavin Mudd    (2023-12-20 21:24:04)
assumes 75% Pd recovery from recent processing data</t>
        </r>
      </text>
    </comment>
    <comment ref="AP443" authorId="0" shapeId="0" xr:uid="{00000000-0006-0000-0100-000042020000}">
      <text>
        <r>
          <rPr>
            <sz val="11"/>
            <color theme="1"/>
            <rFont val="Calibri"/>
            <family val="2"/>
            <scheme val="minor"/>
          </rPr>
          <t>======
ID#AAABDDKrQvU
Gavin Mudd    (2023-12-20 21:24:04)
assumes difference in 4E prill split is 50% Au, 50% Rh</t>
        </r>
      </text>
    </comment>
    <comment ref="BA443" authorId="0" shapeId="0" xr:uid="{00000000-0006-0000-0100-000036000000}">
      <text>
        <r>
          <rPr>
            <sz val="11"/>
            <color theme="1"/>
            <rFont val="Calibri"/>
            <family val="2"/>
            <scheme val="minor"/>
          </rPr>
          <t>======
ID#AAABDDKrRv4
Gavin Mudd    (2023-12-20 21:24:04)
assumes difference in 4E prill split is 50% Au, 50% Rh</t>
        </r>
      </text>
    </comment>
    <comment ref="BI443" authorId="0" shapeId="0" xr:uid="{00000000-0006-0000-0100-0000F4030000}">
      <text>
        <r>
          <rPr>
            <sz val="11"/>
            <color theme="1"/>
            <rFont val="Calibri"/>
            <family val="2"/>
            <scheme val="minor"/>
          </rPr>
          <t>======
ID#AAABDDKrP5U
Gavin Mudd    (2023-12-20 21:24:03)
assumes 75% Pt recovery from recent processing data</t>
        </r>
      </text>
    </comment>
    <comment ref="BJ443" authorId="0" shapeId="0" xr:uid="{00000000-0006-0000-0100-000051010000}">
      <text>
        <r>
          <rPr>
            <sz val="11"/>
            <color theme="1"/>
            <rFont val="Calibri"/>
            <family val="2"/>
            <scheme val="minor"/>
          </rPr>
          <t>======
ID#AAABDDKrRNI
Gavin Mudd    (2023-12-20 21:24:04)
assumes 75% Pd recovery from recent processing data</t>
        </r>
      </text>
    </comment>
    <comment ref="BK443" authorId="0" shapeId="0" xr:uid="{00000000-0006-0000-0100-0000BA050000}">
      <text>
        <r>
          <rPr>
            <sz val="11"/>
            <color theme="1"/>
            <rFont val="Calibri"/>
            <family val="2"/>
            <scheme val="minor"/>
          </rPr>
          <t>======
ID#AAABDDKrPCI
Gavin Mudd    (2023-12-20 21:24:03)
assumes difference in 4E prill split is 50% Au, 50% Rh</t>
        </r>
      </text>
    </comment>
    <comment ref="BV443" authorId="0" shapeId="0" xr:uid="{00000000-0006-0000-0100-0000C0000000}">
      <text>
        <r>
          <rPr>
            <sz val="11"/>
            <color theme="1"/>
            <rFont val="Calibri"/>
            <family val="2"/>
            <scheme val="minor"/>
          </rPr>
          <t>======
ID#AAABDDKrRfQ
Gavin Mudd    (2023-12-20 21:24:04)
assumes difference in 4E prill split is 50% Au, 50% Rh</t>
        </r>
      </text>
    </comment>
    <comment ref="CD443" authorId="0" shapeId="0" xr:uid="{00000000-0006-0000-0100-00007C010000}">
      <text>
        <r>
          <rPr>
            <sz val="11"/>
            <color theme="1"/>
            <rFont val="Calibri"/>
            <family val="2"/>
            <scheme val="minor"/>
          </rPr>
          <t>======
ID#AAABDDKrRIM
Gavin Mudd    (2023-12-20 21:24:04)
assumes 75% Pt recovery from recent processing data</t>
        </r>
      </text>
    </comment>
    <comment ref="CE443" authorId="0" shapeId="0" xr:uid="{00000000-0006-0000-0100-000029010000}">
      <text>
        <r>
          <rPr>
            <sz val="11"/>
            <color theme="1"/>
            <rFont val="Calibri"/>
            <family val="2"/>
            <scheme val="minor"/>
          </rPr>
          <t>======
ID#AAABDDKrRRI
Gavin Mudd    (2023-12-20 21:24:04)
assumes 75% Pd recovery from recent processing data</t>
        </r>
      </text>
    </comment>
    <comment ref="CF443" authorId="0" shapeId="0" xr:uid="{00000000-0006-0000-0100-000017060000}">
      <text>
        <r>
          <rPr>
            <sz val="11"/>
            <color theme="1"/>
            <rFont val="Calibri"/>
            <family val="2"/>
            <scheme val="minor"/>
          </rPr>
          <t>======
ID#AAABCyJQh-Y
Gavin Mudd    (2023-12-20 21:24:02)
assumes difference in 4E prill split is 50% Au, 50% Rh</t>
        </r>
      </text>
    </comment>
    <comment ref="CQ443" authorId="0" shapeId="0" xr:uid="{00000000-0006-0000-0100-00001C050000}">
      <text>
        <r>
          <rPr>
            <sz val="11"/>
            <color theme="1"/>
            <rFont val="Calibri"/>
            <family val="2"/>
            <scheme val="minor"/>
          </rPr>
          <t>======
ID#AAABDDKrPUw
Gavin Mudd    (2023-12-20 21:24:03)
assumes difference in 4E prill split is 50% Au, 50% Rh</t>
        </r>
      </text>
    </comment>
    <comment ref="CY443" authorId="0" shapeId="0" xr:uid="{00000000-0006-0000-0100-000020040000}">
      <text>
        <r>
          <rPr>
            <sz val="11"/>
            <color theme="1"/>
            <rFont val="Calibri"/>
            <family val="2"/>
            <scheme val="minor"/>
          </rPr>
          <t>======
ID#AAABDDKrP0A
Gavin Mudd    (2023-12-20 21:24:03)
assumes 75% Pt recovery from recent processing data</t>
        </r>
      </text>
    </comment>
    <comment ref="CZ443" authorId="0" shapeId="0" xr:uid="{00000000-0006-0000-0100-000023020000}">
      <text>
        <r>
          <rPr>
            <sz val="11"/>
            <color theme="1"/>
            <rFont val="Calibri"/>
            <family val="2"/>
            <scheme val="minor"/>
          </rPr>
          <t>======
ID#AAABDDKrQzg
Gavin Mudd    (2023-12-20 21:24:04)
assumes 75% Pd recovery from recent processing data</t>
        </r>
      </text>
    </comment>
    <comment ref="DA443" authorId="0" shapeId="0" xr:uid="{00000000-0006-0000-0100-0000A7010000}">
      <text>
        <r>
          <rPr>
            <sz val="11"/>
            <color theme="1"/>
            <rFont val="Calibri"/>
            <family val="2"/>
            <scheme val="minor"/>
          </rPr>
          <t>======
ID#AAABDDKrRDM
Gavin Mudd    (2023-12-20 21:24:04)
assumes difference in 4E prill split is 50% Au, 50% Rh</t>
        </r>
      </text>
    </comment>
    <comment ref="J444" authorId="0" shapeId="0" xr:uid="{00000000-0006-0000-0100-0000E4040000}">
      <text>
        <r>
          <rPr>
            <sz val="11"/>
            <color theme="1"/>
            <rFont val="Calibri"/>
            <family val="2"/>
            <scheme val="minor"/>
          </rPr>
          <t>======
ID#AAABDDKrPb4
Gavin Mudd    (2023-12-20 21:24:03)
estimated based on 90% recovery during ore processing</t>
        </r>
      </text>
    </comment>
    <comment ref="K444" authorId="0" shapeId="0" xr:uid="{00000000-0006-0000-0100-000083010000}">
      <text>
        <r>
          <rPr>
            <sz val="11"/>
            <color theme="1"/>
            <rFont val="Calibri"/>
            <family val="2"/>
            <scheme val="minor"/>
          </rPr>
          <t>======
ID#AAABDDKrRHU
Gavin Mudd    (2023-12-20 21:24:04)
estimated based on 90% recovery during ore processing</t>
        </r>
      </text>
    </comment>
    <comment ref="Q444" authorId="0" shapeId="0" xr:uid="{00000000-0006-0000-0100-0000C3030000}">
      <text>
        <r>
          <rPr>
            <sz val="11"/>
            <color theme="1"/>
            <rFont val="Calibri"/>
            <family val="2"/>
            <scheme val="minor"/>
          </rPr>
          <t>======
ID#AAABDDKrP-k
Gavin Mudd    (2023-12-20 21:24:03)
estimated based on 90% recovery during ore processing</t>
        </r>
      </text>
    </comment>
    <comment ref="U444" authorId="0" shapeId="0" xr:uid="{00000000-0006-0000-0100-000089060000}">
      <text>
        <r>
          <rPr>
            <sz val="11"/>
            <color theme="1"/>
            <rFont val="Calibri"/>
            <family val="2"/>
            <scheme val="minor"/>
          </rPr>
          <t>======
ID#AAABCyJQhuA
Gavin Mudd    (2023-12-20 21:24:01)
estimated based on 90% recovery during ore processing</t>
        </r>
      </text>
    </comment>
    <comment ref="AE444" authorId="0" shapeId="0" xr:uid="{00000000-0006-0000-0100-0000A4010000}">
      <text>
        <r>
          <rPr>
            <sz val="11"/>
            <color theme="1"/>
            <rFont val="Calibri"/>
            <family val="2"/>
            <scheme val="minor"/>
          </rPr>
          <t>======
ID#AAABDDKrRDc
Gavin Mudd    (2023-12-20 21:24:04)
estimated based on 90% recovery during ore processing</t>
        </r>
      </text>
    </comment>
    <comment ref="AF444" authorId="0" shapeId="0" xr:uid="{00000000-0006-0000-0100-000057060000}">
      <text>
        <r>
          <rPr>
            <sz val="11"/>
            <color theme="1"/>
            <rFont val="Calibri"/>
            <family val="2"/>
            <scheme val="minor"/>
          </rPr>
          <t>======
ID#AAABCyJQh2Q
Gavin Mudd    (2023-12-20 21:24:02)
estimated based on 90% recovery during ore processing</t>
        </r>
      </text>
    </comment>
    <comment ref="AL444" authorId="0" shapeId="0" xr:uid="{00000000-0006-0000-0100-00000C030000}">
      <text>
        <r>
          <rPr>
            <sz val="11"/>
            <color theme="1"/>
            <rFont val="Calibri"/>
            <family val="2"/>
            <scheme val="minor"/>
          </rPr>
          <t>======
ID#AAABDDKrQT4
Gavin Mudd    (2023-12-20 21:24:03)
estimated based on 90% recovery during ore processing</t>
        </r>
      </text>
    </comment>
    <comment ref="AP444" authorId="0" shapeId="0" xr:uid="{00000000-0006-0000-0100-0000CF010000}">
      <text>
        <r>
          <rPr>
            <sz val="11"/>
            <color theme="1"/>
            <rFont val="Calibri"/>
            <family val="2"/>
            <scheme val="minor"/>
          </rPr>
          <t>======
ID#AAABDDKrQ-E
Gavin Mudd    (2023-12-20 21:24:04)
estimated based on 90% recovery during ore processing</t>
        </r>
      </text>
    </comment>
    <comment ref="AZ444" authorId="0" shapeId="0" xr:uid="{00000000-0006-0000-0100-000020000000}">
      <text>
        <r>
          <rPr>
            <sz val="11"/>
            <color theme="1"/>
            <rFont val="Calibri"/>
            <family val="2"/>
            <scheme val="minor"/>
          </rPr>
          <t>======
ID#AAABDDKrRyA
Gavin Mudd    (2023-12-20 21:24:04)
estimated based on 90% recovery during ore processing</t>
        </r>
      </text>
    </comment>
    <comment ref="BA444" authorId="0" shapeId="0" xr:uid="{00000000-0006-0000-0100-0000E3000000}">
      <text>
        <r>
          <rPr>
            <sz val="11"/>
            <color theme="1"/>
            <rFont val="Calibri"/>
            <family val="2"/>
            <scheme val="minor"/>
          </rPr>
          <t>======
ID#AAABDDKrRao
Gavin Mudd    (2023-12-20 21:24:04)
estimated based on 90% recovery during ore processing</t>
        </r>
      </text>
    </comment>
    <comment ref="BG444" authorId="0" shapeId="0" xr:uid="{00000000-0006-0000-0100-00001D040000}">
      <text>
        <r>
          <rPr>
            <sz val="11"/>
            <color theme="1"/>
            <rFont val="Calibri"/>
            <family val="2"/>
            <scheme val="minor"/>
          </rPr>
          <t>======
ID#AAABDDKrP0Q
Gavin Mudd    (2023-12-20 21:24:03)
estimated based on 90% recovery during ore processing</t>
        </r>
      </text>
    </comment>
    <comment ref="BK444" authorId="0" shapeId="0" xr:uid="{00000000-0006-0000-0100-00000D040000}">
      <text>
        <r>
          <rPr>
            <sz val="11"/>
            <color theme="1"/>
            <rFont val="Calibri"/>
            <family val="2"/>
            <scheme val="minor"/>
          </rPr>
          <t>======
ID#AAABDDKrP2U
Gavin Mudd    (2023-12-20 21:24:03)
estimated based on 90% recovery during ore processing</t>
        </r>
      </text>
    </comment>
    <comment ref="BU444" authorId="0" shapeId="0" xr:uid="{00000000-0006-0000-0100-000077060000}">
      <text>
        <r>
          <rPr>
            <sz val="11"/>
            <color theme="1"/>
            <rFont val="Calibri"/>
            <family val="2"/>
            <scheme val="minor"/>
          </rPr>
          <t>======
ID#AAABCyJQhwo
Gavin Mudd    (2023-12-20 21:24:02)
estimated based on 90% recovery during ore processing</t>
        </r>
      </text>
    </comment>
    <comment ref="BV444" authorId="0" shapeId="0" xr:uid="{00000000-0006-0000-0100-0000D3030000}">
      <text>
        <r>
          <rPr>
            <sz val="11"/>
            <color theme="1"/>
            <rFont val="Calibri"/>
            <family val="2"/>
            <scheme val="minor"/>
          </rPr>
          <t>======
ID#AAABDDKrP8U
Gavin Mudd    (2023-12-20 21:24:03)
estimated based on 90% recovery during ore processing</t>
        </r>
      </text>
    </comment>
    <comment ref="CB444" authorId="0" shapeId="0" xr:uid="{00000000-0006-0000-0100-0000CC000000}">
      <text>
        <r>
          <rPr>
            <sz val="11"/>
            <color theme="1"/>
            <rFont val="Calibri"/>
            <family val="2"/>
            <scheme val="minor"/>
          </rPr>
          <t>======
ID#AAABDDKrRdg
Gavin Mudd    (2023-12-20 21:24:04)
estimated based on 90% recovery during ore processing</t>
        </r>
      </text>
    </comment>
    <comment ref="CF444" authorId="0" shapeId="0" xr:uid="{00000000-0006-0000-0100-00003F030000}">
      <text>
        <r>
          <rPr>
            <sz val="11"/>
            <color theme="1"/>
            <rFont val="Calibri"/>
            <family val="2"/>
            <scheme val="minor"/>
          </rPr>
          <t>======
ID#AAABDDKrQNA
Gavin Mudd    (2023-12-20 21:24:03)
estimated based on 90% recovery during ore processing</t>
        </r>
      </text>
    </comment>
    <comment ref="CP444" authorId="0" shapeId="0" xr:uid="{00000000-0006-0000-0100-00004B020000}">
      <text>
        <r>
          <rPr>
            <sz val="11"/>
            <color theme="1"/>
            <rFont val="Calibri"/>
            <family val="2"/>
            <scheme val="minor"/>
          </rPr>
          <t>======
ID#AAABDDKrQuU
Gavin Mudd    (2023-12-20 21:24:04)
estimated based on 90% recovery during ore processing</t>
        </r>
      </text>
    </comment>
    <comment ref="CQ444" authorId="0" shapeId="0" xr:uid="{00000000-0006-0000-0100-000060060000}">
      <text>
        <r>
          <rPr>
            <sz val="11"/>
            <color theme="1"/>
            <rFont val="Calibri"/>
            <family val="2"/>
            <scheme val="minor"/>
          </rPr>
          <t>======
ID#AAABCyJQh0s
Gavin Mudd    (2023-12-20 21:24:02)
estimated based on 90% recovery during ore processing</t>
        </r>
      </text>
    </comment>
    <comment ref="CW444" authorId="0" shapeId="0" xr:uid="{00000000-0006-0000-0100-000050030000}">
      <text>
        <r>
          <rPr>
            <sz val="11"/>
            <color theme="1"/>
            <rFont val="Calibri"/>
            <family val="2"/>
            <scheme val="minor"/>
          </rPr>
          <t>======
ID#AAABDDKrQK4
Gavin Mudd    (2023-12-20 21:24:03)
estimated based on 90% recovery during ore processing</t>
        </r>
      </text>
    </comment>
    <comment ref="DA444" authorId="0" shapeId="0" xr:uid="{00000000-0006-0000-0100-0000D5020000}">
      <text>
        <r>
          <rPr>
            <sz val="11"/>
            <color theme="1"/>
            <rFont val="Calibri"/>
            <family val="2"/>
            <scheme val="minor"/>
          </rPr>
          <t>======
ID#AAABDDKrQbc
Gavin Mudd    (2023-12-20 21:24:03)
estimated based on 90% recovery during ore processing</t>
        </r>
      </text>
    </comment>
    <comment ref="DN445" authorId="0" shapeId="0" xr:uid="{00000000-0006-0000-0100-0000BE030000}">
      <text>
        <r>
          <rPr>
            <sz val="11"/>
            <color theme="1"/>
            <rFont val="Calibri"/>
            <family val="2"/>
            <scheme val="minor"/>
          </rPr>
          <t>======
ID#AAABDDKrP_c
Gavin Mudd    (2023-12-20 21:24:03)
P&amp;P reserves data combined from both Anglo American Plc and Anglo American Platinum Ltd</t>
        </r>
      </text>
    </comment>
    <comment ref="V446" authorId="0" shapeId="0" xr:uid="{00000000-0006-0000-0100-00003D040000}">
      <text>
        <r>
          <rPr>
            <sz val="11"/>
            <color theme="1"/>
            <rFont val="Calibri"/>
            <family val="2"/>
            <scheme val="minor"/>
          </rPr>
          <t>======
ID#AAABDDKrPw0
Gavin Mudd    (2023-12-20 21:24:03)
g/t Ru</t>
        </r>
      </text>
    </comment>
    <comment ref="W446" authorId="0" shapeId="0" xr:uid="{00000000-0006-0000-0100-0000A9020000}">
      <text>
        <r>
          <rPr>
            <sz val="11"/>
            <color theme="1"/>
            <rFont val="Calibri"/>
            <family val="2"/>
            <scheme val="minor"/>
          </rPr>
          <t>======
ID#AAABDDKrQhE
Gavin Mudd    (2023-12-20 21:24:04)
g/t Ir</t>
        </r>
      </text>
    </comment>
    <comment ref="AQ446" authorId="0" shapeId="0" xr:uid="{00000000-0006-0000-0100-000090030000}">
      <text>
        <r>
          <rPr>
            <sz val="11"/>
            <color theme="1"/>
            <rFont val="Calibri"/>
            <family val="2"/>
            <scheme val="minor"/>
          </rPr>
          <t>======
ID#AAABDDKrQFE
Gavin Mudd    (2023-12-20 21:24:03)
g/t Ru</t>
        </r>
      </text>
    </comment>
    <comment ref="AR446" authorId="0" shapeId="0" xr:uid="{00000000-0006-0000-0100-00007C000000}">
      <text>
        <r>
          <rPr>
            <sz val="11"/>
            <color theme="1"/>
            <rFont val="Calibri"/>
            <family val="2"/>
            <scheme val="minor"/>
          </rPr>
          <t>======
ID#AAABDDKrRoU
Gavin Mudd    (2023-12-20 21:24:04)
g/t Ir</t>
        </r>
      </text>
    </comment>
    <comment ref="BL446" authorId="0" shapeId="0" xr:uid="{00000000-0006-0000-0100-000047050000}">
      <text>
        <r>
          <rPr>
            <sz val="11"/>
            <color theme="1"/>
            <rFont val="Calibri"/>
            <family val="2"/>
            <scheme val="minor"/>
          </rPr>
          <t>======
ID#AAABDDKrPQI
Gavin Mudd    (2023-12-20 21:24:03)
g/t Ru</t>
        </r>
      </text>
    </comment>
    <comment ref="BM446" authorId="0" shapeId="0" xr:uid="{00000000-0006-0000-0100-000036030000}">
      <text>
        <r>
          <rPr>
            <sz val="11"/>
            <color theme="1"/>
            <rFont val="Calibri"/>
            <family val="2"/>
            <scheme val="minor"/>
          </rPr>
          <t>======
ID#AAABDDKrQOM
Gavin Mudd    (2023-12-20 21:24:03)
g/t Ir</t>
        </r>
      </text>
    </comment>
    <comment ref="CG446" authorId="0" shapeId="0" xr:uid="{00000000-0006-0000-0100-0000DE040000}">
      <text>
        <r>
          <rPr>
            <sz val="11"/>
            <color theme="1"/>
            <rFont val="Calibri"/>
            <family val="2"/>
            <scheme val="minor"/>
          </rPr>
          <t>======
ID#AAABDDKrPc0
Gavin Mudd    (2023-12-20 21:24:03)
g/t Ru</t>
        </r>
      </text>
    </comment>
    <comment ref="CH446" authorId="0" shapeId="0" xr:uid="{00000000-0006-0000-0100-0000C0040000}">
      <text>
        <r>
          <rPr>
            <sz val="11"/>
            <color theme="1"/>
            <rFont val="Calibri"/>
            <family val="2"/>
            <scheme val="minor"/>
          </rPr>
          <t>======
ID#AAABDDKrPgI
Gavin Mudd    (2023-12-20 21:24:03)
g/t Ir</t>
        </r>
      </text>
    </comment>
    <comment ref="DB446" authorId="0" shapeId="0" xr:uid="{00000000-0006-0000-0100-00002F030000}">
      <text>
        <r>
          <rPr>
            <sz val="11"/>
            <color theme="1"/>
            <rFont val="Calibri"/>
            <family val="2"/>
            <scheme val="minor"/>
          </rPr>
          <t>======
ID#AAABDDKrQPM
Gavin Mudd    (2023-12-20 21:24:03)
g/t Ru</t>
        </r>
      </text>
    </comment>
    <comment ref="DC446" authorId="0" shapeId="0" xr:uid="{00000000-0006-0000-0100-000099010000}">
      <text>
        <r>
          <rPr>
            <sz val="11"/>
            <color theme="1"/>
            <rFont val="Calibri"/>
            <family val="2"/>
            <scheme val="minor"/>
          </rPr>
          <t>======
ID#AAABDDKrREw
Gavin Mudd    (2023-12-20 21:24:04)
g/t Ir</t>
        </r>
      </text>
    </comment>
    <comment ref="V447" authorId="0" shapeId="0" xr:uid="{00000000-0006-0000-0100-000052050000}">
      <text>
        <r>
          <rPr>
            <sz val="11"/>
            <color theme="1"/>
            <rFont val="Calibri"/>
            <family val="2"/>
            <scheme val="minor"/>
          </rPr>
          <t>======
ID#AAABDDKrPOo
Gavin Mudd    (2023-12-20 21:24:03)
g/t Ru</t>
        </r>
      </text>
    </comment>
    <comment ref="W447" authorId="0" shapeId="0" xr:uid="{00000000-0006-0000-0100-0000AD020000}">
      <text>
        <r>
          <rPr>
            <sz val="11"/>
            <color theme="1"/>
            <rFont val="Calibri"/>
            <family val="2"/>
            <scheme val="minor"/>
          </rPr>
          <t>======
ID#AAABDDKrQg0
Gavin Mudd    (2023-12-20 21:24:03)
g/t Ir</t>
        </r>
      </text>
    </comment>
    <comment ref="AQ447" authorId="0" shapeId="0" xr:uid="{00000000-0006-0000-0100-000062000000}">
      <text>
        <r>
          <rPr>
            <sz val="11"/>
            <color theme="1"/>
            <rFont val="Calibri"/>
            <family val="2"/>
            <scheme val="minor"/>
          </rPr>
          <t>======
ID#AAABDDKrRrk
Gavin Mudd    (2023-12-20 21:24:04)
g/t Ru</t>
        </r>
      </text>
    </comment>
    <comment ref="AR447" authorId="0" shapeId="0" xr:uid="{00000000-0006-0000-0100-00003D030000}">
      <text>
        <r>
          <rPr>
            <sz val="11"/>
            <color theme="1"/>
            <rFont val="Calibri"/>
            <family val="2"/>
            <scheme val="minor"/>
          </rPr>
          <t>======
ID#AAABDDKrQNM
Gavin Mudd    (2023-12-20 21:24:03)
g/t Ir</t>
        </r>
      </text>
    </comment>
    <comment ref="BL447" authorId="0" shapeId="0" xr:uid="{00000000-0006-0000-0100-0000AB040000}">
      <text>
        <r>
          <rPr>
            <sz val="11"/>
            <color theme="1"/>
            <rFont val="Calibri"/>
            <family val="2"/>
            <scheme val="minor"/>
          </rPr>
          <t>======
ID#AAABDDKrPiU
Gavin Mudd    (2023-12-20 21:24:03)
g/t Ru</t>
        </r>
      </text>
    </comment>
    <comment ref="BM447" authorId="0" shapeId="0" xr:uid="{00000000-0006-0000-0100-000077000000}">
      <text>
        <r>
          <rPr>
            <sz val="11"/>
            <color theme="1"/>
            <rFont val="Calibri"/>
            <family val="2"/>
            <scheme val="minor"/>
          </rPr>
          <t>======
ID#AAABDDKrRpA
Gavin Mudd    (2023-12-20 21:24:04)
g/t Ir</t>
        </r>
      </text>
    </comment>
    <comment ref="CG447" authorId="0" shapeId="0" xr:uid="{00000000-0006-0000-0100-000059030000}">
      <text>
        <r>
          <rPr>
            <sz val="11"/>
            <color theme="1"/>
            <rFont val="Calibri"/>
            <family val="2"/>
            <scheme val="minor"/>
          </rPr>
          <t>======
ID#AAABDDKrQJw
Gavin Mudd    (2023-12-20 21:24:03)
g/t Ru</t>
        </r>
      </text>
    </comment>
    <comment ref="CH447" authorId="0" shapeId="0" xr:uid="{00000000-0006-0000-0100-000067040000}">
      <text>
        <r>
          <rPr>
            <sz val="11"/>
            <color theme="1"/>
            <rFont val="Calibri"/>
            <family val="2"/>
            <scheme val="minor"/>
          </rPr>
          <t>======
ID#AAABDDKrPq0
Gavin Mudd    (2023-12-20 21:24:03)
g/t Ir</t>
        </r>
      </text>
    </comment>
    <comment ref="DB447" authorId="0" shapeId="0" xr:uid="{00000000-0006-0000-0100-000020060000}">
      <text>
        <r>
          <rPr>
            <sz val="11"/>
            <color theme="1"/>
            <rFont val="Calibri"/>
            <family val="2"/>
            <scheme val="minor"/>
          </rPr>
          <t>======
ID#AAABCyJQh9A
Gavin Mudd    (2023-12-20 21:24:02)
g/t Ru</t>
        </r>
      </text>
    </comment>
    <comment ref="DC447" authorId="0" shapeId="0" xr:uid="{00000000-0006-0000-0100-0000C4050000}">
      <text>
        <r>
          <rPr>
            <sz val="11"/>
            <color theme="1"/>
            <rFont val="Calibri"/>
            <family val="2"/>
            <scheme val="minor"/>
          </rPr>
          <t>======
ID#AAABDDKrPAo
Gavin Mudd    (2023-12-20 21:24:03)
g/t Ir</t>
        </r>
      </text>
    </comment>
    <comment ref="F448" authorId="0" shapeId="0" xr:uid="{00000000-0006-0000-0100-0000F5000000}">
      <text>
        <r>
          <rPr>
            <sz val="11"/>
            <color theme="1"/>
            <rFont val="Calibri"/>
            <family val="2"/>
            <scheme val="minor"/>
          </rPr>
          <t>======
ID#AAABDDKrRYc
Gavin Mudd    (2023-12-20 21:24:04)
previously held by CAMEC (Central African Mining &amp; Exploration Company Plc)</t>
        </r>
      </text>
    </comment>
    <comment ref="DN448" authorId="0" shapeId="0" xr:uid="{00000000-0006-0000-0100-000087030000}">
      <text>
        <r>
          <rPr>
            <sz val="11"/>
            <color theme="1"/>
            <rFont val="Calibri"/>
            <family val="2"/>
            <scheme val="minor"/>
          </rPr>
          <t>======
ID#AAABDDKrQGA
Gavin Mudd    (2023-12-20 21:24:03)
data from CAMEC (Central African Mining &amp; Exploration Company Plc)</t>
        </r>
      </text>
    </comment>
    <comment ref="F449" authorId="0" shapeId="0" xr:uid="{00000000-0006-0000-0100-00001E040000}">
      <text>
        <r>
          <rPr>
            <sz val="11"/>
            <color theme="1"/>
            <rFont val="Calibri"/>
            <family val="2"/>
            <scheme val="minor"/>
          </rPr>
          <t>======
ID#AAABDDKrP0M
Gavin Mudd    (2023-12-20 21:24:03)
previously held by CAMEC (Central African Mining &amp; Exploration Company Plc)</t>
        </r>
      </text>
    </comment>
    <comment ref="DN449" authorId="0" shapeId="0" xr:uid="{00000000-0006-0000-0100-000078030000}">
      <text>
        <r>
          <rPr>
            <sz val="11"/>
            <color theme="1"/>
            <rFont val="Calibri"/>
            <family val="2"/>
            <scheme val="minor"/>
          </rPr>
          <t>======
ID#AAABDDKrQHM
Gavin Mudd    (2023-12-20 21:24:03)
data from CAMEC (Central African Mining &amp; Exploration Company Plc)</t>
        </r>
      </text>
    </comment>
    <comment ref="DN455" authorId="0" shapeId="0" xr:uid="{00000000-0006-0000-0100-0000CD020000}">
      <text>
        <r>
          <rPr>
            <sz val="11"/>
            <color theme="1"/>
            <rFont val="Calibri"/>
            <family val="2"/>
            <scheme val="minor"/>
          </rPr>
          <t>======
ID#AAABDDKrQdc
Gavin Mudd    (2023-12-20 21:24:03)
Platina Resources</t>
        </r>
      </text>
    </comment>
    <comment ref="I459" authorId="0" shapeId="0" xr:uid="{00000000-0006-0000-0100-00007E010000}">
      <text>
        <r>
          <rPr>
            <sz val="11"/>
            <color theme="1"/>
            <rFont val="Calibri"/>
            <family val="2"/>
            <scheme val="minor"/>
          </rPr>
          <t>======
ID#AAABDDKrRIE
Gavin Mudd    (2023-12-20 21:24:04)
measured &amp; indicated reported, assumed as indicated given closure; 2014 Norilsk Nickel data</t>
        </r>
      </text>
    </comment>
    <comment ref="AD459" authorId="0" shapeId="0" xr:uid="{00000000-0006-0000-0100-00000A060000}">
      <text>
        <r>
          <rPr>
            <sz val="11"/>
            <color theme="1"/>
            <rFont val="Calibri"/>
            <family val="2"/>
            <scheme val="minor"/>
          </rPr>
          <t>======
ID#AAABCyJQh_4
Gavin Mudd    (2023-12-20 21:24:02)
measured &amp; indicated reported, assumed as indicated given closure; 2014 Norilsk Nickel data</t>
        </r>
      </text>
    </comment>
    <comment ref="AE459" authorId="0" shapeId="0" xr:uid="{00000000-0006-0000-0100-000037050000}">
      <text>
        <r>
          <rPr>
            <sz val="11"/>
            <color theme="1"/>
            <rFont val="Calibri"/>
            <family val="2"/>
            <scheme val="minor"/>
          </rPr>
          <t>======
ID#AAABDDKrPSE
Gavin Mudd    (2023-12-20 21:24:03)
measured &amp; indicated reported, assumed as indicated given closure; 2014 Norilsk Nickel data</t>
        </r>
      </text>
    </comment>
    <comment ref="AL459" authorId="0" shapeId="0" xr:uid="{00000000-0006-0000-0100-000030060000}">
      <text>
        <r>
          <rPr>
            <sz val="11"/>
            <color theme="1"/>
            <rFont val="Calibri"/>
            <family val="2"/>
            <scheme val="minor"/>
          </rPr>
          <t>======
ID#AAABCyJQh7M
Gavin Mudd    (2023-12-20 21:24:02)
measured &amp; indicated reported, assumed as indicated given closure; 2014 Norilsk Nickel data</t>
        </r>
      </text>
    </comment>
    <comment ref="F460" authorId="0" shapeId="0" xr:uid="{00000000-0006-0000-0100-000073000000}">
      <text>
        <r>
          <rPr>
            <sz val="11"/>
            <color theme="1"/>
            <rFont val="Calibri"/>
            <family val="2"/>
            <scheme val="minor"/>
          </rPr>
          <t>======
ID#AAABDDKrRpU
Gavin Mudd    (2023-12-20 21:24:04)
previously held by Canadian Arrow Mines</t>
        </r>
      </text>
    </comment>
    <comment ref="DN460" authorId="0" shapeId="0" xr:uid="{00000000-0006-0000-0100-0000CA040000}">
      <text>
        <r>
          <rPr>
            <sz val="11"/>
            <color theme="1"/>
            <rFont val="Calibri"/>
            <family val="2"/>
            <scheme val="minor"/>
          </rPr>
          <t>======
ID#AAABDDKrPfM
Gavin Mudd    (2023-12-20 21:24:03)
data from Canadian Arrow Mines</t>
        </r>
      </text>
    </comment>
    <comment ref="BH462" authorId="0" shapeId="0" xr:uid="{00000000-0006-0000-0100-0000D1010000}">
      <text>
        <r>
          <rPr>
            <sz val="11"/>
            <color theme="1"/>
            <rFont val="Calibri"/>
            <family val="2"/>
            <scheme val="minor"/>
          </rPr>
          <t>======
ID#AAABDDKrQ94
Gavin Mudd    (2023-12-20 21:24:04)
data from Boyd et al (2016)</t>
        </r>
      </text>
    </comment>
    <comment ref="BI463" authorId="0" shapeId="0" xr:uid="{00000000-0006-0000-0100-000078050000}">
      <text>
        <r>
          <rPr>
            <sz val="11"/>
            <color theme="1"/>
            <rFont val="Calibri"/>
            <family val="2"/>
            <scheme val="minor"/>
          </rPr>
          <t>======
ID#AAABDDKrPJg
Gavin Mudd    (2023-12-20 21:24:03)
assumes equal Pt-Pd grades</t>
        </r>
      </text>
    </comment>
    <comment ref="BJ463" authorId="0" shapeId="0" xr:uid="{00000000-0006-0000-0100-00005F060000}">
      <text>
        <r>
          <rPr>
            <sz val="11"/>
            <color theme="1"/>
            <rFont val="Calibri"/>
            <family val="2"/>
            <scheme val="minor"/>
          </rPr>
          <t>======
ID#AAABCyJQh0w
Gavin Mudd    (2023-12-20 21:24:02)
assumes equal Pt-Pd grades</t>
        </r>
      </text>
    </comment>
    <comment ref="I464" authorId="0" shapeId="0" xr:uid="{00000000-0006-0000-0100-000026040000}">
      <text>
        <r>
          <rPr>
            <sz val="11"/>
            <color theme="1"/>
            <rFont val="Calibri"/>
            <family val="2"/>
            <scheme val="minor"/>
          </rPr>
          <t>======
ID#AAABDDKrPzY
Gavin Mudd    (2023-12-20 21:24:03)
stated as reserves only with no additional resources, hece assumed as measured resources</t>
        </r>
      </text>
    </comment>
    <comment ref="J464" authorId="0" shapeId="0" xr:uid="{00000000-0006-0000-0100-0000E9030000}">
      <text>
        <r>
          <rPr>
            <sz val="11"/>
            <color theme="1"/>
            <rFont val="Calibri"/>
            <family val="2"/>
            <scheme val="minor"/>
          </rPr>
          <t>======
ID#AAABDDKrP6Y
Gavin Mudd    (2023-12-20 21:24:03)
stated as reserves only with no additional resources, hece assumed as measured resources</t>
        </r>
      </text>
    </comment>
    <comment ref="K464" authorId="0" shapeId="0" xr:uid="{00000000-0006-0000-0100-00008E040000}">
      <text>
        <r>
          <rPr>
            <sz val="11"/>
            <color theme="1"/>
            <rFont val="Calibri"/>
            <family val="2"/>
            <scheme val="minor"/>
          </rPr>
          <t>======
ID#AAABDDKrPl0
Gavin Mudd    (2023-12-20 21:24:03)
stated as reserves only with no additional resources, hece assumed as measured resources</t>
        </r>
      </text>
    </comment>
    <comment ref="Q464" authorId="0" shapeId="0" xr:uid="{00000000-0006-0000-0100-000038050000}">
      <text>
        <r>
          <rPr>
            <sz val="11"/>
            <color theme="1"/>
            <rFont val="Calibri"/>
            <family val="2"/>
            <scheme val="minor"/>
          </rPr>
          <t>======
ID#AAABDDKrPSA
Gavin Mudd    (2023-12-20 21:24:03)
stated as reserves only with no additional resources, hece assumed as measured resources</t>
        </r>
      </text>
    </comment>
    <comment ref="S464" authorId="0" shapeId="0" xr:uid="{00000000-0006-0000-0100-000075040000}">
      <text>
        <r>
          <rPr>
            <sz val="11"/>
            <color theme="1"/>
            <rFont val="Calibri"/>
            <family val="2"/>
            <scheme val="minor"/>
          </rPr>
          <t>======
ID#AAABDDKrPpU
Gavin Mudd    (2023-12-20 21:24:03)
only total resources presented, assumed as indicated resources; 3E g/t - 40% assumed as Pt</t>
        </r>
      </text>
    </comment>
    <comment ref="T464" authorId="0" shapeId="0" xr:uid="{00000000-0006-0000-0100-00006D000000}">
      <text>
        <r>
          <rPr>
            <sz val="11"/>
            <color theme="1"/>
            <rFont val="Calibri"/>
            <family val="2"/>
            <scheme val="minor"/>
          </rPr>
          <t>======
ID#AAABDDKrRqI
Gavin Mudd    (2023-12-20 21:24:04)
only total resources presented, assumed as indicated resources; 3E g/t - 60% assumed as Pd</t>
        </r>
      </text>
    </comment>
    <comment ref="CD464" authorId="0" shapeId="0" xr:uid="{00000000-0006-0000-0100-000075030000}">
      <text>
        <r>
          <rPr>
            <sz val="11"/>
            <color theme="1"/>
            <rFont val="Calibri"/>
            <family val="2"/>
            <scheme val="minor"/>
          </rPr>
          <t>======
ID#AAABDDKrQHc
Gavin Mudd    (2023-12-20 21:24:03)
only total resources presented, assumed as indicated resources; 3E g/t - 40% assumed as Pt</t>
        </r>
      </text>
    </comment>
    <comment ref="CE464" authorId="0" shapeId="0" xr:uid="{00000000-0006-0000-0100-000064030000}">
      <text>
        <r>
          <rPr>
            <sz val="11"/>
            <color theme="1"/>
            <rFont val="Calibri"/>
            <family val="2"/>
            <scheme val="minor"/>
          </rPr>
          <t>======
ID#AAABDDKrQI4
Gavin Mudd    (2023-12-20 21:24:03)
only total resources presented, assumed as indicated resources; 3E g/t - 60% assumed as Pd</t>
        </r>
      </text>
    </comment>
    <comment ref="I465" authorId="0" shapeId="0" xr:uid="{00000000-0006-0000-0100-000053050000}">
      <text>
        <r>
          <rPr>
            <sz val="11"/>
            <color theme="1"/>
            <rFont val="Calibri"/>
            <family val="2"/>
            <scheme val="minor"/>
          </rPr>
          <t>======
ID#AAABDDKrPOk
Gavin Mudd    (2023-12-20 21:24:03)
stated as reserves only with no additional resources, hece assumed as measured resources</t>
        </r>
      </text>
    </comment>
    <comment ref="J465" authorId="0" shapeId="0" xr:uid="{00000000-0006-0000-0100-000070050000}">
      <text>
        <r>
          <rPr>
            <sz val="11"/>
            <color theme="1"/>
            <rFont val="Calibri"/>
            <family val="2"/>
            <scheme val="minor"/>
          </rPr>
          <t>======
ID#AAABDDKrPKo
Gavin Mudd    (2023-12-20 21:24:03)
stated as reserves only with no additional resources, hece assumed as measured resources</t>
        </r>
      </text>
    </comment>
    <comment ref="K465" authorId="0" shapeId="0" xr:uid="{00000000-0006-0000-0100-0000AC050000}">
      <text>
        <r>
          <rPr>
            <sz val="11"/>
            <color theme="1"/>
            <rFont val="Calibri"/>
            <family val="2"/>
            <scheme val="minor"/>
          </rPr>
          <t>======
ID#AAABDDKrPEA
Gavin Mudd    (2023-12-20 21:24:03)
stated as reserves only with no additional resources, hece assumed as measured resources</t>
        </r>
      </text>
    </comment>
    <comment ref="Q465" authorId="0" shapeId="0" xr:uid="{00000000-0006-0000-0100-000068000000}">
      <text>
        <r>
          <rPr>
            <sz val="11"/>
            <color theme="1"/>
            <rFont val="Calibri"/>
            <family val="2"/>
            <scheme val="minor"/>
          </rPr>
          <t>======
ID#AAABDDKrRq0
Gavin Mudd    (2023-12-20 21:24:04)
stated as reserves only with no additional resources, hece assumed as measured resources</t>
        </r>
      </text>
    </comment>
    <comment ref="S465" authorId="0" shapeId="0" xr:uid="{00000000-0006-0000-0100-00004A060000}">
      <text>
        <r>
          <rPr>
            <sz val="11"/>
            <color theme="1"/>
            <rFont val="Calibri"/>
            <family val="2"/>
            <scheme val="minor"/>
          </rPr>
          <t>======
ID#AAABCyJQh3k
Gavin Mudd    (2023-12-20 21:24:02)
only total resources presented, assumed as indicated resources; 3E g/t - 40% assumed as Pt</t>
        </r>
      </text>
    </comment>
    <comment ref="T465" authorId="0" shapeId="0" xr:uid="{00000000-0006-0000-0100-00004F020000}">
      <text>
        <r>
          <rPr>
            <sz val="11"/>
            <color theme="1"/>
            <rFont val="Calibri"/>
            <family val="2"/>
            <scheme val="minor"/>
          </rPr>
          <t>======
ID#AAABDDKrQtg
Gavin Mudd    (2023-12-20 21:24:04)
only total resources presented, assumed as indicated resources; 3E g/t - 60% assumed as Pd</t>
        </r>
      </text>
    </comment>
    <comment ref="CD465" authorId="0" shapeId="0" xr:uid="{00000000-0006-0000-0100-0000BB030000}">
      <text>
        <r>
          <rPr>
            <sz val="11"/>
            <color theme="1"/>
            <rFont val="Calibri"/>
            <family val="2"/>
            <scheme val="minor"/>
          </rPr>
          <t>======
ID#AAABDDKrQAE
Gavin Mudd    (2023-12-20 21:24:03)
only total resources presented, assumed as indicated resources; 3E g/t - 40% assumed as Pt</t>
        </r>
      </text>
    </comment>
    <comment ref="CE465" authorId="0" shapeId="0" xr:uid="{00000000-0006-0000-0100-000010050000}">
      <text>
        <r>
          <rPr>
            <sz val="11"/>
            <color theme="1"/>
            <rFont val="Calibri"/>
            <family val="2"/>
            <scheme val="minor"/>
          </rPr>
          <t>======
ID#AAABDDKrPWI
Gavin Mudd    (2023-12-20 21:24:03)
only total resources presented, assumed as indicated resources; 3E g/t - 60% assumed as Pd</t>
        </r>
      </text>
    </comment>
    <comment ref="F466" authorId="0" shapeId="0" xr:uid="{00000000-0006-0000-0100-00006D040000}">
      <text>
        <r>
          <rPr>
            <sz val="11"/>
            <color theme="1"/>
            <rFont val="Calibri"/>
            <family val="2"/>
            <scheme val="minor"/>
          </rPr>
          <t>======
ID#AAABDDKrPqM
Gavin Mudd    (2023-12-20 21:24:03)
previously held by Allegiance Mining, then then Zinifex, then OZ Minerals, then MMG, now Dundas Mining</t>
        </r>
      </text>
    </comment>
    <comment ref="DN466" authorId="0" shapeId="0" xr:uid="{00000000-0006-0000-0100-000022050000}">
      <text>
        <r>
          <rPr>
            <sz val="11"/>
            <color theme="1"/>
            <rFont val="Calibri"/>
            <family val="2"/>
            <scheme val="minor"/>
          </rPr>
          <t>======
ID#AAABDDKrPUc
Gavin Mudd    (2023-12-20 21:24:03)
data from former owner Allegiance Mining</t>
        </r>
      </text>
    </comment>
    <comment ref="AZ467" authorId="0" shapeId="0" xr:uid="{00000000-0006-0000-0100-0000EC040000}">
      <text>
        <r>
          <rPr>
            <sz val="11"/>
            <color theme="1"/>
            <rFont val="Calibri"/>
            <family val="2"/>
            <scheme val="minor"/>
          </rPr>
          <t>======
ID#AAABDDKrPbE
Gavin Mudd    (2023-12-20 21:24:03)
assumes Northern Bushveld average grades and prill split</t>
        </r>
      </text>
    </comment>
    <comment ref="BA467" authorId="0" shapeId="0" xr:uid="{00000000-0006-0000-0100-0000F8040000}">
      <text>
        <r>
          <rPr>
            <sz val="11"/>
            <color theme="1"/>
            <rFont val="Calibri"/>
            <family val="2"/>
            <scheme val="minor"/>
          </rPr>
          <t>======
ID#AAABDDKrPZQ
Gavin Mudd    (2023-12-20 21:24:03)
assumes Northern Bushveld average grades and prill split</t>
        </r>
      </text>
    </comment>
    <comment ref="BG467" authorId="0" shapeId="0" xr:uid="{00000000-0006-0000-0100-00000B000000}">
      <text>
        <r>
          <rPr>
            <sz val="11"/>
            <color theme="1"/>
            <rFont val="Calibri"/>
            <family val="2"/>
            <scheme val="minor"/>
          </rPr>
          <t>======
ID#AAABDDKrR0w
Gavin Mudd    (2023-12-20 21:24:04)
assumes Northern Bushveld average grades and prill split</t>
        </r>
      </text>
    </comment>
    <comment ref="BI467" authorId="0" shapeId="0" xr:uid="{00000000-0006-0000-0100-00004F040000}">
      <text>
        <r>
          <rPr>
            <sz val="11"/>
            <color theme="1"/>
            <rFont val="Calibri"/>
            <family val="2"/>
            <scheme val="minor"/>
          </rPr>
          <t>======
ID#AAABDDKrPuI
Gavin Mudd    (2023-12-20 21:24:03)
assumes Northern Bushveld average grades and prill split</t>
        </r>
      </text>
    </comment>
    <comment ref="BJ467" authorId="0" shapeId="0" xr:uid="{00000000-0006-0000-0100-000022010000}">
      <text>
        <r>
          <rPr>
            <sz val="11"/>
            <color theme="1"/>
            <rFont val="Calibri"/>
            <family val="2"/>
            <scheme val="minor"/>
          </rPr>
          <t>======
ID#AAABDDKrRSI
Gavin Mudd    (2023-12-20 21:24:04)
assumes Northern Bushveld average grades and prill split</t>
        </r>
      </text>
    </comment>
    <comment ref="AY468" authorId="0" shapeId="0" xr:uid="{00000000-0006-0000-0100-000035050000}">
      <text>
        <r>
          <rPr>
            <sz val="11"/>
            <color theme="1"/>
            <rFont val="Calibri"/>
            <family val="2"/>
            <scheme val="minor"/>
          </rPr>
          <t>======
ID#AAABDDKrPSM
Gavin Mudd    (2023-12-20 21:24:03)
historic resources (non-compliant with NI43-101) - hence all data allocated as inferred resources only</t>
        </r>
      </text>
    </comment>
    <comment ref="BG468" authorId="0" shapeId="0" xr:uid="{00000000-0006-0000-0100-000024040000}">
      <text>
        <r>
          <rPr>
            <sz val="11"/>
            <color theme="1"/>
            <rFont val="Calibri"/>
            <family val="2"/>
            <scheme val="minor"/>
          </rPr>
          <t>======
ID#AAABDDKrPzs
Gavin Mudd    (2023-12-20 21:24:03)
historic resources (non-compliant with NI43-101) - hence all data allocated as inferred resources only</t>
        </r>
      </text>
    </comment>
    <comment ref="AY469" authorId="0" shapeId="0" xr:uid="{00000000-0006-0000-0100-0000BC020000}">
      <text>
        <r>
          <rPr>
            <sz val="11"/>
            <color theme="1"/>
            <rFont val="Calibri"/>
            <family val="2"/>
            <scheme val="minor"/>
          </rPr>
          <t>======
ID#AAABDDKrQfY
Gavin Mudd    (2023-12-20 21:24:03)
all resources assumed to be equivalent to inferred</t>
        </r>
      </text>
    </comment>
    <comment ref="F470" authorId="0" shapeId="0" xr:uid="{00000000-0006-0000-0100-000000010000}">
      <text>
        <r>
          <rPr>
            <sz val="11"/>
            <color theme="1"/>
            <rFont val="Calibri"/>
            <family val="2"/>
            <scheme val="minor"/>
          </rPr>
          <t>======
ID#AAABDDKrRXA
Author    (2023-12-20 21:24:04)
formerly Nevoro, which became Starfield Resources - now bankrupt</t>
        </r>
      </text>
    </comment>
    <comment ref="AY470" authorId="0" shapeId="0" xr:uid="{00000000-0006-0000-0100-0000AB000000}">
      <text>
        <r>
          <rPr>
            <sz val="11"/>
            <color theme="1"/>
            <rFont val="Calibri"/>
            <family val="2"/>
            <scheme val="minor"/>
          </rPr>
          <t>======
ID#AAABDDKrRhY
Gavin Mudd    (2023-12-20 21:24:04)
historic resources (non-compliant with NI43-101) - hence all data allocated as inferred resources only</t>
        </r>
      </text>
    </comment>
    <comment ref="AZ470" authorId="0" shapeId="0" xr:uid="{00000000-0006-0000-0100-00004B030000}">
      <text>
        <r>
          <rPr>
            <sz val="11"/>
            <color theme="1"/>
            <rFont val="Calibri"/>
            <family val="2"/>
            <scheme val="minor"/>
          </rPr>
          <t>======
ID#AAABDDKrQLc
Gavin Mudd    (2023-12-20 21:24:03)
historic resources (non-compliant with NI43-101) - hence all data allocated as inferred resources only</t>
        </r>
      </text>
    </comment>
    <comment ref="BG470" authorId="0" shapeId="0" xr:uid="{00000000-0006-0000-0100-0000E1040000}">
      <text>
        <r>
          <rPr>
            <sz val="11"/>
            <color theme="1"/>
            <rFont val="Calibri"/>
            <family val="2"/>
            <scheme val="minor"/>
          </rPr>
          <t>======
ID#AAABDDKrPcg
Gavin Mudd    (2023-12-20 21:24:03)
historic resources (non-compliant with NI43-101) - hence all data allocated as inferred resources only</t>
        </r>
      </text>
    </comment>
    <comment ref="F471" authorId="0" shapeId="0" xr:uid="{00000000-0006-0000-0100-000025030000}">
      <text>
        <r>
          <rPr>
            <sz val="11"/>
            <color theme="1"/>
            <rFont val="Calibri"/>
            <family val="2"/>
            <scheme val="minor"/>
          </rPr>
          <t>======
ID#AAABDDKrQQU
Author    (2023-12-20 21:24:03)
formerly Nevoro, which became Starfield Resources - now bankrupt</t>
        </r>
      </text>
    </comment>
    <comment ref="AY471" authorId="0" shapeId="0" xr:uid="{00000000-0006-0000-0100-00000F020000}">
      <text>
        <r>
          <rPr>
            <sz val="11"/>
            <color theme="1"/>
            <rFont val="Calibri"/>
            <family val="2"/>
            <scheme val="minor"/>
          </rPr>
          <t>======
ID#AAABDDKrQ2I
Gavin Mudd    (2023-12-20 21:24:04)
historic resources (non-compliant with NI43-101) - hence all data allocated as inferred resources only</t>
        </r>
      </text>
    </comment>
    <comment ref="AZ471" authorId="0" shapeId="0" xr:uid="{00000000-0006-0000-0100-000080020000}">
      <text>
        <r>
          <rPr>
            <sz val="11"/>
            <color theme="1"/>
            <rFont val="Calibri"/>
            <family val="2"/>
            <scheme val="minor"/>
          </rPr>
          <t>======
ID#AAABDDKrQnA
Gavin Mudd    (2023-12-20 21:24:04)
historic resources (non-compliant with NI43-101) - hence all data allocated as inferred resources only</t>
        </r>
      </text>
    </comment>
    <comment ref="BG471" authorId="0" shapeId="0" xr:uid="{00000000-0006-0000-0100-000076050000}">
      <text>
        <r>
          <rPr>
            <sz val="11"/>
            <color theme="1"/>
            <rFont val="Calibri"/>
            <family val="2"/>
            <scheme val="minor"/>
          </rPr>
          <t>======
ID#AAABDDKrPJw
Gavin Mudd    (2023-12-20 21:24:03)
historic resources (non-compliant with NI43-101) - hence all data allocated as inferred resources only</t>
        </r>
      </text>
    </comment>
    <comment ref="AY472" authorId="0" shapeId="0" xr:uid="{00000000-0006-0000-0100-0000B4020000}">
      <text>
        <r>
          <rPr>
            <sz val="11"/>
            <color theme="1"/>
            <rFont val="Calibri"/>
            <family val="2"/>
            <scheme val="minor"/>
          </rPr>
          <t>======
ID#AAABDDKrQgQ
Gavin Mudd    (2023-12-20 21:24:03)
only total resources reported, assumed as inferred</t>
        </r>
      </text>
    </comment>
    <comment ref="F473" authorId="0" shapeId="0" xr:uid="{00000000-0006-0000-0100-000026020000}">
      <text>
        <r>
          <rPr>
            <sz val="11"/>
            <color theme="1"/>
            <rFont val="Calibri"/>
            <family val="2"/>
            <scheme val="minor"/>
          </rPr>
          <t>======
ID#AAABDDKrQzU
Gavin Mudd    (2023-12-20 21:24:04)
exact ownership not certain ...</t>
        </r>
      </text>
    </comment>
    <comment ref="F474" authorId="0" shapeId="0" xr:uid="{00000000-0006-0000-0100-000076060000}">
      <text>
        <r>
          <rPr>
            <sz val="11"/>
            <color theme="1"/>
            <rFont val="Calibri"/>
            <family val="2"/>
            <scheme val="minor"/>
          </rPr>
          <t>======
ID#AAABCyJQhwk
Gavin Mudd    (2023-12-20 21:24:02)
previously held by Clifton Star Resources</t>
        </r>
      </text>
    </comment>
    <comment ref="AY474" authorId="0" shapeId="0" xr:uid="{00000000-0006-0000-0100-000076040000}">
      <text>
        <r>
          <rPr>
            <sz val="11"/>
            <color theme="1"/>
            <rFont val="Calibri"/>
            <family val="2"/>
            <scheme val="minor"/>
          </rPr>
          <t>======
ID#AAABDDKrPpM
Gavin Mudd    (2023-12-20 21:24:03)
historic resources (non-compliant with NI43-101) - hence all data allocated as inferred resources only</t>
        </r>
      </text>
    </comment>
    <comment ref="F475" authorId="0" shapeId="0" xr:uid="{00000000-0006-0000-0100-000009000000}">
      <text>
        <r>
          <rPr>
            <sz val="11"/>
            <color theme="1"/>
            <rFont val="Calibri"/>
            <family val="2"/>
            <scheme val="minor"/>
          </rPr>
          <t>======
ID#AAABDDKrR1I
Gavin Mudd    (2023-12-20 21:24:04)
formerly known as Puget Ventures Inc.</t>
        </r>
      </text>
    </comment>
    <comment ref="AY475" authorId="0" shapeId="0" xr:uid="{00000000-0006-0000-0100-0000D6030000}">
      <text>
        <r>
          <rPr>
            <sz val="11"/>
            <color theme="1"/>
            <rFont val="Calibri"/>
            <family val="2"/>
            <scheme val="minor"/>
          </rPr>
          <t>======
ID#AAABDDKrP78
Gavin Mudd    (2023-12-20 21:24:03)
historic resources (non-compliant with NI43-101) - hence all data allocated as inferred resources only</t>
        </r>
      </text>
    </comment>
    <comment ref="AZ475" authorId="0" shapeId="0" xr:uid="{00000000-0006-0000-0100-00009F020000}">
      <text>
        <r>
          <rPr>
            <sz val="11"/>
            <color theme="1"/>
            <rFont val="Calibri"/>
            <family val="2"/>
            <scheme val="minor"/>
          </rPr>
          <t>======
ID#AAABDDKrQis
Gavin Mudd    (2023-12-20 21:24:04)
historic resources (non-compliant with NI43-101) - hence all data allocated as inferred resources only</t>
        </r>
      </text>
    </comment>
    <comment ref="BG475" authorId="0" shapeId="0" xr:uid="{00000000-0006-0000-0100-0000B2010000}">
      <text>
        <r>
          <rPr>
            <sz val="11"/>
            <color theme="1"/>
            <rFont val="Calibri"/>
            <family val="2"/>
            <scheme val="minor"/>
          </rPr>
          <t>======
ID#AAABDDKrRCA
Gavin Mudd    (2023-12-20 21:24:04)
historic resources (non-compliant with NI43-101) - hence all data allocated as inferred resources only</t>
        </r>
      </text>
    </comment>
    <comment ref="F476" authorId="0" shapeId="0" xr:uid="{00000000-0006-0000-0100-0000B3040000}">
      <text>
        <r>
          <rPr>
            <sz val="11"/>
            <color theme="1"/>
            <rFont val="Calibri"/>
            <family val="2"/>
            <scheme val="minor"/>
          </rPr>
          <t>======
ID#AAABDDKrPhg
Gavin Mudd    (2023-12-20 21:24:03)
Global Cobalt Corp was formerly known as Puget Ventures Inc.</t>
        </r>
      </text>
    </comment>
    <comment ref="I476" authorId="0" shapeId="0" xr:uid="{00000000-0006-0000-0100-000031010000}">
      <text>
        <r>
          <rPr>
            <sz val="11"/>
            <color theme="1"/>
            <rFont val="Calibri"/>
            <family val="2"/>
            <scheme val="minor"/>
          </rPr>
          <t>======
ID#AAABDDKrRQQ
Gavin Mudd    (2023-12-20 21:24:04)
historic resources (non-compliant with NI43-101) - hence all data allocated as inferred resources only</t>
        </r>
      </text>
    </comment>
    <comment ref="AD476" authorId="0" shapeId="0" xr:uid="{00000000-0006-0000-0100-0000A9050000}">
      <text>
        <r>
          <rPr>
            <sz val="11"/>
            <color theme="1"/>
            <rFont val="Calibri"/>
            <family val="2"/>
            <scheme val="minor"/>
          </rPr>
          <t>======
ID#AAABDDKrPEQ
Gavin Mudd    (2023-12-20 21:24:03)
historic resources (non-compliant with NI43-101) - hence all data allocated as inferred resources only</t>
        </r>
      </text>
    </comment>
    <comment ref="AY476" authorId="0" shapeId="0" xr:uid="{00000000-0006-0000-0100-000010040000}">
      <text>
        <r>
          <rPr>
            <sz val="11"/>
            <color theme="1"/>
            <rFont val="Calibri"/>
            <family val="2"/>
            <scheme val="minor"/>
          </rPr>
          <t>======
ID#AAABDDKrP18
Gavin Mudd    (2023-12-20 21:24:03)
historic resources (non-compliant with NI43-101) - hence all data allocated as inferred resources only</t>
        </r>
      </text>
    </comment>
    <comment ref="AZ476" authorId="0" shapeId="0" xr:uid="{00000000-0006-0000-0100-00007B050000}">
      <text>
        <r>
          <rPr>
            <sz val="11"/>
            <color theme="1"/>
            <rFont val="Calibri"/>
            <family val="2"/>
            <scheme val="minor"/>
          </rPr>
          <t>======
ID#AAABDDKrPJQ
Gavin Mudd    (2023-12-20 21:24:03)
historic resources (non-compliant with NI43-101) - hence all data allocated as inferred resources only</t>
        </r>
      </text>
    </comment>
    <comment ref="BG476" authorId="0" shapeId="0" xr:uid="{00000000-0006-0000-0100-000056050000}">
      <text>
        <r>
          <rPr>
            <sz val="11"/>
            <color theme="1"/>
            <rFont val="Calibri"/>
            <family val="2"/>
            <scheme val="minor"/>
          </rPr>
          <t>======
ID#AAABDDKrPOA
Gavin Mudd    (2023-12-20 21:24:03)
historic resources (non-compliant with NI43-101) - hence all data allocated as inferred resources only</t>
        </r>
      </text>
    </comment>
    <comment ref="BH476" authorId="0" shapeId="0" xr:uid="{00000000-0006-0000-0100-0000C8020000}">
      <text>
        <r>
          <rPr>
            <sz val="11"/>
            <color theme="1"/>
            <rFont val="Calibri"/>
            <family val="2"/>
            <scheme val="minor"/>
          </rPr>
          <t>======
ID#AAABDDKrQds
Gavin Mudd    (2023-12-20 21:24:03)
historic resources (non-compliant with NI43-101) - hence all data allocated as inferred resources only</t>
        </r>
      </text>
    </comment>
    <comment ref="BI476" authorId="0" shapeId="0" xr:uid="{00000000-0006-0000-0100-000048000000}">
      <text>
        <r>
          <rPr>
            <sz val="11"/>
            <color theme="1"/>
            <rFont val="Calibri"/>
            <family val="2"/>
            <scheme val="minor"/>
          </rPr>
          <t>======
ID#AAABDDKrRuI
Gavin Mudd    (2023-12-20 21:24:04)
historic resources (non-compliant with NI43-101) - hence all data allocated as inferred resources only</t>
        </r>
      </text>
    </comment>
    <comment ref="BJ476" authorId="0" shapeId="0" xr:uid="{00000000-0006-0000-0100-000089030000}">
      <text>
        <r>
          <rPr>
            <sz val="11"/>
            <color theme="1"/>
            <rFont val="Calibri"/>
            <family val="2"/>
            <scheme val="minor"/>
          </rPr>
          <t>======
ID#AAABDDKrQFw
Gavin Mudd    (2023-12-20 21:24:03)
historic resources (non-compliant with NI43-101) - hence all data allocated as inferred resources only</t>
        </r>
      </text>
    </comment>
    <comment ref="CO476" authorId="0" shapeId="0" xr:uid="{00000000-0006-0000-0100-000086030000}">
      <text>
        <r>
          <rPr>
            <sz val="11"/>
            <color theme="1"/>
            <rFont val="Calibri"/>
            <family val="2"/>
            <scheme val="minor"/>
          </rPr>
          <t>======
ID#AAABDDKrQGE
Gavin Mudd    (2023-12-20 21:24:03)
historic resources (non-compliant with NI43-101) - hence all data allocated as inferred resources only</t>
        </r>
      </text>
    </comment>
    <comment ref="AY477" authorId="0" shapeId="0" xr:uid="{00000000-0006-0000-0100-0000A7050000}">
      <text>
        <r>
          <rPr>
            <sz val="11"/>
            <color theme="1"/>
            <rFont val="Calibri"/>
            <family val="2"/>
            <scheme val="minor"/>
          </rPr>
          <t>======
ID#AAABDDKrPEc
Gavin Mudd    (2023-12-20 21:24:03)
historic resources (non-compliant with NI43-101) - hence all data allocated as inferred resources only</t>
        </r>
      </text>
    </comment>
    <comment ref="BG477" authorId="0" shapeId="0" xr:uid="{00000000-0006-0000-0100-000091040000}">
      <text>
        <r>
          <rPr>
            <sz val="11"/>
            <color theme="1"/>
            <rFont val="Calibri"/>
            <family val="2"/>
            <scheme val="minor"/>
          </rPr>
          <t>======
ID#AAABDDKrPlY
Gavin Mudd    (2023-12-20 21:24:03)
historic resources (non-compliant with NI43-101) - hence all data allocated as inferred resources only</t>
        </r>
      </text>
    </comment>
    <comment ref="AY478" authorId="0" shapeId="0" xr:uid="{00000000-0006-0000-0100-000017010000}">
      <text>
        <r>
          <rPr>
            <sz val="11"/>
            <color theme="1"/>
            <rFont val="Calibri"/>
            <family val="2"/>
            <scheme val="minor"/>
          </rPr>
          <t>======
ID#AAABDDKrRTk
Gavin Mudd    (2023-12-20 21:24:04)
historic resources (non-compliant with NI43-101) - hence all data allocated as inferred resources only</t>
        </r>
      </text>
    </comment>
    <comment ref="AZ478" authorId="0" shapeId="0" xr:uid="{00000000-0006-0000-0100-0000C9030000}">
      <text>
        <r>
          <rPr>
            <sz val="11"/>
            <color theme="1"/>
            <rFont val="Calibri"/>
            <family val="2"/>
            <scheme val="minor"/>
          </rPr>
          <t>======
ID#AAABDDKrP98
Gavin Mudd    (2023-12-20 21:24:03)
historic resources (non-compliant with NI43-101) - hence all data allocated as inferred resources only</t>
        </r>
      </text>
    </comment>
    <comment ref="BG478" authorId="0" shapeId="0" xr:uid="{00000000-0006-0000-0100-0000A4050000}">
      <text>
        <r>
          <rPr>
            <sz val="11"/>
            <color theme="1"/>
            <rFont val="Calibri"/>
            <family val="2"/>
            <scheme val="minor"/>
          </rPr>
          <t>======
ID#AAABDDKrPEw
Gavin Mudd    (2023-12-20 21:24:03)
historic resources (non-compliant with NI43-101) - hence all data allocated as inferred resources only</t>
        </r>
      </text>
    </comment>
    <comment ref="AY479" authorId="0" shapeId="0" xr:uid="{00000000-0006-0000-0100-0000C7010000}">
      <text>
        <r>
          <rPr>
            <sz val="11"/>
            <color theme="1"/>
            <rFont val="Calibri"/>
            <family val="2"/>
            <scheme val="minor"/>
          </rPr>
          <t>======
ID#AAABDDKrQ_Q
Gavin Mudd    (2023-12-20 21:24:04)
historic resources (non-compliant with NI43-101) - hence all data allocated as inferred resources only</t>
        </r>
      </text>
    </comment>
    <comment ref="AZ479" authorId="0" shapeId="0" xr:uid="{00000000-0006-0000-0100-0000ED040000}">
      <text>
        <r>
          <rPr>
            <sz val="11"/>
            <color theme="1"/>
            <rFont val="Calibri"/>
            <family val="2"/>
            <scheme val="minor"/>
          </rPr>
          <t>======
ID#AAABDDKrPa4
Gavin Mudd    (2023-12-20 21:24:03)
historic resources (non-compliant with NI43-101) - hence all data allocated as inferred resources only</t>
        </r>
      </text>
    </comment>
    <comment ref="BA479" authorId="0" shapeId="0" xr:uid="{00000000-0006-0000-0100-00006C060000}">
      <text>
        <r>
          <rPr>
            <sz val="11"/>
            <color theme="1"/>
            <rFont val="Calibri"/>
            <family val="2"/>
            <scheme val="minor"/>
          </rPr>
          <t>======
ID#AAABCyJQhyY
Gavin Mudd    (2023-12-20 21:24:02)
historic resources (non-compliant with NI43-101) - hence all data allocated as inferred resources only</t>
        </r>
      </text>
    </comment>
    <comment ref="BB479" authorId="0" shapeId="0" xr:uid="{00000000-0006-0000-0100-00005D020000}">
      <text>
        <r>
          <rPr>
            <sz val="11"/>
            <color theme="1"/>
            <rFont val="Calibri"/>
            <family val="2"/>
            <scheme val="minor"/>
          </rPr>
          <t>======
ID#AAABDDKrQrw
Gavin Mudd    (2023-12-20 21:24:04)
historic resources (non-compliant with NI43-101) - hence all data allocated as inferred resources only</t>
        </r>
      </text>
    </comment>
    <comment ref="BG479" authorId="0" shapeId="0" xr:uid="{00000000-0006-0000-0100-00001A060000}">
      <text>
        <r>
          <rPr>
            <sz val="11"/>
            <color theme="1"/>
            <rFont val="Calibri"/>
            <family val="2"/>
            <scheme val="minor"/>
          </rPr>
          <t>======
ID#AAABCyJQh9w
Gavin Mudd    (2023-12-20 21:24:02)
historic resources (non-compliant with NI43-101) - hence all data allocated as inferred resources only</t>
        </r>
      </text>
    </comment>
    <comment ref="BH479" authorId="0" shapeId="0" xr:uid="{00000000-0006-0000-0100-000010030000}">
      <text>
        <r>
          <rPr>
            <sz val="11"/>
            <color theme="1"/>
            <rFont val="Calibri"/>
            <family val="2"/>
            <scheme val="minor"/>
          </rPr>
          <t>======
ID#AAABDDKrQTY
Gavin Mudd    (2023-12-20 21:24:03)
historic resources (non-compliant with NI43-101) - hence all data allocated as inferred resources only</t>
        </r>
      </text>
    </comment>
    <comment ref="AY480" authorId="0" shapeId="0" xr:uid="{00000000-0006-0000-0100-000044060000}">
      <text>
        <r>
          <rPr>
            <sz val="11"/>
            <color theme="1"/>
            <rFont val="Calibri"/>
            <family val="2"/>
            <scheme val="minor"/>
          </rPr>
          <t>======
ID#AAABCyJQh4E
Gavin Mudd    (2023-12-20 21:24:02)
historic resources (non-compliant with NI43-101) - hence all data allocated as inferred resources only</t>
        </r>
      </text>
    </comment>
    <comment ref="AZ480" authorId="0" shapeId="0" xr:uid="{00000000-0006-0000-0100-00008A010000}">
      <text>
        <r>
          <rPr>
            <sz val="11"/>
            <color theme="1"/>
            <rFont val="Calibri"/>
            <family val="2"/>
            <scheme val="minor"/>
          </rPr>
          <t>======
ID#AAABDDKrRGU
Gavin Mudd    (2023-12-20 21:24:04)
historic resources (non-compliant with NI43-101) - hence all data allocated as inferred resources only</t>
        </r>
      </text>
    </comment>
    <comment ref="BA480" authorId="0" shapeId="0" xr:uid="{00000000-0006-0000-0100-000058050000}">
      <text>
        <r>
          <rPr>
            <sz val="11"/>
            <color theme="1"/>
            <rFont val="Calibri"/>
            <family val="2"/>
            <scheme val="minor"/>
          </rPr>
          <t>======
ID#AAABDDKrPNw
Gavin Mudd    (2023-12-20 21:24:03)
historic resources (non-compliant with NI43-101) - hence all data allocated as inferred resources only</t>
        </r>
      </text>
    </comment>
    <comment ref="BB480" authorId="0" shapeId="0" xr:uid="{00000000-0006-0000-0100-000047000000}">
      <text>
        <r>
          <rPr>
            <sz val="11"/>
            <color theme="1"/>
            <rFont val="Calibri"/>
            <family val="2"/>
            <scheme val="minor"/>
          </rPr>
          <t>======
ID#AAABDDKrRuM
Gavin Mudd    (2023-12-20 21:24:04)
historic resources (non-compliant with NI43-101) - hence all data allocated as inferred resources only</t>
        </r>
      </text>
    </comment>
    <comment ref="BG480" authorId="0" shapeId="0" xr:uid="{00000000-0006-0000-0100-000099040000}">
      <text>
        <r>
          <rPr>
            <sz val="11"/>
            <color theme="1"/>
            <rFont val="Calibri"/>
            <family val="2"/>
            <scheme val="minor"/>
          </rPr>
          <t>======
ID#AAABDDKrPkU
Gavin Mudd    (2023-12-20 21:24:03)
historic resources (non-compliant with NI43-101) - hence all data allocated as inferred resources only</t>
        </r>
      </text>
    </comment>
    <comment ref="BH480" authorId="0" shapeId="0" xr:uid="{00000000-0006-0000-0100-0000B4010000}">
      <text>
        <r>
          <rPr>
            <sz val="11"/>
            <color theme="1"/>
            <rFont val="Calibri"/>
            <family val="2"/>
            <scheme val="minor"/>
          </rPr>
          <t>======
ID#AAABDDKrRBs
Gavin Mudd    (2023-12-20 21:24:04)
historic resources (non-compliant with NI43-101) - hence all data allocated as inferred resources only</t>
        </r>
      </text>
    </comment>
    <comment ref="AY481" authorId="0" shapeId="0" xr:uid="{00000000-0006-0000-0100-000030040000}">
      <text>
        <r>
          <rPr>
            <sz val="11"/>
            <color theme="1"/>
            <rFont val="Calibri"/>
            <family val="2"/>
            <scheme val="minor"/>
          </rPr>
          <t>======
ID#AAABDDKrPyI
Gavin Mudd    (2023-12-20 21:24:03)
historic resources (non-compliant with NI43-101) - hence all data allocated as inferred resources only</t>
        </r>
      </text>
    </comment>
    <comment ref="AZ481" authorId="0" shapeId="0" xr:uid="{00000000-0006-0000-0100-0000F2030000}">
      <text>
        <r>
          <rPr>
            <sz val="11"/>
            <color theme="1"/>
            <rFont val="Calibri"/>
            <family val="2"/>
            <scheme val="minor"/>
          </rPr>
          <t>======
ID#AAABDDKrP5k
Gavin Mudd    (2023-12-20 21:24:03)
historic resources (non-compliant with NI43-101) - hence all data allocated as inferred resources only</t>
        </r>
      </text>
    </comment>
    <comment ref="BG481" authorId="0" shapeId="0" xr:uid="{00000000-0006-0000-0100-00002B030000}">
      <text>
        <r>
          <rPr>
            <sz val="11"/>
            <color theme="1"/>
            <rFont val="Calibri"/>
            <family val="2"/>
            <scheme val="minor"/>
          </rPr>
          <t>======
ID#AAABDDKrQPw
Gavin Mudd    (2023-12-20 21:24:03)
historic resources (non-compliant with NI43-101) - hence all data allocated as inferred resources only</t>
        </r>
      </text>
    </comment>
    <comment ref="BH481" authorId="0" shapeId="0" xr:uid="{00000000-0006-0000-0100-0000C4020000}">
      <text>
        <r>
          <rPr>
            <sz val="11"/>
            <color theme="1"/>
            <rFont val="Calibri"/>
            <family val="2"/>
            <scheme val="minor"/>
          </rPr>
          <t>======
ID#AAABDDKrQeA
Gavin Mudd    (2023-12-20 21:24:03)
historic resources (non-compliant with NI43-101) - hence all data allocated as inferred resources only</t>
        </r>
      </text>
    </comment>
    <comment ref="AY482" authorId="0" shapeId="0" xr:uid="{00000000-0006-0000-0100-00004E030000}">
      <text>
        <r>
          <rPr>
            <sz val="11"/>
            <color theme="1"/>
            <rFont val="Calibri"/>
            <family val="2"/>
            <scheme val="minor"/>
          </rPr>
          <t>======
ID#AAABDDKrQLM
Gavin Mudd    (2023-12-20 21:24:03)
historic resources (non-compliant with NI43-101) - hence all data allocated as inferred resources only</t>
        </r>
      </text>
    </comment>
    <comment ref="AZ482" authorId="0" shapeId="0" xr:uid="{00000000-0006-0000-0100-00003C060000}">
      <text>
        <r>
          <rPr>
            <sz val="11"/>
            <color theme="1"/>
            <rFont val="Calibri"/>
            <family val="2"/>
            <scheme val="minor"/>
          </rPr>
          <t>======
ID#AAABCyJQh5o
Gavin Mudd    (2023-12-20 21:24:02)
historic resources (non-compliant with NI43-101) - hence all data allocated as inferred resources only</t>
        </r>
      </text>
    </comment>
    <comment ref="BG482" authorId="0" shapeId="0" xr:uid="{00000000-0006-0000-0100-00008C060000}">
      <text>
        <r>
          <rPr>
            <sz val="11"/>
            <color theme="1"/>
            <rFont val="Calibri"/>
            <family val="2"/>
            <scheme val="minor"/>
          </rPr>
          <t>======
ID#AAABCyJQhtU
Gavin Mudd    (2023-12-20 21:24:01)
historic resources (non-compliant with NI43-101) - hence all data allocated as inferred resources only</t>
        </r>
      </text>
    </comment>
    <comment ref="A483" authorId="0" shapeId="0" xr:uid="{00000000-0006-0000-0100-00009B020000}">
      <text>
        <r>
          <rPr>
            <sz val="11"/>
            <color theme="1"/>
            <rFont val="Calibri"/>
            <family val="2"/>
            <scheme val="minor"/>
          </rPr>
          <t>======
ID#AAABDDKrQjM
Gavin Mudd    (2023-12-20 21:24:04)
includes Kotselvaara-Kammikivi, Semiletka,
Zhdanovskoye, Zapolyarnoye, Bystrinskoye, Tundrovoye, Sputnik and Verkhneye fields</t>
        </r>
      </text>
    </comment>
    <comment ref="I483" authorId="0" shapeId="0" xr:uid="{00000000-0006-0000-0100-00001A020000}">
      <text>
        <r>
          <rPr>
            <sz val="11"/>
            <color theme="1"/>
            <rFont val="Calibri"/>
            <family val="2"/>
            <scheme val="minor"/>
          </rPr>
          <t>======
ID#AAABDDKrQ0c
Gavin Mudd    (2023-12-20 21:24:04)
measured &amp; indicated resources reported together</t>
        </r>
      </text>
    </comment>
    <comment ref="AD483" authorId="0" shapeId="0" xr:uid="{00000000-0006-0000-0100-000079060000}">
      <text>
        <r>
          <rPr>
            <sz val="11"/>
            <color theme="1"/>
            <rFont val="Calibri"/>
            <family val="2"/>
            <scheme val="minor"/>
          </rPr>
          <t>======
ID#AAABCyJQhwM
Gavin Mudd    (2023-12-20 21:24:01)
measured &amp; indicated resources reported together</t>
        </r>
      </text>
    </comment>
    <comment ref="AM483" authorId="0" shapeId="0" xr:uid="{00000000-0006-0000-0100-00005B030000}">
      <text>
        <r>
          <rPr>
            <sz val="11"/>
            <color theme="1"/>
            <rFont val="Calibri"/>
            <family val="2"/>
            <scheme val="minor"/>
          </rPr>
          <t>======
ID#AAABDDKrQJ4
Gavin Mudd    (2023-12-20 21:24:03)
value from FODD (2017)</t>
        </r>
      </text>
    </comment>
    <comment ref="BH483" authorId="0" shapeId="0" xr:uid="{00000000-0006-0000-0100-00008D020000}">
      <text>
        <r>
          <rPr>
            <sz val="11"/>
            <color theme="1"/>
            <rFont val="Calibri"/>
            <family val="2"/>
            <scheme val="minor"/>
          </rPr>
          <t>======
ID#AAABDDKrQlM
Gavin Mudd    (2023-12-20 21:24:04)
value from FODD (2017)</t>
        </r>
      </text>
    </comment>
    <comment ref="CC483" authorId="0" shapeId="0" xr:uid="{00000000-0006-0000-0100-000085020000}">
      <text>
        <r>
          <rPr>
            <sz val="11"/>
            <color theme="1"/>
            <rFont val="Calibri"/>
            <family val="2"/>
            <scheme val="minor"/>
          </rPr>
          <t>======
ID#AAABDDKrQmA
Gavin Mudd    (2023-12-20 21:24:04)
value from FODD (2017)</t>
        </r>
      </text>
    </comment>
    <comment ref="CX483" authorId="0" shapeId="0" xr:uid="{00000000-0006-0000-0100-0000B2000000}">
      <text>
        <r>
          <rPr>
            <sz val="11"/>
            <color theme="1"/>
            <rFont val="Calibri"/>
            <family val="2"/>
            <scheme val="minor"/>
          </rPr>
          <t>======
ID#AAABDDKrRg4
Gavin Mudd    (2023-12-20 21:24:04)
value from FODD (2017)</t>
        </r>
      </text>
    </comment>
    <comment ref="AD484" authorId="0" shapeId="0" xr:uid="{00000000-0006-0000-0100-0000A5010000}">
      <text>
        <r>
          <rPr>
            <sz val="11"/>
            <color theme="1"/>
            <rFont val="Calibri"/>
            <family val="2"/>
            <scheme val="minor"/>
          </rPr>
          <t>======
ID#AAABDDKrRDU
Gavin Mudd    (2023-12-20 21:24:04)
only total resources presented, assumed as indicated resources</t>
        </r>
      </text>
    </comment>
    <comment ref="AE484" authorId="0" shapeId="0" xr:uid="{00000000-0006-0000-0100-000050020000}">
      <text>
        <r>
          <rPr>
            <sz val="11"/>
            <color theme="1"/>
            <rFont val="Calibri"/>
            <family val="2"/>
            <scheme val="minor"/>
          </rPr>
          <t>======
ID#AAABDDKrQtY
Gavin Mudd    (2023-12-20 21:24:04)
only total resources presented, assumed as indicated resources</t>
        </r>
      </text>
    </comment>
    <comment ref="AF484" authorId="0" shapeId="0" xr:uid="{00000000-0006-0000-0100-0000E6040000}">
      <text>
        <r>
          <rPr>
            <sz val="11"/>
            <color theme="1"/>
            <rFont val="Calibri"/>
            <family val="2"/>
            <scheme val="minor"/>
          </rPr>
          <t>======
ID#AAABDDKrPbo
Gavin Mudd    (2023-12-20 21:24:03)
only total resources presented, assumed as indicated resources; 3E g/t - 10% assumed as Au</t>
        </r>
      </text>
    </comment>
    <comment ref="AL484" authorId="0" shapeId="0" xr:uid="{00000000-0006-0000-0100-00006A040000}">
      <text>
        <r>
          <rPr>
            <sz val="11"/>
            <color theme="1"/>
            <rFont val="Calibri"/>
            <family val="2"/>
            <scheme val="minor"/>
          </rPr>
          <t>======
ID#AAABDDKrPqc
Gavin Mudd    (2023-12-20 21:24:03)
only total resources presented, assumed as indicated resources</t>
        </r>
      </text>
    </comment>
    <comment ref="AN484" authorId="0" shapeId="0" xr:uid="{00000000-0006-0000-0100-0000E5000000}">
      <text>
        <r>
          <rPr>
            <sz val="11"/>
            <color theme="1"/>
            <rFont val="Calibri"/>
            <family val="2"/>
            <scheme val="minor"/>
          </rPr>
          <t>======
ID#AAABDDKrRac
Gavin Mudd    (2023-12-20 21:24:04)
only total resources presented, assumed as indicated resources; 3E g/t - 40% assumed as Pt</t>
        </r>
      </text>
    </comment>
    <comment ref="AO484" authorId="0" shapeId="0" xr:uid="{00000000-0006-0000-0100-000090040000}">
      <text>
        <r>
          <rPr>
            <sz val="11"/>
            <color theme="1"/>
            <rFont val="Calibri"/>
            <family val="2"/>
            <scheme val="minor"/>
          </rPr>
          <t>======
ID#AAABDDKrPlo
Gavin Mudd    (2023-12-20 21:24:03)
only total resources presented, assumed as indicated resources; 3E g/t - 60% assumed as Pd</t>
        </r>
      </text>
    </comment>
    <comment ref="I485" authorId="0" shapeId="0" xr:uid="{00000000-0006-0000-0100-000017040000}">
      <text>
        <r>
          <rPr>
            <sz val="11"/>
            <color theme="1"/>
            <rFont val="Calibri"/>
            <family val="2"/>
            <scheme val="minor"/>
          </rPr>
          <t>======
ID#AAABDDKrP1Q
Gavin Mudd    (2023-12-20 21:24:03)
assumes all active mining 2016-18 depletes proven reserves only</t>
        </r>
      </text>
    </comment>
    <comment ref="J485" authorId="0" shapeId="0" xr:uid="{00000000-0006-0000-0100-00005E040000}">
      <text>
        <r>
          <rPr>
            <sz val="11"/>
            <color theme="1"/>
            <rFont val="Calibri"/>
            <family val="2"/>
            <scheme val="minor"/>
          </rPr>
          <t>======
ID#AAABDDKrPsY
Gavin Mudd    (2023-12-20 21:24:03)
assumed from milling data</t>
        </r>
      </text>
    </comment>
    <comment ref="K485" authorId="0" shapeId="0" xr:uid="{00000000-0006-0000-0100-00006E050000}">
      <text>
        <r>
          <rPr>
            <sz val="11"/>
            <color theme="1"/>
            <rFont val="Calibri"/>
            <family val="2"/>
            <scheme val="minor"/>
          </rPr>
          <t>======
ID#AAABDDKrPKw
Gavin Mudd    (2023-12-20 21:24:03)
assumed from milling data</t>
        </r>
      </text>
    </comment>
    <comment ref="L485" authorId="0" shapeId="0" xr:uid="{00000000-0006-0000-0100-00002E020000}">
      <text>
        <r>
          <rPr>
            <sz val="11"/>
            <color theme="1"/>
            <rFont val="Calibri"/>
            <family val="2"/>
            <scheme val="minor"/>
          </rPr>
          <t>======
ID#AAABDDKrQyQ
Gavin Mudd    (2023-12-20 21:24:04)
assumed from milling data</t>
        </r>
      </text>
    </comment>
    <comment ref="Q485" authorId="0" shapeId="0" xr:uid="{00000000-0006-0000-0100-0000DC050000}">
      <text>
        <r>
          <rPr>
            <sz val="11"/>
            <color theme="1"/>
            <rFont val="Calibri"/>
            <family val="2"/>
            <scheme val="minor"/>
          </rPr>
          <t>======
ID#AAABDDKrO-I
Gavin Mudd    (2023-12-20 21:24:03)
assumes all active mining 2016-18 depletes proven reserves only</t>
        </r>
      </text>
    </comment>
    <comment ref="R485" authorId="0" shapeId="0" xr:uid="{00000000-0006-0000-0100-000035060000}">
      <text>
        <r>
          <rPr>
            <sz val="11"/>
            <color theme="1"/>
            <rFont val="Calibri"/>
            <family val="2"/>
            <scheme val="minor"/>
          </rPr>
          <t>======
ID#AAABCyJQh6c
Gavin Mudd    (2023-12-20 21:24:02)
assumed from milling data</t>
        </r>
      </text>
    </comment>
    <comment ref="AE485" authorId="0" shapeId="0" xr:uid="{00000000-0006-0000-0100-000095000000}">
      <text>
        <r>
          <rPr>
            <sz val="11"/>
            <color theme="1"/>
            <rFont val="Calibri"/>
            <family val="2"/>
            <scheme val="minor"/>
          </rPr>
          <t>======
ID#AAABDDKrRjk
Gavin Mudd    (2023-12-20 21:24:04)
assumed from milling data</t>
        </r>
      </text>
    </comment>
    <comment ref="AF485" authorId="0" shapeId="0" xr:uid="{00000000-0006-0000-0100-000049020000}">
      <text>
        <r>
          <rPr>
            <sz val="11"/>
            <color theme="1"/>
            <rFont val="Calibri"/>
            <family val="2"/>
            <scheme val="minor"/>
          </rPr>
          <t>======
ID#AAABDDKrQug
Gavin Mudd    (2023-12-20 21:24:04)
assumed from milling data</t>
        </r>
      </text>
    </comment>
    <comment ref="AG485" authorId="0" shapeId="0" xr:uid="{00000000-0006-0000-0100-000061040000}">
      <text>
        <r>
          <rPr>
            <sz val="11"/>
            <color theme="1"/>
            <rFont val="Calibri"/>
            <family val="2"/>
            <scheme val="minor"/>
          </rPr>
          <t>======
ID#AAABDDKrPsA
Gavin Mudd    (2023-12-20 21:24:03)
assumed from milling data</t>
        </r>
      </text>
    </comment>
    <comment ref="AM485" authorId="0" shapeId="0" xr:uid="{00000000-0006-0000-0100-0000BF010000}">
      <text>
        <r>
          <rPr>
            <sz val="11"/>
            <color theme="1"/>
            <rFont val="Calibri"/>
            <family val="2"/>
            <scheme val="minor"/>
          </rPr>
          <t>======
ID#AAABDDKrRAg
Gavin Mudd    (2023-12-20 21:24:04)
assumed from milling data</t>
        </r>
      </text>
    </comment>
    <comment ref="BT485" authorId="0" shapeId="0" xr:uid="{00000000-0006-0000-0100-00000E050000}">
      <text>
        <r>
          <rPr>
            <sz val="11"/>
            <color theme="1"/>
            <rFont val="Calibri"/>
            <family val="2"/>
            <scheme val="minor"/>
          </rPr>
          <t>======
ID#AAABDDKrPWU
Gavin Mudd    (2023-12-20 21:24:03)
assumes all active mining 2016-18 depletes proven reserves only</t>
        </r>
      </text>
    </comment>
    <comment ref="BU485" authorId="0" shapeId="0" xr:uid="{00000000-0006-0000-0100-000062050000}">
      <text>
        <r>
          <rPr>
            <sz val="11"/>
            <color theme="1"/>
            <rFont val="Calibri"/>
            <family val="2"/>
            <scheme val="minor"/>
          </rPr>
          <t>======
ID#AAABDDKrPMg
Gavin Mudd    (2023-12-20 21:24:03)
assumed from milling data</t>
        </r>
      </text>
    </comment>
    <comment ref="BV485" authorId="0" shapeId="0" xr:uid="{00000000-0006-0000-0100-000043020000}">
      <text>
        <r>
          <rPr>
            <sz val="11"/>
            <color theme="1"/>
            <rFont val="Calibri"/>
            <family val="2"/>
            <scheme val="minor"/>
          </rPr>
          <t>======
ID#AAABDDKrQvM
Gavin Mudd    (2023-12-20 21:24:04)
assumed from milling data</t>
        </r>
      </text>
    </comment>
    <comment ref="BW485" authorId="0" shapeId="0" xr:uid="{00000000-0006-0000-0100-0000B5010000}">
      <text>
        <r>
          <rPr>
            <sz val="11"/>
            <color theme="1"/>
            <rFont val="Calibri"/>
            <family val="2"/>
            <scheme val="minor"/>
          </rPr>
          <t>======
ID#AAABDDKrRBo
Gavin Mudd    (2023-12-20 21:24:04)
assumed from milling data</t>
        </r>
      </text>
    </comment>
    <comment ref="CB485" authorId="0" shapeId="0" xr:uid="{00000000-0006-0000-0100-0000A6030000}">
      <text>
        <r>
          <rPr>
            <sz val="11"/>
            <color theme="1"/>
            <rFont val="Calibri"/>
            <family val="2"/>
            <scheme val="minor"/>
          </rPr>
          <t>======
ID#AAABDDKrQCo
Gavin Mudd    (2023-12-20 21:24:03)
assumes all active mining 2016-18 depletes proven reserves only</t>
        </r>
      </text>
    </comment>
    <comment ref="CC485" authorId="0" shapeId="0" xr:uid="{00000000-0006-0000-0100-0000C0050000}">
      <text>
        <r>
          <rPr>
            <sz val="11"/>
            <color theme="1"/>
            <rFont val="Calibri"/>
            <family val="2"/>
            <scheme val="minor"/>
          </rPr>
          <t>======
ID#AAABDDKrPBU
Gavin Mudd    (2023-12-20 21:24:03)
assumed from milling data</t>
        </r>
      </text>
    </comment>
    <comment ref="CP485" authorId="0" shapeId="0" xr:uid="{00000000-0006-0000-0100-000095020000}">
      <text>
        <r>
          <rPr>
            <sz val="11"/>
            <color theme="1"/>
            <rFont val="Calibri"/>
            <family val="2"/>
            <scheme val="minor"/>
          </rPr>
          <t>======
ID#AAABDDKrQkI
Gavin Mudd    (2023-12-20 21:24:04)
assumed from milling data</t>
        </r>
      </text>
    </comment>
    <comment ref="CQ485" authorId="0" shapeId="0" xr:uid="{00000000-0006-0000-0100-000013030000}">
      <text>
        <r>
          <rPr>
            <sz val="11"/>
            <color theme="1"/>
            <rFont val="Calibri"/>
            <family val="2"/>
            <scheme val="minor"/>
          </rPr>
          <t>======
ID#AAABDDKrQTM
Gavin Mudd    (2023-12-20 21:24:03)
assumed from milling data</t>
        </r>
      </text>
    </comment>
    <comment ref="CR485" authorId="0" shapeId="0" xr:uid="{00000000-0006-0000-0100-00003B010000}">
      <text>
        <r>
          <rPr>
            <sz val="11"/>
            <color theme="1"/>
            <rFont val="Calibri"/>
            <family val="2"/>
            <scheme val="minor"/>
          </rPr>
          <t>======
ID#AAABDDKrRPc
Gavin Mudd    (2023-12-20 21:24:04)
assumed from milling data</t>
        </r>
      </text>
    </comment>
    <comment ref="CX485" authorId="0" shapeId="0" xr:uid="{00000000-0006-0000-0100-000013040000}">
      <text>
        <r>
          <rPr>
            <sz val="11"/>
            <color theme="1"/>
            <rFont val="Calibri"/>
            <family val="2"/>
            <scheme val="minor"/>
          </rPr>
          <t>======
ID#AAABDDKrP1s
Gavin Mudd    (2023-12-20 21:24:03)
assumed from milling data</t>
        </r>
      </text>
    </comment>
    <comment ref="F495" authorId="0" shapeId="0" xr:uid="{00000000-0006-0000-0100-000003020000}">
      <text>
        <r>
          <rPr>
            <sz val="11"/>
            <color theme="1"/>
            <rFont val="Calibri"/>
            <family val="2"/>
            <scheme val="minor"/>
          </rPr>
          <t>======
ID#AAABDDKrQ30
Gavin Mudd    (2023-12-20 21:24:04)
previously held by Blackstone Ventures</t>
        </r>
      </text>
    </comment>
    <comment ref="BA495" authorId="0" shapeId="0" xr:uid="{00000000-0006-0000-0100-00006F040000}">
      <text>
        <r>
          <rPr>
            <sz val="11"/>
            <color theme="1"/>
            <rFont val="Calibri"/>
            <family val="2"/>
            <scheme val="minor"/>
          </rPr>
          <t>======
ID#AAABDDKrPqE
Gavin Mudd    (2023-12-20 21:24:03)
data from FODD (2017)</t>
        </r>
      </text>
    </comment>
    <comment ref="BI495" authorId="0" shapeId="0" xr:uid="{00000000-0006-0000-0100-00005A000000}">
      <text>
        <r>
          <rPr>
            <sz val="11"/>
            <color theme="1"/>
            <rFont val="Calibri"/>
            <family val="2"/>
            <scheme val="minor"/>
          </rPr>
          <t>======
ID#AAABDDKrRsE
Gavin Mudd    (2023-12-20 21:24:04)
data from FODD (2017)</t>
        </r>
      </text>
    </comment>
    <comment ref="BJ495" authorId="0" shapeId="0" xr:uid="{00000000-0006-0000-0100-00003B040000}">
      <text>
        <r>
          <rPr>
            <sz val="11"/>
            <color theme="1"/>
            <rFont val="Calibri"/>
            <family val="2"/>
            <scheme val="minor"/>
          </rPr>
          <t>======
ID#AAABDDKrPxE
Gavin Mudd    (2023-12-20 21:24:03)
data from FODD (2017)</t>
        </r>
      </text>
    </comment>
    <comment ref="DN495" authorId="0" shapeId="0" xr:uid="{00000000-0006-0000-0100-0000E6000000}">
      <text>
        <r>
          <rPr>
            <sz val="11"/>
            <color theme="1"/>
            <rFont val="Calibri"/>
            <family val="2"/>
            <scheme val="minor"/>
          </rPr>
          <t>======
ID#AAABDDKrRaY
Author    (2023-12-20 21:24:04)
data from Blackstone Ventures</t>
        </r>
      </text>
    </comment>
    <comment ref="F496" authorId="0" shapeId="0" xr:uid="{00000000-0006-0000-0100-00003C010000}">
      <text>
        <r>
          <rPr>
            <sz val="11"/>
            <color theme="1"/>
            <rFont val="Calibri"/>
            <family val="2"/>
            <scheme val="minor"/>
          </rPr>
          <t>======
ID#AAABDDKrRPY
Gavin Mudd    (2023-12-20 21:24:04)
previously held by Blackstone Ventures</t>
        </r>
      </text>
    </comment>
    <comment ref="DN496" authorId="0" shapeId="0" xr:uid="{00000000-0006-0000-0100-00005E060000}">
      <text>
        <r>
          <rPr>
            <sz val="11"/>
            <color theme="1"/>
            <rFont val="Calibri"/>
            <family val="2"/>
            <scheme val="minor"/>
          </rPr>
          <t>======
ID#AAABCyJQh04
Author    (2023-12-20 21:24:02)
data from Blackstone Ventures</t>
        </r>
      </text>
    </comment>
    <comment ref="F497" authorId="0" shapeId="0" xr:uid="{00000000-0006-0000-0100-0000A9010000}">
      <text>
        <r>
          <rPr>
            <sz val="11"/>
            <color theme="1"/>
            <rFont val="Calibri"/>
            <family val="2"/>
            <scheme val="minor"/>
          </rPr>
          <t>======
ID#AAABDDKrRDE
Gavin Mudd    (2023-12-20 21:24:04)
previously held by CaNickel Mining Corp.</t>
        </r>
      </text>
    </comment>
    <comment ref="I497" authorId="0" shapeId="0" xr:uid="{00000000-0006-0000-0100-000038040000}">
      <text>
        <r>
          <rPr>
            <sz val="11"/>
            <color theme="1"/>
            <rFont val="Calibri"/>
            <family val="2"/>
            <scheme val="minor"/>
          </rPr>
          <t>======
ID#AAABDDKrPxQ
Gavin Mudd    (2023-12-20 21:24:03)
assumes proved reserves plus measured resources</t>
        </r>
      </text>
    </comment>
    <comment ref="K497" authorId="0" shapeId="0" xr:uid="{00000000-0006-0000-0100-00001A050000}">
      <text>
        <r>
          <rPr>
            <sz val="11"/>
            <color theme="1"/>
            <rFont val="Calibri"/>
            <family val="2"/>
            <scheme val="minor"/>
          </rPr>
          <t>======
ID#AAABDDKrPVA
Gavin Mudd    (2023-12-20 21:24:03)
average for proved &amp; probable reserves</t>
        </r>
      </text>
    </comment>
    <comment ref="R497" authorId="0" shapeId="0" xr:uid="{00000000-0006-0000-0100-000089050000}">
      <text>
        <r>
          <rPr>
            <sz val="11"/>
            <color theme="1"/>
            <rFont val="Calibri"/>
            <family val="2"/>
            <scheme val="minor"/>
          </rPr>
          <t>======
ID#AAABDDKrPHg
Gavin Mudd    (2023-12-20 21:24:03)
average for proved &amp; probable reserves</t>
        </r>
      </text>
    </comment>
    <comment ref="S497" authorId="0" shapeId="0" xr:uid="{00000000-0006-0000-0100-000027040000}">
      <text>
        <r>
          <rPr>
            <sz val="11"/>
            <color theme="1"/>
            <rFont val="Calibri"/>
            <family val="2"/>
            <scheme val="minor"/>
          </rPr>
          <t>======
ID#AAABDDKrPzc
Gavin Mudd    (2023-12-20 21:24:03)
average for proved &amp; probable reserves</t>
        </r>
      </text>
    </comment>
    <comment ref="T497" authorId="0" shapeId="0" xr:uid="{00000000-0006-0000-0100-000046030000}">
      <text>
        <r>
          <rPr>
            <sz val="11"/>
            <color theme="1"/>
            <rFont val="Calibri"/>
            <family val="2"/>
            <scheme val="minor"/>
          </rPr>
          <t>======
ID#AAABDDKrQMM
Gavin Mudd    (2023-12-20 21:24:03)
average for proved &amp; probable reserves</t>
        </r>
      </text>
    </comment>
    <comment ref="AF497" authorId="0" shapeId="0" xr:uid="{00000000-0006-0000-0100-000025010000}">
      <text>
        <r>
          <rPr>
            <sz val="11"/>
            <color theme="1"/>
            <rFont val="Calibri"/>
            <family val="2"/>
            <scheme val="minor"/>
          </rPr>
          <t>======
ID#AAABDDKrRRs
Gavin Mudd    (2023-12-20 21:24:04)
average for proved &amp; probable reserves</t>
        </r>
      </text>
    </comment>
    <comment ref="AM497" authorId="0" shapeId="0" xr:uid="{00000000-0006-0000-0100-0000FF000000}">
      <text>
        <r>
          <rPr>
            <sz val="11"/>
            <color theme="1"/>
            <rFont val="Calibri"/>
            <family val="2"/>
            <scheme val="minor"/>
          </rPr>
          <t>======
ID#AAABDDKrRXM
Gavin Mudd    (2023-12-20 21:24:04)
average for proved &amp; probable reserves</t>
        </r>
      </text>
    </comment>
    <comment ref="AN497" authorId="0" shapeId="0" xr:uid="{00000000-0006-0000-0100-000057050000}">
      <text>
        <r>
          <rPr>
            <sz val="11"/>
            <color theme="1"/>
            <rFont val="Calibri"/>
            <family val="2"/>
            <scheme val="minor"/>
          </rPr>
          <t>======
ID#AAABDDKrPN4
Gavin Mudd    (2023-12-20 21:24:03)
average for proved &amp; probable reserves</t>
        </r>
      </text>
    </comment>
    <comment ref="AO497" authorId="0" shapeId="0" xr:uid="{00000000-0006-0000-0100-00009C010000}">
      <text>
        <r>
          <rPr>
            <sz val="11"/>
            <color theme="1"/>
            <rFont val="Calibri"/>
            <family val="2"/>
            <scheme val="minor"/>
          </rPr>
          <t>======
ID#AAABDDKrREc
Gavin Mudd    (2023-12-20 21:24:04)
average for proved &amp; probable reserves</t>
        </r>
      </text>
    </comment>
    <comment ref="BA497" authorId="0" shapeId="0" xr:uid="{00000000-0006-0000-0100-00009E020000}">
      <text>
        <r>
          <rPr>
            <sz val="11"/>
            <color theme="1"/>
            <rFont val="Calibri"/>
            <family val="2"/>
            <scheme val="minor"/>
          </rPr>
          <t>======
ID#AAABDDKrQiw
Gavin Mudd    (2023-12-20 21:24:04)
average for proved &amp; probable reserves</t>
        </r>
      </text>
    </comment>
    <comment ref="BH497" authorId="0" shapeId="0" xr:uid="{00000000-0006-0000-0100-0000E8010000}">
      <text>
        <r>
          <rPr>
            <sz val="11"/>
            <color theme="1"/>
            <rFont val="Calibri"/>
            <family val="2"/>
            <scheme val="minor"/>
          </rPr>
          <t>======
ID#AAABDDKrQ7Q
Gavin Mudd    (2023-12-20 21:24:04)
average for proved &amp; probable reserves</t>
        </r>
      </text>
    </comment>
    <comment ref="BI497" authorId="0" shapeId="0" xr:uid="{00000000-0006-0000-0100-0000E8020000}">
      <text>
        <r>
          <rPr>
            <sz val="11"/>
            <color theme="1"/>
            <rFont val="Calibri"/>
            <family val="2"/>
            <scheme val="minor"/>
          </rPr>
          <t>======
ID#AAABDDKrQZE
Gavin Mudd    (2023-12-20 21:24:03)
average for proved &amp; probable reserves</t>
        </r>
      </text>
    </comment>
    <comment ref="BJ497" authorId="0" shapeId="0" xr:uid="{00000000-0006-0000-0100-000065030000}">
      <text>
        <r>
          <rPr>
            <sz val="11"/>
            <color theme="1"/>
            <rFont val="Calibri"/>
            <family val="2"/>
            <scheme val="minor"/>
          </rPr>
          <t>======
ID#AAABDDKrQI0
Gavin Mudd    (2023-12-20 21:24:03)
average for proved &amp; probable reserves</t>
        </r>
      </text>
    </comment>
    <comment ref="CP497" authorId="0" shapeId="0" xr:uid="{00000000-0006-0000-0100-000014000000}">
      <text>
        <r>
          <rPr>
            <sz val="11"/>
            <color theme="1"/>
            <rFont val="Calibri"/>
            <family val="2"/>
            <scheme val="minor"/>
          </rPr>
          <t>======
ID#AAABDDKrRzc
Gavin Mudd    (2023-12-20 21:24:04)
average for proved &amp; probable reserves</t>
        </r>
      </text>
    </comment>
    <comment ref="CQ497" authorId="0" shapeId="0" xr:uid="{00000000-0006-0000-0100-000094000000}">
      <text>
        <r>
          <rPr>
            <sz val="11"/>
            <color theme="1"/>
            <rFont val="Calibri"/>
            <family val="2"/>
            <scheme val="minor"/>
          </rPr>
          <t>======
ID#AAABDDKrRjo
Gavin Mudd    (2023-12-20 21:24:04)
average for proved &amp; probable reserves</t>
        </r>
      </text>
    </comment>
    <comment ref="CX497" authorId="0" shapeId="0" xr:uid="{00000000-0006-0000-0100-0000DD050000}">
      <text>
        <r>
          <rPr>
            <sz val="11"/>
            <color theme="1"/>
            <rFont val="Calibri"/>
            <family val="2"/>
            <scheme val="minor"/>
          </rPr>
          <t>======
ID#AAABDDKrO-A
Gavin Mudd    (2023-12-20 21:24:03)
average for proved &amp; probable reserves</t>
        </r>
      </text>
    </comment>
    <comment ref="CY497" authorId="0" shapeId="0" xr:uid="{00000000-0006-0000-0100-00003C020000}">
      <text>
        <r>
          <rPr>
            <sz val="11"/>
            <color theme="1"/>
            <rFont val="Calibri"/>
            <family val="2"/>
            <scheme val="minor"/>
          </rPr>
          <t>======
ID#AAABDDKrQv4
Gavin Mudd    (2023-12-20 21:24:04)
average for proved &amp; probable reserves</t>
        </r>
      </text>
    </comment>
    <comment ref="CZ497" authorId="0" shapeId="0" xr:uid="{00000000-0006-0000-0100-000004060000}">
      <text>
        <r>
          <rPr>
            <sz val="11"/>
            <color theme="1"/>
            <rFont val="Calibri"/>
            <family val="2"/>
            <scheme val="minor"/>
          </rPr>
          <t>======
ID#AAABCyJQiAw
Gavin Mudd    (2023-12-20 21:24:02)
average for proved &amp; probable reserves</t>
        </r>
      </text>
    </comment>
    <comment ref="A499" authorId="0" shapeId="0" xr:uid="{00000000-0006-0000-0100-00008D010000}">
      <text>
        <r>
          <rPr>
            <sz val="11"/>
            <color theme="1"/>
            <rFont val="Calibri"/>
            <family val="2"/>
            <scheme val="minor"/>
          </rPr>
          <t>======
ID#AAABDDKrRGA
Gavin Mudd    (2023-12-20 21:24:04)
includes Expo, Mesamax, Mequillon, Ivakkak, Allammaq, Puimajuq deposits</t>
        </r>
      </text>
    </comment>
    <comment ref="F499" authorId="0" shapeId="0" xr:uid="{00000000-0006-0000-0100-0000DB010000}">
      <text>
        <r>
          <rPr>
            <sz val="11"/>
            <color theme="1"/>
            <rFont val="Calibri"/>
            <family val="2"/>
            <scheme val="minor"/>
          </rPr>
          <t>======
ID#AAABDDKrQ8o
Gavin Mudd    (2023-12-20 21:24:04)
previously held by Goldbrook Ventures, which was taken over by Jilin Jien Nickel in March 2012 - JJN was bankrupt ~2018</t>
        </r>
      </text>
    </comment>
    <comment ref="I499" authorId="0" shapeId="0" xr:uid="{00000000-0006-0000-0100-0000E2040000}">
      <text>
        <r>
          <rPr>
            <sz val="11"/>
            <color theme="1"/>
            <rFont val="Calibri"/>
            <family val="2"/>
            <scheme val="minor"/>
          </rPr>
          <t>======
ID#AAABDDKrPcM
Gavin Mudd    (2023-12-20 21:24:03)
includes Expo, Mesamax, Mequillon, Ivakkak, Allammaq, Puimajuq deposits</t>
        </r>
      </text>
    </comment>
    <comment ref="J499" authorId="0" shapeId="0" xr:uid="{00000000-0006-0000-0100-00005E050000}">
      <text>
        <r>
          <rPr>
            <sz val="11"/>
            <color theme="1"/>
            <rFont val="Calibri"/>
            <family val="2"/>
            <scheme val="minor"/>
          </rPr>
          <t>======
ID#AAABDDKrPNA
Gavin Mudd    (2023-12-20 21:24:03)
includes Expo, Mesamax, Mequillon, Ivakkak, Allammaq, Puimajuq deposits</t>
        </r>
      </text>
    </comment>
    <comment ref="K499" authorId="0" shapeId="0" xr:uid="{00000000-0006-0000-0100-000058030000}">
      <text>
        <r>
          <rPr>
            <sz val="11"/>
            <color theme="1"/>
            <rFont val="Calibri"/>
            <family val="2"/>
            <scheme val="minor"/>
          </rPr>
          <t>======
ID#AAABDDKrQJ8
Gavin Mudd    (2023-12-20 21:24:03)
includes Expo, Mesamax, Mequillon, Ivakkak, Allammaq, Puimajuq deposits</t>
        </r>
      </text>
    </comment>
    <comment ref="Q499" authorId="0" shapeId="0" xr:uid="{00000000-0006-0000-0100-00008A030000}">
      <text>
        <r>
          <rPr>
            <sz val="11"/>
            <color theme="1"/>
            <rFont val="Calibri"/>
            <family val="2"/>
            <scheme val="minor"/>
          </rPr>
          <t>======
ID#AAABDDKrQFs
Gavin Mudd    (2023-12-20 21:24:03)
includes Expo, Mesamax, Mequillon, Ivakkak, Allammaq, Puimajuq deposits</t>
        </r>
      </text>
    </comment>
    <comment ref="R499" authorId="0" shapeId="0" xr:uid="{00000000-0006-0000-0100-000013010000}">
      <text>
        <r>
          <rPr>
            <sz val="11"/>
            <color theme="1"/>
            <rFont val="Calibri"/>
            <family val="2"/>
            <scheme val="minor"/>
          </rPr>
          <t>======
ID#AAABDDKrRUI
Gavin Mudd    (2023-12-20 21:24:04)
includes Expo, Mesamax, Mequillon, Ivakkak, Allammaq, Puimajuq deposits</t>
        </r>
      </text>
    </comment>
    <comment ref="S499" authorId="0" shapeId="0" xr:uid="{00000000-0006-0000-0100-0000FA030000}">
      <text>
        <r>
          <rPr>
            <sz val="11"/>
            <color theme="1"/>
            <rFont val="Calibri"/>
            <family val="2"/>
            <scheme val="minor"/>
          </rPr>
          <t>======
ID#AAABDDKrP4w
Gavin Mudd    (2023-12-20 21:24:03)
includes Expo, Mesamax, Mequillon, Ivakkak, Allammaq, Puimajuq deposits</t>
        </r>
      </text>
    </comment>
    <comment ref="T499" authorId="0" shapeId="0" xr:uid="{00000000-0006-0000-0100-000093030000}">
      <text>
        <r>
          <rPr>
            <sz val="11"/>
            <color theme="1"/>
            <rFont val="Calibri"/>
            <family val="2"/>
            <scheme val="minor"/>
          </rPr>
          <t>======
ID#AAABDDKrQEw
Gavin Mudd    (2023-12-20 21:24:03)
includes Expo, Mesamax, Mequillon, Ivakkak, Allammaq, Puimajuq deposits</t>
        </r>
      </text>
    </comment>
    <comment ref="AD499" authorId="0" shapeId="0" xr:uid="{00000000-0006-0000-0100-0000E2010000}">
      <text>
        <r>
          <rPr>
            <sz val="11"/>
            <color theme="1"/>
            <rFont val="Calibri"/>
            <family val="2"/>
            <scheme val="minor"/>
          </rPr>
          <t>======
ID#AAABDDKrQ70
Gavin Mudd    (2023-12-20 21:24:04)
includes Expo, Mesamax, Mequillon, Ivakkak, Allammaq, Puimajuq deposits</t>
        </r>
      </text>
    </comment>
    <comment ref="AE499" authorId="0" shapeId="0" xr:uid="{00000000-0006-0000-0100-0000B1020000}">
      <text>
        <r>
          <rPr>
            <sz val="11"/>
            <color theme="1"/>
            <rFont val="Calibri"/>
            <family val="2"/>
            <scheme val="minor"/>
          </rPr>
          <t>======
ID#AAABDDKrQgc
Gavin Mudd    (2023-12-20 21:24:03)
includes Expo, Mesamax, Mequillon, Ivakkak, Allammaq, Puimajuq deposits</t>
        </r>
      </text>
    </comment>
    <comment ref="AF499" authorId="0" shapeId="0" xr:uid="{00000000-0006-0000-0100-000025020000}">
      <text>
        <r>
          <rPr>
            <sz val="11"/>
            <color theme="1"/>
            <rFont val="Calibri"/>
            <family val="2"/>
            <scheme val="minor"/>
          </rPr>
          <t>======
ID#AAABDDKrQzY
Gavin Mudd    (2023-12-20 21:24:04)
includes Expo, Mesamax, Mequillon, Ivakkak, Allammaq, Puimajuq deposits</t>
        </r>
      </text>
    </comment>
    <comment ref="AL499" authorId="0" shapeId="0" xr:uid="{00000000-0006-0000-0100-0000CA020000}">
      <text>
        <r>
          <rPr>
            <sz val="11"/>
            <color theme="1"/>
            <rFont val="Calibri"/>
            <family val="2"/>
            <scheme val="minor"/>
          </rPr>
          <t>======
ID#AAABDDKrQdo
Gavin Mudd    (2023-12-20 21:24:03)
includes Expo, Mesamax, Mequillon, Ivakkak, Allammaq, Puimajuq deposits</t>
        </r>
      </text>
    </comment>
    <comment ref="AM499" authorId="0" shapeId="0" xr:uid="{00000000-0006-0000-0100-000028000000}">
      <text>
        <r>
          <rPr>
            <sz val="11"/>
            <color theme="1"/>
            <rFont val="Calibri"/>
            <family val="2"/>
            <scheme val="minor"/>
          </rPr>
          <t>======
ID#AAABDDKrRxM
Gavin Mudd    (2023-12-20 21:24:04)
includes Expo, Mesamax, Mequillon, Ivakkak, Allammaq, Puimajuq deposits</t>
        </r>
      </text>
    </comment>
    <comment ref="AN499" authorId="0" shapeId="0" xr:uid="{00000000-0006-0000-0100-0000E1050000}">
      <text>
        <r>
          <rPr>
            <sz val="11"/>
            <color theme="1"/>
            <rFont val="Calibri"/>
            <family val="2"/>
            <scheme val="minor"/>
          </rPr>
          <t>======
ID#AAABDDKrO9U
Gavin Mudd    (2023-12-20 21:24:03)
includes Expo, Mesamax, Mequillon, Ivakkak, Allammaq, Puimajuq deposits</t>
        </r>
      </text>
    </comment>
    <comment ref="AO499" authorId="0" shapeId="0" xr:uid="{00000000-0006-0000-0100-0000CD040000}">
      <text>
        <r>
          <rPr>
            <sz val="11"/>
            <color theme="1"/>
            <rFont val="Calibri"/>
            <family val="2"/>
            <scheme val="minor"/>
          </rPr>
          <t>======
ID#AAABDDKrPe8
Gavin Mudd    (2023-12-20 21:24:03)
includes Expo, Mesamax, Mequillon, Ivakkak, Allammaq, Puimajuq deposits</t>
        </r>
      </text>
    </comment>
    <comment ref="AY499" authorId="0" shapeId="0" xr:uid="{00000000-0006-0000-0100-00002D020000}">
      <text>
        <r>
          <rPr>
            <sz val="11"/>
            <color theme="1"/>
            <rFont val="Calibri"/>
            <family val="2"/>
            <scheme val="minor"/>
          </rPr>
          <t>======
ID#AAABDDKrQyU
Gavin Mudd    (2023-12-20 21:24:04)
includes Expo, Mesamax, Mequillon, Ivakkak, Allammaq, Puimajuq deposits</t>
        </r>
      </text>
    </comment>
    <comment ref="AZ499" authorId="0" shapeId="0" xr:uid="{00000000-0006-0000-0100-00006E000000}">
      <text>
        <r>
          <rPr>
            <sz val="11"/>
            <color theme="1"/>
            <rFont val="Calibri"/>
            <family val="2"/>
            <scheme val="minor"/>
          </rPr>
          <t>======
ID#AAABDDKrRqE
Gavin Mudd    (2023-12-20 21:24:04)
includes Expo, Mesamax, Mequillon, Ivakkak, Allammaq, Puimajuq deposits</t>
        </r>
      </text>
    </comment>
    <comment ref="BA499" authorId="0" shapeId="0" xr:uid="{00000000-0006-0000-0100-000074050000}">
      <text>
        <r>
          <rPr>
            <sz val="11"/>
            <color theme="1"/>
            <rFont val="Calibri"/>
            <family val="2"/>
            <scheme val="minor"/>
          </rPr>
          <t>======
ID#AAABDDKrPJ8
Gavin Mudd    (2023-12-20 21:24:03)
includes Expo, Mesamax, Mequillon, Ivakkak, Allammaq, Puimajuq deposits</t>
        </r>
      </text>
    </comment>
    <comment ref="BG499" authorId="0" shapeId="0" xr:uid="{00000000-0006-0000-0100-00003C040000}">
      <text>
        <r>
          <rPr>
            <sz val="11"/>
            <color theme="1"/>
            <rFont val="Calibri"/>
            <family val="2"/>
            <scheme val="minor"/>
          </rPr>
          <t>======
ID#AAABDDKrPxA
Gavin Mudd    (2023-12-20 21:24:03)
includes Expo, Mesamax, Mequillon, Ivakkak, Allammaq, Puimajuq deposits</t>
        </r>
      </text>
    </comment>
    <comment ref="BH499" authorId="0" shapeId="0" xr:uid="{00000000-0006-0000-0100-000000050000}">
      <text>
        <r>
          <rPr>
            <sz val="11"/>
            <color theme="1"/>
            <rFont val="Calibri"/>
            <family val="2"/>
            <scheme val="minor"/>
          </rPr>
          <t>======
ID#AAABDDKrPYY
Gavin Mudd    (2023-12-20 21:24:03)
includes Expo, Mesamax, Mequillon, Ivakkak, Allammaq, Puimajuq deposits</t>
        </r>
      </text>
    </comment>
    <comment ref="BI499" authorId="0" shapeId="0" xr:uid="{00000000-0006-0000-0100-0000AF020000}">
      <text>
        <r>
          <rPr>
            <sz val="11"/>
            <color theme="1"/>
            <rFont val="Calibri"/>
            <family val="2"/>
            <scheme val="minor"/>
          </rPr>
          <t>======
ID#AAABDDKrQgo
Gavin Mudd    (2023-12-20 21:24:03)
includes Expo, Mesamax, Mequillon, Ivakkak, Allammaq, Puimajuq deposits</t>
        </r>
      </text>
    </comment>
    <comment ref="BJ499" authorId="0" shapeId="0" xr:uid="{00000000-0006-0000-0100-00009E050000}">
      <text>
        <r>
          <rPr>
            <sz val="11"/>
            <color theme="1"/>
            <rFont val="Calibri"/>
            <family val="2"/>
            <scheme val="minor"/>
          </rPr>
          <t>======
ID#AAABDDKrPFg
Gavin Mudd    (2023-12-20 21:24:03)
includes Expo, Mesamax, Mequillon, Ivakkak, Allammaq, Puimajuq deposits</t>
        </r>
      </text>
    </comment>
    <comment ref="DN499" authorId="0" shapeId="0" xr:uid="{00000000-0006-0000-0100-00000E010000}">
      <text>
        <r>
          <rPr>
            <sz val="11"/>
            <color theme="1"/>
            <rFont val="Calibri"/>
            <family val="2"/>
            <scheme val="minor"/>
          </rPr>
          <t>======
ID#AAABDDKrRUw
Author    (2023-12-20 21:24:04)
formerly Goldbrook Ventures (taken over by Jilin Jien Nickel)</t>
        </r>
      </text>
    </comment>
    <comment ref="A500" authorId="0" shapeId="0" xr:uid="{00000000-0006-0000-0100-0000DD020000}">
      <text>
        <r>
          <rPr>
            <sz val="11"/>
            <color theme="1"/>
            <rFont val="Calibri"/>
            <family val="2"/>
            <scheme val="minor"/>
          </rPr>
          <t>======
ID#AAABDDKrQak
Gavin Mudd    (2023-12-20 21:24:03)
includes Bravo, Getty, Mystery, Pad, Timtu, Sylvie deposits</t>
        </r>
      </text>
    </comment>
    <comment ref="F500" authorId="0" shapeId="0" xr:uid="{00000000-0006-0000-0100-0000D7050000}">
      <text>
        <r>
          <rPr>
            <sz val="11"/>
            <color theme="1"/>
            <rFont val="Calibri"/>
            <family val="2"/>
            <scheme val="minor"/>
          </rPr>
          <t>======
ID#AAABDDKrO-s
Gavin Mudd    (2023-12-20 21:24:03)
previously held by Goldbrook Ventures, which was taken over by Jilin Jien Nickel in March 2012 - JJN was bankrupt ~2018</t>
        </r>
      </text>
    </comment>
    <comment ref="AD500" authorId="0" shapeId="0" xr:uid="{00000000-0006-0000-0100-0000B5040000}">
      <text>
        <r>
          <rPr>
            <sz val="11"/>
            <color theme="1"/>
            <rFont val="Calibri"/>
            <family val="2"/>
            <scheme val="minor"/>
          </rPr>
          <t>======
ID#AAABDDKrPhQ
Gavin Mudd    (2023-12-20 21:24:03)
includes Bravo, Getty, Mystery, Pad, Timtu, Sylvie deposits</t>
        </r>
      </text>
    </comment>
    <comment ref="AE500" authorId="0" shapeId="0" xr:uid="{00000000-0006-0000-0100-00006C050000}">
      <text>
        <r>
          <rPr>
            <sz val="11"/>
            <color theme="1"/>
            <rFont val="Calibri"/>
            <family val="2"/>
            <scheme val="minor"/>
          </rPr>
          <t>======
ID#AAABDDKrPLA
Gavin Mudd    (2023-12-20 21:24:03)
includes Bravo, Getty, Mystery, Pad, Timtu, Sylvie deposits</t>
        </r>
      </text>
    </comment>
    <comment ref="AF500" authorId="0" shapeId="0" xr:uid="{00000000-0006-0000-0100-000052060000}">
      <text>
        <r>
          <rPr>
            <sz val="11"/>
            <color theme="1"/>
            <rFont val="Calibri"/>
            <family val="2"/>
            <scheme val="minor"/>
          </rPr>
          <t>======
ID#AAABCyJQh2s
Gavin Mudd    (2023-12-20 21:24:02)
includes Bravo, Getty, Mystery, Pad, Timtu, Sylvie deposits</t>
        </r>
      </text>
    </comment>
    <comment ref="AL500" authorId="0" shapeId="0" xr:uid="{00000000-0006-0000-0100-0000C0010000}">
      <text>
        <r>
          <rPr>
            <sz val="11"/>
            <color theme="1"/>
            <rFont val="Calibri"/>
            <family val="2"/>
            <scheme val="minor"/>
          </rPr>
          <t>======
ID#AAABDDKrRAU
Gavin Mudd    (2023-12-20 21:24:04)
includes Bravo, Getty, Mystery, Pad, Timtu, Sylvie deposits</t>
        </r>
      </text>
    </comment>
    <comment ref="AM500" authorId="0" shapeId="0" xr:uid="{00000000-0006-0000-0100-00005E010000}">
      <text>
        <r>
          <rPr>
            <sz val="11"/>
            <color theme="1"/>
            <rFont val="Calibri"/>
            <family val="2"/>
            <scheme val="minor"/>
          </rPr>
          <t>======
ID#AAABDDKrRL0
Gavin Mudd    (2023-12-20 21:24:04)
includes Bravo, Getty, Mystery, Pad, Timtu, Sylvie deposits</t>
        </r>
      </text>
    </comment>
    <comment ref="AN500" authorId="0" shapeId="0" xr:uid="{00000000-0006-0000-0100-0000D2010000}">
      <text>
        <r>
          <rPr>
            <sz val="11"/>
            <color theme="1"/>
            <rFont val="Calibri"/>
            <family val="2"/>
            <scheme val="minor"/>
          </rPr>
          <t>======
ID#AAABDDKrQ9w
Gavin Mudd    (2023-12-20 21:24:04)
includes Bravo, Getty, Mystery, Pad, Timtu, Sylvie deposits</t>
        </r>
      </text>
    </comment>
    <comment ref="AO500" authorId="0" shapeId="0" xr:uid="{00000000-0006-0000-0100-00004E020000}">
      <text>
        <r>
          <rPr>
            <sz val="11"/>
            <color theme="1"/>
            <rFont val="Calibri"/>
            <family val="2"/>
            <scheme val="minor"/>
          </rPr>
          <t>======
ID#AAABDDKrQts
Gavin Mudd    (2023-12-20 21:24:04)
includes Bravo, Getty, Mystery, Pad, Timtu, Sylvie deposits</t>
        </r>
      </text>
    </comment>
    <comment ref="AY500" authorId="0" shapeId="0" xr:uid="{00000000-0006-0000-0100-000098060000}">
      <text>
        <r>
          <rPr>
            <sz val="11"/>
            <color theme="1"/>
            <rFont val="Calibri"/>
            <family val="2"/>
            <scheme val="minor"/>
          </rPr>
          <t>======
ID#AAABCxlEysY
Gavin Mudd    (2023-12-20 21:24:01)
includes Bravo, Getty, Mystery, Pad, Timtu, Sylvie deposits</t>
        </r>
      </text>
    </comment>
    <comment ref="AZ500" authorId="0" shapeId="0" xr:uid="{00000000-0006-0000-0100-00002D050000}">
      <text>
        <r>
          <rPr>
            <sz val="11"/>
            <color theme="1"/>
            <rFont val="Calibri"/>
            <family val="2"/>
            <scheme val="minor"/>
          </rPr>
          <t>======
ID#AAABDDKrPTA
Gavin Mudd    (2023-12-20 21:24:03)
includes Bravo, Getty, Mystery, Pad, Timtu, Sylvie deposits</t>
        </r>
      </text>
    </comment>
    <comment ref="BA500" authorId="0" shapeId="0" xr:uid="{00000000-0006-0000-0100-000006020000}">
      <text>
        <r>
          <rPr>
            <sz val="11"/>
            <color theme="1"/>
            <rFont val="Calibri"/>
            <family val="2"/>
            <scheme val="minor"/>
          </rPr>
          <t>======
ID#AAABDDKrQ3c
Gavin Mudd    (2023-12-20 21:24:04)
includes Bravo, Getty, Mystery, Pad, Timtu, Sylvie deposits</t>
        </r>
      </text>
    </comment>
    <comment ref="BG500" authorId="0" shapeId="0" xr:uid="{00000000-0006-0000-0100-00002A000000}">
      <text>
        <r>
          <rPr>
            <sz val="11"/>
            <color theme="1"/>
            <rFont val="Calibri"/>
            <family val="2"/>
            <scheme val="minor"/>
          </rPr>
          <t>======
ID#AAABDDKrRxE
Gavin Mudd    (2023-12-20 21:24:04)
includes Bravo, Getty, Mystery, Pad, Timtu, Sylvie deposits</t>
        </r>
      </text>
    </comment>
    <comment ref="BH500" authorId="0" shapeId="0" xr:uid="{00000000-0006-0000-0100-000027060000}">
      <text>
        <r>
          <rPr>
            <sz val="11"/>
            <color theme="1"/>
            <rFont val="Calibri"/>
            <family val="2"/>
            <scheme val="minor"/>
          </rPr>
          <t>======
ID#AAABCyJQh8E
Gavin Mudd    (2023-12-20 21:24:02)
includes Bravo, Getty, Mystery, Pad, Timtu, Sylvie deposits</t>
        </r>
      </text>
    </comment>
    <comment ref="BI500" authorId="0" shapeId="0" xr:uid="{00000000-0006-0000-0100-000059040000}">
      <text>
        <r>
          <rPr>
            <sz val="11"/>
            <color theme="1"/>
            <rFont val="Calibri"/>
            <family val="2"/>
            <scheme val="minor"/>
          </rPr>
          <t>======
ID#AAABDDKrPtE
Gavin Mudd    (2023-12-20 21:24:03)
includes Bravo, Getty, Mystery, Pad, Timtu, Sylvie deposits</t>
        </r>
      </text>
    </comment>
    <comment ref="BJ500" authorId="0" shapeId="0" xr:uid="{00000000-0006-0000-0100-00008E060000}">
      <text>
        <r>
          <rPr>
            <sz val="11"/>
            <color theme="1"/>
            <rFont val="Calibri"/>
            <family val="2"/>
            <scheme val="minor"/>
          </rPr>
          <t>======
ID#AAABCyJQhtE
Gavin Mudd    (2023-12-20 21:24:01)
includes Bravo, Getty, Mystery, Pad, Timtu, Sylvie deposits</t>
        </r>
      </text>
    </comment>
    <comment ref="DN500" authorId="0" shapeId="0" xr:uid="{00000000-0006-0000-0100-0000BF050000}">
      <text>
        <r>
          <rPr>
            <sz val="11"/>
            <color theme="1"/>
            <rFont val="Calibri"/>
            <family val="2"/>
            <scheme val="minor"/>
          </rPr>
          <t>======
ID#AAABDDKrPBY
Author    (2023-12-20 21:24:03)
formerly Goldbrook Ventures (taken over by Jilin Jien Nickel)</t>
        </r>
      </text>
    </comment>
    <comment ref="AY501" authorId="0" shapeId="0" xr:uid="{00000000-0006-0000-0100-000011010000}">
      <text>
        <r>
          <rPr>
            <sz val="11"/>
            <color theme="1"/>
            <rFont val="Calibri"/>
            <family val="2"/>
            <scheme val="minor"/>
          </rPr>
          <t>======
ID#AAABDDKrRUc
Gavin Mudd    (2023-12-20 21:24:04)
historic resources (non-compliant with NI43-101) - hence all data allocated as inferred resources only</t>
        </r>
      </text>
    </comment>
    <comment ref="AZ501" authorId="0" shapeId="0" xr:uid="{00000000-0006-0000-0100-00003E030000}">
      <text>
        <r>
          <rPr>
            <sz val="11"/>
            <color theme="1"/>
            <rFont val="Calibri"/>
            <family val="2"/>
            <scheme val="minor"/>
          </rPr>
          <t>======
ID#AAABDDKrQNI
Gavin Mudd    (2023-12-20 21:24:03)
historic resources (non-compliant with NI43-101) - hence all data allocated as inferred resources only</t>
        </r>
      </text>
    </comment>
    <comment ref="BG501" authorId="0" shapeId="0" xr:uid="{00000000-0006-0000-0100-000089040000}">
      <text>
        <r>
          <rPr>
            <sz val="11"/>
            <color theme="1"/>
            <rFont val="Calibri"/>
            <family val="2"/>
            <scheme val="minor"/>
          </rPr>
          <t>======
ID#AAABDDKrPmM
Gavin Mudd    (2023-12-20 21:24:03)
historic resources (non-compliant with NI43-101) - hence all data allocated as inferred resources only</t>
        </r>
      </text>
    </comment>
    <comment ref="F502" authorId="0" shapeId="0" xr:uid="{00000000-0006-0000-0100-0000C9050000}">
      <text>
        <r>
          <rPr>
            <sz val="11"/>
            <color theme="1"/>
            <rFont val="Calibri"/>
            <family val="2"/>
            <scheme val="minor"/>
          </rPr>
          <t>======
ID#AAABDDKrPAI
Gavin Mudd    (2023-12-20 21:24:03)
previously held by Blackstone Ventures</t>
        </r>
      </text>
    </comment>
    <comment ref="DN502" authorId="0" shapeId="0" xr:uid="{00000000-0006-0000-0100-0000B9020000}">
      <text>
        <r>
          <rPr>
            <sz val="11"/>
            <color theme="1"/>
            <rFont val="Calibri"/>
            <family val="2"/>
            <scheme val="minor"/>
          </rPr>
          <t>======
ID#AAABDDKrQfk
Author    (2023-12-20 21:24:03)
data from Blackstone Ventures</t>
        </r>
      </text>
    </comment>
    <comment ref="K504" authorId="0" shapeId="0" xr:uid="{00000000-0006-0000-0100-0000D2040000}">
      <text>
        <r>
          <rPr>
            <sz val="11"/>
            <color theme="1"/>
            <rFont val="Calibri"/>
            <family val="2"/>
            <scheme val="minor"/>
          </rPr>
          <t>======
ID#AAABDDKrPeA
Gavin Mudd    (2023-12-20 21:24:03)
value from Tech Rep (2014-10)</t>
        </r>
      </text>
    </comment>
    <comment ref="L504" authorId="0" shapeId="0" xr:uid="{00000000-0006-0000-0100-00008A060000}">
      <text>
        <r>
          <rPr>
            <sz val="11"/>
            <color theme="1"/>
            <rFont val="Calibri"/>
            <family val="2"/>
            <scheme val="minor"/>
          </rPr>
          <t>======
ID#AAABCyJQhtk
Gavin Mudd    (2023-12-20 21:24:01)
value from Tech Rep (2014-10)</t>
        </r>
      </text>
    </comment>
    <comment ref="R504" authorId="0" shapeId="0" xr:uid="{00000000-0006-0000-0100-000002030000}">
      <text>
        <r>
          <rPr>
            <sz val="11"/>
            <color theme="1"/>
            <rFont val="Calibri"/>
            <family val="2"/>
            <scheme val="minor"/>
          </rPr>
          <t>======
ID#AAABDDKrQVI
Gavin Mudd    (2023-12-20 21:24:03)
value from Tech Rep (2014-10)</t>
        </r>
      </text>
    </comment>
    <comment ref="S504" authorId="0" shapeId="0" xr:uid="{00000000-0006-0000-0100-0000FD050000}">
      <text>
        <r>
          <rPr>
            <sz val="11"/>
            <color theme="1"/>
            <rFont val="Calibri"/>
            <family val="2"/>
            <scheme val="minor"/>
          </rPr>
          <t>======
ID#AAABDDKrO5k
Gavin Mudd    (2023-12-20 21:24:02)
value from Tech Rep (2014-10)</t>
        </r>
      </text>
    </comment>
    <comment ref="T504" authorId="0" shapeId="0" xr:uid="{00000000-0006-0000-0100-000053040000}">
      <text>
        <r>
          <rPr>
            <sz val="11"/>
            <color theme="1"/>
            <rFont val="Calibri"/>
            <family val="2"/>
            <scheme val="minor"/>
          </rPr>
          <t>======
ID#AAABDDKrPtk
Gavin Mudd    (2023-12-20 21:24:03)
value from Tech Rep (2014-10)</t>
        </r>
      </text>
    </comment>
    <comment ref="AF504" authorId="0" shapeId="0" xr:uid="{00000000-0006-0000-0100-000070040000}">
      <text>
        <r>
          <rPr>
            <sz val="11"/>
            <color theme="1"/>
            <rFont val="Calibri"/>
            <family val="2"/>
            <scheme val="minor"/>
          </rPr>
          <t>======
ID#AAABDDKrPqA
Gavin Mudd    (2023-12-20 21:24:03)
value from Tech Rep (2014-10)</t>
        </r>
      </text>
    </comment>
    <comment ref="AG504" authorId="0" shapeId="0" xr:uid="{00000000-0006-0000-0100-0000CD050000}">
      <text>
        <r>
          <rPr>
            <sz val="11"/>
            <color theme="1"/>
            <rFont val="Calibri"/>
            <family val="2"/>
            <scheme val="minor"/>
          </rPr>
          <t>======
ID#AAABDDKrO_w
Gavin Mudd    (2023-12-20 21:24:03)
value from Tech Rep (2014-10)</t>
        </r>
      </text>
    </comment>
    <comment ref="AM504" authorId="0" shapeId="0" xr:uid="{00000000-0006-0000-0100-000049040000}">
      <text>
        <r>
          <rPr>
            <sz val="11"/>
            <color theme="1"/>
            <rFont val="Calibri"/>
            <family val="2"/>
            <scheme val="minor"/>
          </rPr>
          <t>======
ID#AAABDDKrPvI
Gavin Mudd    (2023-12-20 21:24:03)
value from Tech Rep (2014-10)</t>
        </r>
      </text>
    </comment>
    <comment ref="AN504" authorId="0" shapeId="0" xr:uid="{00000000-0006-0000-0100-0000A0050000}">
      <text>
        <r>
          <rPr>
            <sz val="11"/>
            <color theme="1"/>
            <rFont val="Calibri"/>
            <family val="2"/>
            <scheme val="minor"/>
          </rPr>
          <t>======
ID#AAABDDKrPFU
Gavin Mudd    (2023-12-20 21:24:03)
value from Tech Rep (2014-10)</t>
        </r>
      </text>
    </comment>
    <comment ref="AO504" authorId="0" shapeId="0" xr:uid="{00000000-0006-0000-0100-00008A040000}">
      <text>
        <r>
          <rPr>
            <sz val="11"/>
            <color theme="1"/>
            <rFont val="Calibri"/>
            <family val="2"/>
            <scheme val="minor"/>
          </rPr>
          <t>======
ID#AAABDDKrPmI
Gavin Mudd    (2023-12-20 21:24:03)
value from Tech Rep (2014-10)</t>
        </r>
      </text>
    </comment>
    <comment ref="BA504" authorId="0" shapeId="0" xr:uid="{00000000-0006-0000-0100-000034020000}">
      <text>
        <r>
          <rPr>
            <sz val="11"/>
            <color theme="1"/>
            <rFont val="Calibri"/>
            <family val="2"/>
            <scheme val="minor"/>
          </rPr>
          <t>======
ID#AAABDDKrQw0
Gavin Mudd    (2023-12-20 21:24:04)
value from Tech Rep (2014-10)</t>
        </r>
      </text>
    </comment>
    <comment ref="BB504" authorId="0" shapeId="0" xr:uid="{00000000-0006-0000-0100-0000E7010000}">
      <text>
        <r>
          <rPr>
            <sz val="11"/>
            <color theme="1"/>
            <rFont val="Calibri"/>
            <family val="2"/>
            <scheme val="minor"/>
          </rPr>
          <t>======
ID#AAABDDKrQ7M
Gavin Mudd    (2023-12-20 21:24:04)
value from Tech Rep (2014-10)</t>
        </r>
      </text>
    </comment>
    <comment ref="BH504" authorId="0" shapeId="0" xr:uid="{00000000-0006-0000-0100-00006E020000}">
      <text>
        <r>
          <rPr>
            <sz val="11"/>
            <color theme="1"/>
            <rFont val="Calibri"/>
            <family val="2"/>
            <scheme val="minor"/>
          </rPr>
          <t>======
ID#AAABDDKrQpw
Gavin Mudd    (2023-12-20 21:24:04)
value from Tech Rep (2014-10)</t>
        </r>
      </text>
    </comment>
    <comment ref="BI504" authorId="0" shapeId="0" xr:uid="{00000000-0006-0000-0100-0000FE050000}">
      <text>
        <r>
          <rPr>
            <sz val="11"/>
            <color theme="1"/>
            <rFont val="Calibri"/>
            <family val="2"/>
            <scheme val="minor"/>
          </rPr>
          <t>======
ID#AAABDDKrO5g
Gavin Mudd    (2023-12-20 21:24:02)
value from Tech Rep (2014-10)</t>
        </r>
      </text>
    </comment>
    <comment ref="BJ504" authorId="0" shapeId="0" xr:uid="{00000000-0006-0000-0100-00009F050000}">
      <text>
        <r>
          <rPr>
            <sz val="11"/>
            <color theme="1"/>
            <rFont val="Calibri"/>
            <family val="2"/>
            <scheme val="minor"/>
          </rPr>
          <t>======
ID#AAABDDKrPFc
Gavin Mudd    (2023-12-20 21:24:03)
value from Tech Rep (2014-10)</t>
        </r>
      </text>
    </comment>
    <comment ref="AF505" authorId="0" shapeId="0" xr:uid="{00000000-0006-0000-0100-00000C010000}">
      <text>
        <r>
          <rPr>
            <sz val="11"/>
            <color theme="1"/>
            <rFont val="Calibri"/>
            <family val="2"/>
            <scheme val="minor"/>
          </rPr>
          <t>======
ID#AAABDDKrRVU
Gavin Mudd    (2023-12-20 21:24:04)
value from Tech Rep (2014-10)</t>
        </r>
      </text>
    </comment>
    <comment ref="AG505" authorId="0" shapeId="0" xr:uid="{00000000-0006-0000-0100-000042010000}">
      <text>
        <r>
          <rPr>
            <sz val="11"/>
            <color theme="1"/>
            <rFont val="Calibri"/>
            <family val="2"/>
            <scheme val="minor"/>
          </rPr>
          <t>======
ID#AAABDDKrRPA
Gavin Mudd    (2023-12-20 21:24:04)
value from Tech Rep (2014-10)</t>
        </r>
      </text>
    </comment>
    <comment ref="AM505" authorId="0" shapeId="0" xr:uid="{00000000-0006-0000-0100-000095060000}">
      <text>
        <r>
          <rPr>
            <sz val="11"/>
            <color theme="1"/>
            <rFont val="Calibri"/>
            <family val="2"/>
            <scheme val="minor"/>
          </rPr>
          <t>======
ID#AAABCxlEysw
Gavin Mudd    (2023-12-20 21:24:01)
value from Tech Rep (2014-10)</t>
        </r>
      </text>
    </comment>
    <comment ref="AN505" authorId="0" shapeId="0" xr:uid="{00000000-0006-0000-0100-0000BC030000}">
      <text>
        <r>
          <rPr>
            <sz val="11"/>
            <color theme="1"/>
            <rFont val="Calibri"/>
            <family val="2"/>
            <scheme val="minor"/>
          </rPr>
          <t>======
ID#AAABDDKrP_s
Gavin Mudd    (2023-12-20 21:24:03)
value from Tech Rep (2014-10)</t>
        </r>
      </text>
    </comment>
    <comment ref="AO505" authorId="0" shapeId="0" xr:uid="{00000000-0006-0000-0100-00007C050000}">
      <text>
        <r>
          <rPr>
            <sz val="11"/>
            <color theme="1"/>
            <rFont val="Calibri"/>
            <family val="2"/>
            <scheme val="minor"/>
          </rPr>
          <t>======
ID#AAABDDKrPJU
Gavin Mudd    (2023-12-20 21:24:03)
value from Tech Rep (2014-10)</t>
        </r>
      </text>
    </comment>
    <comment ref="BA505" authorId="0" shapeId="0" xr:uid="{00000000-0006-0000-0100-0000B3030000}">
      <text>
        <r>
          <rPr>
            <sz val="11"/>
            <color theme="1"/>
            <rFont val="Calibri"/>
            <family val="2"/>
            <scheme val="minor"/>
          </rPr>
          <t>======
ID#AAABDDKrQAw
Gavin Mudd    (2023-12-20 21:24:03)
value from Tech Rep (2014-10)</t>
        </r>
      </text>
    </comment>
    <comment ref="BB505" authorId="0" shapeId="0" xr:uid="{00000000-0006-0000-0100-00003E000000}">
      <text>
        <r>
          <rPr>
            <sz val="11"/>
            <color theme="1"/>
            <rFont val="Calibri"/>
            <family val="2"/>
            <scheme val="minor"/>
          </rPr>
          <t>======
ID#AAABDDKrRvI
Gavin Mudd    (2023-12-20 21:24:04)
value from Tech Rep (2014-10)</t>
        </r>
      </text>
    </comment>
    <comment ref="BH505" authorId="0" shapeId="0" xr:uid="{00000000-0006-0000-0100-0000AE050000}">
      <text>
        <r>
          <rPr>
            <sz val="11"/>
            <color theme="1"/>
            <rFont val="Calibri"/>
            <family val="2"/>
            <scheme val="minor"/>
          </rPr>
          <t>======
ID#AAABDDKrPDw
Gavin Mudd    (2023-12-20 21:24:03)
value from Tech Rep (2014-10)</t>
        </r>
      </text>
    </comment>
    <comment ref="BI505" authorId="0" shapeId="0" xr:uid="{00000000-0006-0000-0100-000006050000}">
      <text>
        <r>
          <rPr>
            <sz val="11"/>
            <color theme="1"/>
            <rFont val="Calibri"/>
            <family val="2"/>
            <scheme val="minor"/>
          </rPr>
          <t>======
ID#AAABDDKrPXU
Gavin Mudd    (2023-12-20 21:24:03)
value from Tech Rep (2014-10)</t>
        </r>
      </text>
    </comment>
    <comment ref="BJ505" authorId="0" shapeId="0" xr:uid="{00000000-0006-0000-0100-000014020000}">
      <text>
        <r>
          <rPr>
            <sz val="11"/>
            <color theme="1"/>
            <rFont val="Calibri"/>
            <family val="2"/>
            <scheme val="minor"/>
          </rPr>
          <t>======
ID#AAABDDKrQ1k
Gavin Mudd    (2023-12-20 21:24:04)
value from Tech Rep (2014-10)</t>
        </r>
      </text>
    </comment>
    <comment ref="F509" authorId="0" shapeId="0" xr:uid="{00000000-0006-0000-0100-0000A4020000}">
      <text>
        <r>
          <rPr>
            <sz val="11"/>
            <color theme="1"/>
            <rFont val="Calibri"/>
            <family val="2"/>
            <scheme val="minor"/>
          </rPr>
          <t>======
ID#AAABDDKrQhw
Gavin Mudd    (2023-12-20 21:24:04)
merged in 2013 with Mercator Minerals Ltd, which went bankrupt in 2014</t>
        </r>
      </text>
    </comment>
    <comment ref="F510" authorId="0" shapeId="0" xr:uid="{00000000-0006-0000-0100-000060040000}">
      <text>
        <r>
          <rPr>
            <sz val="11"/>
            <color theme="1"/>
            <rFont val="Calibri"/>
            <family val="2"/>
            <scheme val="minor"/>
          </rPr>
          <t>======
ID#AAABDDKrPsM
Gavin Mudd    (2023-12-20 21:24:03)
merged in 2013 with Mercator Minerals Ltd, which went bankrupt in 2014</t>
        </r>
      </text>
    </comment>
    <comment ref="F511" authorId="0" shapeId="0" xr:uid="{00000000-0006-0000-0100-000068030000}">
      <text>
        <r>
          <rPr>
            <sz val="11"/>
            <color theme="1"/>
            <rFont val="Calibri"/>
            <family val="2"/>
            <scheme val="minor"/>
          </rPr>
          <t>======
ID#AAABDDKrQIk
Gavin Mudd    (2023-12-20 21:24:03)
merged in 2013 with Mercator Minerals Ltd, which went bankrupt in 2014</t>
        </r>
      </text>
    </comment>
    <comment ref="I512" authorId="0" shapeId="0" xr:uid="{00000000-0006-0000-0100-00009D000000}">
      <text>
        <r>
          <rPr>
            <sz val="11"/>
            <color theme="1"/>
            <rFont val="Calibri"/>
            <family val="2"/>
            <scheme val="minor"/>
          </rPr>
          <t>======
ID#AAABDDKrRis
Gavin Mudd    (2023-12-20 21:24:04)
only total resources given, no categories assigned - all assumed as indicated resources</t>
        </r>
      </text>
    </comment>
    <comment ref="AD512" authorId="0" shapeId="0" xr:uid="{00000000-0006-0000-0100-00002E030000}">
      <text>
        <r>
          <rPr>
            <sz val="11"/>
            <color theme="1"/>
            <rFont val="Calibri"/>
            <family val="2"/>
            <scheme val="minor"/>
          </rPr>
          <t>======
ID#AAABDDKrQPc
Gavin Mudd    (2023-12-20 21:24:03)
only total resources given, no categories assigned - all assumed as indicated resources</t>
        </r>
      </text>
    </comment>
    <comment ref="AY512" authorId="0" shapeId="0" xr:uid="{00000000-0006-0000-0100-000037030000}">
      <text>
        <r>
          <rPr>
            <sz val="11"/>
            <color theme="1"/>
            <rFont val="Calibri"/>
            <family val="2"/>
            <scheme val="minor"/>
          </rPr>
          <t>======
ID#AAABDDKrQOI
Gavin Mudd    (2023-12-20 21:24:03)
only total resources given, no categories assigned - all assumed as indicated resources</t>
        </r>
      </text>
    </comment>
    <comment ref="CO512" authorId="0" shapeId="0" xr:uid="{00000000-0006-0000-0100-0000AE040000}">
      <text>
        <r>
          <rPr>
            <sz val="11"/>
            <color theme="1"/>
            <rFont val="Calibri"/>
            <family val="2"/>
            <scheme val="minor"/>
          </rPr>
          <t>======
ID#AAABDDKrPiA
Gavin Mudd    (2023-12-20 21:24:03)
only total resources given, no categories assigned - all assumed as indicated resources</t>
        </r>
      </text>
    </comment>
    <comment ref="I513" authorId="0" shapeId="0" xr:uid="{00000000-0006-0000-0100-0000BB040000}">
      <text>
        <r>
          <rPr>
            <sz val="11"/>
            <color theme="1"/>
            <rFont val="Calibri"/>
            <family val="2"/>
            <scheme val="minor"/>
          </rPr>
          <t>======
ID#AAABDDKrPgo
Gavin Mudd    (2023-12-20 21:24:03)
measured &amp; indicated resources reported together</t>
        </r>
      </text>
    </comment>
    <comment ref="AD513" authorId="0" shapeId="0" xr:uid="{00000000-0006-0000-0100-0000FB040000}">
      <text>
        <r>
          <rPr>
            <sz val="11"/>
            <color theme="1"/>
            <rFont val="Calibri"/>
            <family val="2"/>
            <scheme val="minor"/>
          </rPr>
          <t>======
ID#AAABDDKrPY4
Gavin Mudd    (2023-12-20 21:24:03)
measured &amp; indicated resources reported together</t>
        </r>
      </text>
    </comment>
    <comment ref="AM513" authorId="0" shapeId="0" xr:uid="{00000000-0006-0000-0100-0000FB010000}">
      <text>
        <r>
          <rPr>
            <sz val="11"/>
            <color theme="1"/>
            <rFont val="Calibri"/>
            <family val="2"/>
            <scheme val="minor"/>
          </rPr>
          <t>======
ID#AAABDDKrQ44
Gavin Mudd    (2023-12-20 21:24:04)
data from Boyd et al (2016)</t>
        </r>
      </text>
    </comment>
    <comment ref="BH513" authorId="0" shapeId="0" xr:uid="{00000000-0006-0000-0100-0000B7040000}">
      <text>
        <r>
          <rPr>
            <sz val="11"/>
            <color theme="1"/>
            <rFont val="Calibri"/>
            <family val="2"/>
            <scheme val="minor"/>
          </rPr>
          <t>======
ID#AAABDDKrPhE
Gavin Mudd    (2023-12-20 21:24:03)
data from Boyd et al (2016)</t>
        </r>
      </text>
    </comment>
    <comment ref="CC513" authorId="0" shapeId="0" xr:uid="{00000000-0006-0000-0100-0000FF050000}">
      <text>
        <r>
          <rPr>
            <sz val="11"/>
            <color theme="1"/>
            <rFont val="Calibri"/>
            <family val="2"/>
            <scheme val="minor"/>
          </rPr>
          <t>======
ID#AAABCyJQiBU
Gavin Mudd    (2023-12-20 21:24:02)
data from Boyd et al (2016)</t>
        </r>
      </text>
    </comment>
    <comment ref="CX513" authorId="0" shapeId="0" xr:uid="{00000000-0006-0000-0100-0000C7020000}">
      <text>
        <r>
          <rPr>
            <sz val="11"/>
            <color theme="1"/>
            <rFont val="Calibri"/>
            <family val="2"/>
            <scheme val="minor"/>
          </rPr>
          <t>======
ID#AAABDDKrQdw
Gavin Mudd    (2023-12-20 21:24:03)
data from Boyd et al (2016)</t>
        </r>
      </text>
    </comment>
    <comment ref="F514" authorId="0" shapeId="0" xr:uid="{00000000-0006-0000-0100-0000E3050000}">
      <text>
        <r>
          <rPr>
            <sz val="11"/>
            <color theme="1"/>
            <rFont val="Calibri"/>
            <family val="2"/>
            <scheme val="minor"/>
          </rPr>
          <t>======
ID#AAABDDKrO9I
Gavin Mudd    (2023-12-20 21:24:03)
previously held by Ursa Major Minerals Inc, then Prophecy Platinum, then Nickel Creek Platinum ...</t>
        </r>
      </text>
    </comment>
    <comment ref="DN514" authorId="0" shapeId="0" xr:uid="{00000000-0006-0000-0100-000022020000}">
      <text>
        <r>
          <rPr>
            <sz val="11"/>
            <color theme="1"/>
            <rFont val="Calibri"/>
            <family val="2"/>
            <scheme val="minor"/>
          </rPr>
          <t>======
ID#AAABDDKrQzk
Gavin Mudd    (2023-12-20 21:24:04)
data from Ursa Major Minerals</t>
        </r>
      </text>
    </comment>
    <comment ref="F515" authorId="0" shapeId="0" xr:uid="{00000000-0006-0000-0100-0000CE010000}">
      <text>
        <r>
          <rPr>
            <sz val="11"/>
            <color theme="1"/>
            <rFont val="Calibri"/>
            <family val="2"/>
            <scheme val="minor"/>
          </rPr>
          <t>======
ID#AAABDDKrQ-M
Gavin Mudd    (2023-12-20 21:24:04)
note: North American Palladium was taken over by Sibanye-Stillwater in mid-2019</t>
        </r>
      </text>
    </comment>
    <comment ref="F516" authorId="0" shapeId="0" xr:uid="{00000000-0006-0000-0100-000039030000}">
      <text>
        <r>
          <rPr>
            <sz val="11"/>
            <color theme="1"/>
            <rFont val="Calibri"/>
            <family val="2"/>
            <scheme val="minor"/>
          </rPr>
          <t>======
ID#AAABDDKrQNs
Gavin Mudd    (2023-12-20 21:24:03)
previously held by Ursa Major Minerals Inc, then Prophecy Platinum, then Nickel Creek Platinum ...</t>
        </r>
      </text>
    </comment>
    <comment ref="AM516" authorId="0" shapeId="0" xr:uid="{00000000-0006-0000-0100-000098040000}">
      <text>
        <r>
          <rPr>
            <sz val="11"/>
            <color theme="1"/>
            <rFont val="Calibri"/>
            <family val="2"/>
            <scheme val="minor"/>
          </rPr>
          <t>======
ID#AAABDDKrPkk
Gavin Mudd    (2023-12-20 21:24:03)
data from 2011 Annual Report, Ursa Major Minerals</t>
        </r>
      </text>
    </comment>
    <comment ref="BH516" authorId="0" shapeId="0" xr:uid="{00000000-0006-0000-0100-000025050000}">
      <text>
        <r>
          <rPr>
            <sz val="11"/>
            <color theme="1"/>
            <rFont val="Calibri"/>
            <family val="2"/>
            <scheme val="minor"/>
          </rPr>
          <t>======
ID#AAABDDKrPTs
Gavin Mudd    (2023-12-20 21:24:03)
data from 2011 Annual Report, Ursa Major Minerals</t>
        </r>
      </text>
    </comment>
    <comment ref="F517" authorId="0" shapeId="0" xr:uid="{00000000-0006-0000-0100-00004D050000}">
      <text>
        <r>
          <rPr>
            <sz val="11"/>
            <color theme="1"/>
            <rFont val="Calibri"/>
            <family val="2"/>
            <scheme val="minor"/>
          </rPr>
          <t>======
ID#AAABDDKrPPc
Gavin Mudd    (2023-12-20 21:24:03)
previously held by Magma Metals</t>
        </r>
      </text>
    </comment>
    <comment ref="I518" authorId="0" shapeId="0" xr:uid="{00000000-0006-0000-0100-0000BA000000}">
      <text>
        <r>
          <rPr>
            <sz val="11"/>
            <color theme="1"/>
            <rFont val="Calibri"/>
            <family val="2"/>
            <scheme val="minor"/>
          </rPr>
          <t>======
ID#AAABDDKrRgM
Gavin Mudd    (2023-12-20 21:24:04)
proved ore reserves assumed same as measured resources (due to lack of total mineral resources data)</t>
        </r>
      </text>
    </comment>
    <comment ref="J518" authorId="0" shapeId="0" xr:uid="{00000000-0006-0000-0100-0000C7000000}">
      <text>
        <r>
          <rPr>
            <sz val="11"/>
            <color theme="1"/>
            <rFont val="Calibri"/>
            <family val="2"/>
            <scheme val="minor"/>
          </rPr>
          <t>======
ID#AAABDDKrReQ
Gavin Mudd    (2023-12-20 21:24:04)
proved ore reserves assumed same as measured resources (due to lack of total mineral resources data)</t>
        </r>
      </text>
    </comment>
    <comment ref="Q518" authorId="0" shapeId="0" xr:uid="{00000000-0006-0000-0100-000042040000}">
      <text>
        <r>
          <rPr>
            <sz val="11"/>
            <color theme="1"/>
            <rFont val="Calibri"/>
            <family val="2"/>
            <scheme val="minor"/>
          </rPr>
          <t>======
ID#AAABDDKrPv4
Gavin Mudd    (2023-12-20 21:24:03)
proved ore reserves assumed same as measured resources (due to lack of total mineral resources data)</t>
        </r>
      </text>
    </comment>
    <comment ref="R518" authorId="0" shapeId="0" xr:uid="{00000000-0006-0000-0100-00007C040000}">
      <text>
        <r>
          <rPr>
            <sz val="11"/>
            <color theme="1"/>
            <rFont val="Calibri"/>
            <family val="2"/>
            <scheme val="minor"/>
          </rPr>
          <t>======
ID#AAABDDKrPoE
Gavin Mudd    (2023-12-20 21:24:03)
proved ore reserves assumed same as measured resources (due to lack of total mineral resources data)</t>
        </r>
      </text>
    </comment>
    <comment ref="AD518" authorId="0" shapeId="0" xr:uid="{00000000-0006-0000-0100-000019040000}">
      <text>
        <r>
          <rPr>
            <sz val="11"/>
            <color theme="1"/>
            <rFont val="Calibri"/>
            <family val="2"/>
            <scheme val="minor"/>
          </rPr>
          <t>======
ID#AAABDDKrP08
Gavin Mudd    (2023-12-20 21:24:03)
probable ore reserves assumed same as indicated resources (due to lack of total mineral resources data)</t>
        </r>
      </text>
    </comment>
    <comment ref="AE518" authorId="0" shapeId="0" xr:uid="{00000000-0006-0000-0100-000037060000}">
      <text>
        <r>
          <rPr>
            <sz val="11"/>
            <color theme="1"/>
            <rFont val="Calibri"/>
            <family val="2"/>
            <scheme val="minor"/>
          </rPr>
          <t>======
ID#AAABCyJQh6M
Gavin Mudd    (2023-12-20 21:24:02)
probable ore reserves assumed same as indicated resources (due to lack of total mineral resources data)</t>
        </r>
      </text>
    </comment>
    <comment ref="AL518" authorId="0" shapeId="0" xr:uid="{00000000-0006-0000-0100-0000CC010000}">
      <text>
        <r>
          <rPr>
            <sz val="11"/>
            <color theme="1"/>
            <rFont val="Calibri"/>
            <family val="2"/>
            <scheme val="minor"/>
          </rPr>
          <t>======
ID#AAABDDKrQ-Q
Gavin Mudd    (2023-12-20 21:24:04)
probable ore reserves assumed same as indicated resources (due to lack of total mineral resources data)</t>
        </r>
      </text>
    </comment>
    <comment ref="AM518" authorId="0" shapeId="0" xr:uid="{00000000-0006-0000-0100-0000FA010000}">
      <text>
        <r>
          <rPr>
            <sz val="11"/>
            <color theme="1"/>
            <rFont val="Calibri"/>
            <family val="2"/>
            <scheme val="minor"/>
          </rPr>
          <t>======
ID#AAABDDKrQ48
Gavin Mudd    (2023-12-20 21:24:04)
probable ore reserves assumed same as indicated resources (due to lack of total mineral resources data)</t>
        </r>
      </text>
    </comment>
    <comment ref="F522" authorId="0" shapeId="0" xr:uid="{00000000-0006-0000-0100-000082010000}">
      <text>
        <r>
          <rPr>
            <sz val="11"/>
            <color theme="1"/>
            <rFont val="Calibri"/>
            <family val="2"/>
            <scheme val="minor"/>
          </rPr>
          <t>======
ID#AAABDDKrRHY
Gavin Mudd    (2023-12-20 21:24:04)
previously a joint venture led by Discovery Metals Ltd, which is now bankrupt, butr other partners included JOGMEC, Xstrata</t>
        </r>
      </text>
    </comment>
    <comment ref="DN522" authorId="0" shapeId="0" xr:uid="{00000000-0006-0000-0100-000029050000}">
      <text>
        <r>
          <rPr>
            <sz val="11"/>
            <color theme="1"/>
            <rFont val="Calibri"/>
            <family val="2"/>
            <scheme val="minor"/>
          </rPr>
          <t>======
ID#AAABDDKrPTY
Gavin Mudd    (2023-12-20 21:24:03)
data from Discovery Metals</t>
        </r>
      </text>
    </comment>
    <comment ref="I523" authorId="0" shapeId="0" xr:uid="{00000000-0006-0000-0100-0000B4000000}">
      <text>
        <r>
          <rPr>
            <sz val="11"/>
            <color theme="1"/>
            <rFont val="Calibri"/>
            <family val="2"/>
            <scheme val="minor"/>
          </rPr>
          <t>======
ID#AAABDDKrRgs
Gavin Mudd    (2023-12-20 21:24:04)
measured &amp; indicated reported, assumed as indicated given closure; 2014 Norilsk Nickel data</t>
        </r>
      </text>
    </comment>
    <comment ref="AD523" authorId="0" shapeId="0" xr:uid="{00000000-0006-0000-0100-00002F060000}">
      <text>
        <r>
          <rPr>
            <sz val="11"/>
            <color theme="1"/>
            <rFont val="Calibri"/>
            <family val="2"/>
            <scheme val="minor"/>
          </rPr>
          <t>======
ID#AAABCyJQh7Q
Gavin Mudd    (2023-12-20 21:24:02)
measured &amp; indicated reported, assumed as indicated given closure; 2014 Norilsk Nickel data</t>
        </r>
      </text>
    </comment>
    <comment ref="AE523" authorId="0" shapeId="0" xr:uid="{00000000-0006-0000-0100-00001D010000}">
      <text>
        <r>
          <rPr>
            <sz val="11"/>
            <color theme="1"/>
            <rFont val="Calibri"/>
            <family val="2"/>
            <scheme val="minor"/>
          </rPr>
          <t>======
ID#AAABDDKrRSs
Gavin Mudd    (2023-12-20 21:24:04)
measured &amp; indicated reported, assumed as indicated given closure; 2014 Norilsk Nickel data</t>
        </r>
      </text>
    </comment>
    <comment ref="AL523" authorId="0" shapeId="0" xr:uid="{00000000-0006-0000-0100-00004A050000}">
      <text>
        <r>
          <rPr>
            <sz val="11"/>
            <color theme="1"/>
            <rFont val="Calibri"/>
            <family val="2"/>
            <scheme val="minor"/>
          </rPr>
          <t>======
ID#AAABDDKrPPs
Gavin Mudd    (2023-12-20 21:24:03)
measured &amp; indicated reported, assumed as indicated given closure; 2014 Norilsk Nickel data</t>
        </r>
      </text>
    </comment>
    <comment ref="F524" authorId="0" shapeId="0" xr:uid="{00000000-0006-0000-0100-00009E010000}">
      <text>
        <r>
          <rPr>
            <sz val="11"/>
            <color theme="1"/>
            <rFont val="Calibri"/>
            <family val="2"/>
            <scheme val="minor"/>
          </rPr>
          <t>======
ID#AAABDDKrREI
Gavin Mudd    (2023-12-20 21:24:04)
commonly known as Bamangwato Concessions Ltd - but specific corporate name is BCL Ltd</t>
        </r>
      </text>
    </comment>
    <comment ref="I524" authorId="0" shapeId="0" xr:uid="{00000000-0006-0000-0100-000012040000}">
      <text>
        <r>
          <rPr>
            <sz val="11"/>
            <color theme="1"/>
            <rFont val="Calibri"/>
            <family val="2"/>
            <scheme val="minor"/>
          </rPr>
          <t>======
ID#AAABDDKrP10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AD524" authorId="0" shapeId="0" xr:uid="{00000000-0006-0000-0100-000018050000}">
      <text>
        <r>
          <rPr>
            <sz val="11"/>
            <color theme="1"/>
            <rFont val="Calibri"/>
            <family val="2"/>
            <scheme val="minor"/>
          </rPr>
          <t>======
ID#AAABDDKrPVI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AY524" authorId="0" shapeId="0" xr:uid="{00000000-0006-0000-0100-000067030000}">
      <text>
        <r>
          <rPr>
            <sz val="11"/>
            <color theme="1"/>
            <rFont val="Calibri"/>
            <family val="2"/>
            <scheme val="minor"/>
          </rPr>
          <t>======
ID#AAABDDKrQIo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AZ524" authorId="0" shapeId="0" xr:uid="{00000000-0006-0000-0100-000046050000}">
      <text>
        <r>
          <rPr>
            <sz val="11"/>
            <color theme="1"/>
            <rFont val="Calibri"/>
            <family val="2"/>
            <scheme val="minor"/>
          </rPr>
          <t>======
ID#AAABDDKrPQg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BG524" authorId="0" shapeId="0" xr:uid="{00000000-0006-0000-0100-000064050000}">
      <text>
        <r>
          <rPr>
            <sz val="11"/>
            <color theme="1"/>
            <rFont val="Calibri"/>
            <family val="2"/>
            <scheme val="minor"/>
          </rPr>
          <t>======
ID#AAABDDKrPMM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BT524" authorId="0" shapeId="0" xr:uid="{00000000-0006-0000-0100-0000F1020000}">
      <text>
        <r>
          <rPr>
            <sz val="11"/>
            <color theme="1"/>
            <rFont val="Calibri"/>
            <family val="2"/>
            <scheme val="minor"/>
          </rPr>
          <t>======
ID#AAABDDKrQX8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CO524" authorId="0" shapeId="0" xr:uid="{00000000-0006-0000-0100-0000DC000000}">
      <text>
        <r>
          <rPr>
            <sz val="11"/>
            <color theme="1"/>
            <rFont val="Calibri"/>
            <family val="2"/>
            <scheme val="minor"/>
          </rPr>
          <t>======
ID#AAABDDKrRbY
Gavin Mudd    (2023-12-20 21:24:04)
given old nature and uncertainty around BCL's status, all resources allocated as inferred resources only - with the data for reserves excluded (given the closed / bankrupt status of BCL)</t>
        </r>
      </text>
    </comment>
    <comment ref="F525" authorId="0" shapeId="0" xr:uid="{00000000-0006-0000-0100-000038060000}">
      <text>
        <r>
          <rPr>
            <sz val="11"/>
            <color theme="1"/>
            <rFont val="Calibri"/>
            <family val="2"/>
            <scheme val="minor"/>
          </rPr>
          <t>======
ID#AAABCyJQh6E
Gavin Mudd    (2023-12-20 21:24:02)
commonly known as Bamangwato Concessions Ltd - but specific corporate name is BCL Ltd</t>
        </r>
      </text>
    </comment>
    <comment ref="I525" authorId="0" shapeId="0" xr:uid="{00000000-0006-0000-0100-00006A030000}">
      <text>
        <r>
          <rPr>
            <sz val="11"/>
            <color theme="1"/>
            <rFont val="Calibri"/>
            <family val="2"/>
            <scheme val="minor"/>
          </rPr>
          <t>======
ID#AAABDDKrQIY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AD525" authorId="0" shapeId="0" xr:uid="{00000000-0006-0000-0100-000096050000}">
      <text>
        <r>
          <rPr>
            <sz val="11"/>
            <color theme="1"/>
            <rFont val="Calibri"/>
            <family val="2"/>
            <scheme val="minor"/>
          </rPr>
          <t>======
ID#AAABDDKrPGc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AY525" authorId="0" shapeId="0" xr:uid="{00000000-0006-0000-0100-00006A010000}">
      <text>
        <r>
          <rPr>
            <sz val="11"/>
            <color theme="1"/>
            <rFont val="Calibri"/>
            <family val="2"/>
            <scheme val="minor"/>
          </rPr>
          <t>======
ID#AAABDDKrRKI
Gavin Mudd    (2023-12-20 21:24:04)
given old nature and uncertainty around BCL's status, all resources allocated as inferred resources only - with the data for reserves excluded (given the closed / bankrupt status of BCL)</t>
        </r>
      </text>
    </comment>
    <comment ref="AZ525" authorId="0" shapeId="0" xr:uid="{00000000-0006-0000-0100-0000B6000000}">
      <text>
        <r>
          <rPr>
            <sz val="11"/>
            <color theme="1"/>
            <rFont val="Calibri"/>
            <family val="2"/>
            <scheme val="minor"/>
          </rPr>
          <t>======
ID#AAABDDKrRgc
Gavin Mudd    (2023-12-20 21:24:04)
given old nature and uncertainty around BCL's status, all resources allocated as inferred resources only - with the data for reserves excluded (given the closed / bankrupt status of BCL)</t>
        </r>
      </text>
    </comment>
    <comment ref="BG525" authorId="0" shapeId="0" xr:uid="{00000000-0006-0000-0100-0000F0010000}">
      <text>
        <r>
          <rPr>
            <sz val="11"/>
            <color theme="1"/>
            <rFont val="Calibri"/>
            <family val="2"/>
            <scheme val="minor"/>
          </rPr>
          <t>======
ID#AAABDDKrQ58
Gavin Mudd    (2023-12-20 21:24:04)
given old nature and uncertainty around BCL's status, all resources allocated as inferred resources only - with the data for reserves excluded (given the closed / bankrupt status of BCL)</t>
        </r>
      </text>
    </comment>
    <comment ref="BT525" authorId="0" shapeId="0" xr:uid="{00000000-0006-0000-0100-0000DA040000}">
      <text>
        <r>
          <rPr>
            <sz val="11"/>
            <color theme="1"/>
            <rFont val="Calibri"/>
            <family val="2"/>
            <scheme val="minor"/>
          </rPr>
          <t>======
ID#AAABDDKrPdI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CO525" authorId="0" shapeId="0" xr:uid="{00000000-0006-0000-0100-00002D060000}">
      <text>
        <r>
          <rPr>
            <sz val="11"/>
            <color theme="1"/>
            <rFont val="Calibri"/>
            <family val="2"/>
            <scheme val="minor"/>
          </rPr>
          <t>======
ID#AAABCyJQh7c
Gavin Mudd    (2023-12-20 21:24:02)
given old nature and uncertainty around BCL's status, all resources allocated as inferred resources only - with the data for reserves excluded (given the closed / bankrupt status of BCL)</t>
        </r>
      </text>
    </comment>
    <comment ref="F526" authorId="0" shapeId="0" xr:uid="{00000000-0006-0000-0100-000016060000}">
      <text>
        <r>
          <rPr>
            <sz val="11"/>
            <color theme="1"/>
            <rFont val="Calibri"/>
            <family val="2"/>
            <scheme val="minor"/>
          </rPr>
          <t>======
ID#AAABCyJQh-g
Gavin Mudd    (2023-12-20 21:24:02)
commonly known as Bamangwato Concessions Ltd - but specific corporate name is BCL Ltd</t>
        </r>
      </text>
    </comment>
    <comment ref="I526" authorId="0" shapeId="0" xr:uid="{00000000-0006-0000-0100-0000F1050000}">
      <text>
        <r>
          <rPr>
            <sz val="11"/>
            <color theme="1"/>
            <rFont val="Calibri"/>
            <family val="2"/>
            <scheme val="minor"/>
          </rPr>
          <t>======
ID#AAABDDKrO7E
Gavin Mudd    (2023-12-20 21:24:02)
given old nature and uncertainty around BCL's status, all resources allocated as inferred resources only - with the data for reserves excluded (given the closed / bankrupt status of BCL)</t>
        </r>
      </text>
    </comment>
    <comment ref="AD526" authorId="0" shapeId="0" xr:uid="{00000000-0006-0000-0100-00009E000000}">
      <text>
        <r>
          <rPr>
            <sz val="11"/>
            <color theme="1"/>
            <rFont val="Calibri"/>
            <family val="2"/>
            <scheme val="minor"/>
          </rPr>
          <t>======
ID#AAABDDKrRio
Gavin Mudd    (2023-12-20 21:24:04)
given old nature and uncertainty around BCL's status, all resources allocated as inferred resources only - with the data for reserves excluded (given the closed / bankrupt status of BCL)</t>
        </r>
      </text>
    </comment>
    <comment ref="AY526" authorId="0" shapeId="0" xr:uid="{00000000-0006-0000-0100-000088050000}">
      <text>
        <r>
          <rPr>
            <sz val="11"/>
            <color theme="1"/>
            <rFont val="Calibri"/>
            <family val="2"/>
            <scheme val="minor"/>
          </rPr>
          <t>======
ID#AAABDDKrPHk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AZ526" authorId="0" shapeId="0" xr:uid="{00000000-0006-0000-0100-00002D010000}">
      <text>
        <r>
          <rPr>
            <sz val="11"/>
            <color theme="1"/>
            <rFont val="Calibri"/>
            <family val="2"/>
            <scheme val="minor"/>
          </rPr>
          <t>======
ID#AAABDDKrRQo
Gavin Mudd    (2023-12-20 21:24:04)
given old nature and uncertainty around BCL's status, all resources allocated as inferred resources only - with the data for reserves excluded (given the closed / bankrupt status of BCL)</t>
        </r>
      </text>
    </comment>
    <comment ref="BG526" authorId="0" shapeId="0" xr:uid="{00000000-0006-0000-0100-00000D050000}">
      <text>
        <r>
          <rPr>
            <sz val="11"/>
            <color theme="1"/>
            <rFont val="Calibri"/>
            <family val="2"/>
            <scheme val="minor"/>
          </rPr>
          <t>======
ID#AAABDDKrPWc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BT526" authorId="0" shapeId="0" xr:uid="{00000000-0006-0000-0100-000095040000}">
      <text>
        <r>
          <rPr>
            <sz val="11"/>
            <color theme="1"/>
            <rFont val="Calibri"/>
            <family val="2"/>
            <scheme val="minor"/>
          </rPr>
          <t>======
ID#AAABDDKrPlA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CO526" authorId="0" shapeId="0" xr:uid="{00000000-0006-0000-0100-000048030000}">
      <text>
        <r>
          <rPr>
            <sz val="11"/>
            <color theme="1"/>
            <rFont val="Calibri"/>
            <family val="2"/>
            <scheme val="minor"/>
          </rPr>
          <t>======
ID#AAABDDKrQLw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F527" authorId="0" shapeId="0" xr:uid="{00000000-0006-0000-0100-000088040000}">
      <text>
        <r>
          <rPr>
            <sz val="11"/>
            <color theme="1"/>
            <rFont val="Calibri"/>
            <family val="2"/>
            <scheme val="minor"/>
          </rPr>
          <t>======
ID#AAABDDKrPmQ
Gavin Mudd    (2023-12-20 21:24:03)
commonly known as Bamangwato Concessions Ltd - but specific corporate name is BCL Ltd</t>
        </r>
      </text>
    </comment>
    <comment ref="I527" authorId="0" shapeId="0" xr:uid="{00000000-0006-0000-0100-000077020000}">
      <text>
        <r>
          <rPr>
            <sz val="11"/>
            <color theme="1"/>
            <rFont val="Calibri"/>
            <family val="2"/>
            <scheme val="minor"/>
          </rPr>
          <t>======
ID#AAABDDKrQok
Gavin Mudd    (2023-12-20 21:24:04)
given old nature and uncertainty around BCL's status, all resources allocated as inferred resources only - with the data for reserves excluded (given the closed / bankrupt status of BCL)</t>
        </r>
      </text>
    </comment>
    <comment ref="AD527" authorId="0" shapeId="0" xr:uid="{00000000-0006-0000-0100-0000E4000000}">
      <text>
        <r>
          <rPr>
            <sz val="11"/>
            <color theme="1"/>
            <rFont val="Calibri"/>
            <family val="2"/>
            <scheme val="minor"/>
          </rPr>
          <t>======
ID#AAABDDKrRag
Gavin Mudd    (2023-12-20 21:24:04)
given old nature and uncertainty around BCL's status, all resources allocated as inferred resources only - with the data for reserves excluded (given the closed / bankrupt status of BCL)</t>
        </r>
      </text>
    </comment>
    <comment ref="AY527" authorId="0" shapeId="0" xr:uid="{00000000-0006-0000-0100-00009C000000}">
      <text>
        <r>
          <rPr>
            <sz val="11"/>
            <color theme="1"/>
            <rFont val="Calibri"/>
            <family val="2"/>
            <scheme val="minor"/>
          </rPr>
          <t>======
ID#AAABDDKrRiw
Gavin Mudd    (2023-12-20 21:24:04)
given old nature and uncertainty around BCL's status, all resources allocated as inferred resources only - with the data for reserves excluded (given the closed / bankrupt status of BCL)</t>
        </r>
      </text>
    </comment>
    <comment ref="AZ527" authorId="0" shapeId="0" xr:uid="{00000000-0006-0000-0100-000084060000}">
      <text>
        <r>
          <rPr>
            <sz val="11"/>
            <color theme="1"/>
            <rFont val="Calibri"/>
            <family val="2"/>
            <scheme val="minor"/>
          </rPr>
          <t>======
ID#AAABCyJQhuo
Gavin Mudd    (2023-12-20 21:24:01)
given old nature and uncertainty around BCL's status, all resources allocated as inferred resources only - with the data for reserves excluded (given the closed / bankrupt status of BCL)</t>
        </r>
      </text>
    </comment>
    <comment ref="BG527" authorId="0" shapeId="0" xr:uid="{00000000-0006-0000-0100-000028060000}">
      <text>
        <r>
          <rPr>
            <sz val="11"/>
            <color theme="1"/>
            <rFont val="Calibri"/>
            <family val="2"/>
            <scheme val="minor"/>
          </rPr>
          <t>======
ID#AAABCyJQh8A
Gavin Mudd    (2023-12-20 21:24:02)
given old nature and uncertainty around BCL's status, all resources allocated as inferred resources only - with the data for reserves excluded (given the closed / bankrupt status of BCL)</t>
        </r>
      </text>
    </comment>
    <comment ref="BT527" authorId="0" shapeId="0" xr:uid="{00000000-0006-0000-0100-00007E000000}">
      <text>
        <r>
          <rPr>
            <sz val="11"/>
            <color theme="1"/>
            <rFont val="Calibri"/>
            <family val="2"/>
            <scheme val="minor"/>
          </rPr>
          <t>======
ID#AAABDDKrRoM
Gavin Mudd    (2023-12-20 21:24:04)
given old nature and uncertainty around BCL's status, all resources allocated as inferred resources only - with the data for reserves excluded (given the closed / bankrupt status of BCL)</t>
        </r>
      </text>
    </comment>
    <comment ref="CO527" authorId="0" shapeId="0" xr:uid="{00000000-0006-0000-0100-0000D2000000}">
      <text>
        <r>
          <rPr>
            <sz val="11"/>
            <color theme="1"/>
            <rFont val="Calibri"/>
            <family val="2"/>
            <scheme val="minor"/>
          </rPr>
          <t>======
ID#AAABDDKrRco
Gavin Mudd    (2023-12-20 21:24:04)
given old nature and uncertainty around BCL's status, all resources allocated as inferred resources only - with the data for reserves excluded (given the closed / bankrupt status of BCL)</t>
        </r>
      </text>
    </comment>
    <comment ref="F528" authorId="0" shapeId="0" xr:uid="{00000000-0006-0000-0100-00005D000000}">
      <text>
        <r>
          <rPr>
            <sz val="11"/>
            <color theme="1"/>
            <rFont val="Calibri"/>
            <family val="2"/>
            <scheme val="minor"/>
          </rPr>
          <t>======
ID#AAABDDKrRr8
Gavin Mudd    (2023-12-20 21:24:04)
commonly known as Bamangwato Concessions Ltd - but specific corporate name is BCL Ltd</t>
        </r>
      </text>
    </comment>
    <comment ref="I528" authorId="0" shapeId="0" xr:uid="{00000000-0006-0000-0100-00001E020000}">
      <text>
        <r>
          <rPr>
            <sz val="11"/>
            <color theme="1"/>
            <rFont val="Calibri"/>
            <family val="2"/>
            <scheme val="minor"/>
          </rPr>
          <t>======
ID#AAABDDKrQz4
Gavin Mudd    (2023-12-20 21:24:04)
given old nature and uncertainty around BCL's status, all resources allocated as inferred resources only - with the data for reserves excluded (given the closed / bankrupt status of BCL)</t>
        </r>
      </text>
    </comment>
    <comment ref="AD528" authorId="0" shapeId="0" xr:uid="{00000000-0006-0000-0100-00008F000000}">
      <text>
        <r>
          <rPr>
            <sz val="11"/>
            <color theme="1"/>
            <rFont val="Calibri"/>
            <family val="2"/>
            <scheme val="minor"/>
          </rPr>
          <t>======
ID#AAABDDKrRlM
Gavin Mudd    (2023-12-20 21:24:04)
given old nature and uncertainty around BCL's status, all resources allocated as inferred resources only - with the data for reserves excluded (given the closed / bankrupt status of BCL)</t>
        </r>
      </text>
    </comment>
    <comment ref="AY528" authorId="0" shapeId="0" xr:uid="{00000000-0006-0000-0100-000032060000}">
      <text>
        <r>
          <rPr>
            <sz val="11"/>
            <color theme="1"/>
            <rFont val="Calibri"/>
            <family val="2"/>
            <scheme val="minor"/>
          </rPr>
          <t>======
ID#AAABCyJQh64
Gavin Mudd    (2023-12-20 21:24:02)
given old nature and uncertainty around BCL's status, all resources allocated as inferred resources only - with the data for reserves excluded (given the closed / bankrupt status of BCL)</t>
        </r>
      </text>
    </comment>
    <comment ref="AZ528" authorId="0" shapeId="0" xr:uid="{00000000-0006-0000-0100-0000DD010000}">
      <text>
        <r>
          <rPr>
            <sz val="11"/>
            <color theme="1"/>
            <rFont val="Calibri"/>
            <family val="2"/>
            <scheme val="minor"/>
          </rPr>
          <t>======
ID#AAABDDKrQ8c
Gavin Mudd    (2023-12-20 21:24:04)
given old nature and uncertainty around BCL's status, all resources allocated as inferred resources only - with the data for reserves excluded (given the closed / bankrupt status of BCL)</t>
        </r>
      </text>
    </comment>
    <comment ref="BG528" authorId="0" shapeId="0" xr:uid="{00000000-0006-0000-0100-0000B1000000}">
      <text>
        <r>
          <rPr>
            <sz val="11"/>
            <color theme="1"/>
            <rFont val="Calibri"/>
            <family val="2"/>
            <scheme val="minor"/>
          </rPr>
          <t>======
ID#AAABDDKrRg8
Gavin Mudd    (2023-12-20 21:24:04)
given old nature and uncertainty around BCL's status, all resources allocated as inferred resources only - with the data for reserves excluded (given the closed / bankrupt status of BCL)</t>
        </r>
      </text>
    </comment>
    <comment ref="BT528" authorId="0" shapeId="0" xr:uid="{00000000-0006-0000-0100-000061000000}">
      <text>
        <r>
          <rPr>
            <sz val="11"/>
            <color theme="1"/>
            <rFont val="Calibri"/>
            <family val="2"/>
            <scheme val="minor"/>
          </rPr>
          <t>======
ID#AAABDDKrRrg
Gavin Mudd    (2023-12-20 21:24:04)
given old nature and uncertainty around BCL's status, all resources allocated as inferred resources only - with the data for reserves excluded (given the closed / bankrupt status of BCL)</t>
        </r>
      </text>
    </comment>
    <comment ref="CO528" authorId="0" shapeId="0" xr:uid="{00000000-0006-0000-0100-000063040000}">
      <text>
        <r>
          <rPr>
            <sz val="11"/>
            <color theme="1"/>
            <rFont val="Calibri"/>
            <family val="2"/>
            <scheme val="minor"/>
          </rPr>
          <t>======
ID#AAABDDKrPrg
Gavin Mudd    (2023-12-20 21:24:03)
given old nature and uncertainty around BCL's status, all resources allocated as inferred resources only - with the data for reserves excluded (given the closed / bankrupt status of BCL)</t>
        </r>
      </text>
    </comment>
    <comment ref="F529" authorId="0" shapeId="0" xr:uid="{00000000-0006-0000-0100-0000F7020000}">
      <text>
        <r>
          <rPr>
            <sz val="11"/>
            <color theme="1"/>
            <rFont val="Calibri"/>
            <family val="2"/>
            <scheme val="minor"/>
          </rPr>
          <t>======
ID#AAABDDKrQXc
Gavin Mudd    (2023-12-20 21:24:03)
previously held by Rockland Minerals Corp.</t>
        </r>
      </text>
    </comment>
    <comment ref="F531" authorId="0" shapeId="0" xr:uid="{00000000-0006-0000-0100-0000A2020000}">
      <text>
        <r>
          <rPr>
            <sz val="11"/>
            <color theme="1"/>
            <rFont val="Calibri"/>
            <family val="2"/>
            <scheme val="minor"/>
          </rPr>
          <t>======
ID#AAABDDKrQiA
Gavin Mudd    (2023-12-20 21:24:04)
previously held by Starfield Resources Ltd (now bankrupt)</t>
        </r>
      </text>
    </comment>
    <comment ref="F533" authorId="0" shapeId="0" xr:uid="{00000000-0006-0000-0100-000099000000}">
      <text>
        <r>
          <rPr>
            <sz val="11"/>
            <color theme="1"/>
            <rFont val="Calibri"/>
            <family val="2"/>
            <scheme val="minor"/>
          </rPr>
          <t>======
ID#AAABDDKrRjE
Gavin Mudd    (2023-12-20 21:24:04)
initially held by Nemaska Exploration, which apparently became Monarques Resources, but is now Nemasaka Lithium</t>
        </r>
      </text>
    </comment>
    <comment ref="F535" authorId="0" shapeId="0" xr:uid="{00000000-0006-0000-0100-000005000000}">
      <text>
        <r>
          <rPr>
            <sz val="11"/>
            <color theme="1"/>
            <rFont val="Calibri"/>
            <family val="2"/>
            <scheme val="minor"/>
          </rPr>
          <t>======
ID#AAABDDKrR1w
Gavin Mudd    (2023-12-20 21:24:04)
formerly known as Mustang Minerals Corp</t>
        </r>
      </text>
    </comment>
    <comment ref="F536" authorId="0" shapeId="0" xr:uid="{00000000-0006-0000-0100-0000EE010000}">
      <text>
        <r>
          <rPr>
            <sz val="11"/>
            <color theme="1"/>
            <rFont val="Calibri"/>
            <family val="2"/>
            <scheme val="minor"/>
          </rPr>
          <t>======
ID#AAABDDKrQ6M
Gavin Mudd    (2023-12-20 21:24:04)
formerly known as Mustang Minerals Corp</t>
        </r>
      </text>
    </comment>
    <comment ref="F538" authorId="0" shapeId="0" xr:uid="{00000000-0006-0000-0100-0000AA010000}">
      <text>
        <r>
          <rPr>
            <sz val="11"/>
            <color theme="1"/>
            <rFont val="Calibri"/>
            <family val="2"/>
            <scheme val="minor"/>
          </rPr>
          <t>======
ID#AAABDDKrRC8
Gavin Mudd    (2023-12-20 21:24:04)
previously held by Pacific Northwest Capital Corp.</t>
        </r>
      </text>
    </comment>
    <comment ref="I540" authorId="0" shapeId="0" xr:uid="{00000000-0006-0000-0100-0000E4010000}">
      <text>
        <r>
          <rPr>
            <sz val="11"/>
            <color theme="1"/>
            <rFont val="Calibri"/>
            <family val="2"/>
            <scheme val="minor"/>
          </rPr>
          <t>======
ID#AAABDDKrQ7o
Gavin Mudd    (2023-12-20 21:24:04)
only total resources are reported</t>
        </r>
      </text>
    </comment>
    <comment ref="AD540" authorId="0" shapeId="0" xr:uid="{00000000-0006-0000-0100-00001C000000}">
      <text>
        <r>
          <rPr>
            <sz val="11"/>
            <color theme="1"/>
            <rFont val="Calibri"/>
            <family val="2"/>
            <scheme val="minor"/>
          </rPr>
          <t>======
ID#AAABDDKrRyQ
Gavin Mudd    (2023-12-20 21:24:04)
only total resources are reported; all assumed to be indicated level</t>
        </r>
      </text>
    </comment>
    <comment ref="AY540" authorId="0" shapeId="0" xr:uid="{00000000-0006-0000-0100-0000E7020000}">
      <text>
        <r>
          <rPr>
            <sz val="11"/>
            <color theme="1"/>
            <rFont val="Calibri"/>
            <family val="2"/>
            <scheme val="minor"/>
          </rPr>
          <t>======
ID#AAABDDKrQZI
Gavin Mudd    (2023-12-20 21:24:03)
only total resources are reported</t>
        </r>
      </text>
    </comment>
    <comment ref="AZ540" authorId="0" shapeId="0" xr:uid="{00000000-0006-0000-0100-000046000000}">
      <text>
        <r>
          <rPr>
            <sz val="11"/>
            <color theme="1"/>
            <rFont val="Calibri"/>
            <family val="2"/>
            <scheme val="minor"/>
          </rPr>
          <t>======
ID#AAABDDKrRug
Gavin Mudd    (2023-12-20 21:24:04)
only total resources are reported; all assumed to be indicated level</t>
        </r>
      </text>
    </comment>
    <comment ref="BG540" authorId="0" shapeId="0" xr:uid="{00000000-0006-0000-0100-000071020000}">
      <text>
        <r>
          <rPr>
            <sz val="11"/>
            <color theme="1"/>
            <rFont val="Calibri"/>
            <family val="2"/>
            <scheme val="minor"/>
          </rPr>
          <t>======
ID#AAABDDKrQpU
Gavin Mudd    (2023-12-20 21:24:04)
only total resources are reported; all assumed to be indicated level</t>
        </r>
      </text>
    </comment>
    <comment ref="BT540" authorId="0" shapeId="0" xr:uid="{00000000-0006-0000-0100-000065050000}">
      <text>
        <r>
          <rPr>
            <sz val="11"/>
            <color theme="1"/>
            <rFont val="Calibri"/>
            <family val="2"/>
            <scheme val="minor"/>
          </rPr>
          <t>======
ID#AAABDDKrPMI
Gavin Mudd    (2023-12-20 21:24:03)
only total proven &amp; probable reserves given</t>
        </r>
      </text>
    </comment>
    <comment ref="CO540" authorId="0" shapeId="0" xr:uid="{00000000-0006-0000-0100-000062020000}">
      <text>
        <r>
          <rPr>
            <sz val="11"/>
            <color theme="1"/>
            <rFont val="Calibri"/>
            <family val="2"/>
            <scheme val="minor"/>
          </rPr>
          <t>======
ID#AAABDDKrQrQ
Gavin Mudd    (2023-12-20 21:24:04)
only total proven &amp; probable reserves given</t>
        </r>
      </text>
    </comment>
    <comment ref="CP540" authorId="0" shapeId="0" xr:uid="{00000000-0006-0000-0100-000083060000}">
      <text>
        <r>
          <rPr>
            <sz val="11"/>
            <color theme="1"/>
            <rFont val="Calibri"/>
            <family val="2"/>
            <scheme val="minor"/>
          </rPr>
          <t>======
ID#AAABCyJQhus
Gavin Mudd    (2023-12-20 21:24:01)
only total proven &amp; probable reserves given</t>
        </r>
      </text>
    </comment>
    <comment ref="CW540" authorId="0" shapeId="0" xr:uid="{00000000-0006-0000-0100-000016000000}">
      <text>
        <r>
          <rPr>
            <sz val="11"/>
            <color theme="1"/>
            <rFont val="Calibri"/>
            <family val="2"/>
            <scheme val="minor"/>
          </rPr>
          <t>======
ID#AAABDDKrRzM
Gavin Mudd    (2023-12-20 21:24:04)
only total proven &amp; probable reserves given</t>
        </r>
      </text>
    </comment>
    <comment ref="I541" authorId="0" shapeId="0" xr:uid="{00000000-0006-0000-0100-0000FD020000}">
      <text>
        <r>
          <rPr>
            <sz val="11"/>
            <color theme="1"/>
            <rFont val="Calibri"/>
            <family val="2"/>
            <scheme val="minor"/>
          </rPr>
          <t>======
ID#AAABDDKrQVw
Gavin Mudd    (2023-12-20 21:24:03)
only total resources are reported</t>
        </r>
      </text>
    </comment>
    <comment ref="AD541" authorId="0" shapeId="0" xr:uid="{00000000-0006-0000-0100-00001E030000}">
      <text>
        <r>
          <rPr>
            <sz val="11"/>
            <color theme="1"/>
            <rFont val="Calibri"/>
            <family val="2"/>
            <scheme val="minor"/>
          </rPr>
          <t>======
ID#AAABDDKrQRU
Gavin Mudd    (2023-12-20 21:24:03)
only total resources are reported; all assumed to be indicated level</t>
        </r>
      </text>
    </comment>
    <comment ref="AY541" authorId="0" shapeId="0" xr:uid="{00000000-0006-0000-0100-000083030000}">
      <text>
        <r>
          <rPr>
            <sz val="11"/>
            <color theme="1"/>
            <rFont val="Calibri"/>
            <family val="2"/>
            <scheme val="minor"/>
          </rPr>
          <t>======
ID#AAABDDKrQGQ
Gavin Mudd    (2023-12-20 21:24:03)
only total resources are reported</t>
        </r>
      </text>
    </comment>
    <comment ref="AZ541" authorId="0" shapeId="0" xr:uid="{00000000-0006-0000-0100-0000F0050000}">
      <text>
        <r>
          <rPr>
            <sz val="11"/>
            <color theme="1"/>
            <rFont val="Calibri"/>
            <family val="2"/>
            <scheme val="minor"/>
          </rPr>
          <t>======
ID#AAABDDKrO7Q
Gavin Mudd    (2023-12-20 21:24:03)
only total resources are reported; all assumed to be indicated level</t>
        </r>
      </text>
    </comment>
    <comment ref="BG541" authorId="0" shapeId="0" xr:uid="{00000000-0006-0000-0100-000075020000}">
      <text>
        <r>
          <rPr>
            <sz val="11"/>
            <color theme="1"/>
            <rFont val="Calibri"/>
            <family val="2"/>
            <scheme val="minor"/>
          </rPr>
          <t>======
ID#AAABDDKrQo4
Gavin Mudd    (2023-12-20 21:24:04)
only total resources are reported; all assumed to be indicated level</t>
        </r>
      </text>
    </comment>
    <comment ref="BT541" authorId="0" shapeId="0" xr:uid="{00000000-0006-0000-0100-000082030000}">
      <text>
        <r>
          <rPr>
            <sz val="11"/>
            <color theme="1"/>
            <rFont val="Calibri"/>
            <family val="2"/>
            <scheme val="minor"/>
          </rPr>
          <t>======
ID#AAABDDKrQGU
Gavin Mudd    (2023-12-20 21:24:03)
only total proven &amp; probable reserves given</t>
        </r>
      </text>
    </comment>
    <comment ref="CO541" authorId="0" shapeId="0" xr:uid="{00000000-0006-0000-0100-000034000000}">
      <text>
        <r>
          <rPr>
            <sz val="11"/>
            <color theme="1"/>
            <rFont val="Calibri"/>
            <family val="2"/>
            <scheme val="minor"/>
          </rPr>
          <t>======
ID#AAABDDKrRwA
Gavin Mudd    (2023-12-20 21:24:04)
only total proven &amp; probable reserves given</t>
        </r>
      </text>
    </comment>
    <comment ref="CP541" authorId="0" shapeId="0" xr:uid="{00000000-0006-0000-0100-000034010000}">
      <text>
        <r>
          <rPr>
            <sz val="11"/>
            <color theme="1"/>
            <rFont val="Calibri"/>
            <family val="2"/>
            <scheme val="minor"/>
          </rPr>
          <t>======
ID#AAABDDKrRQE
Gavin Mudd    (2023-12-20 21:24:04)
only total proven &amp; probable reserves given</t>
        </r>
      </text>
    </comment>
    <comment ref="CW541" authorId="0" shapeId="0" xr:uid="{00000000-0006-0000-0100-000027020000}">
      <text>
        <r>
          <rPr>
            <sz val="11"/>
            <color theme="1"/>
            <rFont val="Calibri"/>
            <family val="2"/>
            <scheme val="minor"/>
          </rPr>
          <t>======
ID#AAABDDKrQzQ
Gavin Mudd    (2023-12-20 21:24:04)
only total proven &amp; probable reserves given</t>
        </r>
      </text>
    </comment>
    <comment ref="BH542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>======
ID#AAABDDKrR2E
Gavin Mudd    (2023-12-20 21:24:04)
from Tech Rep (2011-03)</t>
        </r>
      </text>
    </comment>
    <comment ref="F543" authorId="0" shapeId="0" xr:uid="{00000000-0006-0000-0100-0000F9050000}">
      <text>
        <r>
          <rPr>
            <sz val="11"/>
            <color theme="1"/>
            <rFont val="Calibri"/>
            <family val="2"/>
            <scheme val="minor"/>
          </rPr>
          <t>======
ID#AAABDDKrO6c
Gavin Mudd    (2023-12-20 21:24:02)
previously held by Belevedere Resources Ltd, which declared bankruptcy in Dec. 2015</t>
        </r>
      </text>
    </comment>
    <comment ref="I543" authorId="0" shapeId="0" xr:uid="{00000000-0006-0000-0100-0000BA020000}">
      <text>
        <r>
          <rPr>
            <sz val="11"/>
            <color theme="1"/>
            <rFont val="Calibri"/>
            <family val="2"/>
            <scheme val="minor"/>
          </rPr>
          <t>======
ID#AAABDDKrQfg
Gavin Mudd    (2023-12-20 21:24:03)
assumes proved reserves plus measured resources</t>
        </r>
      </text>
    </comment>
    <comment ref="J543" authorId="0" shapeId="0" xr:uid="{00000000-0006-0000-0100-000092000000}">
      <text>
        <r>
          <rPr>
            <sz val="11"/>
            <color theme="1"/>
            <rFont val="Calibri"/>
            <family val="2"/>
            <scheme val="minor"/>
          </rPr>
          <t>======
ID#AAABDDKrRkc
Gavin Mudd    (2023-12-20 21:24:04)
assumes proved reserves plus measured resources</t>
        </r>
      </text>
    </comment>
    <comment ref="Q543" authorId="0" shapeId="0" xr:uid="{00000000-0006-0000-0100-00000B020000}">
      <text>
        <r>
          <rPr>
            <sz val="11"/>
            <color theme="1"/>
            <rFont val="Calibri"/>
            <family val="2"/>
            <scheme val="minor"/>
          </rPr>
          <t>======
ID#AAABDDKrQ24
Gavin Mudd    (2023-12-20 21:24:04)
assumes proved reserves plus measured resources</t>
        </r>
      </text>
    </comment>
    <comment ref="R543" authorId="0" shapeId="0" xr:uid="{00000000-0006-0000-0100-000050040000}">
      <text>
        <r>
          <rPr>
            <sz val="11"/>
            <color theme="1"/>
            <rFont val="Calibri"/>
            <family val="2"/>
            <scheme val="minor"/>
          </rPr>
          <t>======
ID#AAABDDKrPuE
Gavin Mudd    (2023-12-20 21:24:03)
FODD (2017) data</t>
        </r>
      </text>
    </comment>
    <comment ref="S543" authorId="0" shapeId="0" xr:uid="{00000000-0006-0000-0100-0000ED020000}">
      <text>
        <r>
          <rPr>
            <sz val="11"/>
            <color theme="1"/>
            <rFont val="Calibri"/>
            <family val="2"/>
            <scheme val="minor"/>
          </rPr>
          <t>======
ID#AAABDDKrQYk
Gavin Mudd    (2023-12-20 21:24:03)
data from Eilu (2012)</t>
        </r>
      </text>
    </comment>
    <comment ref="T543" authorId="0" shapeId="0" xr:uid="{00000000-0006-0000-0100-0000A8030000}">
      <text>
        <r>
          <rPr>
            <sz val="11"/>
            <color theme="1"/>
            <rFont val="Calibri"/>
            <family val="2"/>
            <scheme val="minor"/>
          </rPr>
          <t>======
ID#AAABDDKrQCg
Gavin Mudd    (2023-12-20 21:24:03)
data from Eilu (2012)</t>
        </r>
      </text>
    </comment>
    <comment ref="AD543" authorId="0" shapeId="0" xr:uid="{00000000-0006-0000-0100-000054050000}">
      <text>
        <r>
          <rPr>
            <sz val="11"/>
            <color theme="1"/>
            <rFont val="Calibri"/>
            <family val="2"/>
            <scheme val="minor"/>
          </rPr>
          <t>======
ID#AAABDDKrPOY
Gavin Mudd    (2023-12-20 21:24:03)
assumes probable reserves plus indicated resources</t>
        </r>
      </text>
    </comment>
    <comment ref="AE543" authorId="0" shapeId="0" xr:uid="{00000000-0006-0000-0100-000012050000}">
      <text>
        <r>
          <rPr>
            <sz val="11"/>
            <color theme="1"/>
            <rFont val="Calibri"/>
            <family val="2"/>
            <scheme val="minor"/>
          </rPr>
          <t>======
ID#AAABDDKrPVk
Gavin Mudd    (2023-12-20 21:24:03)
assumes probable reserves plus indicated resources</t>
        </r>
      </text>
    </comment>
    <comment ref="AL543" authorId="0" shapeId="0" xr:uid="{00000000-0006-0000-0100-000090010000}">
      <text>
        <r>
          <rPr>
            <sz val="11"/>
            <color theme="1"/>
            <rFont val="Calibri"/>
            <family val="2"/>
            <scheme val="minor"/>
          </rPr>
          <t>======
ID#AAABDDKrRFg
Gavin Mudd    (2023-12-20 21:24:04)
assumes probable reserves plus indicated resources</t>
        </r>
      </text>
    </comment>
    <comment ref="AM543" authorId="0" shapeId="0" xr:uid="{00000000-0006-0000-0100-00005B010000}">
      <text>
        <r>
          <rPr>
            <sz val="11"/>
            <color theme="1"/>
            <rFont val="Calibri"/>
            <family val="2"/>
            <scheme val="minor"/>
          </rPr>
          <t>======
ID#AAABDDKrRMM
Gavin Mudd    (2023-12-20 21:24:04)
FODD (2017) data</t>
        </r>
      </text>
    </comment>
    <comment ref="AN543" authorId="0" shapeId="0" xr:uid="{00000000-0006-0000-0100-0000E8050000}">
      <text>
        <r>
          <rPr>
            <sz val="11"/>
            <color theme="1"/>
            <rFont val="Calibri"/>
            <family val="2"/>
            <scheme val="minor"/>
          </rPr>
          <t>======
ID#AAABDDKrO8o
Gavin Mudd    (2023-12-20 21:24:03)
data from Eilu (2012)</t>
        </r>
      </text>
    </comment>
    <comment ref="AO543" authorId="0" shapeId="0" xr:uid="{00000000-0006-0000-0100-00006F030000}">
      <text>
        <r>
          <rPr>
            <sz val="11"/>
            <color theme="1"/>
            <rFont val="Calibri"/>
            <family val="2"/>
            <scheme val="minor"/>
          </rPr>
          <t>======
ID#AAABDDKrQIA
Gavin Mudd    (2023-12-20 21:24:03)
data from Eilu (2012)</t>
        </r>
      </text>
    </comment>
    <comment ref="BH543" authorId="0" shapeId="0" xr:uid="{00000000-0006-0000-0100-000068060000}">
      <text>
        <r>
          <rPr>
            <sz val="11"/>
            <color theme="1"/>
            <rFont val="Calibri"/>
            <family val="2"/>
            <scheme val="minor"/>
          </rPr>
          <t>======
ID#AAABCyJQhy0
Gavin Mudd    (2023-12-20 21:24:02)
FODD (2017) data</t>
        </r>
      </text>
    </comment>
    <comment ref="BI543" authorId="0" shapeId="0" xr:uid="{00000000-0006-0000-0100-000064040000}">
      <text>
        <r>
          <rPr>
            <sz val="11"/>
            <color theme="1"/>
            <rFont val="Calibri"/>
            <family val="2"/>
            <scheme val="minor"/>
          </rPr>
          <t>======
ID#AAABDDKrPrc
Gavin Mudd    (2023-12-20 21:24:03)
data from Eilu (2012)</t>
        </r>
      </text>
    </comment>
    <comment ref="BJ543" authorId="0" shapeId="0" xr:uid="{00000000-0006-0000-0100-000093060000}">
      <text>
        <r>
          <rPr>
            <sz val="11"/>
            <color theme="1"/>
            <rFont val="Calibri"/>
            <family val="2"/>
            <scheme val="minor"/>
          </rPr>
          <t>======
ID#AAABCxlEytA
Gavin Mudd    (2023-12-20 21:24:01)
data from Eilu (2012)</t>
        </r>
      </text>
    </comment>
    <comment ref="CC543" authorId="0" shapeId="0" xr:uid="{00000000-0006-0000-0100-00004D060000}">
      <text>
        <r>
          <rPr>
            <sz val="11"/>
            <color theme="1"/>
            <rFont val="Calibri"/>
            <family val="2"/>
            <scheme val="minor"/>
          </rPr>
          <t>======
ID#AAABCyJQh3Q
Gavin Mudd    (2023-12-20 21:24:02)
FODD (2017) data</t>
        </r>
      </text>
    </comment>
    <comment ref="CD543" authorId="0" shapeId="0" xr:uid="{00000000-0006-0000-0100-0000AD040000}">
      <text>
        <r>
          <rPr>
            <sz val="11"/>
            <color theme="1"/>
            <rFont val="Calibri"/>
            <family val="2"/>
            <scheme val="minor"/>
          </rPr>
          <t>======
ID#AAABDDKrPiE
Gavin Mudd    (2023-12-20 21:24:03)
data from Eilu (2012)</t>
        </r>
      </text>
    </comment>
    <comment ref="CE543" authorId="0" shapeId="0" xr:uid="{00000000-0006-0000-0100-0000FC020000}">
      <text>
        <r>
          <rPr>
            <sz val="11"/>
            <color theme="1"/>
            <rFont val="Calibri"/>
            <family val="2"/>
            <scheme val="minor"/>
          </rPr>
          <t>======
ID#AAABDDKrQWM
Gavin Mudd    (2023-12-20 21:24:03)
data from Eilu (2012)</t>
        </r>
      </text>
    </comment>
    <comment ref="CX543" authorId="0" shapeId="0" xr:uid="{00000000-0006-0000-0100-000065010000}">
      <text>
        <r>
          <rPr>
            <sz val="11"/>
            <color theme="1"/>
            <rFont val="Calibri"/>
            <family val="2"/>
            <scheme val="minor"/>
          </rPr>
          <t>======
ID#AAABDDKrRK8
Gavin Mudd    (2023-12-20 21:24:04)
FODD (2017) data</t>
        </r>
      </text>
    </comment>
    <comment ref="CY543" authorId="0" shapeId="0" xr:uid="{00000000-0006-0000-0100-00004F000000}">
      <text>
        <r>
          <rPr>
            <sz val="11"/>
            <color theme="1"/>
            <rFont val="Calibri"/>
            <family val="2"/>
            <scheme val="minor"/>
          </rPr>
          <t>======
ID#AAABDDKrRtg
Gavin Mudd    (2023-12-20 21:24:04)
data from Eilu (2012)</t>
        </r>
      </text>
    </comment>
    <comment ref="CZ543" authorId="0" shapeId="0" xr:uid="{00000000-0006-0000-0100-000092010000}">
      <text>
        <r>
          <rPr>
            <sz val="11"/>
            <color theme="1"/>
            <rFont val="Calibri"/>
            <family val="2"/>
            <scheme val="minor"/>
          </rPr>
          <t>======
ID#AAABDDKrRFY
Gavin Mudd    (2023-12-20 21:24:04)
data from Eilu (2012)</t>
        </r>
      </text>
    </comment>
    <comment ref="AY544" authorId="0" shapeId="0" xr:uid="{00000000-0006-0000-0100-000034060000}">
      <text>
        <r>
          <rPr>
            <sz val="11"/>
            <color theme="1"/>
            <rFont val="Calibri"/>
            <family val="2"/>
            <scheme val="minor"/>
          </rPr>
          <t>======
ID#AAABCyJQh6k
Gavin Mudd    (2023-12-20 21:24:02)
historic resources (non-compliant with NI43-101) - hence all data allocated as inferred resources only</t>
        </r>
      </text>
    </comment>
    <comment ref="AZ544" authorId="0" shapeId="0" xr:uid="{00000000-0006-0000-0100-0000DC040000}">
      <text>
        <r>
          <rPr>
            <sz val="11"/>
            <color theme="1"/>
            <rFont val="Calibri"/>
            <family val="2"/>
            <scheme val="minor"/>
          </rPr>
          <t>======
ID#AAABDDKrPdA
Gavin Mudd    (2023-12-20 21:24:03)
historic resources (non-compliant with NI43-101) - hence all data allocated as inferred resources only</t>
        </r>
      </text>
    </comment>
    <comment ref="BG544" authorId="0" shapeId="0" xr:uid="{00000000-0006-0000-0100-000097010000}">
      <text>
        <r>
          <rPr>
            <sz val="11"/>
            <color theme="1"/>
            <rFont val="Calibri"/>
            <family val="2"/>
            <scheme val="minor"/>
          </rPr>
          <t>======
ID#AAABDDKrRE0
Gavin Mudd    (2023-12-20 21:24:04)
historic resources (non-compliant with NI43-101) - hence all data allocated as inferred resources only</t>
        </r>
      </text>
    </comment>
    <comment ref="BH544" authorId="0" shapeId="0" xr:uid="{00000000-0006-0000-0100-000060030000}">
      <text>
        <r>
          <rPr>
            <sz val="11"/>
            <color theme="1"/>
            <rFont val="Calibri"/>
            <family val="2"/>
            <scheme val="minor"/>
          </rPr>
          <t>======
ID#AAABDDKrQJI
Gavin Mudd    (2023-12-20 21:24:03)
historic resources (non-compliant with NI43-101) - hence all data allocated as inferred resources only</t>
        </r>
      </text>
    </comment>
    <comment ref="AY545" authorId="0" shapeId="0" xr:uid="{00000000-0006-0000-0100-000063050000}">
      <text>
        <r>
          <rPr>
            <sz val="11"/>
            <color theme="1"/>
            <rFont val="Calibri"/>
            <family val="2"/>
            <scheme val="minor"/>
          </rPr>
          <t>======
ID#AAABDDKrPMU
Gavin Mudd    (2023-12-20 21:24:03)
historic resources (non-compliant with NI43-101) - hence all data allocated as inferred resources only</t>
        </r>
      </text>
    </comment>
    <comment ref="AZ545" authorId="0" shapeId="0" xr:uid="{00000000-0006-0000-0100-000072020000}">
      <text>
        <r>
          <rPr>
            <sz val="11"/>
            <color theme="1"/>
            <rFont val="Calibri"/>
            <family val="2"/>
            <scheme val="minor"/>
          </rPr>
          <t>======
ID#AAABDDKrQpQ
Gavin Mudd    (2023-12-20 21:24:04)
historic resources (non-compliant with NI43-101) - hence all data allocated as inferred resources only</t>
        </r>
      </text>
    </comment>
    <comment ref="BG545" authorId="0" shapeId="0" xr:uid="{00000000-0006-0000-0100-0000CA010000}">
      <text>
        <r>
          <rPr>
            <sz val="11"/>
            <color theme="1"/>
            <rFont val="Calibri"/>
            <family val="2"/>
            <scheme val="minor"/>
          </rPr>
          <t>======
ID#AAABDDKrQ-0
Gavin Mudd    (2023-12-20 21:24:04)
historic resources (non-compliant with NI43-101) - hence all data allocated as inferred resources only</t>
        </r>
      </text>
    </comment>
    <comment ref="BH545" authorId="0" shapeId="0" xr:uid="{00000000-0006-0000-0100-00005E020000}">
      <text>
        <r>
          <rPr>
            <sz val="11"/>
            <color theme="1"/>
            <rFont val="Calibri"/>
            <family val="2"/>
            <scheme val="minor"/>
          </rPr>
          <t>======
ID#AAABDDKrQr0
Gavin Mudd    (2023-12-20 21:24:04)
historic resources (non-compliant with NI43-101) - hence all data allocated as inferred resources only</t>
        </r>
      </text>
    </comment>
    <comment ref="AY546" authorId="0" shapeId="0" xr:uid="{00000000-0006-0000-0100-0000BD010000}">
      <text>
        <r>
          <rPr>
            <sz val="11"/>
            <color theme="1"/>
            <rFont val="Calibri"/>
            <family val="2"/>
            <scheme val="minor"/>
          </rPr>
          <t>======
ID#AAABDDKrRAs
Gavin Mudd    (2023-12-20 21:24:04)
historic resources (non-compliant with NI43-101) - hence all data allocated as inferred resources only</t>
        </r>
      </text>
    </comment>
    <comment ref="AZ546" authorId="0" shapeId="0" xr:uid="{00000000-0006-0000-0100-00006A020000}">
      <text>
        <r>
          <rPr>
            <sz val="11"/>
            <color theme="1"/>
            <rFont val="Calibri"/>
            <family val="2"/>
            <scheme val="minor"/>
          </rPr>
          <t>======
ID#AAABDDKrQqY
Gavin Mudd    (2023-12-20 21:24:04)
historic resources (non-compliant with NI43-101) - hence all data allocated as inferred resources only</t>
        </r>
      </text>
    </comment>
    <comment ref="BG546" authorId="0" shapeId="0" xr:uid="{00000000-0006-0000-0100-000078060000}">
      <text>
        <r>
          <rPr>
            <sz val="11"/>
            <color theme="1"/>
            <rFont val="Calibri"/>
            <family val="2"/>
            <scheme val="minor"/>
          </rPr>
          <t>======
ID#AAABCyJQhwY
Gavin Mudd    (2023-12-20 21:24:02)
historic resources (non-compliant with NI43-101) - hence all data allocated as inferred resources only</t>
        </r>
      </text>
    </comment>
    <comment ref="AY547" authorId="0" shapeId="0" xr:uid="{00000000-0006-0000-0100-00006A000000}">
      <text>
        <r>
          <rPr>
            <sz val="11"/>
            <color theme="1"/>
            <rFont val="Calibri"/>
            <family val="2"/>
            <scheme val="minor"/>
          </rPr>
          <t>======
ID#AAABDDKrRqk
Gavin Mudd    (2023-12-20 21:24:04)
historic resources (non-compliant with NI43-101) - hence all data allocated as inferred resources only</t>
        </r>
      </text>
    </comment>
    <comment ref="AZ547" authorId="0" shapeId="0" xr:uid="{00000000-0006-0000-0100-000092050000}">
      <text>
        <r>
          <rPr>
            <sz val="11"/>
            <color theme="1"/>
            <rFont val="Calibri"/>
            <family val="2"/>
            <scheme val="minor"/>
          </rPr>
          <t>======
ID#AAABDDKrPGs
Gavin Mudd    (2023-12-20 21:24:03)
historic resources (non-compliant with NI43-101) - hence all data allocated as inferred resources only</t>
        </r>
      </text>
    </comment>
    <comment ref="BG547" authorId="0" shapeId="0" xr:uid="{00000000-0006-0000-0100-00003F020000}">
      <text>
        <r>
          <rPr>
            <sz val="11"/>
            <color theme="1"/>
            <rFont val="Calibri"/>
            <family val="2"/>
            <scheme val="minor"/>
          </rPr>
          <t>======
ID#AAABDDKrQvg
Gavin Mudd    (2023-12-20 21:24:04)
historic resources (non-compliant with NI43-101) - hence all data allocated as inferred resources only</t>
        </r>
      </text>
    </comment>
    <comment ref="BH547" authorId="0" shapeId="0" xr:uid="{00000000-0006-0000-0100-0000DD000000}">
      <text>
        <r>
          <rPr>
            <sz val="11"/>
            <color theme="1"/>
            <rFont val="Calibri"/>
            <family val="2"/>
            <scheme val="minor"/>
          </rPr>
          <t>======
ID#AAABDDKrRbQ
Gavin Mudd    (2023-12-20 21:24:04)
historic resources (non-compliant with NI43-101) - hence all data allocated as inferred resources only</t>
        </r>
      </text>
    </comment>
    <comment ref="F550" authorId="0" shapeId="0" xr:uid="{00000000-0006-0000-0100-0000AE030000}">
      <text>
        <r>
          <rPr>
            <sz val="11"/>
            <color theme="1"/>
            <rFont val="Calibri"/>
            <family val="2"/>
            <scheme val="minor"/>
          </rPr>
          <t>======
ID#AAABDDKrQB0
Author    (2023-12-20 21:24:03)
formerly Blackstone Ventures, then Drake Resources</t>
        </r>
      </text>
    </comment>
    <comment ref="DN550" authorId="0" shapeId="0" xr:uid="{00000000-0006-0000-0100-00000E030000}">
      <text>
        <r>
          <rPr>
            <sz val="11"/>
            <color theme="1"/>
            <rFont val="Calibri"/>
            <family val="2"/>
            <scheme val="minor"/>
          </rPr>
          <t>======
ID#AAABDDKrQTk
Author    (2023-12-20 21:24:03)
data from Blackstone Ventures</t>
        </r>
      </text>
    </comment>
    <comment ref="F551" authorId="0" shapeId="0" xr:uid="{00000000-0006-0000-0100-000072050000}">
      <text>
        <r>
          <rPr>
            <sz val="11"/>
            <color theme="1"/>
            <rFont val="Calibri"/>
            <family val="2"/>
            <scheme val="minor"/>
          </rPr>
          <t>======
ID#AAABDDKrPKQ
Author    (2023-12-20 21:24:03)
formerly Blackstone Ventures, then Drake Resources</t>
        </r>
      </text>
    </comment>
    <comment ref="DN551" authorId="0" shapeId="0" xr:uid="{00000000-0006-0000-0100-00008E050000}">
      <text>
        <r>
          <rPr>
            <sz val="11"/>
            <color theme="1"/>
            <rFont val="Calibri"/>
            <family val="2"/>
            <scheme val="minor"/>
          </rPr>
          <t>======
ID#AAABDDKrPHI
Author    (2023-12-20 21:24:03)
data from Blackstone Ventures</t>
        </r>
      </text>
    </comment>
    <comment ref="AY552" authorId="0" shapeId="0" xr:uid="{00000000-0006-0000-0100-00004B060000}">
      <text>
        <r>
          <rPr>
            <sz val="11"/>
            <color theme="1"/>
            <rFont val="Calibri"/>
            <family val="2"/>
            <scheme val="minor"/>
          </rPr>
          <t>======
ID#AAABCyJQh3g
Gavin Mudd    (2023-12-20 21:24:02)
historic resources (non-compliant with NI43-101) - hence all data allocated as inferred resources only</t>
        </r>
      </text>
    </comment>
    <comment ref="AZ552" authorId="0" shapeId="0" xr:uid="{00000000-0006-0000-0100-000067000000}">
      <text>
        <r>
          <rPr>
            <sz val="11"/>
            <color theme="1"/>
            <rFont val="Calibri"/>
            <family val="2"/>
            <scheme val="minor"/>
          </rPr>
          <t>======
ID#AAABDDKrRq4
Gavin Mudd    (2023-12-20 21:24:04)
historic resources (non-compliant with NI43-101) - hence all data allocated as inferred resources only</t>
        </r>
      </text>
    </comment>
    <comment ref="BG552" authorId="0" shapeId="0" xr:uid="{00000000-0006-0000-0100-00004A040000}">
      <text>
        <r>
          <rPr>
            <sz val="11"/>
            <color theme="1"/>
            <rFont val="Calibri"/>
            <family val="2"/>
            <scheme val="minor"/>
          </rPr>
          <t>======
ID#AAABDDKrPvA
Gavin Mudd    (2023-12-20 21:24:03)
historic resources (non-compliant with NI43-101) - hence all data allocated as inferred resources only</t>
        </r>
      </text>
    </comment>
    <comment ref="F553" authorId="0" shapeId="0" xr:uid="{00000000-0006-0000-0100-0000B9000000}">
      <text>
        <r>
          <rPr>
            <sz val="11"/>
            <color theme="1"/>
            <rFont val="Calibri"/>
            <family val="2"/>
            <scheme val="minor"/>
          </rPr>
          <t>======
ID#AAABDDKrRgQ
Gavin Mudd    (2023-12-20 21:24:04)
previously held by Thabex Ltd</t>
        </r>
      </text>
    </comment>
    <comment ref="DN553" authorId="0" shapeId="0" xr:uid="{00000000-0006-0000-0100-000059050000}">
      <text>
        <r>
          <rPr>
            <sz val="11"/>
            <color theme="1"/>
            <rFont val="Calibri"/>
            <family val="2"/>
            <scheme val="minor"/>
          </rPr>
          <t>======
ID#AAABDDKrPNo
Gavin Mudd    (2023-12-20 21:24:03)
data from Thabex</t>
        </r>
      </text>
    </comment>
    <comment ref="K554" authorId="0" shapeId="0" xr:uid="{00000000-0006-0000-0100-0000D1020000}">
      <text>
        <r>
          <rPr>
            <sz val="11"/>
            <color theme="1"/>
            <rFont val="Calibri"/>
            <family val="2"/>
            <scheme val="minor"/>
          </rPr>
          <t>======
ID#AAABDDKrQcg
Author    (2023-12-20 21:24:03)
from Lips (2006)</t>
        </r>
      </text>
    </comment>
    <comment ref="R554" authorId="0" shapeId="0" xr:uid="{00000000-0006-0000-0100-00003C000000}">
      <text>
        <r>
          <rPr>
            <sz val="11"/>
            <color theme="1"/>
            <rFont val="Calibri"/>
            <family val="2"/>
            <scheme val="minor"/>
          </rPr>
          <t>======
ID#AAABDDKrRvQ
Author    (2023-12-20 21:24:04)
from Lips (2006)</t>
        </r>
      </text>
    </comment>
    <comment ref="S554" authorId="0" shapeId="0" xr:uid="{00000000-0006-0000-0100-0000BC050000}">
      <text>
        <r>
          <rPr>
            <sz val="11"/>
            <color theme="1"/>
            <rFont val="Calibri"/>
            <family val="2"/>
            <scheme val="minor"/>
          </rPr>
          <t>======
ID#AAABDDKrPB4
Author    (2023-12-20 21:24:03)
from Lips (2006)</t>
        </r>
      </text>
    </comment>
    <comment ref="T554" authorId="0" shapeId="0" xr:uid="{00000000-0006-0000-0100-00002C010000}">
      <text>
        <r>
          <rPr>
            <sz val="11"/>
            <color theme="1"/>
            <rFont val="Calibri"/>
            <family val="2"/>
            <scheme val="minor"/>
          </rPr>
          <t>======
ID#AAABDDKrRQ0
Author    (2023-12-20 21:24:04)
from Lips (2006)</t>
        </r>
      </text>
    </comment>
    <comment ref="U554" authorId="0" shapeId="0" xr:uid="{00000000-0006-0000-0100-00006F010000}">
      <text>
        <r>
          <rPr>
            <sz val="11"/>
            <color theme="1"/>
            <rFont val="Calibri"/>
            <family val="2"/>
            <scheme val="minor"/>
          </rPr>
          <t>======
ID#AAABDDKrRJo
Author    (2023-12-20 21:24:04)
from Lips (2006)</t>
        </r>
      </text>
    </comment>
    <comment ref="AF554" authorId="0" shapeId="0" xr:uid="{00000000-0006-0000-0100-0000A1020000}">
      <text>
        <r>
          <rPr>
            <sz val="11"/>
            <color theme="1"/>
            <rFont val="Calibri"/>
            <family val="2"/>
            <scheme val="minor"/>
          </rPr>
          <t>======
ID#AAABDDKrQiE
Author    (2023-12-20 21:24:04)
from Lips (2006)</t>
        </r>
      </text>
    </comment>
    <comment ref="AM554" authorId="0" shapeId="0" xr:uid="{00000000-0006-0000-0100-00004C050000}">
      <text>
        <r>
          <rPr>
            <sz val="11"/>
            <color theme="1"/>
            <rFont val="Calibri"/>
            <family val="2"/>
            <scheme val="minor"/>
          </rPr>
          <t>======
ID#AAABDDKrPPg
Author    (2023-12-20 21:24:03)
from Lips (2006)</t>
        </r>
      </text>
    </comment>
    <comment ref="AN554" authorId="0" shapeId="0" xr:uid="{00000000-0006-0000-0100-0000D6000000}">
      <text>
        <r>
          <rPr>
            <sz val="11"/>
            <color theme="1"/>
            <rFont val="Calibri"/>
            <family val="2"/>
            <scheme val="minor"/>
          </rPr>
          <t>======
ID#AAABDDKrRcE
Author    (2023-12-20 21:24:04)
from Lips (2006)</t>
        </r>
      </text>
    </comment>
    <comment ref="AO554" authorId="0" shapeId="0" xr:uid="{00000000-0006-0000-0100-000031060000}">
      <text>
        <r>
          <rPr>
            <sz val="11"/>
            <color theme="1"/>
            <rFont val="Calibri"/>
            <family val="2"/>
            <scheme val="minor"/>
          </rPr>
          <t>======
ID#AAABCyJQh68
Author    (2023-12-20 21:24:02)
from Lips (2006)</t>
        </r>
      </text>
    </comment>
    <comment ref="AP554" authorId="0" shapeId="0" xr:uid="{00000000-0006-0000-0100-00008E020000}">
      <text>
        <r>
          <rPr>
            <sz val="11"/>
            <color theme="1"/>
            <rFont val="Calibri"/>
            <family val="2"/>
            <scheme val="minor"/>
          </rPr>
          <t>======
ID#AAABDDKrQlI
Author    (2023-12-20 21:24:04)
from Lips (2006)</t>
        </r>
      </text>
    </comment>
    <comment ref="BA554" authorId="0" shapeId="0" xr:uid="{00000000-0006-0000-0100-0000DA030000}">
      <text>
        <r>
          <rPr>
            <sz val="11"/>
            <color theme="1"/>
            <rFont val="Calibri"/>
            <family val="2"/>
            <scheme val="minor"/>
          </rPr>
          <t>======
ID#AAABDDKrP7s
Author    (2023-12-20 21:24:03)
from Lips (2006)</t>
        </r>
      </text>
    </comment>
    <comment ref="BH554" authorId="0" shapeId="0" xr:uid="{00000000-0006-0000-0100-000096000000}">
      <text>
        <r>
          <rPr>
            <sz val="11"/>
            <color theme="1"/>
            <rFont val="Calibri"/>
            <family val="2"/>
            <scheme val="minor"/>
          </rPr>
          <t>======
ID#AAABDDKrRjg
Author    (2023-12-20 21:24:04)
from Lips (2006)</t>
        </r>
      </text>
    </comment>
    <comment ref="BI554" authorId="0" shapeId="0" xr:uid="{00000000-0006-0000-0100-0000F6020000}">
      <text>
        <r>
          <rPr>
            <sz val="11"/>
            <color theme="1"/>
            <rFont val="Calibri"/>
            <family val="2"/>
            <scheme val="minor"/>
          </rPr>
          <t>======
ID#AAABDDKrQXg
Author    (2023-12-20 21:24:03)
from Lips (2006)</t>
        </r>
      </text>
    </comment>
    <comment ref="BJ554" authorId="0" shapeId="0" xr:uid="{00000000-0006-0000-0100-000075010000}">
      <text>
        <r>
          <rPr>
            <sz val="11"/>
            <color theme="1"/>
            <rFont val="Calibri"/>
            <family val="2"/>
            <scheme val="minor"/>
          </rPr>
          <t>======
ID#AAABDDKrRI4
Author    (2023-12-20 21:24:04)
from Lips (2006)</t>
        </r>
      </text>
    </comment>
    <comment ref="BK554" authorId="0" shapeId="0" xr:uid="{00000000-0006-0000-0100-000090020000}">
      <text>
        <r>
          <rPr>
            <sz val="11"/>
            <color theme="1"/>
            <rFont val="Calibri"/>
            <family val="2"/>
            <scheme val="minor"/>
          </rPr>
          <t>======
ID#AAABDDKrQkw
Author    (2023-12-20 21:24:04)
from Lips (2006)</t>
        </r>
      </text>
    </comment>
    <comment ref="BV554" authorId="0" shapeId="0" xr:uid="{00000000-0006-0000-0100-000051020000}">
      <text>
        <r>
          <rPr>
            <sz val="11"/>
            <color theme="1"/>
            <rFont val="Calibri"/>
            <family val="2"/>
            <scheme val="minor"/>
          </rPr>
          <t>======
ID#AAABDDKrQtI
Author    (2023-12-20 21:24:04)
from Lips (2006)</t>
        </r>
      </text>
    </comment>
    <comment ref="CC554" authorId="0" shapeId="0" xr:uid="{00000000-0006-0000-0100-00007D040000}">
      <text>
        <r>
          <rPr>
            <sz val="11"/>
            <color theme="1"/>
            <rFont val="Calibri"/>
            <family val="2"/>
            <scheme val="minor"/>
          </rPr>
          <t>======
ID#AAABDDKrPn4
Author    (2023-12-20 21:24:03)
from Lips (2006)</t>
        </r>
      </text>
    </comment>
    <comment ref="CD554" authorId="0" shapeId="0" xr:uid="{00000000-0006-0000-0100-000086020000}">
      <text>
        <r>
          <rPr>
            <sz val="11"/>
            <color theme="1"/>
            <rFont val="Calibri"/>
            <family val="2"/>
            <scheme val="minor"/>
          </rPr>
          <t>======
ID#AAABDDKrQl8
Author    (2023-12-20 21:24:04)
from Lips (2006)</t>
        </r>
      </text>
    </comment>
    <comment ref="CE554" authorId="0" shapeId="0" xr:uid="{00000000-0006-0000-0100-000039000000}">
      <text>
        <r>
          <rPr>
            <sz val="11"/>
            <color theme="1"/>
            <rFont val="Calibri"/>
            <family val="2"/>
            <scheme val="minor"/>
          </rPr>
          <t>======
ID#AAABDDKrRvo
Author    (2023-12-20 21:24:04)
from Lips (2006)</t>
        </r>
      </text>
    </comment>
    <comment ref="CF554" authorId="0" shapeId="0" xr:uid="{00000000-0006-0000-0100-0000C3010000}">
      <text>
        <r>
          <rPr>
            <sz val="11"/>
            <color theme="1"/>
            <rFont val="Calibri"/>
            <family val="2"/>
            <scheme val="minor"/>
          </rPr>
          <t>======
ID#AAABDDKrQ_o
Author    (2023-12-20 21:24:04)
from Lips (2006)</t>
        </r>
      </text>
    </comment>
    <comment ref="CQ554" authorId="0" shapeId="0" xr:uid="{00000000-0006-0000-0100-0000C8030000}">
      <text>
        <r>
          <rPr>
            <sz val="11"/>
            <color theme="1"/>
            <rFont val="Calibri"/>
            <family val="2"/>
            <scheme val="minor"/>
          </rPr>
          <t>======
ID#AAABDDKrP-E
Author    (2023-12-20 21:24:03)
from Lips (2006)</t>
        </r>
      </text>
    </comment>
    <comment ref="CX554" authorId="0" shapeId="0" xr:uid="{00000000-0006-0000-0100-00002A020000}">
      <text>
        <r>
          <rPr>
            <sz val="11"/>
            <color theme="1"/>
            <rFont val="Calibri"/>
            <family val="2"/>
            <scheme val="minor"/>
          </rPr>
          <t>======
ID#AAABDDKrQzA
Author    (2023-12-20 21:24:04)
from Lips (2006)</t>
        </r>
      </text>
    </comment>
    <comment ref="CY554" authorId="0" shapeId="0" xr:uid="{00000000-0006-0000-0100-0000AB010000}">
      <text>
        <r>
          <rPr>
            <sz val="11"/>
            <color theme="1"/>
            <rFont val="Calibri"/>
            <family val="2"/>
            <scheme val="minor"/>
          </rPr>
          <t>======
ID#AAABDDKrRC4
Author    (2023-12-20 21:24:04)
from Lips (2006)</t>
        </r>
      </text>
    </comment>
    <comment ref="CZ554" authorId="0" shapeId="0" xr:uid="{00000000-0006-0000-0100-000015050000}">
      <text>
        <r>
          <rPr>
            <sz val="11"/>
            <color theme="1"/>
            <rFont val="Calibri"/>
            <family val="2"/>
            <scheme val="minor"/>
          </rPr>
          <t>======
ID#AAABDDKrPVU
Author    (2023-12-20 21:24:03)
from Lips (2006)</t>
        </r>
      </text>
    </comment>
    <comment ref="DA554" authorId="0" shapeId="0" xr:uid="{00000000-0006-0000-0100-0000F1030000}">
      <text>
        <r>
          <rPr>
            <sz val="11"/>
            <color theme="1"/>
            <rFont val="Calibri"/>
            <family val="2"/>
            <scheme val="minor"/>
          </rPr>
          <t>======
ID#AAABDDKrP5o
Author    (2023-12-20 21:24:03)
from Lips (2006)</t>
        </r>
      </text>
    </comment>
    <comment ref="K559" authorId="0" shapeId="0" xr:uid="{00000000-0006-0000-0100-000097050000}">
      <text>
        <r>
          <rPr>
            <sz val="11"/>
            <color theme="1"/>
            <rFont val="Calibri"/>
            <family val="2"/>
            <scheme val="minor"/>
          </rPr>
          <t>======
ID#AAABDDKrPGY
Gavin Mudd    (2023-12-20 21:24:03)
data from Tech Rep (2012-11)</t>
        </r>
      </text>
    </comment>
    <comment ref="S559" authorId="0" shapeId="0" xr:uid="{00000000-0006-0000-0100-00003F060000}">
      <text>
        <r>
          <rPr>
            <sz val="11"/>
            <color theme="1"/>
            <rFont val="Calibri"/>
            <family val="2"/>
            <scheme val="minor"/>
          </rPr>
          <t>======
ID#AAABCyJQh44
Gavin Mudd    (2023-12-20 21:24:02)
data from Tech Rep (2012-11)</t>
        </r>
      </text>
    </comment>
    <comment ref="T559" authorId="0" shapeId="0" xr:uid="{00000000-0006-0000-0100-00006D010000}">
      <text>
        <r>
          <rPr>
            <sz val="11"/>
            <color theme="1"/>
            <rFont val="Calibri"/>
            <family val="2"/>
            <scheme val="minor"/>
          </rPr>
          <t>======
ID#AAABDDKrRJ0
Gavin Mudd    (2023-12-20 21:24:04)
data from Tech Rep (2012-11)</t>
        </r>
      </text>
    </comment>
    <comment ref="AF559" authorId="0" shapeId="0" xr:uid="{00000000-0006-0000-0100-0000BD040000}">
      <text>
        <r>
          <rPr>
            <sz val="11"/>
            <color theme="1"/>
            <rFont val="Calibri"/>
            <family val="2"/>
            <scheme val="minor"/>
          </rPr>
          <t>======
ID#AAABDDKrPgc
Gavin Mudd    (2023-12-20 21:24:03)
data from Tech Rep (2012-11)</t>
        </r>
      </text>
    </comment>
    <comment ref="AN559" authorId="0" shapeId="0" xr:uid="{00000000-0006-0000-0100-00003E050000}">
      <text>
        <r>
          <rPr>
            <sz val="11"/>
            <color theme="1"/>
            <rFont val="Calibri"/>
            <family val="2"/>
            <scheme val="minor"/>
          </rPr>
          <t>======
ID#AAABDDKrPRo
Gavin Mudd    (2023-12-20 21:24:03)
data from Tech Rep (2012-11)</t>
        </r>
      </text>
    </comment>
    <comment ref="AO559" authorId="0" shapeId="0" xr:uid="{00000000-0006-0000-0100-000060010000}">
      <text>
        <r>
          <rPr>
            <sz val="11"/>
            <color theme="1"/>
            <rFont val="Calibri"/>
            <family val="2"/>
            <scheme val="minor"/>
          </rPr>
          <t>======
ID#AAABDDKrRL4
Gavin Mudd    (2023-12-20 21:24:04)
data from Tech Rep (2012-11)</t>
        </r>
      </text>
    </comment>
    <comment ref="BA559" authorId="0" shapeId="0" xr:uid="{00000000-0006-0000-0100-0000F1040000}">
      <text>
        <r>
          <rPr>
            <sz val="11"/>
            <color theme="1"/>
            <rFont val="Calibri"/>
            <family val="2"/>
            <scheme val="minor"/>
          </rPr>
          <t>======
ID#AAABDDKrPaQ
Gavin Mudd    (2023-12-20 21:24:03)
data from Tech Rep (2012-11)</t>
        </r>
      </text>
    </comment>
    <comment ref="BI559" authorId="0" shapeId="0" xr:uid="{00000000-0006-0000-0100-000052020000}">
      <text>
        <r>
          <rPr>
            <sz val="11"/>
            <color theme="1"/>
            <rFont val="Calibri"/>
            <family val="2"/>
            <scheme val="minor"/>
          </rPr>
          <t>======
ID#AAABDDKrQtA
Gavin Mudd    (2023-12-20 21:24:04)
data from Tech Rep (2012-11)</t>
        </r>
      </text>
    </comment>
    <comment ref="BJ559" authorId="0" shapeId="0" xr:uid="{00000000-0006-0000-0100-000002050000}">
      <text>
        <r>
          <rPr>
            <sz val="11"/>
            <color theme="1"/>
            <rFont val="Calibri"/>
            <family val="2"/>
            <scheme val="minor"/>
          </rPr>
          <t>======
ID#AAABDDKrPXw
Gavin Mudd    (2023-12-20 21:24:03)
data from Tech Rep (2012-11)</t>
        </r>
      </text>
    </comment>
    <comment ref="S560" authorId="0" shapeId="0" xr:uid="{00000000-0006-0000-0100-0000AD030000}">
      <text>
        <r>
          <rPr>
            <sz val="11"/>
            <color theme="1"/>
            <rFont val="Calibri"/>
            <family val="2"/>
            <scheme val="minor"/>
          </rPr>
          <t>======
ID#AAABDDKrQB4
Gavin Mudd    (2023-12-20 21:24:03)
from Tech Rep (2016-08)</t>
        </r>
      </text>
    </comment>
    <comment ref="T560" authorId="0" shapeId="0" xr:uid="{00000000-0006-0000-0100-00009A010000}">
      <text>
        <r>
          <rPr>
            <sz val="11"/>
            <color theme="1"/>
            <rFont val="Calibri"/>
            <family val="2"/>
            <scheme val="minor"/>
          </rPr>
          <t>======
ID#AAABDDKrREo
Gavin Mudd    (2023-12-20 21:24:04)
from Tech Rep (2016-08)</t>
        </r>
      </text>
    </comment>
    <comment ref="AN560" authorId="0" shapeId="0" xr:uid="{00000000-0006-0000-0100-000045010000}">
      <text>
        <r>
          <rPr>
            <sz val="11"/>
            <color theme="1"/>
            <rFont val="Calibri"/>
            <family val="2"/>
            <scheme val="minor"/>
          </rPr>
          <t>======
ID#AAABDDKrROg
Gavin Mudd    (2023-12-20 21:24:04)
from Tech Rep (2016-08)</t>
        </r>
      </text>
    </comment>
    <comment ref="AO560" authorId="0" shapeId="0" xr:uid="{00000000-0006-0000-0100-0000AC030000}">
      <text>
        <r>
          <rPr>
            <sz val="11"/>
            <color theme="1"/>
            <rFont val="Calibri"/>
            <family val="2"/>
            <scheme val="minor"/>
          </rPr>
          <t>======
ID#AAABDDKrQB8
Gavin Mudd    (2023-12-20 21:24:03)
from Tech Rep (2016-08)</t>
        </r>
      </text>
    </comment>
    <comment ref="BH560" authorId="0" shapeId="0" xr:uid="{00000000-0006-0000-0100-0000C1030000}">
      <text>
        <r>
          <rPr>
            <sz val="11"/>
            <color theme="1"/>
            <rFont val="Calibri"/>
            <family val="2"/>
            <scheme val="minor"/>
          </rPr>
          <t>======
ID#AAABDDKrP-0
Author    (2023-12-20 21:24:03)
from Tech Rep (2016-06)</t>
        </r>
      </text>
    </comment>
    <comment ref="BI560" authorId="0" shapeId="0" xr:uid="{00000000-0006-0000-0100-0000D8020000}">
      <text>
        <r>
          <rPr>
            <sz val="11"/>
            <color theme="1"/>
            <rFont val="Calibri"/>
            <family val="2"/>
            <scheme val="minor"/>
          </rPr>
          <t>======
ID#AAABDDKrQbQ
Gavin Mudd    (2023-12-20 21:24:03)
from Tech Rep (2016-08)</t>
        </r>
      </text>
    </comment>
    <comment ref="BJ560" authorId="0" shapeId="0" xr:uid="{00000000-0006-0000-0100-0000F3050000}">
      <text>
        <r>
          <rPr>
            <sz val="11"/>
            <color theme="1"/>
            <rFont val="Calibri"/>
            <family val="2"/>
            <scheme val="minor"/>
          </rPr>
          <t>======
ID#AAABDDKrO64
Gavin Mudd    (2023-12-20 21:24:02)
from Tech Rep (2016-08)</t>
        </r>
      </text>
    </comment>
    <comment ref="CY560" authorId="0" shapeId="0" xr:uid="{00000000-0006-0000-0100-0000C6040000}">
      <text>
        <r>
          <rPr>
            <sz val="11"/>
            <color theme="1"/>
            <rFont val="Calibri"/>
            <family val="2"/>
            <scheme val="minor"/>
          </rPr>
          <t>======
ID#AAABDDKrPfo
Gavin Mudd    (2023-12-20 21:24:03)
from Tech Rep (2016-08)</t>
        </r>
      </text>
    </comment>
    <comment ref="CZ560" authorId="0" shapeId="0" xr:uid="{00000000-0006-0000-0100-000082060000}">
      <text>
        <r>
          <rPr>
            <sz val="11"/>
            <color theme="1"/>
            <rFont val="Calibri"/>
            <family val="2"/>
            <scheme val="minor"/>
          </rPr>
          <t>======
ID#AAABCyJQhu0
Gavin Mudd    (2023-12-20 21:24:01)
from Tech Rep (2016-08)</t>
        </r>
      </text>
    </comment>
    <comment ref="B561" authorId="0" shapeId="0" xr:uid="{00000000-0006-0000-0100-000088060000}">
      <text>
        <r>
          <rPr>
            <sz val="11"/>
            <color theme="1"/>
            <rFont val="Calibri"/>
            <family val="2"/>
            <scheme val="minor"/>
          </rPr>
          <t>======
ID#AAABCyJQhuQ
Gavin Mudd    (2023-12-20 21:24:01)
restarted early 2019</t>
        </r>
      </text>
    </comment>
    <comment ref="F561" authorId="0" shapeId="0" xr:uid="{00000000-0006-0000-0100-000063060000}">
      <text>
        <r>
          <rPr>
            <sz val="11"/>
            <color theme="1"/>
            <rFont val="Calibri"/>
            <family val="2"/>
            <scheme val="minor"/>
          </rPr>
          <t>======
ID#AAABCyJQhzw
Gavin Mudd    (2023-12-20 21:24:02)
previously interests include Albidon Ltd, Intrepid Mines Ltd, then Consolidated Mining &amp; Investments Plc</t>
        </r>
      </text>
    </comment>
    <comment ref="I561" authorId="0" shapeId="0" xr:uid="{00000000-0006-0000-0100-0000FF010000}">
      <text>
        <r>
          <rPr>
            <sz val="11"/>
            <color theme="1"/>
            <rFont val="Calibri"/>
            <family val="2"/>
            <scheme val="minor"/>
          </rPr>
          <t>======
ID#AAABDDKrQ4g
Gavin Mudd    (2023-12-20 21:24:04)
only measured &amp; indicated resources reported; based on Albidon's Tech Rep (2012-10) - which shows no measured resources</t>
        </r>
      </text>
    </comment>
    <comment ref="AE561" authorId="0" shapeId="0" xr:uid="{00000000-0006-0000-0100-00001C060000}">
      <text>
        <r>
          <rPr>
            <sz val="11"/>
            <color theme="1"/>
            <rFont val="Calibri"/>
            <family val="2"/>
            <scheme val="minor"/>
          </rPr>
          <t>======
ID#AAABCyJQh9g
Gavin Mudd    (2023-12-20 21:24:02)
data from Haldar (2017)</t>
        </r>
      </text>
    </comment>
    <comment ref="AM561" authorId="0" shapeId="0" xr:uid="{00000000-0006-0000-0100-00000B060000}">
      <text>
        <r>
          <rPr>
            <sz val="11"/>
            <color theme="1"/>
            <rFont val="Calibri"/>
            <family val="2"/>
            <scheme val="minor"/>
          </rPr>
          <t>======
ID#AAABCyJQh_w
Gavin Mudd    (2023-12-20 21:24:02)
data from Haldar (2017)</t>
        </r>
      </text>
    </comment>
    <comment ref="AN561" authorId="0" shapeId="0" xr:uid="{00000000-0006-0000-0100-0000D8030000}">
      <text>
        <r>
          <rPr>
            <sz val="11"/>
            <color theme="1"/>
            <rFont val="Calibri"/>
            <family val="2"/>
            <scheme val="minor"/>
          </rPr>
          <t>======
ID#AAABDDKrP70
Gavin Mudd    (2023-12-20 21:24:03)
data from Haldar (2017)</t>
        </r>
      </text>
    </comment>
    <comment ref="AO561" authorId="0" shapeId="0" xr:uid="{00000000-0006-0000-0100-0000B7030000}">
      <text>
        <r>
          <rPr>
            <sz val="11"/>
            <color theme="1"/>
            <rFont val="Calibri"/>
            <family val="2"/>
            <scheme val="minor"/>
          </rPr>
          <t>======
ID#AAABDDKrQAc
Gavin Mudd    (2023-12-20 21:24:03)
data from Haldar (2017)</t>
        </r>
      </text>
    </comment>
    <comment ref="AZ561" authorId="0" shapeId="0" xr:uid="{00000000-0006-0000-0100-0000A1030000}">
      <text>
        <r>
          <rPr>
            <sz val="11"/>
            <color theme="1"/>
            <rFont val="Calibri"/>
            <family val="2"/>
            <scheme val="minor"/>
          </rPr>
          <t>======
ID#AAABDDKrQDQ
Gavin Mudd    (2023-12-20 21:24:03)
data from Haldar (2017)</t>
        </r>
      </text>
    </comment>
    <comment ref="BH561" authorId="0" shapeId="0" xr:uid="{00000000-0006-0000-0100-000089020000}">
      <text>
        <r>
          <rPr>
            <sz val="11"/>
            <color theme="1"/>
            <rFont val="Calibri"/>
            <family val="2"/>
            <scheme val="minor"/>
          </rPr>
          <t>======
ID#AAABDDKrQlg
Gavin Mudd    (2023-12-20 21:24:04)
data from Haldar (2017)</t>
        </r>
      </text>
    </comment>
    <comment ref="BI561" authorId="0" shapeId="0" xr:uid="{00000000-0006-0000-0100-0000BD020000}">
      <text>
        <r>
          <rPr>
            <sz val="11"/>
            <color theme="1"/>
            <rFont val="Calibri"/>
            <family val="2"/>
            <scheme val="minor"/>
          </rPr>
          <t>======
ID#AAABDDKrQe8
Gavin Mudd    (2023-12-20 21:24:03)
data from Haldar (2017)</t>
        </r>
      </text>
    </comment>
    <comment ref="BJ561" authorId="0" shapeId="0" xr:uid="{00000000-0006-0000-0100-000035000000}">
      <text>
        <r>
          <rPr>
            <sz val="11"/>
            <color theme="1"/>
            <rFont val="Calibri"/>
            <family val="2"/>
            <scheme val="minor"/>
          </rPr>
          <t>======
ID#AAABDDKrRv8
Gavin Mudd    (2023-12-20 21:24:04)
data from Haldar (2017)</t>
        </r>
      </text>
    </comment>
    <comment ref="AY562" authorId="0" shapeId="0" xr:uid="{00000000-0006-0000-0100-000073030000}">
      <text>
        <r>
          <rPr>
            <sz val="11"/>
            <color theme="1"/>
            <rFont val="Calibri"/>
            <family val="2"/>
            <scheme val="minor"/>
          </rPr>
          <t>======
ID#AAABDDKrQHk
Gavin Mudd    (2023-12-20 21:24:03)
historic resources (non-compliant with NI43-101) - hence all data allocated as inferred resources only</t>
        </r>
      </text>
    </comment>
    <comment ref="AZ562" authorId="0" shapeId="0" xr:uid="{00000000-0006-0000-0100-0000E4030000}">
      <text>
        <r>
          <rPr>
            <sz val="11"/>
            <color theme="1"/>
            <rFont val="Calibri"/>
            <family val="2"/>
            <scheme val="minor"/>
          </rPr>
          <t>======
ID#AAABDDKrP68
Gavin Mudd    (2023-12-20 21:24:03)
historic resources (non-compliant with NI43-101) - hence all data allocated as inferred resources only</t>
        </r>
      </text>
    </comment>
    <comment ref="BB562" authorId="0" shapeId="0" xr:uid="{00000000-0006-0000-0100-0000ED010000}">
      <text>
        <r>
          <rPr>
            <sz val="11"/>
            <color theme="1"/>
            <rFont val="Calibri"/>
            <family val="2"/>
            <scheme val="minor"/>
          </rPr>
          <t>======
ID#AAABDDKrQ6U
Gavin Mudd    (2023-12-20 21:24:04)
historic resources (non-compliant with NI43-101) - hence all data allocated as inferred resources only</t>
        </r>
      </text>
    </comment>
    <comment ref="BG562" authorId="0" shapeId="0" xr:uid="{00000000-0006-0000-0100-000088030000}">
      <text>
        <r>
          <rPr>
            <sz val="11"/>
            <color theme="1"/>
            <rFont val="Calibri"/>
            <family val="2"/>
            <scheme val="minor"/>
          </rPr>
          <t>======
ID#AAABDDKrQF8
Gavin Mudd    (2023-12-20 21:24:03)
historic resources (non-compliant with NI43-101) - hence all data allocated as inferred resources only</t>
        </r>
      </text>
    </comment>
    <comment ref="AY563" authorId="0" shapeId="0" xr:uid="{00000000-0006-0000-0100-0000B0010000}">
      <text>
        <r>
          <rPr>
            <sz val="11"/>
            <color theme="1"/>
            <rFont val="Calibri"/>
            <family val="2"/>
            <scheme val="minor"/>
          </rPr>
          <t>======
ID#AAABDDKrRCE
Gavin Mudd    (2023-12-20 21:24:04)
historic resources (non-compliant with NI43-101) - hence all data allocated as inferred resources only</t>
        </r>
      </text>
    </comment>
    <comment ref="AZ563" authorId="0" shapeId="0" xr:uid="{00000000-0006-0000-0100-000081040000}">
      <text>
        <r>
          <rPr>
            <sz val="11"/>
            <color theme="1"/>
            <rFont val="Calibri"/>
            <family val="2"/>
            <scheme val="minor"/>
          </rPr>
          <t>======
ID#AAABDDKrPnI
Gavin Mudd    (2023-12-20 21:24:03)
historic resources (non-compliant with NI43-101) - hence all data allocated as inferred resources only</t>
        </r>
      </text>
    </comment>
    <comment ref="BG563" authorId="0" shapeId="0" xr:uid="{00000000-0006-0000-0100-00007E030000}">
      <text>
        <r>
          <rPr>
            <sz val="11"/>
            <color theme="1"/>
            <rFont val="Calibri"/>
            <family val="2"/>
            <scheme val="minor"/>
          </rPr>
          <t>======
ID#AAABDDKrQGk
Gavin Mudd    (2023-12-20 21:24:03)
historic resources (non-compliant with NI43-101) - hence all data allocated as inferred resources only</t>
        </r>
      </text>
    </comment>
    <comment ref="AY564" authorId="0" shapeId="0" xr:uid="{00000000-0006-0000-0100-000021030000}">
      <text>
        <r>
          <rPr>
            <sz val="11"/>
            <color theme="1"/>
            <rFont val="Calibri"/>
            <family val="2"/>
            <scheme val="minor"/>
          </rPr>
          <t>======
ID#AAABDDKrQQ4
Gavin Mudd    (2023-12-20 21:24:03)
historic resources (non-compliant with NI43-101) - hence all data allocated as inferred resources only</t>
        </r>
      </text>
    </comment>
    <comment ref="AZ564" authorId="0" shapeId="0" xr:uid="{00000000-0006-0000-0100-000080050000}">
      <text>
        <r>
          <rPr>
            <sz val="11"/>
            <color theme="1"/>
            <rFont val="Calibri"/>
            <family val="2"/>
            <scheme val="minor"/>
          </rPr>
          <t>======
ID#AAABDDKrPIk
Gavin Mudd    (2023-12-20 21:24:03)
historic resources (non-compliant with NI43-101) - hence all data allocated as inferred resources only</t>
        </r>
      </text>
    </comment>
    <comment ref="BG564" authorId="0" shapeId="0" xr:uid="{00000000-0006-0000-0100-000045030000}">
      <text>
        <r>
          <rPr>
            <sz val="11"/>
            <color theme="1"/>
            <rFont val="Calibri"/>
            <family val="2"/>
            <scheme val="minor"/>
          </rPr>
          <t>======
ID#AAABDDKrQMU
Gavin Mudd    (2023-12-20 21:24:03)
historic resources (non-compliant with NI43-101) - hence all data allocated as inferred resources only</t>
        </r>
      </text>
    </comment>
    <comment ref="BH564" authorId="0" shapeId="0" xr:uid="{00000000-0006-0000-0100-0000C4040000}">
      <text>
        <r>
          <rPr>
            <sz val="11"/>
            <color theme="1"/>
            <rFont val="Calibri"/>
            <family val="2"/>
            <scheme val="minor"/>
          </rPr>
          <t>======
ID#AAABDDKrPf0
Gavin Mudd    (2023-12-20 21:24:03)
historic resources (non-compliant with NI43-101) - hence all data allocated as inferred resources only</t>
        </r>
      </text>
    </comment>
    <comment ref="I565" authorId="0" shapeId="0" xr:uid="{00000000-0006-0000-0100-0000A2030000}">
      <text>
        <r>
          <rPr>
            <sz val="11"/>
            <color theme="1"/>
            <rFont val="Calibri"/>
            <family val="2"/>
            <scheme val="minor"/>
          </rPr>
          <t>======
ID#AAABDDKrQDM
Gavin Mudd    (2023-12-20 21:24:03)
historic resource data, assumed all as inferred</t>
        </r>
      </text>
    </comment>
    <comment ref="AD565" authorId="0" shapeId="0" xr:uid="{00000000-0006-0000-0100-0000FE020000}">
      <text>
        <r>
          <rPr>
            <sz val="11"/>
            <color theme="1"/>
            <rFont val="Calibri"/>
            <family val="2"/>
            <scheme val="minor"/>
          </rPr>
          <t>======
ID#AAABDDKrQV0
Gavin Mudd    (2023-12-20 21:24:03)
historic resource data, assumed all as inferred</t>
        </r>
      </text>
    </comment>
    <comment ref="AY565" authorId="0" shapeId="0" xr:uid="{00000000-0006-0000-0100-0000A5030000}">
      <text>
        <r>
          <rPr>
            <sz val="11"/>
            <color theme="1"/>
            <rFont val="Calibri"/>
            <family val="2"/>
            <scheme val="minor"/>
          </rPr>
          <t>======
ID#AAABDDKrQC0
Gavin Mudd    (2023-12-20 21:24:03)
historic resource data, assumed all as inferred</t>
        </r>
      </text>
    </comment>
    <comment ref="AZ565" authorId="0" shapeId="0" xr:uid="{00000000-0006-0000-0100-00003A030000}">
      <text>
        <r>
          <rPr>
            <sz val="11"/>
            <color theme="1"/>
            <rFont val="Calibri"/>
            <family val="2"/>
            <scheme val="minor"/>
          </rPr>
          <t>======
ID#AAABDDKrQNg
Gavin Mudd    (2023-12-20 21:24:03)
historic resource data, assumed all as inferred</t>
        </r>
      </text>
    </comment>
    <comment ref="BA565" authorId="0" shapeId="0" xr:uid="{00000000-0006-0000-0100-000045040000}">
      <text>
        <r>
          <rPr>
            <sz val="11"/>
            <color theme="1"/>
            <rFont val="Calibri"/>
            <family val="2"/>
            <scheme val="minor"/>
          </rPr>
          <t>======
ID#AAABDDKrPvo
Gavin Mudd    (2023-12-20 21:24:03)
based on metallurgical test work</t>
        </r>
      </text>
    </comment>
    <comment ref="BG565" authorId="0" shapeId="0" xr:uid="{00000000-0006-0000-0100-00004F010000}">
      <text>
        <r>
          <rPr>
            <sz val="11"/>
            <color theme="1"/>
            <rFont val="Calibri"/>
            <family val="2"/>
            <scheme val="minor"/>
          </rPr>
          <t>======
ID#AAABDDKrRNg
Gavin Mudd    (2023-12-20 21:24:04)
historic resource data, assumed all as inferred</t>
        </r>
      </text>
    </comment>
    <comment ref="BH565" authorId="0" shapeId="0" xr:uid="{00000000-0006-0000-0100-000086010000}">
      <text>
        <r>
          <rPr>
            <sz val="11"/>
            <color theme="1"/>
            <rFont val="Calibri"/>
            <family val="2"/>
            <scheme val="minor"/>
          </rPr>
          <t>======
ID#AAABDDKrRGw
Gavin Mudd    (2023-12-20 21:24:04)
based on metallurgical test work</t>
        </r>
      </text>
    </comment>
    <comment ref="BI565" authorId="0" shapeId="0" xr:uid="{00000000-0006-0000-0100-000074000000}">
      <text>
        <r>
          <rPr>
            <sz val="11"/>
            <color theme="1"/>
            <rFont val="Calibri"/>
            <family val="2"/>
            <scheme val="minor"/>
          </rPr>
          <t>======
ID#AAABDDKrRpI
Gavin Mudd    (2023-12-20 21:24:04)
based on metallurgical test work</t>
        </r>
      </text>
    </comment>
    <comment ref="BJ565" authorId="0" shapeId="0" xr:uid="{00000000-0006-0000-0100-00002D040000}">
      <text>
        <r>
          <rPr>
            <sz val="11"/>
            <color theme="1"/>
            <rFont val="Calibri"/>
            <family val="2"/>
            <scheme val="minor"/>
          </rPr>
          <t>======
ID#AAABDDKrPyo
Gavin Mudd    (2023-12-20 21:24:03)
based on metallurgical test work</t>
        </r>
      </text>
    </comment>
    <comment ref="AY566" authorId="0" shapeId="0" xr:uid="{00000000-0006-0000-0100-000001030000}">
      <text>
        <r>
          <rPr>
            <sz val="11"/>
            <color theme="1"/>
            <rFont val="Calibri"/>
            <family val="2"/>
            <scheme val="minor"/>
          </rPr>
          <t>======
ID#AAABDDKrQVQ
Gavin Mudd    (2023-12-20 21:24:03)
historic resources (non-compliant with NI43-101) - hence all data allocated as inferred resources only</t>
        </r>
      </text>
    </comment>
    <comment ref="AZ566" authorId="0" shapeId="0" xr:uid="{00000000-0006-0000-0100-00004D030000}">
      <text>
        <r>
          <rPr>
            <sz val="11"/>
            <color theme="1"/>
            <rFont val="Calibri"/>
            <family val="2"/>
            <scheme val="minor"/>
          </rPr>
          <t>======
ID#AAABDDKrQLQ
Gavin Mudd    (2023-12-20 21:24:03)
historic resources (non-compliant with NI43-101) - hence all data allocated as inferred resources only</t>
        </r>
      </text>
    </comment>
    <comment ref="BG566" authorId="0" shapeId="0" xr:uid="{00000000-0006-0000-0100-00007F020000}">
      <text>
        <r>
          <rPr>
            <sz val="11"/>
            <color theme="1"/>
            <rFont val="Calibri"/>
            <family val="2"/>
            <scheme val="minor"/>
          </rPr>
          <t>======
ID#AAABDDKrQnM
Author    (2023-12-20 21:24:04)
assumed using average ratio of 3.30:1 Cu:Ni for Duluth Complex deposits (from Miller et al 2002)</t>
        </r>
      </text>
    </comment>
    <comment ref="AY567" authorId="0" shapeId="0" xr:uid="{00000000-0006-0000-0100-000072060000}">
      <text>
        <r>
          <rPr>
            <sz val="11"/>
            <color theme="1"/>
            <rFont val="Calibri"/>
            <family val="2"/>
            <scheme val="minor"/>
          </rPr>
          <t>======
ID#AAABCyJQhxo
Gavin Mudd    (2023-12-20 21:24:02)
historic resources (non-compliant with NI43-101) - hence all data allocated as inferred resources only</t>
        </r>
      </text>
    </comment>
    <comment ref="AZ567" authorId="0" shapeId="0" xr:uid="{00000000-0006-0000-0100-000008060000}">
      <text>
        <r>
          <rPr>
            <sz val="11"/>
            <color theme="1"/>
            <rFont val="Calibri"/>
            <family val="2"/>
            <scheme val="minor"/>
          </rPr>
          <t>======
ID#AAABCyJQiAM
Gavin Mudd    (2023-12-20 21:24:02)
historic resources (non-compliant with NI43-101) - hence all data allocated as inferred resources only</t>
        </r>
      </text>
    </comment>
    <comment ref="BG567" authorId="0" shapeId="0" xr:uid="{00000000-0006-0000-0100-000084040000}">
      <text>
        <r>
          <rPr>
            <sz val="11"/>
            <color theme="1"/>
            <rFont val="Calibri"/>
            <family val="2"/>
            <scheme val="minor"/>
          </rPr>
          <t>======
ID#AAABDDKrPm0
Gavin Mudd    (2023-12-20 21:24:03)
historic resources (non-compliant with NI43-101) - hence all data allocated as inferred resources only</t>
        </r>
      </text>
    </comment>
    <comment ref="AY568" authorId="0" shapeId="0" xr:uid="{00000000-0006-0000-0100-000054000000}">
      <text>
        <r>
          <rPr>
            <sz val="11"/>
            <color theme="1"/>
            <rFont val="Calibri"/>
            <family val="2"/>
            <scheme val="minor"/>
          </rPr>
          <t>======
ID#AAABDDKrRs8
Gavin Mudd    (2023-12-20 21:24:04)
historic resources (non-compliant with NI43-101) - hence all data allocated as inferred resources only</t>
        </r>
      </text>
    </comment>
    <comment ref="AZ568" authorId="0" shapeId="0" xr:uid="{00000000-0006-0000-0100-0000BE020000}">
      <text>
        <r>
          <rPr>
            <sz val="11"/>
            <color theme="1"/>
            <rFont val="Calibri"/>
            <family val="2"/>
            <scheme val="minor"/>
          </rPr>
          <t>======
ID#AAABDDKrQe4
Gavin Mudd    (2023-12-20 21:24:03)
historic resources (non-compliant with NI43-101) - hence all data allocated as inferred resources only</t>
        </r>
      </text>
    </comment>
    <comment ref="BG568" authorId="0" shapeId="0" xr:uid="{00000000-0006-0000-0100-0000EF030000}">
      <text>
        <r>
          <rPr>
            <sz val="11"/>
            <color theme="1"/>
            <rFont val="Calibri"/>
            <family val="2"/>
            <scheme val="minor"/>
          </rPr>
          <t>======
ID#AAABDDKrP5w
Gavin Mudd    (2023-12-20 21:24:03)
historic resources (non-compliant with NI43-101) - hence all data allocated as inferred resources only</t>
        </r>
      </text>
    </comment>
    <comment ref="AY569" authorId="0" shapeId="0" xr:uid="{00000000-0006-0000-0100-00001F060000}">
      <text>
        <r>
          <rPr>
            <sz val="11"/>
            <color theme="1"/>
            <rFont val="Calibri"/>
            <family val="2"/>
            <scheme val="minor"/>
          </rPr>
          <t>======
ID#AAABCyJQh9M
Gavin Mudd    (2023-12-20 21:24:02)
historic resources (non-compliant with NI43-101) - hence all data allocated as inferred resources only</t>
        </r>
      </text>
    </comment>
    <comment ref="AZ569" authorId="0" shapeId="0" xr:uid="{00000000-0006-0000-0100-000090050000}">
      <text>
        <r>
          <rPr>
            <sz val="11"/>
            <color theme="1"/>
            <rFont val="Calibri"/>
            <family val="2"/>
            <scheme val="minor"/>
          </rPr>
          <t>======
ID#AAABDDKrPHA
Gavin Mudd    (2023-12-20 21:24:03)
historic resources (non-compliant with NI43-101) - hence all data allocated as inferred resources only</t>
        </r>
      </text>
    </comment>
    <comment ref="BG569" authorId="0" shapeId="0" xr:uid="{00000000-0006-0000-0100-000044030000}">
      <text>
        <r>
          <rPr>
            <sz val="11"/>
            <color theme="1"/>
            <rFont val="Calibri"/>
            <family val="2"/>
            <scheme val="minor"/>
          </rPr>
          <t>======
ID#AAABDDKrQMc
Gavin Mudd    (2023-12-20 21:24:03)
historic resources (non-compliant with NI43-101) - hence all data allocated as inferred resources only</t>
        </r>
      </text>
    </comment>
    <comment ref="I570" authorId="0" shapeId="0" xr:uid="{00000000-0006-0000-0100-000011050000}">
      <text>
        <r>
          <rPr>
            <sz val="11"/>
            <color theme="1"/>
            <rFont val="Calibri"/>
            <family val="2"/>
            <scheme val="minor"/>
          </rPr>
          <t>======
ID#AAABDDKrPVo
Gavin Mudd    (2023-12-20 21:24:03)
only total resources are reported</t>
        </r>
      </text>
    </comment>
    <comment ref="AD570" authorId="0" shapeId="0" xr:uid="{00000000-0006-0000-0100-00002F010000}">
      <text>
        <r>
          <rPr>
            <sz val="11"/>
            <color theme="1"/>
            <rFont val="Calibri"/>
            <family val="2"/>
            <scheme val="minor"/>
          </rPr>
          <t>======
ID#AAABDDKrRQY
Gavin Mudd    (2023-12-20 21:24:04)
only total resources are reported</t>
        </r>
      </text>
    </comment>
    <comment ref="AY570" authorId="0" shapeId="0" xr:uid="{00000000-0006-0000-0100-000044040000}">
      <text>
        <r>
          <rPr>
            <sz val="11"/>
            <color theme="1"/>
            <rFont val="Calibri"/>
            <family val="2"/>
            <scheme val="minor"/>
          </rPr>
          <t>======
ID#AAABDDKrPvs
Gavin Mudd    (2023-12-20 21:24:03)
only total resources are reported</t>
        </r>
      </text>
    </comment>
    <comment ref="AZ570" authorId="0" shapeId="0" xr:uid="{00000000-0006-0000-0100-00001F000000}">
      <text>
        <r>
          <rPr>
            <sz val="11"/>
            <color theme="1"/>
            <rFont val="Calibri"/>
            <family val="2"/>
            <scheme val="minor"/>
          </rPr>
          <t>======
ID#AAABDDKrRyE
Gavin Mudd    (2023-12-20 21:24:04)
only total resources are reported</t>
        </r>
      </text>
    </comment>
    <comment ref="BG570" authorId="0" shapeId="0" xr:uid="{00000000-0006-0000-0100-0000D1040000}">
      <text>
        <r>
          <rPr>
            <sz val="11"/>
            <color theme="1"/>
            <rFont val="Calibri"/>
            <family val="2"/>
            <scheme val="minor"/>
          </rPr>
          <t>======
ID#AAABDDKrPec
Gavin Mudd    (2023-12-20 21:24:03)
only total resources are reported</t>
        </r>
      </text>
    </comment>
    <comment ref="I571" authorId="0" shapeId="0" xr:uid="{00000000-0006-0000-0100-000096060000}">
      <text>
        <r>
          <rPr>
            <sz val="11"/>
            <color theme="1"/>
            <rFont val="Calibri"/>
            <family val="2"/>
            <scheme val="minor"/>
          </rPr>
          <t>======
ID#AAABCxlEyss
Gavin Mudd    (2023-12-20 21:24:01)
only total resources are reported</t>
        </r>
      </text>
    </comment>
    <comment ref="AD571" authorId="0" shapeId="0" xr:uid="{00000000-0006-0000-0100-000042030000}">
      <text>
        <r>
          <rPr>
            <sz val="11"/>
            <color theme="1"/>
            <rFont val="Calibri"/>
            <family val="2"/>
            <scheme val="minor"/>
          </rPr>
          <t>======
ID#AAABDDKrQMk
Gavin Mudd    (2023-12-20 21:24:03)
only total resources are reported</t>
        </r>
      </text>
    </comment>
    <comment ref="AY571" authorId="0" shapeId="0" xr:uid="{00000000-0006-0000-0100-00003B060000}">
      <text>
        <r>
          <rPr>
            <sz val="11"/>
            <color theme="1"/>
            <rFont val="Calibri"/>
            <family val="2"/>
            <scheme val="minor"/>
          </rPr>
          <t>======
ID#AAABCyJQh5w
Gavin Mudd    (2023-12-20 21:24:02)
only total resources are reported</t>
        </r>
      </text>
    </comment>
    <comment ref="AZ571" authorId="0" shapeId="0" xr:uid="{00000000-0006-0000-0100-000087050000}">
      <text>
        <r>
          <rPr>
            <sz val="11"/>
            <color theme="1"/>
            <rFont val="Calibri"/>
            <family val="2"/>
            <scheme val="minor"/>
          </rPr>
          <t>======
ID#AAABDDKrPHs
Gavin Mudd    (2023-12-20 21:24:03)
only total resources are reported</t>
        </r>
      </text>
    </comment>
    <comment ref="BG571" authorId="0" shapeId="0" xr:uid="{00000000-0006-0000-0100-00007B000000}">
      <text>
        <r>
          <rPr>
            <sz val="11"/>
            <color theme="1"/>
            <rFont val="Calibri"/>
            <family val="2"/>
            <scheme val="minor"/>
          </rPr>
          <t>======
ID#AAABDDKrRoY
Gavin Mudd    (2023-12-20 21:24:04)
only total resources are reported</t>
        </r>
      </text>
    </comment>
    <comment ref="I572" authorId="0" shapeId="0" xr:uid="{00000000-0006-0000-0100-000024060000}">
      <text>
        <r>
          <rPr>
            <sz val="11"/>
            <color theme="1"/>
            <rFont val="Calibri"/>
            <family val="2"/>
            <scheme val="minor"/>
          </rPr>
          <t>======
ID#AAABCyJQh8c
Gavin Mudd    (2023-12-20 21:24:02)
only total resources are reported</t>
        </r>
      </text>
    </comment>
    <comment ref="AD572" authorId="0" shapeId="0" xr:uid="{00000000-0006-0000-0100-0000D3000000}">
      <text>
        <r>
          <rPr>
            <sz val="11"/>
            <color theme="1"/>
            <rFont val="Calibri"/>
            <family val="2"/>
            <scheme val="minor"/>
          </rPr>
          <t>======
ID#AAABDDKrRck
Gavin Mudd    (2023-12-20 21:24:04)
only total resources are reported</t>
        </r>
      </text>
    </comment>
    <comment ref="AY572" authorId="0" shapeId="0" xr:uid="{00000000-0006-0000-0100-00004C040000}">
      <text>
        <r>
          <rPr>
            <sz val="11"/>
            <color theme="1"/>
            <rFont val="Calibri"/>
            <family val="2"/>
            <scheme val="minor"/>
          </rPr>
          <t>======
ID#AAABDDKrPu4
Gavin Mudd    (2023-12-20 21:24:03)
only total resources are reported</t>
        </r>
      </text>
    </comment>
    <comment ref="AZ572" authorId="0" shapeId="0" xr:uid="{00000000-0006-0000-0100-0000B8020000}">
      <text>
        <r>
          <rPr>
            <sz val="11"/>
            <color theme="1"/>
            <rFont val="Calibri"/>
            <family val="2"/>
            <scheme val="minor"/>
          </rPr>
          <t>======
ID#AAABDDKrQfo
Gavin Mudd    (2023-12-20 21:24:03)
only total resources are reported</t>
        </r>
      </text>
    </comment>
    <comment ref="BG572" authorId="0" shapeId="0" xr:uid="{00000000-0006-0000-0100-00004F030000}">
      <text>
        <r>
          <rPr>
            <sz val="11"/>
            <color theme="1"/>
            <rFont val="Calibri"/>
            <family val="2"/>
            <scheme val="minor"/>
          </rPr>
          <t>======
ID#AAABDDKrQLE
Gavin Mudd    (2023-12-20 21:24:03)
only total resources are reported</t>
        </r>
      </text>
    </comment>
    <comment ref="I573" authorId="0" shapeId="0" xr:uid="{00000000-0006-0000-0100-0000E6030000}">
      <text>
        <r>
          <rPr>
            <sz val="11"/>
            <color theme="1"/>
            <rFont val="Calibri"/>
            <family val="2"/>
            <scheme val="minor"/>
          </rPr>
          <t>======
ID#AAABDDKrP6s
Gavin Mudd    (2023-12-20 21:24:03)
only total resources are reported</t>
        </r>
      </text>
    </comment>
    <comment ref="AD573" authorId="0" shapeId="0" xr:uid="{00000000-0006-0000-0100-00006C000000}">
      <text>
        <r>
          <rPr>
            <sz val="11"/>
            <color theme="1"/>
            <rFont val="Calibri"/>
            <family val="2"/>
            <scheme val="minor"/>
          </rPr>
          <t>======
ID#AAABDDKrRqQ
Gavin Mudd    (2023-12-20 21:24:04)
only total resources are reported</t>
        </r>
      </text>
    </comment>
    <comment ref="AY573" authorId="0" shapeId="0" xr:uid="{00000000-0006-0000-0100-0000C0030000}">
      <text>
        <r>
          <rPr>
            <sz val="11"/>
            <color theme="1"/>
            <rFont val="Calibri"/>
            <family val="2"/>
            <scheme val="minor"/>
          </rPr>
          <t>======
ID#AAABDDKrP_E
Gavin Mudd    (2023-12-20 21:24:03)
only total resources are reported</t>
        </r>
      </text>
    </comment>
    <comment ref="AZ573" authorId="0" shapeId="0" xr:uid="{00000000-0006-0000-0100-000073050000}">
      <text>
        <r>
          <rPr>
            <sz val="11"/>
            <color theme="1"/>
            <rFont val="Calibri"/>
            <family val="2"/>
            <scheme val="minor"/>
          </rPr>
          <t>======
ID#AAABDDKrPKE
Gavin Mudd    (2023-12-20 21:24:03)
only total resources are reported</t>
        </r>
      </text>
    </comment>
    <comment ref="BG573" authorId="0" shapeId="0" xr:uid="{00000000-0006-0000-0100-00009A000000}">
      <text>
        <r>
          <rPr>
            <sz val="11"/>
            <color theme="1"/>
            <rFont val="Calibri"/>
            <family val="2"/>
            <scheme val="minor"/>
          </rPr>
          <t>======
ID#AAABDDKrRi4
Gavin Mudd    (2023-12-20 21:24:04)
only total resources are reported</t>
        </r>
      </text>
    </comment>
    <comment ref="I574" authorId="0" shapeId="0" xr:uid="{00000000-0006-0000-0100-00008D050000}">
      <text>
        <r>
          <rPr>
            <sz val="11"/>
            <color theme="1"/>
            <rFont val="Calibri"/>
            <family val="2"/>
            <scheme val="minor"/>
          </rPr>
          <t>======
ID#AAABDDKrPHM
Gavin Mudd    (2023-12-20 21:24:03)
only total resources are reported</t>
        </r>
      </text>
    </comment>
    <comment ref="AD574" authorId="0" shapeId="0" xr:uid="{00000000-0006-0000-0100-00000D000000}">
      <text>
        <r>
          <rPr>
            <sz val="11"/>
            <color theme="1"/>
            <rFont val="Calibri"/>
            <family val="2"/>
            <scheme val="minor"/>
          </rPr>
          <t>======
ID#AAABDDKrR0Q
Gavin Mudd    (2023-12-20 21:24:04)
only total resources are reported</t>
        </r>
      </text>
    </comment>
    <comment ref="AY574" authorId="0" shapeId="0" xr:uid="{00000000-0006-0000-0100-0000B0000000}">
      <text>
        <r>
          <rPr>
            <sz val="11"/>
            <color theme="1"/>
            <rFont val="Calibri"/>
            <family val="2"/>
            <scheme val="minor"/>
          </rPr>
          <t>======
ID#AAABDDKrRhA
Gavin Mudd    (2023-12-20 21:24:04)
only total resources are reported</t>
        </r>
      </text>
    </comment>
    <comment ref="AZ574" authorId="0" shapeId="0" xr:uid="{00000000-0006-0000-0100-000019000000}">
      <text>
        <r>
          <rPr>
            <sz val="11"/>
            <color theme="1"/>
            <rFont val="Calibri"/>
            <family val="2"/>
            <scheme val="minor"/>
          </rPr>
          <t>======
ID#AAABDDKrRyk
Gavin Mudd    (2023-12-20 21:24:04)
only total resources are reported</t>
        </r>
      </text>
    </comment>
    <comment ref="BG574" authorId="0" shapeId="0" xr:uid="{00000000-0006-0000-0100-000085000000}">
      <text>
        <r>
          <rPr>
            <sz val="11"/>
            <color theme="1"/>
            <rFont val="Calibri"/>
            <family val="2"/>
            <scheme val="minor"/>
          </rPr>
          <t>======
ID#AAABDDKrRm8
Gavin Mudd    (2023-12-20 21:24:04)
only total resources are reported</t>
        </r>
      </text>
    </comment>
    <comment ref="AY575" authorId="0" shapeId="0" xr:uid="{00000000-0006-0000-0100-00001E000000}">
      <text>
        <r>
          <rPr>
            <sz val="11"/>
            <color theme="1"/>
            <rFont val="Calibri"/>
            <family val="2"/>
            <scheme val="minor"/>
          </rPr>
          <t>======
ID#AAABDDKrRyI
Gavin Mudd    (2023-12-20 21:24:04)
historic resources (non-compliant with NI43-101) - hence all data allocated as inferred resources only</t>
        </r>
      </text>
    </comment>
    <comment ref="AZ575" authorId="0" shapeId="0" xr:uid="{00000000-0006-0000-0100-0000FA040000}">
      <text>
        <r>
          <rPr>
            <sz val="11"/>
            <color theme="1"/>
            <rFont val="Calibri"/>
            <family val="2"/>
            <scheme val="minor"/>
          </rPr>
          <t>======
ID#AAABDDKrPZE
Gavin Mudd    (2023-12-20 21:24:03)
historic resources (non-compliant with NI43-101) - hence all data allocated as inferred resources only</t>
        </r>
      </text>
    </comment>
    <comment ref="BG575" authorId="0" shapeId="0" xr:uid="{00000000-0006-0000-0100-000036010000}">
      <text>
        <r>
          <rPr>
            <sz val="11"/>
            <color theme="1"/>
            <rFont val="Calibri"/>
            <family val="2"/>
            <scheme val="minor"/>
          </rPr>
          <t>======
ID#AAABDDKrRP8
Gavin Mudd    (2023-12-20 21:24:04)
historic resources (non-compliant with NI43-101) - hence all data allocated as inferred resources only</t>
        </r>
      </text>
    </comment>
    <comment ref="BH575" authorId="0" shapeId="0" xr:uid="{00000000-0006-0000-0100-0000AC000000}">
      <text>
        <r>
          <rPr>
            <sz val="11"/>
            <color theme="1"/>
            <rFont val="Calibri"/>
            <family val="2"/>
            <scheme val="minor"/>
          </rPr>
          <t>======
ID#AAABDDKrRhU
Gavin Mudd    (2023-12-20 21:24:04)
historic resources (non-compliant with NI43-101) - hence all data allocated as inferred resources only</t>
        </r>
      </text>
    </comment>
    <comment ref="DN576" authorId="0" shapeId="0" xr:uid="{00000000-0006-0000-0100-000012010000}">
      <text>
        <r>
          <rPr>
            <sz val="11"/>
            <color theme="1"/>
            <rFont val="Calibri"/>
            <family val="2"/>
            <scheme val="minor"/>
          </rPr>
          <t>======
ID#AAABDDKrRUU
Gavin Mudd    (2023-12-20 21:24:04)
data from former owner Goldstake Explorations Inc.</t>
        </r>
      </text>
    </comment>
    <comment ref="AY578" authorId="0" shapeId="0" xr:uid="{00000000-0006-0000-0100-000056060000}">
      <text>
        <r>
          <rPr>
            <sz val="11"/>
            <color theme="1"/>
            <rFont val="Calibri"/>
            <family val="2"/>
            <scheme val="minor"/>
          </rPr>
          <t>======
ID#AAABCyJQh2U
Gavin Mudd    (2023-12-20 21:24:02)
historic resources (non-compliant with NI43-101) - hence all data allocated as inferred resources only</t>
        </r>
      </text>
    </comment>
    <comment ref="AY579" authorId="0" shapeId="0" xr:uid="{00000000-0006-0000-0100-00001D000000}">
      <text>
        <r>
          <rPr>
            <sz val="11"/>
            <color theme="1"/>
            <rFont val="Calibri"/>
            <family val="2"/>
            <scheme val="minor"/>
          </rPr>
          <t>======
ID#AAABDDKrRyM
Gavin Mudd    (2023-12-20 21:24:04)
historic resource, non-code compliant</t>
        </r>
      </text>
    </comment>
    <comment ref="AZ579" authorId="0" shapeId="0" xr:uid="{00000000-0006-0000-0100-00009D050000}">
      <text>
        <r>
          <rPr>
            <sz val="11"/>
            <color theme="1"/>
            <rFont val="Calibri"/>
            <family val="2"/>
            <scheme val="minor"/>
          </rPr>
          <t>======
ID#AAABDDKrPFo
Gavin Mudd    (2023-12-20 21:24:03)
historic resource, non-code compliant</t>
        </r>
      </text>
    </comment>
    <comment ref="BG579" authorId="0" shapeId="0" xr:uid="{00000000-0006-0000-0100-000040010000}">
      <text>
        <r>
          <rPr>
            <sz val="11"/>
            <color theme="1"/>
            <rFont val="Calibri"/>
            <family val="2"/>
            <scheme val="minor"/>
          </rPr>
          <t>======
ID#AAABDDKrRPI
Gavin Mudd    (2023-12-20 21:24:04)
historic resource, non-code compliant</t>
        </r>
      </text>
    </comment>
    <comment ref="BI579" authorId="0" shapeId="0" xr:uid="{00000000-0006-0000-0100-00004C000000}">
      <text>
        <r>
          <rPr>
            <sz val="11"/>
            <color theme="1"/>
            <rFont val="Calibri"/>
            <family val="2"/>
            <scheme val="minor"/>
          </rPr>
          <t>======
ID#AAABDDKrRt0
Gavin Mudd    (2023-12-20 21:24:04)
historic resource, non-code compliant</t>
        </r>
      </text>
    </comment>
    <comment ref="BJ579" authorId="0" shapeId="0" xr:uid="{00000000-0006-0000-0100-00007B010000}">
      <text>
        <r>
          <rPr>
            <sz val="11"/>
            <color theme="1"/>
            <rFont val="Calibri"/>
            <family val="2"/>
            <scheme val="minor"/>
          </rPr>
          <t>======
ID#AAABDDKrRIQ
Gavin Mudd    (2023-12-20 21:24:04)
historic resource, non-code compliant</t>
        </r>
      </text>
    </comment>
    <comment ref="AY580" authorId="0" shapeId="0" xr:uid="{00000000-0006-0000-0100-0000B0020000}">
      <text>
        <r>
          <rPr>
            <sz val="11"/>
            <color theme="1"/>
            <rFont val="Calibri"/>
            <family val="2"/>
            <scheme val="minor"/>
          </rPr>
          <t>======
ID#AAABDDKrQgg
Gavin Mudd    (2023-12-20 21:24:03)
historic resources (non-compliant with NI43-101) - hence all data allocated as inferred resources only</t>
        </r>
      </text>
    </comment>
    <comment ref="AZ580" authorId="0" shapeId="0" xr:uid="{00000000-0006-0000-0100-00003C050000}">
      <text>
        <r>
          <rPr>
            <sz val="11"/>
            <color theme="1"/>
            <rFont val="Calibri"/>
            <family val="2"/>
            <scheme val="minor"/>
          </rPr>
          <t>======
ID#AAABDDKrPRw
Gavin Mudd    (2023-12-20 21:24:03)
historic resources (non-compliant with NI43-101) - hence all data allocated as inferred resources only</t>
        </r>
      </text>
    </comment>
    <comment ref="BG580" authorId="0" shapeId="0" xr:uid="{00000000-0006-0000-0100-000056040000}">
      <text>
        <r>
          <rPr>
            <sz val="11"/>
            <color theme="1"/>
            <rFont val="Calibri"/>
            <family val="2"/>
            <scheme val="minor"/>
          </rPr>
          <t>======
ID#AAABDDKrPtQ
Gavin Mudd    (2023-12-20 21:24:03)
historic resources (non-compliant with NI43-101) - hence all data allocated as inferred resources only</t>
        </r>
      </text>
    </comment>
    <comment ref="I581" authorId="0" shapeId="0" xr:uid="{00000000-0006-0000-0100-000080060000}">
      <text>
        <r>
          <rPr>
            <sz val="11"/>
            <color theme="1"/>
            <rFont val="Calibri"/>
            <family val="2"/>
            <scheme val="minor"/>
          </rPr>
          <t>======
ID#AAABCyJQhvA
Gavin Mudd    (2023-12-20 21:24:01)
historic resources (non-compliant with NI43-101) - hence all data allocated as inferred resources only</t>
        </r>
      </text>
    </comment>
    <comment ref="AD581" authorId="0" shapeId="0" xr:uid="{00000000-0006-0000-0100-000046060000}">
      <text>
        <r>
          <rPr>
            <sz val="11"/>
            <color theme="1"/>
            <rFont val="Calibri"/>
            <family val="2"/>
            <scheme val="minor"/>
          </rPr>
          <t>======
ID#AAABCyJQh38
Gavin Mudd    (2023-12-20 21:24:02)
historic resources (non-compliant with NI43-101) - hence all data allocated as inferred resources only</t>
        </r>
      </text>
    </comment>
    <comment ref="AY581" authorId="0" shapeId="0" xr:uid="{00000000-0006-0000-0100-0000AA020000}">
      <text>
        <r>
          <rPr>
            <sz val="11"/>
            <color theme="1"/>
            <rFont val="Calibri"/>
            <family val="2"/>
            <scheme val="minor"/>
          </rPr>
          <t>======
ID#AAABDDKrQg8
Gavin Mudd    (2023-12-20 21:24:04)
historic resources (non-compliant with NI43-101) - hence all data allocated as inferred resources only</t>
        </r>
      </text>
    </comment>
    <comment ref="AZ581" authorId="0" shapeId="0" xr:uid="{00000000-0006-0000-0100-0000B0050000}">
      <text>
        <r>
          <rPr>
            <sz val="11"/>
            <color theme="1"/>
            <rFont val="Calibri"/>
            <family val="2"/>
            <scheme val="minor"/>
          </rPr>
          <t>======
ID#AAABDDKrPDo
Gavin Mudd    (2023-12-20 21:24:03)
historic resources (non-compliant with NI43-101) - hence all data allocated as inferred resources only</t>
        </r>
      </text>
    </comment>
    <comment ref="BG581" authorId="0" shapeId="0" xr:uid="{00000000-0006-0000-0100-0000C5050000}">
      <text>
        <r>
          <rPr>
            <sz val="11"/>
            <color theme="1"/>
            <rFont val="Calibri"/>
            <family val="2"/>
            <scheme val="minor"/>
          </rPr>
          <t>======
ID#AAABDDKrPAc
Gavin Mudd    (2023-12-20 21:24:03)
historic resources (non-compliant with NI43-101) - hence all data allocated as inferred resources only</t>
        </r>
      </text>
    </comment>
    <comment ref="AY582" authorId="0" shapeId="0" xr:uid="{00000000-0006-0000-0100-00006C040000}">
      <text>
        <r>
          <rPr>
            <sz val="11"/>
            <color theme="1"/>
            <rFont val="Calibri"/>
            <family val="2"/>
            <scheme val="minor"/>
          </rPr>
          <t>======
ID#AAABDDKrPqY
Gavin Mudd    (2023-12-20 21:24:03)
best estimate</t>
        </r>
      </text>
    </comment>
    <comment ref="AZ582" authorId="0" shapeId="0" xr:uid="{00000000-0006-0000-0100-0000AA040000}">
      <text>
        <r>
          <rPr>
            <sz val="11"/>
            <color theme="1"/>
            <rFont val="Calibri"/>
            <family val="2"/>
            <scheme val="minor"/>
          </rPr>
          <t>======
ID#AAABDDKrPiY
Gavin Mudd    (2023-12-20 21:24:03)
value from Porter (2016)</t>
        </r>
      </text>
    </comment>
    <comment ref="BA582" authorId="0" shapeId="0" xr:uid="{00000000-0006-0000-0100-0000D6040000}">
      <text>
        <r>
          <rPr>
            <sz val="11"/>
            <color theme="1"/>
            <rFont val="Calibri"/>
            <family val="2"/>
            <scheme val="minor"/>
          </rPr>
          <t>======
ID#AAABDDKrPdw
Gavin Mudd    (2023-12-20 21:24:03)
value from Porter (2016)</t>
        </r>
      </text>
    </comment>
    <comment ref="BG582" authorId="0" shapeId="0" xr:uid="{00000000-0006-0000-0100-000036050000}">
      <text>
        <r>
          <rPr>
            <sz val="11"/>
            <color theme="1"/>
            <rFont val="Calibri"/>
            <family val="2"/>
            <scheme val="minor"/>
          </rPr>
          <t>======
ID#AAABDDKrPSI
Gavin Mudd    (2023-12-20 21:24:03)
best estimate</t>
        </r>
      </text>
    </comment>
    <comment ref="BH582" authorId="0" shapeId="0" xr:uid="{00000000-0006-0000-0100-00001B030000}">
      <text>
        <r>
          <rPr>
            <sz val="11"/>
            <color theme="1"/>
            <rFont val="Calibri"/>
            <family val="2"/>
            <scheme val="minor"/>
          </rPr>
          <t>======
ID#AAABDDKrQR8
Gavin Mudd    (2023-12-20 21:24:03)
value from Porter (2016)</t>
        </r>
      </text>
    </comment>
    <comment ref="BI582" authorId="0" shapeId="0" xr:uid="{00000000-0006-0000-0100-0000AB020000}">
      <text>
        <r>
          <rPr>
            <sz val="11"/>
            <color theme="1"/>
            <rFont val="Calibri"/>
            <family val="2"/>
            <scheme val="minor"/>
          </rPr>
          <t>======
ID#AAABDDKrQgw
Gavin Mudd    (2023-12-20 21:24:03)
value from Porter (2016)</t>
        </r>
      </text>
    </comment>
    <comment ref="BJ582" authorId="0" shapeId="0" xr:uid="{00000000-0006-0000-0100-000082020000}">
      <text>
        <r>
          <rPr>
            <sz val="11"/>
            <color theme="1"/>
            <rFont val="Calibri"/>
            <family val="2"/>
            <scheme val="minor"/>
          </rPr>
          <t>======
ID#AAABDDKrQmc
Gavin Mudd    (2023-12-20 21:24:04)
value from Porter (2016)</t>
        </r>
      </text>
    </comment>
    <comment ref="BK582" authorId="0" shapeId="0" xr:uid="{00000000-0006-0000-0100-000058010000}">
      <text>
        <r>
          <rPr>
            <sz val="11"/>
            <color theme="1"/>
            <rFont val="Calibri"/>
            <family val="2"/>
            <scheme val="minor"/>
          </rPr>
          <t>======
ID#AAABDDKrRMc
Gavin Mudd    (2023-12-20 21:24:04)
value from Porter (2016)</t>
        </r>
      </text>
    </comment>
    <comment ref="I583" authorId="0" shapeId="0" xr:uid="{00000000-0006-0000-0100-0000F7010000}">
      <text>
        <r>
          <rPr>
            <sz val="11"/>
            <color theme="1"/>
            <rFont val="Calibri"/>
            <family val="2"/>
            <scheme val="minor"/>
          </rPr>
          <t>======
ID#AAABDDKrQ5Q
Gavin Mudd    (2023-12-20 21:24:04)
only total resources are reported</t>
        </r>
      </text>
    </comment>
    <comment ref="AD583" authorId="0" shapeId="0" xr:uid="{00000000-0006-0000-0100-00005B000000}">
      <text>
        <r>
          <rPr>
            <sz val="11"/>
            <color theme="1"/>
            <rFont val="Calibri"/>
            <family val="2"/>
            <scheme val="minor"/>
          </rPr>
          <t>======
ID#AAABDDKrRsI
Gavin Mudd    (2023-12-20 21:24:04)
only total resources are reported</t>
        </r>
      </text>
    </comment>
    <comment ref="AY583" authorId="0" shapeId="0" xr:uid="{00000000-0006-0000-0100-0000D3050000}">
      <text>
        <r>
          <rPr>
            <sz val="11"/>
            <color theme="1"/>
            <rFont val="Calibri"/>
            <family val="2"/>
            <scheme val="minor"/>
          </rPr>
          <t>======
ID#AAABDDKrO_E
Gavin Mudd    (2023-12-20 21:24:03)
only total resources are reported</t>
        </r>
      </text>
    </comment>
    <comment ref="AZ583" authorId="0" shapeId="0" xr:uid="{00000000-0006-0000-0100-0000F1000000}">
      <text>
        <r>
          <rPr>
            <sz val="11"/>
            <color theme="1"/>
            <rFont val="Calibri"/>
            <family val="2"/>
            <scheme val="minor"/>
          </rPr>
          <t>======
ID#AAABDDKrRY8
Gavin Mudd    (2023-12-20 21:24:04)
only total resources are reported</t>
        </r>
      </text>
    </comment>
    <comment ref="BG583" authorId="0" shapeId="0" xr:uid="{00000000-0006-0000-0100-00003A020000}">
      <text>
        <r>
          <rPr>
            <sz val="11"/>
            <color theme="1"/>
            <rFont val="Calibri"/>
            <family val="2"/>
            <scheme val="minor"/>
          </rPr>
          <t>======
ID#AAABDDKrQwU
Gavin Mudd    (2023-12-20 21:24:04)
only total resources are reported</t>
        </r>
      </text>
    </comment>
    <comment ref="I584" authorId="0" shapeId="0" xr:uid="{00000000-0006-0000-0100-0000C1040000}">
      <text>
        <r>
          <rPr>
            <sz val="11"/>
            <color theme="1"/>
            <rFont val="Calibri"/>
            <family val="2"/>
            <scheme val="minor"/>
          </rPr>
          <t>======
ID#AAABDDKrPgE
Gavin Mudd    (2023-12-20 21:24:03)
only total resources are reported</t>
        </r>
      </text>
    </comment>
    <comment ref="AD584" authorId="0" shapeId="0" xr:uid="{00000000-0006-0000-0100-0000D5030000}">
      <text>
        <r>
          <rPr>
            <sz val="11"/>
            <color theme="1"/>
            <rFont val="Calibri"/>
            <family val="2"/>
            <scheme val="minor"/>
          </rPr>
          <t>======
ID#AAABDDKrP8I
Gavin Mudd    (2023-12-20 21:24:03)
only total resources are reported</t>
        </r>
      </text>
    </comment>
    <comment ref="AY584" authorId="0" shapeId="0" xr:uid="{00000000-0006-0000-0100-000064010000}">
      <text>
        <r>
          <rPr>
            <sz val="11"/>
            <color theme="1"/>
            <rFont val="Calibri"/>
            <family val="2"/>
            <scheme val="minor"/>
          </rPr>
          <t>======
ID#AAABDDKrRLE
Gavin Mudd    (2023-12-20 21:24:04)
only total resources are reported</t>
        </r>
      </text>
    </comment>
    <comment ref="AZ584" authorId="0" shapeId="0" xr:uid="{00000000-0006-0000-0100-00009F010000}">
      <text>
        <r>
          <rPr>
            <sz val="11"/>
            <color theme="1"/>
            <rFont val="Calibri"/>
            <family val="2"/>
            <scheme val="minor"/>
          </rPr>
          <t>======
ID#AAABDDKrREE
Gavin Mudd    (2023-12-20 21:24:04)
only total resources are reported</t>
        </r>
      </text>
    </comment>
    <comment ref="BG584" authorId="0" shapeId="0" xr:uid="{00000000-0006-0000-0100-000032030000}">
      <text>
        <r>
          <rPr>
            <sz val="11"/>
            <color theme="1"/>
            <rFont val="Calibri"/>
            <family val="2"/>
            <scheme val="minor"/>
          </rPr>
          <t>======
ID#AAABDDKrQOw
Gavin Mudd    (2023-12-20 21:24:03)
only total resources are reported</t>
        </r>
      </text>
    </comment>
    <comment ref="I585" authorId="0" shapeId="0" xr:uid="{00000000-0006-0000-0100-000028020000}">
      <text>
        <r>
          <rPr>
            <sz val="11"/>
            <color theme="1"/>
            <rFont val="Calibri"/>
            <family val="2"/>
            <scheme val="minor"/>
          </rPr>
          <t>======
ID#AAABDDKrQzE
Gavin Mudd    (2023-12-20 21:24:04)
only total resources are reported</t>
        </r>
      </text>
    </comment>
    <comment ref="AD585" authorId="0" shapeId="0" xr:uid="{00000000-0006-0000-0100-00003B020000}">
      <text>
        <r>
          <rPr>
            <sz val="11"/>
            <color theme="1"/>
            <rFont val="Calibri"/>
            <family val="2"/>
            <scheme val="minor"/>
          </rPr>
          <t>======
ID#AAABDDKrQv8
Gavin Mudd    (2023-12-20 21:24:04)
only total resources are reported</t>
        </r>
      </text>
    </comment>
    <comment ref="AY585" authorId="0" shapeId="0" xr:uid="{00000000-0006-0000-0100-000055010000}">
      <text>
        <r>
          <rPr>
            <sz val="11"/>
            <color theme="1"/>
            <rFont val="Calibri"/>
            <family val="2"/>
            <scheme val="minor"/>
          </rPr>
          <t>======
ID#AAABDDKrRMw
Gavin Mudd    (2023-12-20 21:24:04)
only total resources are reported</t>
        </r>
      </text>
    </comment>
    <comment ref="AZ585" authorId="0" shapeId="0" xr:uid="{00000000-0006-0000-0100-000000030000}">
      <text>
        <r>
          <rPr>
            <sz val="11"/>
            <color theme="1"/>
            <rFont val="Calibri"/>
            <family val="2"/>
            <scheme val="minor"/>
          </rPr>
          <t>======
ID#AAABDDKrQVU
Gavin Mudd    (2023-12-20 21:24:03)
only total resources are reported</t>
        </r>
      </text>
    </comment>
    <comment ref="BG585" authorId="0" shapeId="0" xr:uid="{00000000-0006-0000-0100-00007B060000}">
      <text>
        <r>
          <rPr>
            <sz val="11"/>
            <color theme="1"/>
            <rFont val="Calibri"/>
            <family val="2"/>
            <scheme val="minor"/>
          </rPr>
          <t>======
ID#AAABCyJQhvo
Gavin Mudd    (2023-12-20 21:24:01)
only total resources are reported</t>
        </r>
      </text>
    </comment>
    <comment ref="I586" authorId="0" shapeId="0" xr:uid="{00000000-0006-0000-0100-000055060000}">
      <text>
        <r>
          <rPr>
            <sz val="11"/>
            <color theme="1"/>
            <rFont val="Calibri"/>
            <family val="2"/>
            <scheme val="minor"/>
          </rPr>
          <t>======
ID#AAABCyJQh2Y
Gavin Mudd    (2023-12-20 21:24:02)
only total resources are reported</t>
        </r>
      </text>
    </comment>
    <comment ref="AD586" authorId="0" shapeId="0" xr:uid="{00000000-0006-0000-0100-000006060000}">
      <text>
        <r>
          <rPr>
            <sz val="11"/>
            <color theme="1"/>
            <rFont val="Calibri"/>
            <family val="2"/>
            <scheme val="minor"/>
          </rPr>
          <t>======
ID#AAABCyJQiAY
Gavin Mudd    (2023-12-20 21:24:02)
only total resources are reported</t>
        </r>
      </text>
    </comment>
    <comment ref="AY586" authorId="0" shapeId="0" xr:uid="{00000000-0006-0000-0100-0000F7030000}">
      <text>
        <r>
          <rPr>
            <sz val="11"/>
            <color theme="1"/>
            <rFont val="Calibri"/>
            <family val="2"/>
            <scheme val="minor"/>
          </rPr>
          <t>======
ID#AAABDDKrP5M
Gavin Mudd    (2023-12-20 21:24:03)
only total resources are reported</t>
        </r>
      </text>
    </comment>
    <comment ref="AZ586" authorId="0" shapeId="0" xr:uid="{00000000-0006-0000-0100-0000E2030000}">
      <text>
        <r>
          <rPr>
            <sz val="11"/>
            <color theme="1"/>
            <rFont val="Calibri"/>
            <family val="2"/>
            <scheme val="minor"/>
          </rPr>
          <t>======
ID#AAABDDKrP7E
Gavin Mudd    (2023-12-20 21:24:03)
only total resources are reported</t>
        </r>
      </text>
    </comment>
    <comment ref="BG586" authorId="0" shapeId="0" xr:uid="{00000000-0006-0000-0100-00007C060000}">
      <text>
        <r>
          <rPr>
            <sz val="11"/>
            <color theme="1"/>
            <rFont val="Calibri"/>
            <family val="2"/>
            <scheme val="minor"/>
          </rPr>
          <t>======
ID#AAABCyJQhvc
Gavin Mudd    (2023-12-20 21:24:01)
only total resources are reported</t>
        </r>
      </text>
    </comment>
    <comment ref="I587" authorId="0" shapeId="0" xr:uid="{00000000-0006-0000-0100-000041020000}">
      <text>
        <r>
          <rPr>
            <sz val="11"/>
            <color theme="1"/>
            <rFont val="Calibri"/>
            <family val="2"/>
            <scheme val="minor"/>
          </rPr>
          <t>======
ID#AAABDDKrQvY
Gavin Mudd    (2023-12-20 21:24:04)
only total resources are reported</t>
        </r>
      </text>
    </comment>
    <comment ref="AD587" authorId="0" shapeId="0" xr:uid="{00000000-0006-0000-0100-0000C8040000}">
      <text>
        <r>
          <rPr>
            <sz val="11"/>
            <color theme="1"/>
            <rFont val="Calibri"/>
            <family val="2"/>
            <scheme val="minor"/>
          </rPr>
          <t>======
ID#AAABDDKrPfU
Gavin Mudd    (2023-12-20 21:24:03)
only total resources are reported</t>
        </r>
      </text>
    </comment>
    <comment ref="AY587" authorId="0" shapeId="0" xr:uid="{00000000-0006-0000-0100-0000DE030000}">
      <text>
        <r>
          <rPr>
            <sz val="11"/>
            <color theme="1"/>
            <rFont val="Calibri"/>
            <family val="2"/>
            <scheme val="minor"/>
          </rPr>
          <t>======
ID#AAABDDKrP7U
Gavin Mudd    (2023-12-20 21:24:03)
only total resources are reported</t>
        </r>
      </text>
    </comment>
    <comment ref="AZ587" authorId="0" shapeId="0" xr:uid="{00000000-0006-0000-0100-000058040000}">
      <text>
        <r>
          <rPr>
            <sz val="11"/>
            <color theme="1"/>
            <rFont val="Calibri"/>
            <family val="2"/>
            <scheme val="minor"/>
          </rPr>
          <t>======
ID#AAABDDKrPtI
Gavin Mudd    (2023-12-20 21:24:03)
only total resources are reported</t>
        </r>
      </text>
    </comment>
    <comment ref="BG587" authorId="0" shapeId="0" xr:uid="{00000000-0006-0000-0100-00008B060000}">
      <text>
        <r>
          <rPr>
            <sz val="11"/>
            <color theme="1"/>
            <rFont val="Calibri"/>
            <family val="2"/>
            <scheme val="minor"/>
          </rPr>
          <t>======
ID#AAABCyJQhtc
Gavin Mudd    (2023-12-20 21:24:01)
only total resources are reported</t>
        </r>
      </text>
    </comment>
    <comment ref="I588" authorId="0" shapeId="0" xr:uid="{00000000-0006-0000-0100-00006E040000}">
      <text>
        <r>
          <rPr>
            <sz val="11"/>
            <color theme="1"/>
            <rFont val="Calibri"/>
            <family val="2"/>
            <scheme val="minor"/>
          </rPr>
          <t>======
ID#AAABDDKrPqI
Gavin Mudd    (2023-12-20 21:24:03)
only total resources are reported</t>
        </r>
      </text>
    </comment>
    <comment ref="AD588" authorId="0" shapeId="0" xr:uid="{00000000-0006-0000-0100-000058020000}">
      <text>
        <r>
          <rPr>
            <sz val="11"/>
            <color theme="1"/>
            <rFont val="Calibri"/>
            <family val="2"/>
            <scheme val="minor"/>
          </rPr>
          <t>======
ID#AAABDDKrQsg
Gavin Mudd    (2023-12-20 21:24:04)
only total resources are reported</t>
        </r>
      </text>
    </comment>
    <comment ref="AY588" authorId="0" shapeId="0" xr:uid="{00000000-0006-0000-0100-000004010000}">
      <text>
        <r>
          <rPr>
            <sz val="11"/>
            <color theme="1"/>
            <rFont val="Calibri"/>
            <family val="2"/>
            <scheme val="minor"/>
          </rPr>
          <t>======
ID#AAABDDKrRWc
Gavin Mudd    (2023-12-20 21:24:04)
only total resources are reported</t>
        </r>
      </text>
    </comment>
    <comment ref="AZ588" authorId="0" shapeId="0" xr:uid="{00000000-0006-0000-0100-00000A020000}">
      <text>
        <r>
          <rPr>
            <sz val="11"/>
            <color theme="1"/>
            <rFont val="Calibri"/>
            <family val="2"/>
            <scheme val="minor"/>
          </rPr>
          <t>======
ID#AAABDDKrQ28
Gavin Mudd    (2023-12-20 21:24:04)
only total resources are reported</t>
        </r>
      </text>
    </comment>
    <comment ref="BG588" authorId="0" shapeId="0" xr:uid="{00000000-0006-0000-0100-00006A060000}">
      <text>
        <r>
          <rPr>
            <sz val="11"/>
            <color theme="1"/>
            <rFont val="Calibri"/>
            <family val="2"/>
            <scheme val="minor"/>
          </rPr>
          <t>======
ID#AAABCyJQhyo
Gavin Mudd    (2023-12-20 21:24:02)
only total resources are reported</t>
        </r>
      </text>
    </comment>
    <comment ref="I589" authorId="0" shapeId="0" xr:uid="{00000000-0006-0000-0100-00001F020000}">
      <text>
        <r>
          <rPr>
            <sz val="11"/>
            <color theme="1"/>
            <rFont val="Calibri"/>
            <family val="2"/>
            <scheme val="minor"/>
          </rPr>
          <t>======
ID#AAABDDKrQzw
Gavin Mudd    (2023-12-20 21:24:04)
only total resources are reported</t>
        </r>
      </text>
    </comment>
    <comment ref="AD589" authorId="0" shapeId="0" xr:uid="{00000000-0006-0000-0100-0000B8040000}">
      <text>
        <r>
          <rPr>
            <sz val="11"/>
            <color theme="1"/>
            <rFont val="Calibri"/>
            <family val="2"/>
            <scheme val="minor"/>
          </rPr>
          <t>======
ID#AAABDDKrPg8
Gavin Mudd    (2023-12-20 21:24:03)
only total resources are reported</t>
        </r>
      </text>
    </comment>
    <comment ref="AY589" authorId="0" shapeId="0" xr:uid="{00000000-0006-0000-0100-00006B040000}">
      <text>
        <r>
          <rPr>
            <sz val="11"/>
            <color theme="1"/>
            <rFont val="Calibri"/>
            <family val="2"/>
            <scheme val="minor"/>
          </rPr>
          <t>======
ID#AAABDDKrPqU
Gavin Mudd    (2023-12-20 21:24:03)
only total resources are reported</t>
        </r>
      </text>
    </comment>
    <comment ref="AZ589" authorId="0" shapeId="0" xr:uid="{00000000-0006-0000-0100-000032000000}">
      <text>
        <r>
          <rPr>
            <sz val="11"/>
            <color theme="1"/>
            <rFont val="Calibri"/>
            <family val="2"/>
            <scheme val="minor"/>
          </rPr>
          <t>======
ID#AAABDDKrRwI
Gavin Mudd    (2023-12-20 21:24:04)
only total resources are reported</t>
        </r>
      </text>
    </comment>
    <comment ref="BG589" authorId="0" shapeId="0" xr:uid="{00000000-0006-0000-0100-000070000000}">
      <text>
        <r>
          <rPr>
            <sz val="11"/>
            <color theme="1"/>
            <rFont val="Calibri"/>
            <family val="2"/>
            <scheme val="minor"/>
          </rPr>
          <t>======
ID#AAABDDKrRp8
Gavin Mudd    (2023-12-20 21:24:04)
only total resources are reported</t>
        </r>
      </text>
    </comment>
    <comment ref="AY590" authorId="0" shapeId="0" xr:uid="{00000000-0006-0000-0100-000071040000}">
      <text>
        <r>
          <rPr>
            <sz val="11"/>
            <color theme="1"/>
            <rFont val="Calibri"/>
            <family val="2"/>
            <scheme val="minor"/>
          </rPr>
          <t>======
ID#AAABDDKrPpw
Gavin Mudd    (2023-12-20 21:24:03)
historic resources (non-compliant with NI43-101) - hence all data allocated as inferred resources only</t>
        </r>
      </text>
    </comment>
    <comment ref="AZ590" authorId="0" shapeId="0" xr:uid="{00000000-0006-0000-0100-0000F9000000}">
      <text>
        <r>
          <rPr>
            <sz val="11"/>
            <color theme="1"/>
            <rFont val="Calibri"/>
            <family val="2"/>
            <scheme val="minor"/>
          </rPr>
          <t>======
ID#AAABDDKrRYE
Gavin Mudd    (2023-12-20 21:24:04)
historic resources (non-compliant with NI43-101) - hence all data allocated as inferred resources only</t>
        </r>
      </text>
    </comment>
    <comment ref="BG590" authorId="0" shapeId="0" xr:uid="{00000000-0006-0000-0100-0000EE030000}">
      <text>
        <r>
          <rPr>
            <sz val="11"/>
            <color theme="1"/>
            <rFont val="Calibri"/>
            <family val="2"/>
            <scheme val="minor"/>
          </rPr>
          <t>======
ID#AAABDDKrP6A
Gavin Mudd    (2023-12-20 21:24:03)
historic resources (non-compliant with NI43-101) - hence all data allocated as inferred resources only</t>
        </r>
      </text>
    </comment>
    <comment ref="AY591" authorId="0" shapeId="0" xr:uid="{00000000-0006-0000-0100-000024030000}">
      <text>
        <r>
          <rPr>
            <sz val="11"/>
            <color theme="1"/>
            <rFont val="Calibri"/>
            <family val="2"/>
            <scheme val="minor"/>
          </rPr>
          <t>======
ID#AAABDDKrQQg
Gavin Mudd    (2023-12-20 21:24:03)
historic resources (non-compliant with NI43-101) - hence all data allocated as inferred resources only</t>
        </r>
      </text>
    </comment>
    <comment ref="AZ591" authorId="0" shapeId="0" xr:uid="{00000000-0006-0000-0100-0000B6040000}">
      <text>
        <r>
          <rPr>
            <sz val="11"/>
            <color theme="1"/>
            <rFont val="Calibri"/>
            <family val="2"/>
            <scheme val="minor"/>
          </rPr>
          <t>======
ID#AAABDDKrPhI
Gavin Mudd    (2023-12-20 21:24:03)
historic resources (non-compliant with NI43-101) - hence all data allocated as inferred resources only</t>
        </r>
      </text>
    </comment>
    <comment ref="BG591" authorId="0" shapeId="0" xr:uid="{00000000-0006-0000-0100-000069010000}">
      <text>
        <r>
          <rPr>
            <sz val="11"/>
            <color theme="1"/>
            <rFont val="Calibri"/>
            <family val="2"/>
            <scheme val="minor"/>
          </rPr>
          <t>======
ID#AAABDDKrRKY
Gavin Mudd    (2023-12-20 21:24:04)
historic resources (non-compliant with NI43-101) - hence all data allocated as inferred resources only</t>
        </r>
      </text>
    </comment>
    <comment ref="AY592" authorId="0" shapeId="0" xr:uid="{00000000-0006-0000-0100-000037040000}">
      <text>
        <r>
          <rPr>
            <sz val="11"/>
            <color theme="1"/>
            <rFont val="Calibri"/>
            <family val="2"/>
            <scheme val="minor"/>
          </rPr>
          <t>======
ID#AAABDDKrPxY
Gavin Mudd    (2023-12-20 21:24:03)
historic resources (non-compliant with NI43-101) - hence all data allocated as inferred resources only</t>
        </r>
      </text>
    </comment>
    <comment ref="AZ592" authorId="0" shapeId="0" xr:uid="{00000000-0006-0000-0100-0000A4030000}">
      <text>
        <r>
          <rPr>
            <sz val="11"/>
            <color theme="1"/>
            <rFont val="Calibri"/>
            <family val="2"/>
            <scheme val="minor"/>
          </rPr>
          <t>======
ID#AAABDDKrQC4
Gavin Mudd    (2023-12-20 21:24:03)
historic resources (non-compliant with NI43-101) - hence all data allocated as inferred resources only</t>
        </r>
      </text>
    </comment>
    <comment ref="BG592" authorId="0" shapeId="0" xr:uid="{00000000-0006-0000-0100-0000AF040000}">
      <text>
        <r>
          <rPr>
            <sz val="11"/>
            <color theme="1"/>
            <rFont val="Calibri"/>
            <family val="2"/>
            <scheme val="minor"/>
          </rPr>
          <t>======
ID#AAABDDKrPh8
Gavin Mudd    (2023-12-20 21:24:03)
historic resources (non-compliant with NI43-101) - hence all data allocated as inferred resources only</t>
        </r>
      </text>
    </comment>
    <comment ref="AY593" authorId="0" shapeId="0" xr:uid="{00000000-0006-0000-0100-00004D020000}">
      <text>
        <r>
          <rPr>
            <sz val="11"/>
            <color theme="1"/>
            <rFont val="Calibri"/>
            <family val="2"/>
            <scheme val="minor"/>
          </rPr>
          <t>======
ID#AAABDDKrQt8
Gavin Mudd    (2023-12-20 21:24:04)
historic resources (non-compliant with NI43-101) - hence all data allocated as inferred resources only</t>
        </r>
      </text>
    </comment>
    <comment ref="AZ593" authorId="0" shapeId="0" xr:uid="{00000000-0006-0000-0100-00006B010000}">
      <text>
        <r>
          <rPr>
            <sz val="11"/>
            <color theme="1"/>
            <rFont val="Calibri"/>
            <family val="2"/>
            <scheme val="minor"/>
          </rPr>
          <t>======
ID#AAABDDKrRKE
Gavin Mudd    (2023-12-20 21:24:04)
historic resources (non-compliant with NI43-101) - hence all data allocated as inferred resources only</t>
        </r>
      </text>
    </comment>
    <comment ref="BG593" authorId="0" shapeId="0" xr:uid="{00000000-0006-0000-0100-000050050000}">
      <text>
        <r>
          <rPr>
            <sz val="11"/>
            <color theme="1"/>
            <rFont val="Calibri"/>
            <family val="2"/>
            <scheme val="minor"/>
          </rPr>
          <t>======
ID#AAABDDKrPO4
Gavin Mudd    (2023-12-20 21:24:03)
historic resources (non-compliant with NI43-101) - hence all data allocated as inferred resources only</t>
        </r>
      </text>
    </comment>
    <comment ref="BH593" authorId="0" shapeId="0" xr:uid="{00000000-0006-0000-0100-0000AD000000}">
      <text>
        <r>
          <rPr>
            <sz val="11"/>
            <color theme="1"/>
            <rFont val="Calibri"/>
            <family val="2"/>
            <scheme val="minor"/>
          </rPr>
          <t>======
ID#AAABDDKrRhQ
Gavin Mudd    (2023-12-20 21:24:04)
historic resources (non-compliant with NI43-101) - hence all data allocated as inferred resources only</t>
        </r>
      </text>
    </comment>
    <comment ref="AY594" authorId="0" shapeId="0" xr:uid="{00000000-0006-0000-0100-000066000000}">
      <text>
        <r>
          <rPr>
            <sz val="11"/>
            <color theme="1"/>
            <rFont val="Calibri"/>
            <family val="2"/>
            <scheme val="minor"/>
          </rPr>
          <t>======
ID#AAABDDKrRrA
Gavin Mudd    (2023-12-20 21:24:04)
historic resources (non-compliant with NI43-101) - hence all data allocated as inferred resources only</t>
        </r>
      </text>
    </comment>
    <comment ref="AZ594" authorId="0" shapeId="0" xr:uid="{00000000-0006-0000-0100-0000B1040000}">
      <text>
        <r>
          <rPr>
            <sz val="11"/>
            <color theme="1"/>
            <rFont val="Calibri"/>
            <family val="2"/>
            <scheme val="minor"/>
          </rPr>
          <t>======
ID#AAABDDKrPhw
Gavin Mudd    (2023-12-20 21:24:03)
historic resources (non-compliant with NI43-101) - hence all data allocated as inferred resources only</t>
        </r>
      </text>
    </comment>
    <comment ref="BG594" authorId="0" shapeId="0" xr:uid="{00000000-0006-0000-0100-000011000000}">
      <text>
        <r>
          <rPr>
            <sz val="11"/>
            <color theme="1"/>
            <rFont val="Calibri"/>
            <family val="2"/>
            <scheme val="minor"/>
          </rPr>
          <t>======
ID#AAABDDKrRz0
Gavin Mudd    (2023-12-20 21:24:04)
historic resources (non-compliant with NI43-101) - hence all data allocated as inferred resources only</t>
        </r>
      </text>
    </comment>
    <comment ref="F595" authorId="0" shapeId="0" xr:uid="{00000000-0006-0000-0100-000057040000}">
      <text>
        <r>
          <rPr>
            <sz val="11"/>
            <color theme="1"/>
            <rFont val="Calibri"/>
            <family val="2"/>
            <scheme val="minor"/>
          </rPr>
          <t>======
ID#AAABDDKrPtM
Gavin Mudd    (2023-12-20 21:24:03)
Bluejay Minnig Plc was formerly known as FinnAust Mining Plc, which in turn was ~79% owned by Western Areas Ltd</t>
        </r>
      </text>
    </comment>
    <comment ref="AY595" authorId="0" shapeId="0" xr:uid="{00000000-0006-0000-0100-0000B3050000}">
      <text>
        <r>
          <rPr>
            <sz val="11"/>
            <color theme="1"/>
            <rFont val="Calibri"/>
            <family val="2"/>
            <scheme val="minor"/>
          </rPr>
          <t>======
ID#AAABDDKrPDY
Gavin Mudd    (2023-12-20 21:24:03)
historic resources (non-compliant with NI43-101) - hence all data allocated as inferred resources only</t>
        </r>
      </text>
    </comment>
    <comment ref="AZ595" authorId="0" shapeId="0" xr:uid="{00000000-0006-0000-0100-0000A8020000}">
      <text>
        <r>
          <rPr>
            <sz val="11"/>
            <color theme="1"/>
            <rFont val="Calibri"/>
            <family val="2"/>
            <scheme val="minor"/>
          </rPr>
          <t>======
ID#AAABDDKrQhM
Gavin Mudd    (2023-12-20 21:24:04)
historic resources (non-compliant with NI43-101) - hence all data allocated as inferred resources only</t>
        </r>
      </text>
    </comment>
    <comment ref="BG595" authorId="0" shapeId="0" xr:uid="{00000000-0006-0000-0100-000076020000}">
      <text>
        <r>
          <rPr>
            <sz val="11"/>
            <color theme="1"/>
            <rFont val="Calibri"/>
            <family val="2"/>
            <scheme val="minor"/>
          </rPr>
          <t>======
ID#AAABDDKrQow
Gavin Mudd    (2023-12-20 21:24:04)
historic resources (non-compliant with NI43-101) - hence all data allocated as inferred resources only</t>
        </r>
      </text>
    </comment>
    <comment ref="BH595" authorId="0" shapeId="0" xr:uid="{00000000-0006-0000-0100-000081020000}">
      <text>
        <r>
          <rPr>
            <sz val="11"/>
            <color theme="1"/>
            <rFont val="Calibri"/>
            <family val="2"/>
            <scheme val="minor"/>
          </rPr>
          <t>======
ID#AAABDDKrQm4
Gavin Mudd    (2023-12-20 21:24:04)
historic resources (non-compliant with NI43-101) - hence all data allocated as inferred resources only</t>
        </r>
      </text>
    </comment>
    <comment ref="DN595" authorId="0" shapeId="0" xr:uid="{00000000-0006-0000-0100-000070060000}">
      <text>
        <r>
          <rPr>
            <sz val="11"/>
            <color theme="1"/>
            <rFont val="Calibri"/>
            <family val="2"/>
            <scheme val="minor"/>
          </rPr>
          <t>======
ID#AAABCyJQhx0
Gavin Mudd    (2023-12-20 21:24:02)
data from Western Areas</t>
        </r>
      </text>
    </comment>
    <comment ref="AY596" authorId="0" shapeId="0" xr:uid="{00000000-0006-0000-0100-000053060000}">
      <text>
        <r>
          <rPr>
            <sz val="11"/>
            <color theme="1"/>
            <rFont val="Calibri"/>
            <family val="2"/>
            <scheme val="minor"/>
          </rPr>
          <t>======
ID#AAABCyJQh2g
Gavin Mudd    (2023-12-20 21:24:02)
historic resources (non-compliant with NI43-101) - hence all data allocated as inferred resources only</t>
        </r>
      </text>
    </comment>
    <comment ref="AZ596" authorId="0" shapeId="0" xr:uid="{00000000-0006-0000-0100-00001B000000}">
      <text>
        <r>
          <rPr>
            <sz val="11"/>
            <color theme="1"/>
            <rFont val="Calibri"/>
            <family val="2"/>
            <scheme val="minor"/>
          </rPr>
          <t>======
ID#AAABDDKrRyU
Gavin Mudd    (2023-12-20 21:24:04)
historic resources (non-compliant with NI43-101) - hence all data allocated as inferred resources only</t>
        </r>
      </text>
    </comment>
    <comment ref="BG596" authorId="0" shapeId="0" xr:uid="{00000000-0006-0000-0100-0000C2020000}">
      <text>
        <r>
          <rPr>
            <sz val="11"/>
            <color theme="1"/>
            <rFont val="Calibri"/>
            <family val="2"/>
            <scheme val="minor"/>
          </rPr>
          <t>======
ID#AAABDDKrQeI
Gavin Mudd    (2023-12-20 21:24:03)
historic resources (non-compliant with NI43-101) - hence all data allocated as inferred resources only</t>
        </r>
      </text>
    </comment>
    <comment ref="AY597" authorId="0" shapeId="0" xr:uid="{00000000-0006-0000-0100-000001060000}">
      <text>
        <r>
          <rPr>
            <sz val="11"/>
            <color theme="1"/>
            <rFont val="Calibri"/>
            <family val="2"/>
            <scheme val="minor"/>
          </rPr>
          <t>======
ID#AAABCyJQiBM
Gavin Mudd    (2023-12-20 21:24:02)
historic resources (non-compliant with NI43-101) - hence all data allocated as inferred resources only</t>
        </r>
      </text>
    </comment>
    <comment ref="AZ597" authorId="0" shapeId="0" xr:uid="{00000000-0006-0000-0100-000060020000}">
      <text>
        <r>
          <rPr>
            <sz val="11"/>
            <color theme="1"/>
            <rFont val="Calibri"/>
            <family val="2"/>
            <scheme val="minor"/>
          </rPr>
          <t>======
ID#AAABDDKrQrg
Gavin Mudd    (2023-12-20 21:24:04)
historic resources (non-compliant with NI43-101) - hence all data allocated as inferred resources only</t>
        </r>
      </text>
    </comment>
    <comment ref="BG597" authorId="0" shapeId="0" xr:uid="{00000000-0006-0000-0100-0000F2010000}">
      <text>
        <r>
          <rPr>
            <sz val="11"/>
            <color theme="1"/>
            <rFont val="Calibri"/>
            <family val="2"/>
            <scheme val="minor"/>
          </rPr>
          <t>======
ID#AAABDDKrQ5s
Gavin Mudd    (2023-12-20 21:24:04)
historic resources (non-compliant with NI43-101) - hence all data allocated as inferred resources only</t>
        </r>
      </text>
    </comment>
    <comment ref="AY598" authorId="0" shapeId="0" xr:uid="{00000000-0006-0000-0100-000007020000}">
      <text>
        <r>
          <rPr>
            <sz val="11"/>
            <color theme="1"/>
            <rFont val="Calibri"/>
            <family val="2"/>
            <scheme val="minor"/>
          </rPr>
          <t>======
ID#AAABDDKrQ3Q
Gavin Mudd    (2023-12-20 21:24:04)
historic resources (non-compliant with NI43-101) - hence all data allocated as inferred resources only</t>
        </r>
      </text>
    </comment>
    <comment ref="AZ598" authorId="0" shapeId="0" xr:uid="{00000000-0006-0000-0100-00005F020000}">
      <text>
        <r>
          <rPr>
            <sz val="11"/>
            <color theme="1"/>
            <rFont val="Calibri"/>
            <family val="2"/>
            <scheme val="minor"/>
          </rPr>
          <t>======
ID#AAABDDKrQrk
Gavin Mudd    (2023-12-20 21:24:04)
historic resources (non-compliant with NI43-101) - hence all data allocated as inferred resources only</t>
        </r>
      </text>
    </comment>
    <comment ref="BG598" authorId="0" shapeId="0" xr:uid="{00000000-0006-0000-0100-00008B030000}">
      <text>
        <r>
          <rPr>
            <sz val="11"/>
            <color theme="1"/>
            <rFont val="Calibri"/>
            <family val="2"/>
            <scheme val="minor"/>
          </rPr>
          <t>======
ID#AAABDDKrQFg
Gavin Mudd    (2023-12-20 21:24:03)
historic resources (non-compliant with NI43-101) - hence all data allocated as inferred resources only</t>
        </r>
      </text>
    </comment>
    <comment ref="BH598" authorId="0" shapeId="0" xr:uid="{00000000-0006-0000-0100-0000C5000000}">
      <text>
        <r>
          <rPr>
            <sz val="11"/>
            <color theme="1"/>
            <rFont val="Calibri"/>
            <family val="2"/>
            <scheme val="minor"/>
          </rPr>
          <t>======
ID#AAABDDKrReg
Gavin Mudd    (2023-12-20 21:24:04)
historic resources (non-compliant with NI43-101) - hence all data allocated as inferred resources only</t>
        </r>
      </text>
    </comment>
    <comment ref="AY599" authorId="0" shapeId="0" xr:uid="{00000000-0006-0000-0100-00008C000000}">
      <text>
        <r>
          <rPr>
            <sz val="11"/>
            <color theme="1"/>
            <rFont val="Calibri"/>
            <family val="2"/>
            <scheme val="minor"/>
          </rPr>
          <t>======
ID#AAABDDKrRlc
Gavin Mudd    (2023-12-20 21:24:04)
historic resources (non-compliant with NI43-101) - hence all data allocated as inferred resources only</t>
        </r>
      </text>
    </comment>
    <comment ref="AZ599" authorId="0" shapeId="0" xr:uid="{00000000-0006-0000-0100-000009050000}">
      <text>
        <r>
          <rPr>
            <sz val="11"/>
            <color theme="1"/>
            <rFont val="Calibri"/>
            <family val="2"/>
            <scheme val="minor"/>
          </rPr>
          <t>======
ID#AAABDDKrPXE
Gavin Mudd    (2023-12-20 21:24:03)
historic resources (non-compliant with NI43-101) - hence all data allocated as inferred resources only</t>
        </r>
      </text>
    </comment>
    <comment ref="BG599" authorId="0" shapeId="0" xr:uid="{00000000-0006-0000-0100-000021010000}">
      <text>
        <r>
          <rPr>
            <sz val="11"/>
            <color theme="1"/>
            <rFont val="Calibri"/>
            <family val="2"/>
            <scheme val="minor"/>
          </rPr>
          <t>======
ID#AAABDDKrRSQ
Gavin Mudd    (2023-12-20 21:24:04)
historic resources (non-compliant with NI43-101) - hence all data allocated as inferred resources only</t>
        </r>
      </text>
    </comment>
    <comment ref="AY600" authorId="0" shapeId="0" xr:uid="{00000000-0006-0000-0100-000083050000}">
      <text>
        <r>
          <rPr>
            <sz val="11"/>
            <color theme="1"/>
            <rFont val="Calibri"/>
            <family val="2"/>
            <scheme val="minor"/>
          </rPr>
          <t>======
ID#AAABDDKrPIM
Gavin Mudd    (2023-12-20 21:24:03)
historic resources (non-compliant with NI43-101) - hence all data allocated as inferred resources only</t>
        </r>
      </text>
    </comment>
    <comment ref="AZ600" authorId="0" shapeId="0" xr:uid="{00000000-0006-0000-0100-00009D010000}">
      <text>
        <r>
          <rPr>
            <sz val="11"/>
            <color theme="1"/>
            <rFont val="Calibri"/>
            <family val="2"/>
            <scheme val="minor"/>
          </rPr>
          <t>======
ID#AAABDDKrREM
Gavin Mudd    (2023-12-20 21:24:04)
historic resources (non-compliant with NI43-101) - hence all data allocated as inferred resources only</t>
        </r>
      </text>
    </comment>
    <comment ref="BG600" authorId="0" shapeId="0" xr:uid="{00000000-0006-0000-0100-0000AF030000}">
      <text>
        <r>
          <rPr>
            <sz val="11"/>
            <color theme="1"/>
            <rFont val="Calibri"/>
            <family val="2"/>
            <scheme val="minor"/>
          </rPr>
          <t>======
ID#AAABDDKrQBw
Gavin Mudd    (2023-12-20 21:24:03)
historic resources (non-compliant with NI43-101) - hence all data allocated as inferred resources only</t>
        </r>
      </text>
    </comment>
    <comment ref="BH600" authorId="0" shapeId="0" xr:uid="{00000000-0006-0000-0100-000031000000}">
      <text>
        <r>
          <rPr>
            <sz val="11"/>
            <color theme="1"/>
            <rFont val="Calibri"/>
            <family val="2"/>
            <scheme val="minor"/>
          </rPr>
          <t>======
ID#AAABDDKrRwM
Gavin Mudd    (2023-12-20 21:24:04)
historic resources (non-compliant with NI43-101) - hence all data allocated as inferred resources only</t>
        </r>
      </text>
    </comment>
    <comment ref="F601" authorId="0" shapeId="0" xr:uid="{00000000-0006-0000-0100-00004C020000}">
      <text>
        <r>
          <rPr>
            <sz val="11"/>
            <color theme="1"/>
            <rFont val="Calibri"/>
            <family val="2"/>
            <scheme val="minor"/>
          </rPr>
          <t>======
ID#AAABDDKrQuA
Gavin Mudd    (2023-12-20 21:24:04)
CTT is Compagnie de Tifnout Tighanimine, a subsidiary of Managem</t>
        </r>
      </text>
    </comment>
    <comment ref="I601" authorId="0" shapeId="0" xr:uid="{00000000-0006-0000-0100-0000FE040000}">
      <text>
        <r>
          <rPr>
            <sz val="11"/>
            <color theme="1"/>
            <rFont val="Calibri"/>
            <family val="2"/>
            <scheme val="minor"/>
          </rPr>
          <t>======
ID#AAABDDKrPYg
Gavin Mudd    (2023-12-20 21:24:03)
only total resources reported</t>
        </r>
      </text>
    </comment>
    <comment ref="AD601" authorId="0" shapeId="0" xr:uid="{00000000-0006-0000-0100-0000D1000000}">
      <text>
        <r>
          <rPr>
            <sz val="11"/>
            <color theme="1"/>
            <rFont val="Calibri"/>
            <family val="2"/>
            <scheme val="minor"/>
          </rPr>
          <t>======
ID#AAABDDKrRc0
Gavin Mudd    (2023-12-20 21:24:04)
only total resources reported</t>
        </r>
      </text>
    </comment>
    <comment ref="AY601" authorId="0" shapeId="0" xr:uid="{00000000-0006-0000-0100-000029040000}">
      <text>
        <r>
          <rPr>
            <sz val="11"/>
            <color theme="1"/>
            <rFont val="Calibri"/>
            <family val="2"/>
            <scheme val="minor"/>
          </rPr>
          <t>======
ID#AAABDDKrPzE
Gavin Mudd    (2023-12-20 21:24:03)
only total resources reported</t>
        </r>
      </text>
    </comment>
    <comment ref="BA601" authorId="0" shapeId="0" xr:uid="{00000000-0006-0000-0100-00005E030000}">
      <text>
        <r>
          <rPr>
            <sz val="11"/>
            <color theme="1"/>
            <rFont val="Calibri"/>
            <family val="2"/>
            <scheme val="minor"/>
          </rPr>
          <t>======
ID#AAABDDKrQJc
Gavin Mudd    (2023-12-20 21:24:03)
value from Oberthür et al (2009)</t>
        </r>
      </text>
    </comment>
    <comment ref="BG601" authorId="0" shapeId="0" xr:uid="{00000000-0006-0000-0100-000039010000}">
      <text>
        <r>
          <rPr>
            <sz val="11"/>
            <color theme="1"/>
            <rFont val="Calibri"/>
            <family val="2"/>
            <scheme val="minor"/>
          </rPr>
          <t>======
ID#AAABDDKrRPs
Gavin Mudd    (2023-12-20 21:24:04)
value from Oberthür et al (2009)</t>
        </r>
      </text>
    </comment>
    <comment ref="BH601" authorId="0" shapeId="0" xr:uid="{00000000-0006-0000-0100-0000D9020000}">
      <text>
        <r>
          <rPr>
            <sz val="11"/>
            <color theme="1"/>
            <rFont val="Calibri"/>
            <family val="2"/>
            <scheme val="minor"/>
          </rPr>
          <t>======
ID#AAABDDKrQbM
Gavin Mudd    (2023-12-20 21:24:03)
value from Oberthür et al (2009)</t>
        </r>
      </text>
    </comment>
    <comment ref="BT601" authorId="0" shapeId="0" xr:uid="{00000000-0006-0000-0100-0000AC040000}">
      <text>
        <r>
          <rPr>
            <sz val="11"/>
            <color theme="1"/>
            <rFont val="Calibri"/>
            <family val="2"/>
            <scheme val="minor"/>
          </rPr>
          <t>======
ID#AAABDDKrPiQ
Gavin Mudd    (2023-12-20 21:24:03)
only total reserves reported</t>
        </r>
      </text>
    </comment>
    <comment ref="CO601" authorId="0" shapeId="0" xr:uid="{00000000-0006-0000-0100-00006C020000}">
      <text>
        <r>
          <rPr>
            <sz val="11"/>
            <color theme="1"/>
            <rFont val="Calibri"/>
            <family val="2"/>
            <scheme val="minor"/>
          </rPr>
          <t>======
ID#AAABDDKrQqA
Gavin Mudd    (2023-12-20 21:24:04)
only total reserves reported</t>
        </r>
      </text>
    </comment>
    <comment ref="CQ601" authorId="0" shapeId="0" xr:uid="{00000000-0006-0000-0100-000053010000}">
      <text>
        <r>
          <rPr>
            <sz val="11"/>
            <color theme="1"/>
            <rFont val="Calibri"/>
            <family val="2"/>
            <scheme val="minor"/>
          </rPr>
          <t>======
ID#AAABDDKrRM8
Gavin Mudd    (2023-12-20 21:24:04)
value from Oberthür et al (2009)</t>
        </r>
      </text>
    </comment>
    <comment ref="CW601" authorId="0" shapeId="0" xr:uid="{00000000-0006-0000-0100-000093000000}">
      <text>
        <r>
          <rPr>
            <sz val="11"/>
            <color theme="1"/>
            <rFont val="Calibri"/>
            <family val="2"/>
            <scheme val="minor"/>
          </rPr>
          <t>======
ID#AAABDDKrRjs
Gavin Mudd    (2023-12-20 21:24:04)
value from Oberthür et al (2009)</t>
        </r>
      </text>
    </comment>
    <comment ref="CX601" authorId="0" shapeId="0" xr:uid="{00000000-0006-0000-0100-0000E2020000}">
      <text>
        <r>
          <rPr>
            <sz val="11"/>
            <color theme="1"/>
            <rFont val="Calibri"/>
            <family val="2"/>
            <scheme val="minor"/>
          </rPr>
          <t>======
ID#AAABDDKrQZ8
Gavin Mudd    (2023-12-20 21:24:03)
value from Oberthür et al (2009)</t>
        </r>
      </text>
    </comment>
    <comment ref="F602" authorId="0" shapeId="0" xr:uid="{00000000-0006-0000-0100-0000B9010000}">
      <text>
        <r>
          <rPr>
            <sz val="11"/>
            <color theme="1"/>
            <rFont val="Calibri"/>
            <family val="2"/>
            <scheme val="minor"/>
          </rPr>
          <t>======
ID#AAABDDKrRBE
Author    (2023-12-20 21:24:04)
formerly Blackstone Ventures</t>
        </r>
      </text>
    </comment>
    <comment ref="DN602" authorId="0" shapeId="0" xr:uid="{00000000-0006-0000-0100-0000B7050000}">
      <text>
        <r>
          <rPr>
            <sz val="11"/>
            <color theme="1"/>
            <rFont val="Calibri"/>
            <family val="2"/>
            <scheme val="minor"/>
          </rPr>
          <t>======
ID#AAABDDKrPC4
Author    (2023-12-20 21:24:03)
data from Blackstone Ventures</t>
        </r>
      </text>
    </comment>
    <comment ref="AY603" authorId="0" shapeId="0" xr:uid="{00000000-0006-0000-0100-0000CE020000}">
      <text>
        <r>
          <rPr>
            <sz val="11"/>
            <color theme="1"/>
            <rFont val="Calibri"/>
            <family val="2"/>
            <scheme val="minor"/>
          </rPr>
          <t>======
ID#AAABDDKrQdE
Gavin Mudd    (2023-12-20 21:24:03)
historic resources (non-compliant with NI43-101) - hence all data allocated as inferred resources only</t>
        </r>
      </text>
    </comment>
    <comment ref="AZ603" authorId="0" shapeId="0" xr:uid="{00000000-0006-0000-0100-000029000000}">
      <text>
        <r>
          <rPr>
            <sz val="11"/>
            <color theme="1"/>
            <rFont val="Calibri"/>
            <family val="2"/>
            <scheme val="minor"/>
          </rPr>
          <t>======
ID#AAABDDKrRxI
Gavin Mudd    (2023-12-20 21:24:04)
historic resources (non-compliant with NI43-101) - hence all data allocated as inferred resources only</t>
        </r>
      </text>
    </comment>
    <comment ref="BG603" authorId="0" shapeId="0" xr:uid="{00000000-0006-0000-0100-000068050000}">
      <text>
        <r>
          <rPr>
            <sz val="11"/>
            <color theme="1"/>
            <rFont val="Calibri"/>
            <family val="2"/>
            <scheme val="minor"/>
          </rPr>
          <t>======
ID#AAABDDKrPL0
Gavin Mudd    (2023-12-20 21:24:03)
historic resources (non-compliant with NI43-101) - hence all data allocated as inferred resources only</t>
        </r>
      </text>
    </comment>
    <comment ref="BH603" authorId="0" shapeId="0" xr:uid="{00000000-0006-0000-0100-0000CD030000}">
      <text>
        <r>
          <rPr>
            <sz val="11"/>
            <color theme="1"/>
            <rFont val="Calibri"/>
            <family val="2"/>
            <scheme val="minor"/>
          </rPr>
          <t>======
ID#AAABDDKrP9g
Gavin Mudd    (2023-12-20 21:24:03)
historic resources (non-compliant with NI43-101) - hence all data allocated as inferred resources only</t>
        </r>
      </text>
    </comment>
    <comment ref="F604" authorId="0" shapeId="0" xr:uid="{00000000-0006-0000-0100-00001A030000}">
      <text>
        <r>
          <rPr>
            <sz val="11"/>
            <color theme="1"/>
            <rFont val="Calibri"/>
            <family val="2"/>
            <scheme val="minor"/>
          </rPr>
          <t>======
ID#AAABDDKrQSI
Author    (2023-12-20 21:24:03)
formerly Blackstone Ventures</t>
        </r>
      </text>
    </comment>
    <comment ref="AY604" authorId="0" shapeId="0" xr:uid="{00000000-0006-0000-0100-000017030000}">
      <text>
        <r>
          <rPr>
            <sz val="11"/>
            <color theme="1"/>
            <rFont val="Calibri"/>
            <family val="2"/>
            <scheme val="minor"/>
          </rPr>
          <t>======
ID#AAABDDKrQSs
Gavin Mudd    (2023-12-20 21:24:03)
historic resources (non-compliant with NI43-101) - hence all data allocated as inferred resources only</t>
        </r>
      </text>
    </comment>
    <comment ref="AZ604" authorId="0" shapeId="0" xr:uid="{00000000-0006-0000-0100-00003E010000}">
      <text>
        <r>
          <rPr>
            <sz val="11"/>
            <color theme="1"/>
            <rFont val="Calibri"/>
            <family val="2"/>
            <scheme val="minor"/>
          </rPr>
          <t>======
ID#AAABDDKrRPQ
Gavin Mudd    (2023-12-20 21:24:04)
historic resources (non-compliant with NI43-101) - hence all data allocated as inferred resources only</t>
        </r>
      </text>
    </comment>
    <comment ref="BG604" authorId="0" shapeId="0" xr:uid="{00000000-0006-0000-0100-00007D030000}">
      <text>
        <r>
          <rPr>
            <sz val="11"/>
            <color theme="1"/>
            <rFont val="Calibri"/>
            <family val="2"/>
            <scheme val="minor"/>
          </rPr>
          <t>======
ID#AAABDDKrQGw
Gavin Mudd    (2023-12-20 21:24:03)
historic resources (non-compliant with NI43-101) - hence all data allocated as inferred resources only</t>
        </r>
      </text>
    </comment>
    <comment ref="BH604" authorId="0" shapeId="0" xr:uid="{00000000-0006-0000-0100-0000D6010000}">
      <text>
        <r>
          <rPr>
            <sz val="11"/>
            <color theme="1"/>
            <rFont val="Calibri"/>
            <family val="2"/>
            <scheme val="minor"/>
          </rPr>
          <t>======
ID#AAABDDKrQ9Y
Gavin Mudd    (2023-12-20 21:24:04)
historic resources (non-compliant with NI43-101) - hence all data allocated as inferred resources only</t>
        </r>
      </text>
    </comment>
    <comment ref="F605" authorId="0" shapeId="0" xr:uid="{00000000-0006-0000-0100-000086040000}">
      <text>
        <r>
          <rPr>
            <sz val="11"/>
            <color theme="1"/>
            <rFont val="Calibri"/>
            <family val="2"/>
            <scheme val="minor"/>
          </rPr>
          <t>======
ID#AAABDDKrPmk
Author    (2023-12-20 21:24:03)
formerly Blackstone Ventures</t>
        </r>
      </text>
    </comment>
    <comment ref="AY605" authorId="0" shapeId="0" xr:uid="{00000000-0006-0000-0100-0000FE000000}">
      <text>
        <r>
          <rPr>
            <sz val="11"/>
            <color theme="1"/>
            <rFont val="Calibri"/>
            <family val="2"/>
            <scheme val="minor"/>
          </rPr>
          <t>======
ID#AAABDDKrRXQ
Gavin Mudd    (2023-12-20 21:24:04)
historic resources (non-compliant with NI43-101) - hence all data allocated as inferred resources only</t>
        </r>
      </text>
    </comment>
    <comment ref="AZ605" authorId="0" shapeId="0" xr:uid="{00000000-0006-0000-0100-0000D7040000}">
      <text>
        <r>
          <rPr>
            <sz val="11"/>
            <color theme="1"/>
            <rFont val="Calibri"/>
            <family val="2"/>
            <scheme val="minor"/>
          </rPr>
          <t>======
ID#AAABDDKrPdY
Gavin Mudd    (2023-12-20 21:24:03)
historic resources (non-compliant with NI43-101) - hence all data allocated as inferred resources only</t>
        </r>
      </text>
    </comment>
    <comment ref="BG605" authorId="0" shapeId="0" xr:uid="{00000000-0006-0000-0100-000063000000}">
      <text>
        <r>
          <rPr>
            <sz val="11"/>
            <color theme="1"/>
            <rFont val="Calibri"/>
            <family val="2"/>
            <scheme val="minor"/>
          </rPr>
          <t>======
ID#AAABDDKrRrY
Gavin Mudd    (2023-12-20 21:24:04)
historic resources (non-compliant with NI43-101) - hence all data allocated as inferred resources only</t>
        </r>
      </text>
    </comment>
    <comment ref="BH605" authorId="0" shapeId="0" xr:uid="{00000000-0006-0000-0100-000069030000}">
      <text>
        <r>
          <rPr>
            <sz val="11"/>
            <color theme="1"/>
            <rFont val="Calibri"/>
            <family val="2"/>
            <scheme val="minor"/>
          </rPr>
          <t>======
ID#AAABDDKrQIc
Gavin Mudd    (2023-12-20 21:24:03)
historic resources (non-compliant with NI43-101) - hence all data allocated as inferred resources only</t>
        </r>
      </text>
    </comment>
    <comment ref="AY606" authorId="0" shapeId="0" xr:uid="{00000000-0006-0000-0100-0000AA050000}">
      <text>
        <r>
          <rPr>
            <sz val="11"/>
            <color theme="1"/>
            <rFont val="Calibri"/>
            <family val="2"/>
            <scheme val="minor"/>
          </rPr>
          <t>======
ID#AAABDDKrPEI
Gavin Mudd    (2023-12-20 21:24:03)
historic resources (non-compliant with NI43-101) - hence all data allocated as inferred resources only</t>
        </r>
      </text>
    </comment>
    <comment ref="AZ606" authorId="0" shapeId="0" xr:uid="{00000000-0006-0000-0100-0000D9050000}">
      <text>
        <r>
          <rPr>
            <sz val="11"/>
            <color theme="1"/>
            <rFont val="Calibri"/>
            <family val="2"/>
            <scheme val="minor"/>
          </rPr>
          <t>======
ID#AAABDDKrO-Y
Gavin Mudd    (2023-12-20 21:24:03)
historic resources (non-compliant with NI43-101) - hence all data allocated as inferred resources only</t>
        </r>
      </text>
    </comment>
    <comment ref="BG606" authorId="0" shapeId="0" xr:uid="{00000000-0006-0000-0100-000010020000}">
      <text>
        <r>
          <rPr>
            <sz val="11"/>
            <color theme="1"/>
            <rFont val="Calibri"/>
            <family val="2"/>
            <scheme val="minor"/>
          </rPr>
          <t>======
ID#AAABDDKrQ14
Gavin Mudd    (2023-12-20 21:24:04)
historic resources (non-compliant with NI43-101) - hence all data allocated as inferred resources only</t>
        </r>
      </text>
    </comment>
    <comment ref="AY607" authorId="0" shapeId="0" xr:uid="{00000000-0006-0000-0100-000071050000}">
      <text>
        <r>
          <rPr>
            <sz val="11"/>
            <color theme="1"/>
            <rFont val="Calibri"/>
            <family val="2"/>
            <scheme val="minor"/>
          </rPr>
          <t>======
ID#AAABDDKrPKc
Gavin Mudd    (2023-12-20 21:24:03)
historic resources (non-compliant with NI43-101) - hence all data allocated as inferred resources only</t>
        </r>
      </text>
    </comment>
    <comment ref="AZ607" authorId="0" shapeId="0" xr:uid="{00000000-0006-0000-0100-00004F060000}">
      <text>
        <r>
          <rPr>
            <sz val="11"/>
            <color theme="1"/>
            <rFont val="Calibri"/>
            <family val="2"/>
            <scheme val="minor"/>
          </rPr>
          <t>======
ID#AAABCyJQh3E
Gavin Mudd    (2023-12-20 21:24:02)
historic resources (non-compliant with NI43-101) - hence all data allocated as inferred resources only</t>
        </r>
      </text>
    </comment>
    <comment ref="BG607" authorId="0" shapeId="0" xr:uid="{00000000-0006-0000-0100-0000A8010000}">
      <text>
        <r>
          <rPr>
            <sz val="11"/>
            <color theme="1"/>
            <rFont val="Calibri"/>
            <family val="2"/>
            <scheme val="minor"/>
          </rPr>
          <t>======
ID#AAABDDKrRDI
Gavin Mudd    (2023-12-20 21:24:04)
historic resources (non-compliant with NI43-101) - hence all data allocated as inferred resources only</t>
        </r>
      </text>
    </comment>
    <comment ref="AY608" authorId="0" shapeId="0" xr:uid="{00000000-0006-0000-0100-0000C2000000}">
      <text>
        <r>
          <rPr>
            <sz val="11"/>
            <color theme="1"/>
            <rFont val="Calibri"/>
            <family val="2"/>
            <scheme val="minor"/>
          </rPr>
          <t>======
ID#AAABDDKrRew
Gavin Mudd    (2023-12-20 21:24:04)
historic resources (non-compliant with NI43-101) - hence all data allocated as inferred resources only</t>
        </r>
      </text>
    </comment>
    <comment ref="AZ608" authorId="0" shapeId="0" xr:uid="{00000000-0006-0000-0100-000074040000}">
      <text>
        <r>
          <rPr>
            <sz val="11"/>
            <color theme="1"/>
            <rFont val="Calibri"/>
            <family val="2"/>
            <scheme val="minor"/>
          </rPr>
          <t>======
ID#AAABDDKrPpY
Gavin Mudd    (2023-12-20 21:24:03)
historic resources (non-compliant with NI43-101) - hence all data allocated as inferred resources only</t>
        </r>
      </text>
    </comment>
    <comment ref="BG608" authorId="0" shapeId="0" xr:uid="{00000000-0006-0000-0100-000077030000}">
      <text>
        <r>
          <rPr>
            <sz val="11"/>
            <color theme="1"/>
            <rFont val="Calibri"/>
            <family val="2"/>
            <scheme val="minor"/>
          </rPr>
          <t>======
ID#AAABDDKrQHQ
Gavin Mudd    (2023-12-20 21:24:03)
historic resources (non-compliant with NI43-101) - hence all data allocated as inferred resources only</t>
        </r>
      </text>
    </comment>
    <comment ref="AY609" authorId="0" shapeId="0" xr:uid="{00000000-0006-0000-0100-000019030000}">
      <text>
        <r>
          <rPr>
            <sz val="11"/>
            <color theme="1"/>
            <rFont val="Calibri"/>
            <family val="2"/>
            <scheme val="minor"/>
          </rPr>
          <t>======
ID#AAABDDKrQSQ
Gavin Mudd    (2023-12-20 21:24:03)
historic resources (non-compliant with NI43-101) - hence all data allocated as inferred resources only</t>
        </r>
      </text>
    </comment>
    <comment ref="AZ609" authorId="0" shapeId="0" xr:uid="{00000000-0006-0000-0100-0000A1010000}">
      <text>
        <r>
          <rPr>
            <sz val="11"/>
            <color theme="1"/>
            <rFont val="Calibri"/>
            <family val="2"/>
            <scheme val="minor"/>
          </rPr>
          <t>======
ID#AAABDDKrRDw
Gavin Mudd    (2023-12-20 21:24:04)
historic resources (non-compliant with NI43-101) - hence all data allocated as inferred resources only</t>
        </r>
      </text>
    </comment>
    <comment ref="BG609" authorId="0" shapeId="0" xr:uid="{00000000-0006-0000-0100-00002B010000}">
      <text>
        <r>
          <rPr>
            <sz val="11"/>
            <color theme="1"/>
            <rFont val="Calibri"/>
            <family val="2"/>
            <scheme val="minor"/>
          </rPr>
          <t>======
ID#AAABDDKrRQ8
Gavin Mudd    (2023-12-20 21:24:04)
historic resources (non-compliant with NI43-101) - hence all data allocated as inferred resources only</t>
        </r>
      </text>
    </comment>
    <comment ref="AY610" authorId="0" shapeId="0" xr:uid="{00000000-0006-0000-0100-000024010000}">
      <text>
        <r>
          <rPr>
            <sz val="11"/>
            <color theme="1"/>
            <rFont val="Calibri"/>
            <family val="2"/>
            <scheme val="minor"/>
          </rPr>
          <t>======
ID#AAABDDKrRRw
Gavin Mudd    (2023-12-20 21:24:04)
historic resources (non-compliant with NI43-101) - hence all data allocated as inferred resources only</t>
        </r>
      </text>
    </comment>
    <comment ref="AZ610" authorId="0" shapeId="0" xr:uid="{00000000-0006-0000-0100-000003040000}">
      <text>
        <r>
          <rPr>
            <sz val="11"/>
            <color theme="1"/>
            <rFont val="Calibri"/>
            <family val="2"/>
            <scheme val="minor"/>
          </rPr>
          <t>======
ID#AAABDDKrP34
Gavin Mudd    (2023-12-20 21:24:03)
historic resources (non-compliant with NI43-101) - hence all data allocated as inferred resources only</t>
        </r>
      </text>
    </comment>
    <comment ref="BG610" authorId="0" shapeId="0" xr:uid="{00000000-0006-0000-0100-00008B010000}">
      <text>
        <r>
          <rPr>
            <sz val="11"/>
            <color theme="1"/>
            <rFont val="Calibri"/>
            <family val="2"/>
            <scheme val="minor"/>
          </rPr>
          <t>======
ID#AAABDDKrRGM
Gavin Mudd    (2023-12-20 21:24:04)
historic resources (non-compliant with NI43-101) - hence all data allocated as inferred resources only</t>
        </r>
      </text>
    </comment>
    <comment ref="AY611" authorId="0" shapeId="0" xr:uid="{00000000-0006-0000-0100-0000D8040000}">
      <text>
        <r>
          <rPr>
            <sz val="11"/>
            <color theme="1"/>
            <rFont val="Calibri"/>
            <family val="2"/>
            <scheme val="minor"/>
          </rPr>
          <t>======
ID#AAABDDKrPdU
Gavin Mudd    (2023-12-20 21:24:03)
historic resources (non-compliant with NI43-101) - hence all data allocated as inferred resources only</t>
        </r>
      </text>
    </comment>
    <comment ref="BG611" authorId="0" shapeId="0" xr:uid="{00000000-0006-0000-0100-0000E9000000}">
      <text>
        <r>
          <rPr>
            <sz val="11"/>
            <color theme="1"/>
            <rFont val="Calibri"/>
            <family val="2"/>
            <scheme val="minor"/>
          </rPr>
          <t>======
ID#AAABDDKrRZ8
Gavin Mudd    (2023-12-20 21:24:04)
historic resources (non-compliant with NI43-101) - hence all data allocated as inferred resources only</t>
        </r>
      </text>
    </comment>
    <comment ref="AY612" authorId="0" shapeId="0" xr:uid="{00000000-0006-0000-0100-0000F8010000}">
      <text>
        <r>
          <rPr>
            <sz val="11"/>
            <color theme="1"/>
            <rFont val="Calibri"/>
            <family val="2"/>
            <scheme val="minor"/>
          </rPr>
          <t>======
ID#AAABDDKrQ5M
Gavin Mudd    (2023-12-20 21:24:04)
historic resources (non-compliant with NI43-101) - hence all data allocated as inferred resources only</t>
        </r>
      </text>
    </comment>
    <comment ref="AZ612" authorId="0" shapeId="0" xr:uid="{00000000-0006-0000-0100-0000F8050000}">
      <text>
        <r>
          <rPr>
            <sz val="11"/>
            <color theme="1"/>
            <rFont val="Calibri"/>
            <family val="2"/>
            <scheme val="minor"/>
          </rPr>
          <t>======
ID#AAABDDKrO6g
Gavin Mudd    (2023-12-20 21:24:02)
historic resources (non-compliant with NI43-101) - hence all data allocated as inferred resources only</t>
        </r>
      </text>
    </comment>
    <comment ref="BG612" authorId="0" shapeId="0" xr:uid="{00000000-0006-0000-0100-000081010000}">
      <text>
        <r>
          <rPr>
            <sz val="11"/>
            <color theme="1"/>
            <rFont val="Calibri"/>
            <family val="2"/>
            <scheme val="minor"/>
          </rPr>
          <t>======
ID#AAABDDKrRHc
Gavin Mudd    (2023-12-20 21:24:04)
historic resources (non-compliant with NI43-101) - hence all data allocated as inferred resources only</t>
        </r>
      </text>
    </comment>
    <comment ref="AY613" authorId="0" shapeId="0" xr:uid="{00000000-0006-0000-0100-0000FB020000}">
      <text>
        <r>
          <rPr>
            <sz val="11"/>
            <color theme="1"/>
            <rFont val="Calibri"/>
            <family val="2"/>
            <scheme val="minor"/>
          </rPr>
          <t>======
ID#AAABDDKrQWY
Gavin Mudd    (2023-12-20 21:24:03)
historic resources (non-compliant with NI43-101) - hence all data allocated as inferred resources only</t>
        </r>
      </text>
    </comment>
    <comment ref="AZ613" authorId="0" shapeId="0" xr:uid="{00000000-0006-0000-0100-000036040000}">
      <text>
        <r>
          <rPr>
            <sz val="11"/>
            <color theme="1"/>
            <rFont val="Calibri"/>
            <family val="2"/>
            <scheme val="minor"/>
          </rPr>
          <t>======
ID#AAABDDKrPxc
Gavin Mudd    (2023-12-20 21:24:03)
historic resources (non-compliant with NI43-101) - hence all data allocated as inferred resources only</t>
        </r>
      </text>
    </comment>
    <comment ref="BG613" authorId="0" shapeId="0" xr:uid="{00000000-0006-0000-0100-00005D030000}">
      <text>
        <r>
          <rPr>
            <sz val="11"/>
            <color theme="1"/>
            <rFont val="Calibri"/>
            <family val="2"/>
            <scheme val="minor"/>
          </rPr>
          <t>======
ID#AAABDDKrQJg
Gavin Mudd    (2023-12-20 21:24:03)
historic resources (non-compliant with NI43-101) - hence all data allocated as inferred resources only</t>
        </r>
      </text>
    </comment>
    <comment ref="F614" authorId="0" shapeId="0" xr:uid="{00000000-0006-0000-0100-00000D020000}">
      <text>
        <r>
          <rPr>
            <sz val="11"/>
            <color theme="1"/>
            <rFont val="Calibri"/>
            <family val="2"/>
            <scheme val="minor"/>
          </rPr>
          <t>======
ID#AAABDDKrQ2k
Gavin Mudd    (2023-12-20 21:24:04)
previously held by Blackstone Ventures</t>
        </r>
      </text>
    </comment>
    <comment ref="AY614" authorId="0" shapeId="0" xr:uid="{00000000-0006-0000-0100-0000FA050000}">
      <text>
        <r>
          <rPr>
            <sz val="11"/>
            <color theme="1"/>
            <rFont val="Calibri"/>
            <family val="2"/>
            <scheme val="minor"/>
          </rPr>
          <t>======
ID#AAABDDKrO6U
Gavin Mudd    (2023-12-20 21:24:02)
historic resources (non-compliant with NI43-101) - hence all data allocated as inferred resources only</t>
        </r>
      </text>
    </comment>
    <comment ref="AZ614" authorId="0" shapeId="0" xr:uid="{00000000-0006-0000-0100-000085010000}">
      <text>
        <r>
          <rPr>
            <sz val="11"/>
            <color theme="1"/>
            <rFont val="Calibri"/>
            <family val="2"/>
            <scheme val="minor"/>
          </rPr>
          <t>======
ID#AAABDDKrRG0
Gavin Mudd    (2023-12-20 21:24:04)
historic resources (non-compliant with NI43-101) - hence all data allocated as inferred resources only</t>
        </r>
      </text>
    </comment>
    <comment ref="BG614" authorId="0" shapeId="0" xr:uid="{00000000-0006-0000-0100-000012060000}">
      <text>
        <r>
          <rPr>
            <sz val="11"/>
            <color theme="1"/>
            <rFont val="Calibri"/>
            <family val="2"/>
            <scheme val="minor"/>
          </rPr>
          <t>======
ID#AAABCyJQh-w
Gavin Mudd    (2023-12-20 21:24:02)
historic resources (non-compliant with NI43-101) - hence all data allocated as inferred resources only</t>
        </r>
      </text>
    </comment>
    <comment ref="F615" authorId="0" shapeId="0" xr:uid="{00000000-0006-0000-0100-000071010000}">
      <text>
        <r>
          <rPr>
            <sz val="11"/>
            <color theme="1"/>
            <rFont val="Calibri"/>
            <family val="2"/>
            <scheme val="minor"/>
          </rPr>
          <t>======
ID#AAABDDKrRJg
Gavin Mudd    (2023-12-20 21:24:04)
previously held by Blackstone Ventures</t>
        </r>
      </text>
    </comment>
    <comment ref="AY615" authorId="0" shapeId="0" xr:uid="{00000000-0006-0000-0100-00008E000000}">
      <text>
        <r>
          <rPr>
            <sz val="11"/>
            <color theme="1"/>
            <rFont val="Calibri"/>
            <family val="2"/>
            <scheme val="minor"/>
          </rPr>
          <t>======
ID#AAABDDKrRlQ
Gavin Mudd    (2023-12-20 21:24:04)
historic resources (non-compliant with NI43-101) - hence all data allocated as inferred resources only</t>
        </r>
      </text>
    </comment>
    <comment ref="AZ615" authorId="0" shapeId="0" xr:uid="{00000000-0006-0000-0100-00002F040000}">
      <text>
        <r>
          <rPr>
            <sz val="11"/>
            <color theme="1"/>
            <rFont val="Calibri"/>
            <family val="2"/>
            <scheme val="minor"/>
          </rPr>
          <t>======
ID#AAABDDKrPyU
Gavin Mudd    (2023-12-20 21:24:03)
historic resources (non-compliant with NI43-101) - hence all data allocated as inferred resources only</t>
        </r>
      </text>
    </comment>
    <comment ref="BG615" authorId="0" shapeId="0" xr:uid="{00000000-0006-0000-0100-000042050000}">
      <text>
        <r>
          <rPr>
            <sz val="11"/>
            <color theme="1"/>
            <rFont val="Calibri"/>
            <family val="2"/>
            <scheme val="minor"/>
          </rPr>
          <t>======
ID#AAABDDKrPRA
Gavin Mudd    (2023-12-20 21:24:03)
historic resources (non-compliant with NI43-101) - hence all data allocated as inferred resources only</t>
        </r>
      </text>
    </comment>
    <comment ref="AY616" authorId="0" shapeId="0" xr:uid="{00000000-0006-0000-0100-00009C050000}">
      <text>
        <r>
          <rPr>
            <sz val="11"/>
            <color theme="1"/>
            <rFont val="Calibri"/>
            <family val="2"/>
            <scheme val="minor"/>
          </rPr>
          <t>======
ID#AAABDDKrPF0
Gavin Mudd    (2023-12-20 21:24:03)
historic resources (non-compliant with NI43-101) - hence all data allocated as inferred resources only</t>
        </r>
      </text>
    </comment>
    <comment ref="AZ616" authorId="0" shapeId="0" xr:uid="{00000000-0006-0000-0100-0000F0030000}">
      <text>
        <r>
          <rPr>
            <sz val="11"/>
            <color theme="1"/>
            <rFont val="Calibri"/>
            <family val="2"/>
            <scheme val="minor"/>
          </rPr>
          <t>======
ID#AAABDDKrP5s
Gavin Mudd    (2023-12-20 21:24:03)
historic resources (non-compliant with NI43-101) - hence all data allocated as inferred resources only</t>
        </r>
      </text>
    </comment>
    <comment ref="BG616" authorId="0" shapeId="0" xr:uid="{00000000-0006-0000-0100-00000A010000}">
      <text>
        <r>
          <rPr>
            <sz val="11"/>
            <color theme="1"/>
            <rFont val="Calibri"/>
            <family val="2"/>
            <scheme val="minor"/>
          </rPr>
          <t>======
ID#AAABDDKrRVY
Gavin Mudd    (2023-12-20 21:24:04)
historic resources (non-compliant with NI43-101) - hence all data allocated as inferred resources only</t>
        </r>
      </text>
    </comment>
    <comment ref="BH616" authorId="0" shapeId="0" xr:uid="{00000000-0006-0000-0100-00002A030000}">
      <text>
        <r>
          <rPr>
            <sz val="11"/>
            <color theme="1"/>
            <rFont val="Calibri"/>
            <family val="2"/>
            <scheme val="minor"/>
          </rPr>
          <t>======
ID#AAABDDKrQP0
Gavin Mudd    (2023-12-20 21:24:03)
historic resources (non-compliant with NI43-101) - hence all data allocated as inferred resources only</t>
        </r>
      </text>
    </comment>
    <comment ref="AY617" authorId="0" shapeId="0" xr:uid="{00000000-0006-0000-0100-00007A040000}">
      <text>
        <r>
          <rPr>
            <sz val="11"/>
            <color theme="1"/>
            <rFont val="Calibri"/>
            <family val="2"/>
            <scheme val="minor"/>
          </rPr>
          <t>======
ID#AAABDDKrPoM
Gavin Mudd    (2023-12-20 21:24:03)
historic resources (non-compliant with NI43-101) - hence all data allocated as inferred resources only</t>
        </r>
      </text>
    </comment>
    <comment ref="AZ617" authorId="0" shapeId="0" xr:uid="{00000000-0006-0000-0100-0000F6030000}">
      <text>
        <r>
          <rPr>
            <sz val="11"/>
            <color theme="1"/>
            <rFont val="Calibri"/>
            <family val="2"/>
            <scheme val="minor"/>
          </rPr>
          <t>======
ID#AAABDDKrP5I
Gavin Mudd    (2023-12-20 21:24:03)
historic resources (non-compliant with NI43-101) - hence all data allocated as inferred resources only</t>
        </r>
      </text>
    </comment>
    <comment ref="BG617" authorId="0" shapeId="0" xr:uid="{00000000-0006-0000-0100-0000DE000000}">
      <text>
        <r>
          <rPr>
            <sz val="11"/>
            <color theme="1"/>
            <rFont val="Calibri"/>
            <family val="2"/>
            <scheme val="minor"/>
          </rPr>
          <t>======
ID#AAABDDKrRbI
Gavin Mudd    (2023-12-20 21:24:04)
historic resources (non-compliant with NI43-101) - hence all data allocated as inferred resources only</t>
        </r>
      </text>
    </comment>
    <comment ref="BH617" authorId="0" shapeId="0" xr:uid="{00000000-0006-0000-0100-0000F9010000}">
      <text>
        <r>
          <rPr>
            <sz val="11"/>
            <color theme="1"/>
            <rFont val="Calibri"/>
            <family val="2"/>
            <scheme val="minor"/>
          </rPr>
          <t>======
ID#AAABDDKrQ5A
Gavin Mudd    (2023-12-20 21:24:04)
historic resources (non-compliant with NI43-101) - hence all data allocated as inferred resources only</t>
        </r>
      </text>
    </comment>
    <comment ref="AY618" authorId="0" shapeId="0" xr:uid="{00000000-0006-0000-0100-0000EA010000}">
      <text>
        <r>
          <rPr>
            <sz val="11"/>
            <color theme="1"/>
            <rFont val="Calibri"/>
            <family val="2"/>
            <scheme val="minor"/>
          </rPr>
          <t>======
ID#AAABDDKrQ6k
Gavin Mudd    (2023-12-20 21:24:04)
historic resources (non-compliant with NI43-101) - hence all data allocated as inferred resources only</t>
        </r>
      </text>
    </comment>
    <comment ref="BG618" authorId="0" shapeId="0" xr:uid="{00000000-0006-0000-0100-0000F0020000}">
      <text>
        <r>
          <rPr>
            <sz val="11"/>
            <color theme="1"/>
            <rFont val="Calibri"/>
            <family val="2"/>
            <scheme val="minor"/>
          </rPr>
          <t>======
ID#AAABDDKrQYE
Gavin Mudd    (2023-12-20 21:24:03)
historic resources (non-compliant with NI43-101) - hence all data allocated as inferred resources only</t>
        </r>
      </text>
    </comment>
    <comment ref="AY619" authorId="0" shapeId="0" xr:uid="{00000000-0006-0000-0100-00003C030000}">
      <text>
        <r>
          <rPr>
            <sz val="11"/>
            <color theme="1"/>
            <rFont val="Calibri"/>
            <family val="2"/>
            <scheme val="minor"/>
          </rPr>
          <t>======
ID#AAABDDKrQNQ
Gavin Mudd    (2023-12-20 21:24:03)
historic resources (non-compliant with NI43-101) - hence all data allocated as inferred resources only</t>
        </r>
      </text>
    </comment>
    <comment ref="AZ619" authorId="0" shapeId="0" xr:uid="{00000000-0006-0000-0100-00003E040000}">
      <text>
        <r>
          <rPr>
            <sz val="11"/>
            <color theme="1"/>
            <rFont val="Calibri"/>
            <family val="2"/>
            <scheme val="minor"/>
          </rPr>
          <t>======
ID#AAABDDKrPww
Gavin Mudd    (2023-12-20 21:24:03)
historic resources (non-compliant with NI43-101) - hence all data allocated as inferred resources only</t>
        </r>
      </text>
    </comment>
    <comment ref="BG619" authorId="0" shapeId="0" xr:uid="{00000000-0006-0000-0100-00007B030000}">
      <text>
        <r>
          <rPr>
            <sz val="11"/>
            <color theme="1"/>
            <rFont val="Calibri"/>
            <family val="2"/>
            <scheme val="minor"/>
          </rPr>
          <t>======
ID#AAABDDKrQG4
Gavin Mudd    (2023-12-20 21:24:03)
historic resources (non-compliant with NI43-101) - hence all data allocated as inferred resources only</t>
        </r>
      </text>
    </comment>
    <comment ref="F620" authorId="0" shapeId="0" xr:uid="{00000000-0006-0000-0100-0000F3040000}">
      <text>
        <r>
          <rPr>
            <sz val="11"/>
            <color theme="1"/>
            <rFont val="Calibri"/>
            <family val="2"/>
            <scheme val="minor"/>
          </rPr>
          <t>======
ID#AAABDDKrPaE
Gavin Mudd    (2023-12-20 21:24:03)
formerly known as Hard Creek Nickel Corp</t>
        </r>
      </text>
    </comment>
    <comment ref="AY621" authorId="0" shapeId="0" xr:uid="{00000000-0006-0000-0100-0000E5020000}">
      <text>
        <r>
          <rPr>
            <sz val="11"/>
            <color theme="1"/>
            <rFont val="Calibri"/>
            <family val="2"/>
            <scheme val="minor"/>
          </rPr>
          <t>======
ID#AAABDDKrQZU
Gavin Mudd    (2023-12-20 21:24:03)
only total resources presented, assumed as inferred resources</t>
        </r>
      </text>
    </comment>
    <comment ref="AZ621" authorId="0" shapeId="0" xr:uid="{00000000-0006-0000-0100-0000F1010000}">
      <text>
        <r>
          <rPr>
            <sz val="11"/>
            <color theme="1"/>
            <rFont val="Calibri"/>
            <family val="2"/>
            <scheme val="minor"/>
          </rPr>
          <t>======
ID#AAABDDKrQ54
Gavin Mudd    (2023-12-20 21:24:04)
only total resources presented, assumed as inferred resources</t>
        </r>
      </text>
    </comment>
    <comment ref="BA621" authorId="0" shapeId="0" xr:uid="{00000000-0006-0000-0100-0000F4020000}">
      <text>
        <r>
          <rPr>
            <sz val="11"/>
            <color theme="1"/>
            <rFont val="Calibri"/>
            <family val="2"/>
            <scheme val="minor"/>
          </rPr>
          <t>======
ID#AAABDDKrQXs
Gavin Mudd    (2023-12-20 21:24:03)
only total resources presented, assumed as inferred resources</t>
        </r>
      </text>
    </comment>
    <comment ref="BB621" authorId="0" shapeId="0" xr:uid="{00000000-0006-0000-0100-000066050000}">
      <text>
        <r>
          <rPr>
            <sz val="11"/>
            <color theme="1"/>
            <rFont val="Calibri"/>
            <family val="2"/>
            <scheme val="minor"/>
          </rPr>
          <t>======
ID#AAABDDKrPMA
Gavin Mudd    (2023-12-20 21:24:03)
only total resources presented, assumed as inferred resources</t>
        </r>
      </text>
    </comment>
    <comment ref="BG621" authorId="0" shapeId="0" xr:uid="{00000000-0006-0000-0100-0000E9050000}">
      <text>
        <r>
          <rPr>
            <sz val="11"/>
            <color theme="1"/>
            <rFont val="Calibri"/>
            <family val="2"/>
            <scheme val="minor"/>
          </rPr>
          <t>======
ID#AAABDDKrO8c
Gavin Mudd    (2023-12-20 21:24:03)
only total resources presented, assumed as inferred resources</t>
        </r>
      </text>
    </comment>
    <comment ref="BH621" authorId="0" shapeId="0" xr:uid="{00000000-0006-0000-0100-00000F010000}">
      <text>
        <r>
          <rPr>
            <sz val="11"/>
            <color theme="1"/>
            <rFont val="Calibri"/>
            <family val="2"/>
            <scheme val="minor"/>
          </rPr>
          <t>======
ID#AAABDDKrRUg
Gavin Mudd    (2023-12-20 21:24:04)
only total resources presented, assumed as inferred resources</t>
        </r>
      </text>
    </comment>
    <comment ref="BI621" authorId="0" shapeId="0" xr:uid="{00000000-0006-0000-0100-0000F2020000}">
      <text>
        <r>
          <rPr>
            <sz val="11"/>
            <color theme="1"/>
            <rFont val="Calibri"/>
            <family val="2"/>
            <scheme val="minor"/>
          </rPr>
          <t>======
ID#AAABDDKrQX0
Gavin Mudd    (2023-12-20 21:24:03)
only total resources presented, assumed as inferred resources; 3E g/t - 40% assumed as Pt</t>
        </r>
      </text>
    </comment>
    <comment ref="BJ621" authorId="0" shapeId="0" xr:uid="{00000000-0006-0000-0100-000059020000}">
      <text>
        <r>
          <rPr>
            <sz val="11"/>
            <color theme="1"/>
            <rFont val="Calibri"/>
            <family val="2"/>
            <scheme val="minor"/>
          </rPr>
          <t>======
ID#AAABDDKrQsM
Gavin Mudd    (2023-12-20 21:24:04)
only total resources presented, assumed as inferred resources; 3E g/t - 60% assumed as Pd</t>
        </r>
      </text>
    </comment>
    <comment ref="F622" authorId="0" shapeId="0" xr:uid="{00000000-0006-0000-0100-000047030000}">
      <text>
        <r>
          <rPr>
            <sz val="11"/>
            <color theme="1"/>
            <rFont val="Calibri"/>
            <family val="2"/>
            <scheme val="minor"/>
          </rPr>
          <t>======
ID#AAABDDKrQL8
Gavin Mudd    (2023-12-20 21:24:03)
previously Hunnan Australia Resources, which was recently taken over by China Minmetals; before this the project was owned by Compass Resources</t>
        </r>
      </text>
    </comment>
    <comment ref="L622" authorId="0" shapeId="0" xr:uid="{00000000-0006-0000-0100-0000D1050000}">
      <text>
        <r>
          <rPr>
            <sz val="11"/>
            <color theme="1"/>
            <rFont val="Calibri"/>
            <family val="2"/>
            <scheme val="minor"/>
          </rPr>
          <t>======
ID#AAABDDKrO_M
Gavin Mudd    (2023-12-20 21:24:03)
indicative, based on resource reported in 2007 Annual Report</t>
        </r>
      </text>
    </comment>
    <comment ref="AG622" authorId="0" shapeId="0" xr:uid="{00000000-0006-0000-0100-000040040000}">
      <text>
        <r>
          <rPr>
            <sz val="11"/>
            <color theme="1"/>
            <rFont val="Calibri"/>
            <family val="2"/>
            <scheme val="minor"/>
          </rPr>
          <t>======
ID#AAABDDKrPwg
Gavin Mudd    (2023-12-20 21:24:03)
indicative, based on resource reported in 2007 Annual Report</t>
        </r>
      </text>
    </comment>
    <comment ref="BB622" authorId="0" shapeId="0" xr:uid="{00000000-0006-0000-0100-0000C9020000}">
      <text>
        <r>
          <rPr>
            <sz val="11"/>
            <color theme="1"/>
            <rFont val="Calibri"/>
            <family val="2"/>
            <scheme val="minor"/>
          </rPr>
          <t>======
ID#AAABDDKrQdg
Gavin Mudd    (2023-12-20 21:24:03)
indicative, based on resource reported in 2007 Annual Report</t>
        </r>
      </text>
    </comment>
    <comment ref="DN622" authorId="0" shapeId="0" xr:uid="{00000000-0006-0000-0100-000051060000}">
      <text>
        <r>
          <rPr>
            <sz val="11"/>
            <color theme="1"/>
            <rFont val="Calibri"/>
            <family val="2"/>
            <scheme val="minor"/>
          </rPr>
          <t>======
ID#AAABCyJQh2w
Gavin Mudd    (2023-12-20 21:24:02)
from earlier owner Compass Resources</t>
        </r>
      </text>
    </comment>
    <comment ref="F623" authorId="0" shapeId="0" xr:uid="{00000000-0006-0000-0100-000083040000}">
      <text>
        <r>
          <rPr>
            <sz val="11"/>
            <color theme="1"/>
            <rFont val="Calibri"/>
            <family val="2"/>
            <scheme val="minor"/>
          </rPr>
          <t>======
ID#AAABDDKrPm4
Gavin Mudd    (2023-12-20 21:24:03)
previously Hunnan Australia Resources, which was recently taken over by China Minmetals; before this the project was owned by Compass Resources</t>
        </r>
      </text>
    </comment>
    <comment ref="DN623" authorId="0" shapeId="0" xr:uid="{00000000-0006-0000-0100-000065060000}">
      <text>
        <r>
          <rPr>
            <sz val="11"/>
            <color theme="1"/>
            <rFont val="Calibri"/>
            <family val="2"/>
            <scheme val="minor"/>
          </rPr>
          <t>======
ID#AAABCyJQhzc
Gavin Mudd    (2023-12-20 21:24:02)
from earlier owner Compass Resources</t>
        </r>
      </text>
    </comment>
    <comment ref="F625" authorId="0" shapeId="0" xr:uid="{00000000-0006-0000-0100-0000EC030000}">
      <text>
        <r>
          <rPr>
            <sz val="11"/>
            <color theme="1"/>
            <rFont val="Calibri"/>
            <family val="2"/>
            <scheme val="minor"/>
          </rPr>
          <t>======
ID#AAABDDKrP6M
Author    (2023-12-20 21:24:03)
formerly Nevoro, which became Starfield Resources - now bankrupt</t>
        </r>
      </text>
    </comment>
    <comment ref="AY625" authorId="0" shapeId="0" xr:uid="{00000000-0006-0000-0100-00003A040000}">
      <text>
        <r>
          <rPr>
            <sz val="11"/>
            <color theme="1"/>
            <rFont val="Calibri"/>
            <family val="2"/>
            <scheme val="minor"/>
          </rPr>
          <t>======
ID#AAABDDKrPxI
Gavin Mudd    (2023-12-20 21:24:03)
historic resources (non-compliant with NI43-101) - hence all data allocated as inferred resources only</t>
        </r>
      </text>
    </comment>
    <comment ref="AZ625" authorId="0" shapeId="0" xr:uid="{00000000-0006-0000-0100-0000ED030000}">
      <text>
        <r>
          <rPr>
            <sz val="11"/>
            <color theme="1"/>
            <rFont val="Calibri"/>
            <family val="2"/>
            <scheme val="minor"/>
          </rPr>
          <t>======
ID#AAABDDKrP58
Gavin Mudd    (2023-12-20 21:24:03)
historic resources (non-compliant with NI43-101) - hence all data allocated as inferred resources only</t>
        </r>
      </text>
    </comment>
    <comment ref="BG625" authorId="0" shapeId="0" xr:uid="{00000000-0006-0000-0100-0000CF000000}">
      <text>
        <r>
          <rPr>
            <sz val="11"/>
            <color theme="1"/>
            <rFont val="Calibri"/>
            <family val="2"/>
            <scheme val="minor"/>
          </rPr>
          <t>======
ID#AAABDDKrRc8
Gavin Mudd    (2023-12-20 21:24:04)
historic resources (non-compliant with NI43-101) - hence all data allocated as inferred resources only</t>
        </r>
      </text>
    </comment>
    <comment ref="DN625" authorId="0" shapeId="0" xr:uid="{00000000-0006-0000-0100-000073040000}">
      <text>
        <r>
          <rPr>
            <sz val="11"/>
            <color theme="1"/>
            <rFont val="Calibri"/>
            <family val="2"/>
            <scheme val="minor"/>
          </rPr>
          <t>======
ID#AAABDDKrPpk
Author    (2023-12-20 21:24:03)
data from Nevoro, which became Starfield Resources - now bankrupt</t>
        </r>
      </text>
    </comment>
    <comment ref="F626" authorId="0" shapeId="0" xr:uid="{00000000-0006-0000-0100-00003F000000}">
      <text>
        <r>
          <rPr>
            <sz val="11"/>
            <color theme="1"/>
            <rFont val="Calibri"/>
            <family val="2"/>
            <scheme val="minor"/>
          </rPr>
          <t>======
ID#AAABDDKrRvA
Author    (2023-12-20 21:24:04)
formerly Nevoro, which became Starfield Resources - now bankrupt</t>
        </r>
      </text>
    </comment>
    <comment ref="AY626" authorId="0" shapeId="0" xr:uid="{00000000-0006-0000-0100-000055050000}">
      <text>
        <r>
          <rPr>
            <sz val="11"/>
            <color theme="1"/>
            <rFont val="Calibri"/>
            <family val="2"/>
            <scheme val="minor"/>
          </rPr>
          <t>======
ID#AAABDDKrPN8
Gavin Mudd    (2023-12-20 21:24:03)
historic resources (non-compliant with NI43-101) - hence all data allocated as inferred resources only</t>
        </r>
      </text>
    </comment>
    <comment ref="AZ626" authorId="0" shapeId="0" xr:uid="{00000000-0006-0000-0100-000013000000}">
      <text>
        <r>
          <rPr>
            <sz val="11"/>
            <color theme="1"/>
            <rFont val="Calibri"/>
            <family val="2"/>
            <scheme val="minor"/>
          </rPr>
          <t>======
ID#AAABDDKrRzg
Gavin Mudd    (2023-12-20 21:24:04)
historic resources (non-compliant with NI43-101) - hence all data allocated as inferred resources only</t>
        </r>
      </text>
    </comment>
    <comment ref="BG626" authorId="0" shapeId="0" xr:uid="{00000000-0006-0000-0100-000087060000}">
      <text>
        <r>
          <rPr>
            <sz val="11"/>
            <color theme="1"/>
            <rFont val="Calibri"/>
            <family val="2"/>
            <scheme val="minor"/>
          </rPr>
          <t>======
ID#AAABCyJQhuU
Gavin Mudd    (2023-12-20 21:24:01)
historic resources (non-compliant with NI43-101) - hence all data allocated as inferred resources only</t>
        </r>
      </text>
    </comment>
    <comment ref="DN626" authorId="0" shapeId="0" xr:uid="{00000000-0006-0000-0100-0000BE000000}">
      <text>
        <r>
          <rPr>
            <sz val="11"/>
            <color theme="1"/>
            <rFont val="Calibri"/>
            <family val="2"/>
            <scheme val="minor"/>
          </rPr>
          <t>======
ID#AAABDDKrRfc
Author    (2023-12-20 21:24:04)
data from Nevoro, which became Starfield Resources - now bankrupt</t>
        </r>
      </text>
    </comment>
    <comment ref="AZ628" authorId="0" shapeId="0" xr:uid="{00000000-0006-0000-0100-000007010000}">
      <text>
        <r>
          <rPr>
            <sz val="11"/>
            <color theme="1"/>
            <rFont val="Calibri"/>
            <family val="2"/>
            <scheme val="minor"/>
          </rPr>
          <t>======
ID#AAABDDKrRWI
Author    (2023-12-20 21:24:04)
assumed based on historic milling data</t>
        </r>
      </text>
    </comment>
    <comment ref="AY630" authorId="0" shapeId="0" xr:uid="{00000000-0006-0000-0100-000061050000}">
      <text>
        <r>
          <rPr>
            <sz val="11"/>
            <color theme="1"/>
            <rFont val="Calibri"/>
            <family val="2"/>
            <scheme val="minor"/>
          </rPr>
          <t>======
ID#AAABDDKrPMo
Gavin Mudd    (2023-12-20 21:24:03)
historical resource, not NI43-101 compliant</t>
        </r>
      </text>
    </comment>
    <comment ref="F631" authorId="0" shapeId="0" xr:uid="{00000000-0006-0000-0100-00006E060000}">
      <text>
        <r>
          <rPr>
            <sz val="11"/>
            <color theme="1"/>
            <rFont val="Calibri"/>
            <family val="2"/>
            <scheme val="minor"/>
          </rPr>
          <t>======
ID#AAABCyJQhyQ
Gavin Mudd    (2023-12-20 21:24:02)
previously held by Alberta Star Development Corp (which is now Elysee Development Corp)</t>
        </r>
      </text>
    </comment>
    <comment ref="AY631" authorId="0" shapeId="0" xr:uid="{00000000-0006-0000-0100-000043040000}">
      <text>
        <r>
          <rPr>
            <sz val="11"/>
            <color theme="1"/>
            <rFont val="Calibri"/>
            <family val="2"/>
            <scheme val="minor"/>
          </rPr>
          <t>======
ID#AAABDDKrPvw
Gavin Mudd    (2023-12-20 21:24:03)
historic resources (non-compliant with NI43-101) - hence all data allocated as inferred resources only</t>
        </r>
      </text>
    </comment>
    <comment ref="DN631" authorId="0" shapeId="0" xr:uid="{00000000-0006-0000-0100-000006000000}">
      <text>
        <r>
          <rPr>
            <sz val="11"/>
            <color theme="1"/>
            <rFont val="Calibri"/>
            <family val="2"/>
            <scheme val="minor"/>
          </rPr>
          <t>======
ID#AAABDDKrR1o
Gavin Mudd    (2023-12-20 21:24:04)
data from Alberta Star Development Corp (which is now Elysee Development Corp)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j53JN2ZBG6WSKH+s7Vj7beFXlpbQ=="/>
    </ext>
  </extLst>
</comments>
</file>

<file path=xl/sharedStrings.xml><?xml version="1.0" encoding="utf-8"?>
<sst xmlns="http://schemas.openxmlformats.org/spreadsheetml/2006/main" count="20733" uniqueCount="1407">
  <si>
    <t>Appendix 3. Reported Nickel Deposits and Projects 2018</t>
  </si>
  <si>
    <t>Ni basis</t>
  </si>
  <si>
    <t>Co basis</t>
  </si>
  <si>
    <t>#</t>
  </si>
  <si>
    <t>Commodity</t>
  </si>
  <si>
    <t>Country</t>
  </si>
  <si>
    <t>Project</t>
  </si>
  <si>
    <t>Status</t>
  </si>
  <si>
    <t>Location</t>
  </si>
  <si>
    <t>Mine</t>
  </si>
  <si>
    <t>Company</t>
  </si>
  <si>
    <t>Economic</t>
  </si>
  <si>
    <t>Principal</t>
  </si>
  <si>
    <t>Mineral Resources (including reserves)</t>
  </si>
  <si>
    <t>Ore Reserves</t>
  </si>
  <si>
    <t>Source</t>
  </si>
  <si>
    <t>Resources</t>
  </si>
  <si>
    <t>Reserves</t>
  </si>
  <si>
    <t>Total Cum. Prod.</t>
  </si>
  <si>
    <t>2012-18 Cum. Prod.</t>
  </si>
  <si>
    <t>2011 Resources</t>
  </si>
  <si>
    <t>2011 R-CP</t>
  </si>
  <si>
    <t>2018 Resources</t>
  </si>
  <si>
    <t>Endowment</t>
  </si>
  <si>
    <t>Mineral</t>
  </si>
  <si>
    <t>Group</t>
  </si>
  <si>
    <t>Lat</t>
  </si>
  <si>
    <t>Long</t>
  </si>
  <si>
    <t>Type</t>
  </si>
  <si>
    <t>Mineralogy</t>
  </si>
  <si>
    <t>Process</t>
  </si>
  <si>
    <t>Measured</t>
  </si>
  <si>
    <t>Indicated</t>
  </si>
  <si>
    <t>Inferred</t>
  </si>
  <si>
    <t>Proven</t>
  </si>
  <si>
    <t>Probable</t>
  </si>
  <si>
    <t>Sulfide</t>
  </si>
  <si>
    <t>Laterite</t>
  </si>
  <si>
    <t>Hydrothermal</t>
  </si>
  <si>
    <t>Misco</t>
  </si>
  <si>
    <t>TOTAL</t>
  </si>
  <si>
    <t>Deposit Type</t>
  </si>
  <si>
    <t>Mt</t>
  </si>
  <si>
    <t>%Cu</t>
  </si>
  <si>
    <t>g/t Au</t>
  </si>
  <si>
    <t>g/t Ag</t>
  </si>
  <si>
    <t>%U</t>
  </si>
  <si>
    <t>%Mo</t>
  </si>
  <si>
    <t>%Pb</t>
  </si>
  <si>
    <t>%Zn</t>
  </si>
  <si>
    <t>%Ni</t>
  </si>
  <si>
    <t>%Co</t>
  </si>
  <si>
    <t>g/t Pt</t>
  </si>
  <si>
    <t>g/t Pd</t>
  </si>
  <si>
    <t>g/t Rh</t>
  </si>
  <si>
    <t>g/t Ru</t>
  </si>
  <si>
    <t>g/t Ir</t>
  </si>
  <si>
    <t>%Cr</t>
  </si>
  <si>
    <t>%Fe</t>
  </si>
  <si>
    <r>
      <rPr>
        <sz val="10"/>
        <color theme="1"/>
        <rFont val="Arial"/>
        <family val="2"/>
      </rPr>
      <t>%SiO</t>
    </r>
    <r>
      <rPr>
        <vertAlign val="subscript"/>
        <sz val="10"/>
        <color theme="1"/>
        <rFont val="Arial"/>
        <family val="2"/>
      </rPr>
      <t>2</t>
    </r>
  </si>
  <si>
    <t>g/t Sc</t>
  </si>
  <si>
    <t>%Mn</t>
  </si>
  <si>
    <t>%H2O</t>
  </si>
  <si>
    <r>
      <rPr>
        <sz val="10"/>
        <color theme="1"/>
        <rFont val="Arial"/>
        <family val="2"/>
      </rPr>
      <t>%SiO</t>
    </r>
    <r>
      <rPr>
        <vertAlign val="subscript"/>
        <sz val="10"/>
        <color theme="1"/>
        <rFont val="Arial"/>
        <family val="2"/>
      </rPr>
      <t>2</t>
    </r>
  </si>
  <si>
    <r>
      <rPr>
        <sz val="10"/>
        <color theme="1"/>
        <rFont val="Arial"/>
        <family val="2"/>
      </rPr>
      <t>%SiO</t>
    </r>
    <r>
      <rPr>
        <vertAlign val="subscript"/>
        <sz val="10"/>
        <color theme="1"/>
        <rFont val="Arial"/>
        <family val="2"/>
      </rPr>
      <t>2</t>
    </r>
  </si>
  <si>
    <r>
      <rPr>
        <sz val="10"/>
        <color theme="1"/>
        <rFont val="Arial"/>
        <family val="2"/>
      </rPr>
      <t>%SiO</t>
    </r>
    <r>
      <rPr>
        <vertAlign val="subscript"/>
        <sz val="10"/>
        <color theme="1"/>
        <rFont val="Arial"/>
        <family val="2"/>
      </rPr>
      <t>2</t>
    </r>
  </si>
  <si>
    <r>
      <rPr>
        <sz val="10"/>
        <color theme="1"/>
        <rFont val="Arial"/>
        <family val="2"/>
      </rPr>
      <t>%SiO</t>
    </r>
    <r>
      <rPr>
        <vertAlign val="subscript"/>
        <sz val="10"/>
        <color theme="1"/>
        <rFont val="Arial"/>
        <family val="2"/>
      </rPr>
      <t>2</t>
    </r>
  </si>
  <si>
    <t>Mt ore</t>
  </si>
  <si>
    <t>kt Ni</t>
  </si>
  <si>
    <t>US$/t ore</t>
  </si>
  <si>
    <t>count</t>
  </si>
  <si>
    <t>Primary</t>
  </si>
  <si>
    <t>Secondary</t>
  </si>
  <si>
    <t>Other Notes</t>
  </si>
  <si>
    <t>Ni L</t>
  </si>
  <si>
    <t>Philippines</t>
  </si>
  <si>
    <t>Acoje</t>
  </si>
  <si>
    <t>Development</t>
  </si>
  <si>
    <t>OC</t>
  </si>
  <si>
    <t>unknown</t>
  </si>
  <si>
    <t>HPAL</t>
  </si>
  <si>
    <t>C</t>
  </si>
  <si>
    <t>AR 2011</t>
  </si>
  <si>
    <t>Oxide-Clay silicate</t>
  </si>
  <si>
    <t>WB-UG2</t>
  </si>
  <si>
    <t>South Africa</t>
  </si>
  <si>
    <t>Afplats-Imbasa / Imkosi</t>
  </si>
  <si>
    <t>ERG? previously Impala Pt</t>
  </si>
  <si>
    <t>ResV-ResC 2017</t>
  </si>
  <si>
    <t>Magmatic Sulphide</t>
  </si>
  <si>
    <t>Layered Intrusive</t>
  </si>
  <si>
    <t>Stratabound Stratiform Reef-type</t>
  </si>
  <si>
    <t>Western Limb Bushveld</t>
  </si>
  <si>
    <t>Afplats-Leeuwkop</t>
  </si>
  <si>
    <t>Impala Pt</t>
  </si>
  <si>
    <t>ResV-ResC 2018</t>
  </si>
  <si>
    <t>Ni S</t>
  </si>
  <si>
    <t>Russia</t>
  </si>
  <si>
    <t>Aganozero-Ni-bearing serpentinite</t>
  </si>
  <si>
    <t>Deposit</t>
  </si>
  <si>
    <t>NC</t>
  </si>
  <si>
    <t>FODD (2017)</t>
  </si>
  <si>
    <t>Magmatic Fe-Ti-V Oxide-related</t>
  </si>
  <si>
    <t>Agata Group</t>
  </si>
  <si>
    <t>Mindoro Resources-75%, Minimax Mineral Expl.-25%</t>
  </si>
  <si>
    <t>Tech Rep (2011-12)</t>
  </si>
  <si>
    <t>Hydrous Mg silicate-oxide</t>
  </si>
  <si>
    <t>Greece</t>
  </si>
  <si>
    <t>Agios Ioannis</t>
  </si>
  <si>
    <t>Operating</t>
  </si>
  <si>
    <t>Larco</t>
  </si>
  <si>
    <t>RKEF</t>
  </si>
  <si>
    <t>0.77</t>
  </si>
  <si>
    <t>Berger et al (2011)</t>
  </si>
  <si>
    <t>Oxide</t>
  </si>
  <si>
    <t>Brazil</t>
  </si>
  <si>
    <t>Água Branca</t>
  </si>
  <si>
    <t>Radaelli (2000)</t>
  </si>
  <si>
    <t>Spain</t>
  </si>
  <si>
    <t>Aguablanca</t>
  </si>
  <si>
    <t>C&amp;M</t>
  </si>
  <si>
    <t>Lundin Mining</t>
  </si>
  <si>
    <t>ResV-ResC 2015</t>
  </si>
  <si>
    <t>Small M-UM Intrusion-related</t>
  </si>
  <si>
    <t>Finland</t>
  </si>
  <si>
    <t>Ahokkala</t>
  </si>
  <si>
    <t>Eilu et al (2012)</t>
  </si>
  <si>
    <t>NB</t>
  </si>
  <si>
    <t>Akanani</t>
  </si>
  <si>
    <t>Lonmin</t>
  </si>
  <si>
    <t>Platreef</t>
  </si>
  <si>
    <t>Akkim</t>
  </si>
  <si>
    <t>Korsakova et al (2012)</t>
  </si>
  <si>
    <t>Canada</t>
  </si>
  <si>
    <t>Alexo-Kelex</t>
  </si>
  <si>
    <t>Tartisan Nickel</t>
  </si>
  <si>
    <t>Tech Rep (2012-08)</t>
  </si>
  <si>
    <t>Archean Komatiite</t>
  </si>
  <si>
    <t>Alpha</t>
  </si>
  <si>
    <t>Care &amp; Maint.</t>
  </si>
  <si>
    <t>DMCI Mining Corp</t>
  </si>
  <si>
    <t>DSO</t>
  </si>
  <si>
    <t>MDA 2011</t>
  </si>
  <si>
    <t>WB-Mer+UG2</t>
  </si>
  <si>
    <t>Amandelbult-Dishaba</t>
  </si>
  <si>
    <t>Anglo American Pt</t>
  </si>
  <si>
    <t>Amandelbult-Tumela</t>
  </si>
  <si>
    <t>Madagascar</t>
  </si>
  <si>
    <t>Ambatovy JV (incl. Anamalay)</t>
  </si>
  <si>
    <t>Sherritt, Sumitomo, Korea Resources Corp (KORES)</t>
  </si>
  <si>
    <t>AIF 2018</t>
  </si>
  <si>
    <t>Oxide-Hydrous Mg silicate</t>
  </si>
  <si>
    <t>Americano do Brasil</t>
  </si>
  <si>
    <t>Votorantim, Prometalica (?)</t>
  </si>
  <si>
    <t>Mota-e-Silva et al (2011)</t>
  </si>
  <si>
    <t>Araguaia North / South</t>
  </si>
  <si>
    <t>Horizonte Minerals</t>
  </si>
  <si>
    <t>Tech Rep (2018-12)</t>
  </si>
  <si>
    <t>PGE</t>
  </si>
  <si>
    <t>Arctic-Suhanko</t>
  </si>
  <si>
    <t>CD Capital Management</t>
  </si>
  <si>
    <t>ResV-ResC 2016</t>
  </si>
  <si>
    <t>Stratabound Contact-type</t>
  </si>
  <si>
    <t>CuZnPbNiCo</t>
  </si>
  <si>
    <t>Australia</t>
  </si>
  <si>
    <t>Area 55</t>
  </si>
  <si>
    <t>China Minmetals</t>
  </si>
  <si>
    <t>HM</t>
  </si>
  <si>
    <t>AR 2007</t>
  </si>
  <si>
    <t>Sediment-hosted polymetallic</t>
  </si>
  <si>
    <t>Aurora</t>
  </si>
  <si>
    <t>Sylvania Pt</t>
  </si>
  <si>
    <t>Tech Rep (2010-12)</t>
  </si>
  <si>
    <t>Avalon-Bulong</t>
  </si>
  <si>
    <t>Dragon Mountain Gold, Wingstar Investments</t>
  </si>
  <si>
    <t>WA MINEDEX</t>
  </si>
  <si>
    <t>-</t>
  </si>
  <si>
    <t>Hydrous Mg silicate-oxide-clay silicate</t>
  </si>
  <si>
    <t>Avebury</t>
  </si>
  <si>
    <t>UG</t>
  </si>
  <si>
    <t>Dundas Mining</t>
  </si>
  <si>
    <t>F</t>
  </si>
  <si>
    <t>Burundi</t>
  </si>
  <si>
    <t>Hydrothermal Ni</t>
  </si>
  <si>
    <t>Skarn</t>
  </si>
  <si>
    <t>Serbia</t>
  </si>
  <si>
    <t>Ba</t>
  </si>
  <si>
    <t>SMME (2013)</t>
  </si>
  <si>
    <t>Hydrous Mg silicate</t>
  </si>
  <si>
    <t>USA</t>
  </si>
  <si>
    <t>Babbit-Minnamax</t>
  </si>
  <si>
    <t>Miller et al (2002), Miller (2015)</t>
  </si>
  <si>
    <t>Duluth Complex - Keweenawan LIP</t>
  </si>
  <si>
    <t>Sweden</t>
  </si>
  <si>
    <t>Backviken</t>
  </si>
  <si>
    <t>Pres. (31 July 2009)</t>
  </si>
  <si>
    <t>Bafokeng-Rasimone</t>
  </si>
  <si>
    <t>Royal Bafokeng, Anglo Am Pt</t>
  </si>
  <si>
    <t>Indonesia</t>
  </si>
  <si>
    <t>Bahodopi</t>
  </si>
  <si>
    <t>Vale</t>
  </si>
  <si>
    <t>Dalvi &amp; Bacon (2004)</t>
  </si>
  <si>
    <t>China</t>
  </si>
  <si>
    <t>Baimazhai</t>
  </si>
  <si>
    <t>Lu et al (2019)</t>
  </si>
  <si>
    <t>Emeishan LIP</t>
  </si>
  <si>
    <t>Guatemala</t>
  </si>
  <si>
    <t>Baja Verapaz</t>
  </si>
  <si>
    <t>Clay silicate-oxide</t>
  </si>
  <si>
    <t>Bakubung (Ledig-Frischgewaagd)</t>
  </si>
  <si>
    <t>Wesizwe, Anglo Am Pt</t>
  </si>
  <si>
    <t>AR 2018</t>
  </si>
  <si>
    <t>Bamboo Creek</t>
  </si>
  <si>
    <t>Kitchener Mining50%, Destra25%, Haoma Mining25%</t>
  </si>
  <si>
    <t>Barnes Hill</t>
  </si>
  <si>
    <t>unclear</t>
  </si>
  <si>
    <t>Poland</t>
  </si>
  <si>
    <t>Barro Alto</t>
  </si>
  <si>
    <t>Anglo American</t>
  </si>
  <si>
    <t>Hydrous Mg silicate-clay silicate</t>
  </si>
  <si>
    <t>Benbow</t>
  </si>
  <si>
    <t>Tech Rep (2009-06)</t>
  </si>
  <si>
    <t>EB-UG2</t>
  </si>
  <si>
    <t>Berg</t>
  </si>
  <si>
    <t>Platfields</t>
  </si>
  <si>
    <t>AR 2012</t>
  </si>
  <si>
    <t>Eastern Limb Bushveld</t>
  </si>
  <si>
    <t>Berong</t>
  </si>
  <si>
    <t>DMCI Holdings</t>
  </si>
  <si>
    <t>Hydrous Mg silicate-Oxide</t>
  </si>
  <si>
    <t>India</t>
  </si>
  <si>
    <t>Bhimatangar</t>
  </si>
  <si>
    <t>Indian Gov't</t>
  </si>
  <si>
    <t>1.03</t>
  </si>
  <si>
    <t>0.15</t>
  </si>
  <si>
    <t>Oxide-hydrous Mg silicate</t>
  </si>
  <si>
    <t>Zimbabwe</t>
  </si>
  <si>
    <t>Bindura (Trojan-Shangani-Hunter's Road)</t>
  </si>
  <si>
    <t>C&amp;M?</t>
  </si>
  <si>
    <t>Asa Resource Group</t>
  </si>
  <si>
    <t>Binti Binti</t>
  </si>
  <si>
    <t>Pioneer Resources</t>
  </si>
  <si>
    <t>HPAL?</t>
  </si>
  <si>
    <t>Puerto Rico</t>
  </si>
  <si>
    <t>Clay silicate-Oxide</t>
  </si>
  <si>
    <t>Birch Lake</t>
  </si>
  <si>
    <t>Antofagasta (through Twin Metals)</t>
  </si>
  <si>
    <t>Black Hills-North Monger</t>
  </si>
  <si>
    <t>Western Resources, Zetek Resources</t>
  </si>
  <si>
    <t>Black Swan-Silver Swan</t>
  </si>
  <si>
    <t>Poseidon Nickel</t>
  </si>
  <si>
    <t>QR 2018-12</t>
  </si>
  <si>
    <t>Blue Lake</t>
  </si>
  <si>
    <t>Tech Rep (2013-03)</t>
  </si>
  <si>
    <t>Blue Ridge</t>
  </si>
  <si>
    <t>Sibanya-Stillwater, Imbani Pt</t>
  </si>
  <si>
    <t>Bohemia Basin (Basin-Takanis-Flapjack)</t>
  </si>
  <si>
    <t>Szumigala et al (2011)</t>
  </si>
  <si>
    <t>Wrangellia LIP-related</t>
  </si>
  <si>
    <t>Bokai North/South (Todal)</t>
  </si>
  <si>
    <t>ERG</t>
  </si>
  <si>
    <t>media (9 July 2009)</t>
  </si>
  <si>
    <t>EB-Mer+UG2</t>
  </si>
  <si>
    <t>Bokoni-Ga Phasha</t>
  </si>
  <si>
    <t>Atlatsa Resource, Anglo Am Pt</t>
  </si>
  <si>
    <t>Bon Accord-Segalla</t>
  </si>
  <si>
    <t>Brochure (2010-01)</t>
  </si>
  <si>
    <t>Booysendal North / South-Everest</t>
  </si>
  <si>
    <t>Northam Pt, Mvelaphanda Res</t>
  </si>
  <si>
    <t>Botolan</t>
  </si>
  <si>
    <t>NiHAO Mineral Resources Int'l</t>
  </si>
  <si>
    <t>AR 2010</t>
  </si>
  <si>
    <t>Co</t>
  </si>
  <si>
    <t>Morocco</t>
  </si>
  <si>
    <t>Bou-Azzer</t>
  </si>
  <si>
    <t>CTT (Managem)</t>
  </si>
  <si>
    <t>Brown's-Brown's East</t>
  </si>
  <si>
    <t>QR 2008-06</t>
  </si>
  <si>
    <t>Norway</t>
  </si>
  <si>
    <t>Bruvann (Råna)</t>
  </si>
  <si>
    <t>Boyd et al (2016)</t>
  </si>
  <si>
    <t>Bucko Lake</t>
  </si>
  <si>
    <t>Tech Rep (2012-10)</t>
  </si>
  <si>
    <t>Proterozoic Komatiite-related</t>
  </si>
  <si>
    <t>Thompson Belt</t>
  </si>
  <si>
    <t>Buckton-Buckton South</t>
  </si>
  <si>
    <t>DNI Metals</t>
  </si>
  <si>
    <t>Tech Rep's (2013-03, 2014-01)</t>
  </si>
  <si>
    <t>Shale-hosted Ni</t>
  </si>
  <si>
    <t>Sediment-hosted Pb-Zn/VMS</t>
  </si>
  <si>
    <t>Sedex/VMS</t>
  </si>
  <si>
    <t>Buli</t>
  </si>
  <si>
    <t>DSO?</t>
  </si>
  <si>
    <t>Buruktal</t>
  </si>
  <si>
    <t>Mechel Steel Group OAO (MTL)</t>
  </si>
  <si>
    <t>Form 20F (2011, 2012)</t>
  </si>
  <si>
    <t>Byro East</t>
  </si>
  <si>
    <t>Athena Resources</t>
  </si>
  <si>
    <t>Caboclo dos Mangueiros</t>
  </si>
  <si>
    <t>Matos &amp; Ferreira Filho (2018)</t>
  </si>
  <si>
    <t>Cagdianao (GFH)</t>
  </si>
  <si>
    <t>Global Ferronickel Holdings</t>
  </si>
  <si>
    <t>AR 2017</t>
  </si>
  <si>
    <t>Cagdianao (NAC)</t>
  </si>
  <si>
    <t>Nickel Asia Corp</t>
  </si>
  <si>
    <t>Cuba</t>
  </si>
  <si>
    <t>Cajálbana</t>
  </si>
  <si>
    <t>unknown (Cuban Gov't?)</t>
  </si>
  <si>
    <t>Camelback Bore East</t>
  </si>
  <si>
    <t>Glencore</t>
  </si>
  <si>
    <t>Canalask-Onion</t>
  </si>
  <si>
    <t>Victoria Gold Corp</t>
  </si>
  <si>
    <t>YGS (2009)</t>
  </si>
  <si>
    <t>Carr Boyd</t>
  </si>
  <si>
    <t>Estrella Resources</t>
  </si>
  <si>
    <t>Carrascal</t>
  </si>
  <si>
    <t>Carrascal Nickel</t>
  </si>
  <si>
    <t>Sajona &amp; Domingo (2011)</t>
  </si>
  <si>
    <t>Casiguran</t>
  </si>
  <si>
    <t>Century Peak Metals</t>
  </si>
  <si>
    <t>AR 2015</t>
  </si>
  <si>
    <t>Cat Lake-New Manitoba</t>
  </si>
  <si>
    <t>Yang et al (2014)</t>
  </si>
  <si>
    <t>Cawse</t>
  </si>
  <si>
    <t>Wingstar Investments (?)</t>
  </si>
  <si>
    <t>Chile</t>
  </si>
  <si>
    <t>Colombia</t>
  </si>
  <si>
    <t>Cerro Matoso</t>
  </si>
  <si>
    <t>South32</t>
  </si>
  <si>
    <t>Clay silicate-hydrous Mg silicate-oxide</t>
  </si>
  <si>
    <t xml:space="preserve">Cheremshanskoe </t>
  </si>
  <si>
    <t>Chernogorskoye</t>
  </si>
  <si>
    <t>Chieftains Plain-Walhalla</t>
  </si>
  <si>
    <t>Sibanya-Stillwater</t>
  </si>
  <si>
    <t>ResV-ResC 2013</t>
  </si>
  <si>
    <t>Malawi</t>
  </si>
  <si>
    <t>Chimimbe Hill</t>
  </si>
  <si>
    <t>Mkango Resources</t>
  </si>
  <si>
    <t>media (25 March 2009)</t>
  </si>
  <si>
    <t>Chironde</t>
  </si>
  <si>
    <t>Kosovo</t>
  </si>
  <si>
    <t>Çikatovë (Čikatovo)</t>
  </si>
  <si>
    <t>Clay silicate-hydrous Mg silicate</t>
  </si>
  <si>
    <t>Mn Nodules</t>
  </si>
  <si>
    <t>Int'l Waters</t>
  </si>
  <si>
    <t>Clarion-Clipperton (DeepGreen)</t>
  </si>
  <si>
    <t>DSM</t>
  </si>
  <si>
    <t>DeepGreen Metals</t>
  </si>
  <si>
    <t>beneficiation</t>
  </si>
  <si>
    <t>Tech Rep (2019-07)</t>
  </si>
  <si>
    <t>Manganese nodules</t>
  </si>
  <si>
    <t>Clarion-Clipperton (KIOST-Korea)</t>
  </si>
  <si>
    <t>Korean Institute of Ocean Science &amp; Technology (KIOST)</t>
  </si>
  <si>
    <t>KIOST (2014)</t>
  </si>
  <si>
    <t>Clarion-Clipperton (Nautilus)</t>
  </si>
  <si>
    <t>Nautilus Minerals</t>
  </si>
  <si>
    <t>Tech Rep (2016-07)</t>
  </si>
  <si>
    <t>Clarion-Clipperton (Russia)</t>
  </si>
  <si>
    <t>Yuzhmorgeologia</t>
  </si>
  <si>
    <t>Yuzhmorgeologia (2014)</t>
  </si>
  <si>
    <t>Clarion-Clipperton (Russian-led JV)</t>
  </si>
  <si>
    <t>InterOcean Metal Joint Organisation ('IOM')</t>
  </si>
  <si>
    <t>Abromowski (2014)</t>
  </si>
  <si>
    <t>Claude Hills</t>
  </si>
  <si>
    <t>Metals X</t>
  </si>
  <si>
    <t>Egypt</t>
  </si>
  <si>
    <t>Cliffs</t>
  </si>
  <si>
    <t>BHP Group</t>
  </si>
  <si>
    <t>Coglia-Mineral Patch Hill</t>
  </si>
  <si>
    <t>White Cliff Minerals</t>
  </si>
  <si>
    <t>Vietnam</t>
  </si>
  <si>
    <t>Collerina-Homeville</t>
  </si>
  <si>
    <t>Alpha HPA</t>
  </si>
  <si>
    <t>Oxide-clay silicate</t>
  </si>
  <si>
    <t>Collurabbie-Olympia</t>
  </si>
  <si>
    <t>Rox Resources</t>
  </si>
  <si>
    <t>Cookes Creek-Anomaly Hill</t>
  </si>
  <si>
    <t>Cuvier Resources</t>
  </si>
  <si>
    <t>Proterozoic Komatiite</t>
  </si>
  <si>
    <t>Corkwood</t>
  </si>
  <si>
    <t>Sayona Mining</t>
  </si>
  <si>
    <t>Coronation Dam-Duck Hill</t>
  </si>
  <si>
    <t>media 25 March 2019</t>
  </si>
  <si>
    <t>Clay silicate</t>
  </si>
  <si>
    <t>Cosmic Boy-Seagull</t>
  </si>
  <si>
    <t>Western Areas</t>
  </si>
  <si>
    <t>Cosmos Group</t>
  </si>
  <si>
    <t>Crawford</t>
  </si>
  <si>
    <t>Canada Nickel Company</t>
  </si>
  <si>
    <t>Tech Rep (2020-04)</t>
  </si>
  <si>
    <t>Crescent Creek</t>
  </si>
  <si>
    <t>Crocodile River</t>
  </si>
  <si>
    <t>Eastern Pt, Gubevu</t>
  </si>
  <si>
    <t>Dominican Rep.</t>
  </si>
  <si>
    <t>Cumpié Hill-Cerro de Maimon</t>
  </si>
  <si>
    <t>Perilya Mines (Zhongjin)</t>
  </si>
  <si>
    <t>Hydrous Mg silicate-clay silicate-oxide</t>
  </si>
  <si>
    <t>Cycloops (Cyclops)</t>
  </si>
  <si>
    <t>Dalen (Espedalen)</t>
  </si>
  <si>
    <t>Tech Rep (2009-02)</t>
  </si>
  <si>
    <t>Decar-Baptiste</t>
  </si>
  <si>
    <t>FPX Nickel Corp</t>
  </si>
  <si>
    <t>Tech Rep (2018-02)</t>
  </si>
  <si>
    <t>Fe-Ni alloy</t>
  </si>
  <si>
    <t>Serpentinisation-related mineralisation</t>
  </si>
  <si>
    <t>Awaruite deposit</t>
  </si>
  <si>
    <t>Denison</t>
  </si>
  <si>
    <t>Wallbridge Mining data</t>
  </si>
  <si>
    <t>Impact-related</t>
  </si>
  <si>
    <t>Sudbury Event</t>
  </si>
  <si>
    <t>Der Brochen</t>
  </si>
  <si>
    <t>Albania</t>
  </si>
  <si>
    <t>Devolli Group</t>
  </si>
  <si>
    <t>pers. comm. Sokol Mati</t>
  </si>
  <si>
    <t>Clay silicate-oxide-hydrous Mg silicate</t>
  </si>
  <si>
    <t>Diggers</t>
  </si>
  <si>
    <t>Botswana</t>
  </si>
  <si>
    <t>Dikoloti</t>
  </si>
  <si>
    <t>AR 2008</t>
  </si>
  <si>
    <t>Dinapigue</t>
  </si>
  <si>
    <t>Diorama</t>
  </si>
  <si>
    <t>New Caledonia</t>
  </si>
  <si>
    <t>Doniambo-SLN Group</t>
  </si>
  <si>
    <t>Eramet-Société Le Nickel (SLN)</t>
  </si>
  <si>
    <t>Duketon-C2</t>
  </si>
  <si>
    <t>Duketon Mining</t>
  </si>
  <si>
    <t>Duketon-Rosie</t>
  </si>
  <si>
    <t>Dumont</t>
  </si>
  <si>
    <t>RNC Minerals</t>
  </si>
  <si>
    <t>Dundonald</t>
  </si>
  <si>
    <t>Class 1 Nickel</t>
  </si>
  <si>
    <t>Tech Rep (2009-01)</t>
  </si>
  <si>
    <t>Dunka Pit</t>
  </si>
  <si>
    <t>Tanzania</t>
  </si>
  <si>
    <t>Dutwa (Wamangola-Ngasamo)</t>
  </si>
  <si>
    <t>African Eagle</t>
  </si>
  <si>
    <t>ATL?</t>
  </si>
  <si>
    <t>Website (23 May 2013)</t>
  </si>
  <si>
    <t>Eagle-Eagle East (USA)</t>
  </si>
  <si>
    <t>Eagle's Nest</t>
  </si>
  <si>
    <t>Noront Resources</t>
  </si>
  <si>
    <t>East Halmahera Group (Limonite)</t>
  </si>
  <si>
    <t>PT Antam</t>
  </si>
  <si>
    <t>East Halmahera Group (Saprolite)</t>
  </si>
  <si>
    <t>Eland</t>
  </si>
  <si>
    <t>Northam Pt</t>
  </si>
  <si>
    <r>
      <rPr>
        <sz val="10"/>
        <color theme="1"/>
        <rFont val="Arial"/>
        <family val="2"/>
      </rPr>
      <t xml:space="preserve">Eldorado-Port Radium </t>
    </r>
    <r>
      <rPr>
        <b/>
        <sz val="10"/>
        <color rgb="FFFF0000"/>
        <rFont val="Arial"/>
        <family val="2"/>
      </rPr>
      <t>Tailings</t>
    </r>
  </si>
  <si>
    <t>Tailings</t>
  </si>
  <si>
    <t>website (20 Jan 2013)</t>
  </si>
  <si>
    <t>Unconformity-related Uranium</t>
  </si>
  <si>
    <t>Ertelien (Ertelia)</t>
  </si>
  <si>
    <t>Everest North-Vygenhoek</t>
  </si>
  <si>
    <t>Sibanya-Stillwater, Sylvania Pt</t>
  </si>
  <si>
    <t>Everest South-Hoogland</t>
  </si>
  <si>
    <t>Sibanye-Stillwater</t>
  </si>
  <si>
    <t>Evvoia</t>
  </si>
  <si>
    <t>0.83</t>
  </si>
  <si>
    <t>Falcondo</t>
  </si>
  <si>
    <t>Americano Nickel</t>
  </si>
  <si>
    <t>Fedorova Tundra</t>
  </si>
  <si>
    <t>Fenix-Exmibal (Saprolite+Limonite)</t>
  </si>
  <si>
    <t>Solway Group</t>
  </si>
  <si>
    <t>Tech Rep (2010-03)</t>
  </si>
  <si>
    <t>Ferguson Lake</t>
  </si>
  <si>
    <t>Tech Rep (2011-11)</t>
  </si>
  <si>
    <t>Fisher East</t>
  </si>
  <si>
    <t>Flåt</t>
  </si>
  <si>
    <t>Rasilainen et al (2012)</t>
  </si>
  <si>
    <t>Flying Fox-Lounge Lizard</t>
  </si>
  <si>
    <t>PNG</t>
  </si>
  <si>
    <t>Frieda River</t>
  </si>
  <si>
    <t>Redstone Metals?</t>
  </si>
  <si>
    <t>Mosusu (2014)</t>
  </si>
  <si>
    <t>Funter Bay</t>
  </si>
  <si>
    <t>Associated with Wrangellia/Nikolai LIP?</t>
  </si>
  <si>
    <t>Gabanintha (Ni-Co-Cu zone only)</t>
  </si>
  <si>
    <t>Australian Vanadium</t>
  </si>
  <si>
    <t>Ti-V Magnetite</t>
  </si>
  <si>
    <t>media 28 Nov 2018</t>
  </si>
  <si>
    <t>Fe-Ti-V Magnetite</t>
  </si>
  <si>
    <t>Gap</t>
  </si>
  <si>
    <t>Long (1992)</t>
  </si>
  <si>
    <t>Garatau (Garatouw/Hoepakrantz/De Kom)</t>
  </si>
  <si>
    <t>Nkwe Pt</t>
  </si>
  <si>
    <t>Gasquet Mountain</t>
  </si>
  <si>
    <t>pers. comm. Golightly</t>
  </si>
  <si>
    <t>Gebe Island</t>
  </si>
  <si>
    <t>CuNiCo</t>
  </si>
  <si>
    <t>Geordie Lake</t>
  </si>
  <si>
    <t>Tech Rep (2008-07)</t>
  </si>
  <si>
    <t>Ghan Well</t>
  </si>
  <si>
    <t>Guinea</t>
  </si>
  <si>
    <t>Gogota</t>
  </si>
  <si>
    <t>SRG Mining</t>
  </si>
  <si>
    <t>Tech Rep (2018-06)</t>
  </si>
  <si>
    <t>Goodyear</t>
  </si>
  <si>
    <t>Goongarrie South (Fe)</t>
  </si>
  <si>
    <t>Ardea Resources</t>
  </si>
  <si>
    <t>Solomon Islands</t>
  </si>
  <si>
    <t>Gordonbrook-Bungonia</t>
  </si>
  <si>
    <t>HM?</t>
  </si>
  <si>
    <t>AR 2009</t>
  </si>
  <si>
    <t>Kazakhstan</t>
  </si>
  <si>
    <t>Gornostai</t>
  </si>
  <si>
    <t xml:space="preserve">Kaznickel; Bekem Metals Inc. </t>
  </si>
  <si>
    <t>Goro</t>
  </si>
  <si>
    <t>AR's 2014 to 2018</t>
  </si>
  <si>
    <t>Grasset</t>
  </si>
  <si>
    <t>Balmoral Resources</t>
  </si>
  <si>
    <t>Tech Rep (2016-01)</t>
  </si>
  <si>
    <t>Grootboom</t>
  </si>
  <si>
    <t>Sedibelo Pt Mines, Moepi</t>
  </si>
  <si>
    <t>Website (21 Oct 2019)</t>
  </si>
  <si>
    <t>Guanajibo-Punta Guanajibo</t>
  </si>
  <si>
    <t>0.89</t>
  </si>
  <si>
    <t>Häggån</t>
  </si>
  <si>
    <t>Aura Energy</t>
  </si>
  <si>
    <t>Haukiaho</t>
  </si>
  <si>
    <t>Nortec Minerals Corp, Finore Mining</t>
  </si>
  <si>
    <t>Tech Rep (2013-09)</t>
  </si>
  <si>
    <t>Hautavaara</t>
  </si>
  <si>
    <t>Eilu (2012)</t>
  </si>
  <si>
    <t>Archean komatiite</t>
  </si>
  <si>
    <t>Heishan</t>
  </si>
  <si>
    <t>Hengjaya Mineralindo (HM)</t>
  </si>
  <si>
    <t>Tech Rep (2018-04)</t>
  </si>
  <si>
    <t>PbZnNiCo</t>
  </si>
  <si>
    <t>Higdon</t>
  </si>
  <si>
    <t>Singer et al (2009)</t>
  </si>
  <si>
    <t>Sediment-hosted Pb-Zn</t>
  </si>
  <si>
    <t>MVT</t>
  </si>
  <si>
    <t>Hinatuan-Taganaan</t>
  </si>
  <si>
    <t>Hitura</t>
  </si>
  <si>
    <t>Tech Rep (2012-12)</t>
  </si>
  <si>
    <t>Hoedspruit</t>
  </si>
  <si>
    <t>Honeymoon Well Group (laterite)</t>
  </si>
  <si>
    <t>Norilsk Nickel</t>
  </si>
  <si>
    <t>Oxide-Clay Silicate</t>
  </si>
  <si>
    <t>Honeymoon Well Group (sulfide)</t>
  </si>
  <si>
    <t>Hongqiling</t>
  </si>
  <si>
    <t>Hotinvaara</t>
  </si>
  <si>
    <t>Magnus Minerals</t>
  </si>
  <si>
    <t>Pres. (2014-05)</t>
  </si>
  <si>
    <t>Huangshandong-Huangshan-Xiangshan</t>
  </si>
  <si>
    <t>Xinjiang Xinxin Mining Industry</t>
  </si>
  <si>
    <t>Huanshanxi</t>
  </si>
  <si>
    <t>Hursulskoe</t>
  </si>
  <si>
    <t>Oman</t>
  </si>
  <si>
    <t>Ibra Group</t>
  </si>
  <si>
    <t>Ilmolahti-Ilmolahti</t>
  </si>
  <si>
    <t>Ilmolahti-Mäkisalo</t>
  </si>
  <si>
    <t>Ilmolahti-Ohensalo</t>
  </si>
  <si>
    <t>Ilmolahti-Törmälä</t>
  </si>
  <si>
    <t>Impala</t>
  </si>
  <si>
    <t>Impala-RBR JV</t>
  </si>
  <si>
    <t>Impala Pt-RBR JV</t>
  </si>
  <si>
    <t>Infanta</t>
  </si>
  <si>
    <t>MacroAsia Corp?</t>
  </si>
  <si>
    <t>Website (13-01-2013)</t>
  </si>
  <si>
    <t>Ipanema</t>
  </si>
  <si>
    <t>Ipilan-Celestial</t>
  </si>
  <si>
    <t>Isabela Island (San Jorge-Kolosori)</t>
  </si>
  <si>
    <t>Axiom Mining</t>
  </si>
  <si>
    <t>media (29 Dec 2015)</t>
  </si>
  <si>
    <t>Isabela-New Frontier</t>
  </si>
  <si>
    <t>Ishkinino (Russia)</t>
  </si>
  <si>
    <t>Herrington et al, (2005)</t>
  </si>
  <si>
    <t>VMS</t>
  </si>
  <si>
    <t>Iso-Siettelöjoki</t>
  </si>
  <si>
    <t>Sandstad et al (2012)</t>
  </si>
  <si>
    <t>Jacaré</t>
  </si>
  <si>
    <t>Jacomyns Pan</t>
  </si>
  <si>
    <t>AR 1997</t>
  </si>
  <si>
    <t>Jacupiranga</t>
  </si>
  <si>
    <t>Jaguar-Onca Rosa</t>
  </si>
  <si>
    <t>Centaurus Metals</t>
  </si>
  <si>
    <t>media (6 Aug 2019)</t>
  </si>
  <si>
    <t>IOCG</t>
  </si>
  <si>
    <t>Jauratsi</t>
  </si>
  <si>
    <t>Jericho</t>
  </si>
  <si>
    <t>Jimberlana-Bronzite Ridge</t>
  </si>
  <si>
    <t>Thousand Island Resources</t>
  </si>
  <si>
    <t>Jinbaoshan</t>
  </si>
  <si>
    <t>Jinchuan</t>
  </si>
  <si>
    <t>Jinchuan Group</t>
  </si>
  <si>
    <t>calc; Porter (2016)</t>
  </si>
  <si>
    <t>Julia (Goblin / Leprechaun)</t>
  </si>
  <si>
    <t>Junior Lake-B4-7 / Alpha</t>
  </si>
  <si>
    <t>Landore Resources</t>
  </si>
  <si>
    <t>Tech Rep (2018-01)</t>
  </si>
  <si>
    <t>Junior Lake-VW</t>
  </si>
  <si>
    <t>Juzhno-Konzhozero</t>
  </si>
  <si>
    <t>Kabanga</t>
  </si>
  <si>
    <t>Glencore, Barrick Gold</t>
  </si>
  <si>
    <t>Kalatongke</t>
  </si>
  <si>
    <t>Kaliapani</t>
  </si>
  <si>
    <t>0.88</t>
  </si>
  <si>
    <t>Zambia</t>
  </si>
  <si>
    <t>Kalumbila-Enterprise</t>
  </si>
  <si>
    <t>First Quantum</t>
  </si>
  <si>
    <t>Sediment-hosted Stratiform Cu</t>
  </si>
  <si>
    <t>Co-Ni-Cu</t>
  </si>
  <si>
    <r>
      <rPr>
        <sz val="10"/>
        <color theme="1"/>
        <rFont val="Arial"/>
        <family val="2"/>
      </rPr>
      <t xml:space="preserve">Kambalda </t>
    </r>
    <r>
      <rPr>
        <b/>
        <sz val="10"/>
        <color rgb="FFFF0000"/>
        <rFont val="Arial"/>
        <family val="2"/>
      </rPr>
      <t>Tailings</t>
    </r>
  </si>
  <si>
    <t>Jubilee Metals Group (?)</t>
  </si>
  <si>
    <t>Kambalda-Beta Hunt Group</t>
  </si>
  <si>
    <t>Kambalda-Blair</t>
  </si>
  <si>
    <t>Kambalda-Foster/Jan/Fisher</t>
  </si>
  <si>
    <t>Gold Fields</t>
  </si>
  <si>
    <t>Kambalda-Independence Group</t>
  </si>
  <si>
    <t>Independence Group</t>
  </si>
  <si>
    <t>Kambalda-Lanfranchi Group</t>
  </si>
  <si>
    <t>Panoramic Resources</t>
  </si>
  <si>
    <t>Kambalda-Mincor Group</t>
  </si>
  <si>
    <t>Mincor Resources</t>
  </si>
  <si>
    <t>Kambalda-Mount Edwards/Armstrong Group</t>
  </si>
  <si>
    <t>UG-OC</t>
  </si>
  <si>
    <t>Neometals</t>
  </si>
  <si>
    <t>Kambalda-Spargoville</t>
  </si>
  <si>
    <t>Kansa</t>
  </si>
  <si>
    <t>0.8</t>
  </si>
  <si>
    <t>0.08</t>
  </si>
  <si>
    <t>Kapalagulu (Mibango)</t>
  </si>
  <si>
    <t>Evans et al (2016)</t>
  </si>
  <si>
    <t>Kastoria</t>
  </si>
  <si>
    <t>1.32</t>
  </si>
  <si>
    <t>Kaukua</t>
  </si>
  <si>
    <t>Palladium One Resources</t>
  </si>
  <si>
    <t>Tech Rep (2019-09)</t>
  </si>
  <si>
    <t>Keller Creek-Eskimo Knoll</t>
  </si>
  <si>
    <t>Kempirsai (Kempirsay)</t>
  </si>
  <si>
    <t>Bekem Metals Inc., KKM</t>
  </si>
  <si>
    <t>Kenbridge</t>
  </si>
  <si>
    <t>Transition Metals Corp</t>
  </si>
  <si>
    <t>Kevitsa</t>
  </si>
  <si>
    <t>Boliden</t>
  </si>
  <si>
    <t>Khikhnajarvi</t>
  </si>
  <si>
    <t>Proterozoic komatiite</t>
  </si>
  <si>
    <t>Kingash-Kingashsky</t>
  </si>
  <si>
    <t>Intergeo MMC (?)</t>
  </si>
  <si>
    <t>Tech Rep (2012-05)</t>
  </si>
  <si>
    <t>Siberian Traps LIP</t>
  </si>
  <si>
    <t>Kingash-Kuyovsky</t>
  </si>
  <si>
    <t>Kingash-Verkhnekingashsky</t>
  </si>
  <si>
    <t>Kliprivier</t>
  </si>
  <si>
    <t>Website (7 April 2016)</t>
  </si>
  <si>
    <t>KNP East-Bulong: Bulong East</t>
  </si>
  <si>
    <t>KNP East-Bulong: Taurus</t>
  </si>
  <si>
    <t>Côte d'Ivoire</t>
  </si>
  <si>
    <t>KNP East-Hampton: Kalpini (Lake Rebecca)</t>
  </si>
  <si>
    <t>KNP West-Goongarrie: Big Four</t>
  </si>
  <si>
    <t>KNP West-Goongarrie: Ghost Rocks</t>
  </si>
  <si>
    <t>KNP West-Goongarrie: Goongarrie Hill</t>
  </si>
  <si>
    <t>KNP West-Goongarrie: Goongarrie South</t>
  </si>
  <si>
    <t>Togo</t>
  </si>
  <si>
    <t>KNP West-Goongarrie: Highway</t>
  </si>
  <si>
    <t>Turkey</t>
  </si>
  <si>
    <t>KNP West-Goongarrie: Scotia</t>
  </si>
  <si>
    <t>KNP West-Siberia: Black Range</t>
  </si>
  <si>
    <t>KNP West-Siberia: Siberia North</t>
  </si>
  <si>
    <t>KNP West-Siberia: Siberia South</t>
  </si>
  <si>
    <t>KNP Yerilla: Aubils</t>
  </si>
  <si>
    <t>KNP Yerilla: Boyce Creek</t>
  </si>
  <si>
    <t>KNP Yerilla: Jump-Up Dam</t>
  </si>
  <si>
    <t>Koivujoki</t>
  </si>
  <si>
    <t>Kola Peninsula</t>
  </si>
  <si>
    <t>Pechenga camp</t>
  </si>
  <si>
    <t>Koniambo</t>
  </si>
  <si>
    <t>Glencore-SMSP</t>
  </si>
  <si>
    <t>Koreppa (Waria Valley-Bovio Hill)</t>
  </si>
  <si>
    <t>Grainger &amp; Grainger (1974)</t>
  </si>
  <si>
    <t>Kroondal (PSA)</t>
  </si>
  <si>
    <t>Anglo Am Pt, Sibanye-Stillwater</t>
  </si>
  <si>
    <t>Kruidfontein</t>
  </si>
  <si>
    <t>Sedibelo Pt Mines, Watervale</t>
  </si>
  <si>
    <t>Kuhmo-Arola</t>
  </si>
  <si>
    <t>media (8 July 2014)</t>
  </si>
  <si>
    <t>Kuhmo-Hietaharju</t>
  </si>
  <si>
    <t>Kuhmo-Kauniinlampi</t>
  </si>
  <si>
    <t>Kuhmo-Peura-Aho</t>
  </si>
  <si>
    <t>Kuhmo-Sika-Aho</t>
  </si>
  <si>
    <t>Kuhmo-Vaara</t>
  </si>
  <si>
    <t>media (19 Oct 2009)</t>
  </si>
  <si>
    <t>Kukes-Krume-Lure</t>
  </si>
  <si>
    <t>Kumbuksinskoe</t>
  </si>
  <si>
    <t>Kun-Manie Group</t>
  </si>
  <si>
    <t>Amur Minerals Corp</t>
  </si>
  <si>
    <t>Porphyry</t>
  </si>
  <si>
    <t>Kurnalpi-Acra</t>
  </si>
  <si>
    <t>Kurnalpi-Grey Dam</t>
  </si>
  <si>
    <t>Carnavale Resources</t>
  </si>
  <si>
    <t>Kuusijärvi</t>
  </si>
  <si>
    <t>Geol Survey Finland (GTK; 27 Dec 2013)</t>
  </si>
  <si>
    <t>Kylylahti</t>
  </si>
  <si>
    <t>Lac des Iles</t>
  </si>
  <si>
    <t>North American Palladium</t>
  </si>
  <si>
    <t>PGE-discordant intrusion</t>
  </si>
  <si>
    <t>Lac Kelly (Quebec)</t>
  </si>
  <si>
    <t>Globex Mining</t>
  </si>
  <si>
    <t>Website (4 April 2020)</t>
  </si>
  <si>
    <t>Lac Levac-Nisk 1</t>
  </si>
  <si>
    <t>Nemaska Lithium (?)</t>
  </si>
  <si>
    <t>Tech Rep (2009-12)</t>
  </si>
  <si>
    <t>Lac Rocher</t>
  </si>
  <si>
    <t>Victory Nickel</t>
  </si>
  <si>
    <t>Tech Rep (2008-12)</t>
  </si>
  <si>
    <t>Lady Byron</t>
  </si>
  <si>
    <t>Australian Jade Mining</t>
  </si>
  <si>
    <t>Lagonoy</t>
  </si>
  <si>
    <t>Lainejaur (Lainijaur)</t>
  </si>
  <si>
    <t>Lake Innes (Hurll's Hill)</t>
  </si>
  <si>
    <t>GA AMA</t>
  </si>
  <si>
    <t>Lake Johnston-Maggie Hays</t>
  </si>
  <si>
    <t>Lake Trist</t>
  </si>
  <si>
    <t>Regency Mines?</t>
  </si>
  <si>
    <t>Lake Yindarlgooda</t>
  </si>
  <si>
    <t>Fireant Resources</t>
  </si>
  <si>
    <t>Lambozero-1</t>
  </si>
  <si>
    <t>Lappvattnet</t>
  </si>
  <si>
    <t>Larkins Find</t>
  </si>
  <si>
    <t>Golden Life Nature Products (WA)</t>
  </si>
  <si>
    <t>Argentina</t>
  </si>
  <si>
    <t>Las Aguilas</t>
  </si>
  <si>
    <t>Marifil Mines</t>
  </si>
  <si>
    <t>Tech Rep (2011-06)</t>
  </si>
  <si>
    <t>Las Mesas</t>
  </si>
  <si>
    <t>0.81</t>
  </si>
  <si>
    <t>Laukku</t>
  </si>
  <si>
    <t>Lawlers</t>
  </si>
  <si>
    <t>Lebjazhinskoe</t>
  </si>
  <si>
    <t>Leinster</t>
  </si>
  <si>
    <t>UG+OC</t>
  </si>
  <si>
    <r>
      <rPr>
        <sz val="10"/>
        <color theme="1"/>
        <rFont val="Arial"/>
        <family val="2"/>
      </rPr>
      <t xml:space="preserve">Leinster </t>
    </r>
    <r>
      <rPr>
        <b/>
        <sz val="10"/>
        <color rgb="FFFF0000"/>
        <rFont val="Arial"/>
        <family val="2"/>
      </rPr>
      <t>Tailings</t>
    </r>
  </si>
  <si>
    <t>Leschevskoe</t>
  </si>
  <si>
    <t>Lesego</t>
  </si>
  <si>
    <t>Lesego Pt</t>
  </si>
  <si>
    <t>Librazhd-Pogradec</t>
  </si>
  <si>
    <t>Liger (Leeuwkop-Tigerpoort)</t>
  </si>
  <si>
    <t>Limahe</t>
  </si>
  <si>
    <t>Limeburners Flat</t>
  </si>
  <si>
    <t>NSW Exploration Report</t>
  </si>
  <si>
    <t>Limoeiro</t>
  </si>
  <si>
    <t>Votorantim (?)</t>
  </si>
  <si>
    <t>Mota-e-Silva et al (2015)</t>
  </si>
  <si>
    <t>Limpopo-Baobab/Doornvlei/Dwaalkop/Zebedelia</t>
  </si>
  <si>
    <t>Lonmin, Northam Pt</t>
  </si>
  <si>
    <t>Uitkomst Complex</t>
  </si>
  <si>
    <t>Liuksiala</t>
  </si>
  <si>
    <t>Local Boy</t>
  </si>
  <si>
    <t>Teck</t>
  </si>
  <si>
    <t>Teck (2010)</t>
  </si>
  <si>
    <t>Venezuela</t>
  </si>
  <si>
    <t>Loma de Niquel (Loma de Hierro)</t>
  </si>
  <si>
    <t>Depleted?</t>
  </si>
  <si>
    <t>Venezuelan Gov't</t>
  </si>
  <si>
    <t>Long Point</t>
  </si>
  <si>
    <t>Loskop JV (Rietfontein/De Wagendrift)</t>
  </si>
  <si>
    <t>Lonmin, Sedibelo Pt Mines</t>
  </si>
  <si>
    <t>Loukinen</t>
  </si>
  <si>
    <t>Orogenic Au</t>
  </si>
  <si>
    <t>Lovnozerskoe</t>
  </si>
  <si>
    <t>Luikonlahti-Hoikka</t>
  </si>
  <si>
    <t>Lunges</t>
  </si>
  <si>
    <t>Lynn Lake</t>
  </si>
  <si>
    <t>Corazon Mining, Victory Nickel</t>
  </si>
  <si>
    <t>media (11 Oct 2018)</t>
  </si>
  <si>
    <t>Magazynskraal-Sedibelo East</t>
  </si>
  <si>
    <t>Sedibelo Pt Mines, Bakgatla</t>
  </si>
  <si>
    <t>Makwa (Maskwa)</t>
  </si>
  <si>
    <t>Grid Metals</t>
  </si>
  <si>
    <t>Tech Rep (2014-05)</t>
  </si>
  <si>
    <t>Malaya Pana-North Reef (Kiyevay)</t>
  </si>
  <si>
    <t>OAO Pana PGM</t>
  </si>
  <si>
    <t>website (19-03-2013)</t>
  </si>
  <si>
    <t>Mambare</t>
  </si>
  <si>
    <t>Direct Nickel-50%, Regency Mines-50%</t>
  </si>
  <si>
    <t>DNI?</t>
  </si>
  <si>
    <t>Manicani</t>
  </si>
  <si>
    <t>Manisa Gördes</t>
  </si>
  <si>
    <t>META Nikel Kobalt</t>
  </si>
  <si>
    <t>Eliopoulos et al (2012)</t>
  </si>
  <si>
    <t>Manisa-Turgutlu Çaldağ</t>
  </si>
  <si>
    <t>HL</t>
  </si>
  <si>
    <t>Manticao</t>
  </si>
  <si>
    <t>Marbridge-Cubric</t>
  </si>
  <si>
    <t>Tech Rep (2007-07)</t>
  </si>
  <si>
    <t>Marcventures-BRC</t>
  </si>
  <si>
    <t>Marcventures Holdings</t>
  </si>
  <si>
    <t>CP Tech Rep (2019)</t>
  </si>
  <si>
    <t>Mareesburg</t>
  </si>
  <si>
    <t>Eastern Pt</t>
  </si>
  <si>
    <t>Maricao</t>
  </si>
  <si>
    <t>Weaver (1992)</t>
  </si>
  <si>
    <t>Marikana (Lonmin)</t>
  </si>
  <si>
    <t>Marikana (PSA)</t>
  </si>
  <si>
    <t>Marlborough Group</t>
  </si>
  <si>
    <t>Gladstone Pacific Nickel (?)</t>
  </si>
  <si>
    <t>AR 2007, 2008</t>
  </si>
  <si>
    <t>Clay silicate-Hydrous Mg silicate-oxide</t>
  </si>
  <si>
    <t>Marshall Pool</t>
  </si>
  <si>
    <t>Marula</t>
  </si>
  <si>
    <t>Maseve-1 / 3</t>
  </si>
  <si>
    <t>Royal Bafokeng Platinum</t>
  </si>
  <si>
    <t>Masinloc</t>
  </si>
  <si>
    <t>Maslovskoye</t>
  </si>
  <si>
    <t>Depsoit</t>
  </si>
  <si>
    <t>Maturi (incl. Nokomis)</t>
  </si>
  <si>
    <t>Maturi Southwest</t>
  </si>
  <si>
    <t>Mayaniquel-Sechol Group</t>
  </si>
  <si>
    <t>Tech Rep (2011-04)</t>
  </si>
  <si>
    <t>Mayville</t>
  </si>
  <si>
    <t>Mel</t>
  </si>
  <si>
    <t>Tech Rep (2007-03)</t>
  </si>
  <si>
    <t>Melba Flats (North Cuni-Genets)</t>
  </si>
  <si>
    <t>Dundas Mining?</t>
  </si>
  <si>
    <t>AR 2006</t>
  </si>
  <si>
    <t>Intrusion-related</t>
  </si>
  <si>
    <t>Mesaba (Babbit)</t>
  </si>
  <si>
    <t>Mayhew et al (2009), Teck (2010)</t>
  </si>
  <si>
    <t>Millenium</t>
  </si>
  <si>
    <t>Mimosa</t>
  </si>
  <si>
    <t>Sibanye-Stillwater, Impala Pt</t>
  </si>
  <si>
    <t>Minago</t>
  </si>
  <si>
    <t>Mindoro (Lower Kisluyan-Buraboy)</t>
  </si>
  <si>
    <t>Intex Resources?</t>
  </si>
  <si>
    <t>Feasibility Study 2010</t>
  </si>
  <si>
    <t>Mine LaMotte-Fredericktown</t>
  </si>
  <si>
    <t>Long (1992); Singer et al (2009)</t>
  </si>
  <si>
    <t>Miriam</t>
  </si>
  <si>
    <t>Focus Minerals</t>
  </si>
  <si>
    <t>Mirror Harbor</t>
  </si>
  <si>
    <t>Mjövattnet</t>
  </si>
  <si>
    <t>MMDC (Cabangahan-Sipangpang-Pili)</t>
  </si>
  <si>
    <t>Moa Bay JV</t>
  </si>
  <si>
    <t>Sherritt, Cuban Gov't</t>
  </si>
  <si>
    <t>Tech Rep (2019-06)</t>
  </si>
  <si>
    <t>Moa Bay-Camarioca Norte/Sur</t>
  </si>
  <si>
    <t>Moa Bay-Eastern Satellites</t>
  </si>
  <si>
    <t>Modikwa</t>
  </si>
  <si>
    <t>Anglo Am Pt, African Rainbow Mins</t>
  </si>
  <si>
    <t>Mogalakwena-Boikgantsho</t>
  </si>
  <si>
    <t>Mojo</t>
  </si>
  <si>
    <t>Mokopane</t>
  </si>
  <si>
    <t>Matimba Resources (?)</t>
  </si>
  <si>
    <t>Mokra Gora</t>
  </si>
  <si>
    <t>Monchegorsk-Njudaivench</t>
  </si>
  <si>
    <t>Monchegorsk-NKT</t>
  </si>
  <si>
    <t>Monchegorsk-Sopcha (Lodes)</t>
  </si>
  <si>
    <t>Monchegorsk-Sophuaivench</t>
  </si>
  <si>
    <t>Montes Claros</t>
  </si>
  <si>
    <t>Moorsom</t>
  </si>
  <si>
    <t>Morro de Engenho</t>
  </si>
  <si>
    <t>Morro de Niquel</t>
  </si>
  <si>
    <t>Morro Sem Bone-Morro do Leme</t>
  </si>
  <si>
    <t>GK Resources</t>
  </si>
  <si>
    <t>media (12 Sept 2019)</t>
  </si>
  <si>
    <t>Mototolo</t>
  </si>
  <si>
    <t>Mouat</t>
  </si>
  <si>
    <t>Tech Rep 2009-06 (Nev)</t>
  </si>
  <si>
    <t>Mount Clifford-Marriotts</t>
  </si>
  <si>
    <t>Norwest Minerals</t>
  </si>
  <si>
    <t>Myanmar</t>
  </si>
  <si>
    <t>Mount Day-Cat Camp</t>
  </si>
  <si>
    <t>Matsa Resources</t>
  </si>
  <si>
    <t>Mount Fitch (Ni-Cu-Co)</t>
  </si>
  <si>
    <t>Cameroon</t>
  </si>
  <si>
    <t>Mount Goode</t>
  </si>
  <si>
    <t>Mount Jewell-GSP</t>
  </si>
  <si>
    <t>Capital Mining</t>
  </si>
  <si>
    <t>Mount Keith</t>
  </si>
  <si>
    <t>Mount Kpote</t>
  </si>
  <si>
    <t>Mount Sholl</t>
  </si>
  <si>
    <t>Welcome Exploration</t>
  </si>
  <si>
    <t>Mount Thirsty</t>
  </si>
  <si>
    <t>Barra Resources50%, Conico50%</t>
  </si>
  <si>
    <t>Germany</t>
  </si>
  <si>
    <t>Mount Thirsty-Mission Sill</t>
  </si>
  <si>
    <t>Galileo Mining</t>
  </si>
  <si>
    <t>Mountain General'skaya</t>
  </si>
  <si>
    <t>Mphahlele</t>
  </si>
  <si>
    <r>
      <rPr>
        <sz val="10"/>
        <color theme="1"/>
        <rFont val="Arial"/>
        <family val="2"/>
      </rPr>
      <t xml:space="preserve">Mt Keith </t>
    </r>
    <r>
      <rPr>
        <b/>
        <sz val="10"/>
        <color rgb="FFFF0000"/>
        <rFont val="Arial"/>
        <family val="2"/>
      </rPr>
      <t>Tailings</t>
    </r>
  </si>
  <si>
    <t>CuZnNiCo</t>
  </si>
  <si>
    <t>Mulga Rock East (base metals)</t>
  </si>
  <si>
    <t>Vimy Resources</t>
  </si>
  <si>
    <t>AR 2016</t>
  </si>
  <si>
    <t>Munali</t>
  </si>
  <si>
    <t>Consolidated Nickel Mines</t>
  </si>
  <si>
    <t>Fact Sheet (2019-04); Haldar (2017)</t>
  </si>
  <si>
    <t>Munda</t>
  </si>
  <si>
    <t>Munglinup-Boanaernup (Young River)</t>
  </si>
  <si>
    <t>UltraCharge</t>
  </si>
  <si>
    <t>South Korea</t>
  </si>
  <si>
    <t>Oxide?</t>
  </si>
  <si>
    <t>Munni Munni</t>
  </si>
  <si>
    <t>Artemis Resources; Platina Resources</t>
  </si>
  <si>
    <t>Murrin Murrin</t>
  </si>
  <si>
    <t>Musongati</t>
  </si>
  <si>
    <t>Burundi Mining &amp; Metallurgy</t>
  </si>
  <si>
    <t>Tech Rep (2011-07)</t>
  </si>
  <si>
    <t>Mwetaung</t>
  </si>
  <si>
    <t>Kingbao (Jingbao) Mining Co.</t>
  </si>
  <si>
    <t>1.09</t>
  </si>
  <si>
    <t>Nachingwea-Ntaka Hill</t>
  </si>
  <si>
    <t>IMX Resources</t>
  </si>
  <si>
    <t>Nama (A-C-D)</t>
  </si>
  <si>
    <t>Tech Rep's (2007-05, 2008-05)</t>
  </si>
  <si>
    <t>Cu-Co-Ni</t>
  </si>
  <si>
    <t>Nepean</t>
  </si>
  <si>
    <t>New Morning-Daybreak</t>
  </si>
  <si>
    <t>Ngella-Floridas Islands</t>
  </si>
  <si>
    <t>media (10 Dec 2008)</t>
  </si>
  <si>
    <t>Nicaro</t>
  </si>
  <si>
    <t>Nickel King (Thye Lake)</t>
  </si>
  <si>
    <t>Strongbow Exploration</t>
  </si>
  <si>
    <t>Tech Rep (2010-06)</t>
  </si>
  <si>
    <t>Nico Young-Ardnaree</t>
  </si>
  <si>
    <t>Jervois Mining</t>
  </si>
  <si>
    <t>media 20 Nov. 2017</t>
  </si>
  <si>
    <t>Nico Young-Thuddungra</t>
  </si>
  <si>
    <t>Nicobi</t>
  </si>
  <si>
    <t>Western Troy Capital Resources (?)</t>
  </si>
  <si>
    <t>website (4 August 2016)</t>
  </si>
  <si>
    <t>Nindilbillup Group</t>
  </si>
  <si>
    <t>Australasian Mining</t>
  </si>
  <si>
    <t>Iran</t>
  </si>
  <si>
    <t>Niquelândia-Codemin</t>
  </si>
  <si>
    <t>NiWest-Eucalyptus</t>
  </si>
  <si>
    <t>GME Resources</t>
  </si>
  <si>
    <t>NiWest-Hepi</t>
  </si>
  <si>
    <t>Ethiopia</t>
  </si>
  <si>
    <t>NiWest-Macey Hill</t>
  </si>
  <si>
    <t>NiWest-Mertondale</t>
  </si>
  <si>
    <t>NiWest-Mount Kilkenny</t>
  </si>
  <si>
    <t>NiWest-Murrin North</t>
  </si>
  <si>
    <t>NiWest-Waite Kauri</t>
  </si>
  <si>
    <t>NiWest-Wanbanna</t>
  </si>
  <si>
    <t>Nkamouna-Mada</t>
  </si>
  <si>
    <t>Geovic Mining Corp</t>
  </si>
  <si>
    <t>Nkomati</t>
  </si>
  <si>
    <t>African Rainbow Min, Norilsk Nickel</t>
  </si>
  <si>
    <t>Nonoc</t>
  </si>
  <si>
    <t>Philnico Developments</t>
  </si>
  <si>
    <t>Caron?</t>
  </si>
  <si>
    <t>Sajona &amp; Domingo (2011), Berger et al (2011)</t>
  </si>
  <si>
    <t>Nord Kamennik</t>
  </si>
  <si>
    <t>North Konawe Group (Hanking)</t>
  </si>
  <si>
    <t>China Hanking Mining JV</t>
  </si>
  <si>
    <t>North Konawe Group (Limonite)</t>
  </si>
  <si>
    <t>North Konawe Group (Saprolite)</t>
  </si>
  <si>
    <t>NorthMet (Dunka Road)</t>
  </si>
  <si>
    <t>Polymet Mining</t>
  </si>
  <si>
    <t>Norton Lake</t>
  </si>
  <si>
    <t>Copper Lake Resources</t>
  </si>
  <si>
    <t>Tech Rep (2009-05)</t>
  </si>
  <si>
    <t>Nova-Bollinger</t>
  </si>
  <si>
    <t>Nyabikere</t>
  </si>
  <si>
    <t>Nye Basin</t>
  </si>
  <si>
    <t>Nyngan-Summervale</t>
  </si>
  <si>
    <t>Alchemy Resources</t>
  </si>
  <si>
    <t>media 29 Feb 2019</t>
  </si>
  <si>
    <t>Nyngan-West Lynn</t>
  </si>
  <si>
    <t>Obi Island</t>
  </si>
  <si>
    <t>Carnegie Minerals-50%, PT Antam-50% (?)</t>
  </si>
  <si>
    <t>Old Nick</t>
  </si>
  <si>
    <t>Huakan Int'l Mining</t>
  </si>
  <si>
    <t>Onça Puma</t>
  </si>
  <si>
    <t>Form 20F 2018</t>
  </si>
  <si>
    <t>Oravainen</t>
  </si>
  <si>
    <t>Outokumpu-Hautalampi (Keretti)</t>
  </si>
  <si>
    <t>Outokumpu-Riihilahti</t>
  </si>
  <si>
    <t>Outokumpu-Saramäki</t>
  </si>
  <si>
    <t>Outokumpu-Sarkalahti</t>
  </si>
  <si>
    <t>Outokumpu-Särkiniemi</t>
  </si>
  <si>
    <t>Outokumpu-Valkeisenranta (Rytky)</t>
  </si>
  <si>
    <t>Outokumpu-Vuonos</t>
  </si>
  <si>
    <t>Owen</t>
  </si>
  <si>
    <t>Sudbury Platinum</t>
  </si>
  <si>
    <t>website (7 Nov 2019)</t>
  </si>
  <si>
    <t>Owendale</t>
  </si>
  <si>
    <t>Platina Resources</t>
  </si>
  <si>
    <t>Ukraine</t>
  </si>
  <si>
    <t>Pacific Highway</t>
  </si>
  <si>
    <t>media 6 June 2018</t>
  </si>
  <si>
    <t>Pana-Eastern</t>
  </si>
  <si>
    <t>Pana-Western</t>
  </si>
  <si>
    <t>Pandora JV</t>
  </si>
  <si>
    <t>Panton</t>
  </si>
  <si>
    <t>Pardoo-Highway</t>
  </si>
  <si>
    <t>Caeneus Minerals</t>
  </si>
  <si>
    <t>Patch-Gulch (Canegrass)</t>
  </si>
  <si>
    <t>Nickelore</t>
  </si>
  <si>
    <t>Pedra Branca (PGEs)</t>
  </si>
  <si>
    <t>ValOre Metals Corp</t>
  </si>
  <si>
    <t>Tech Rep (2019-08)</t>
  </si>
  <si>
    <t>Pelican</t>
  </si>
  <si>
    <t>GSM Mining Company</t>
  </si>
  <si>
    <t>Perttilahti</t>
  </si>
  <si>
    <t>Phikwe</t>
  </si>
  <si>
    <t>BCL</t>
  </si>
  <si>
    <t>website (9 Jan 2013)</t>
  </si>
  <si>
    <t>Piaohechuan</t>
  </si>
  <si>
    <t>Piauí (São João do Piauí)</t>
  </si>
  <si>
    <t>Brazilian Nickel</t>
  </si>
  <si>
    <t>Fact Sheet (2018)</t>
  </si>
  <si>
    <t>Pilanesburg-East / West Pits</t>
  </si>
  <si>
    <t>Pinares de Mayari-Nicaro</t>
  </si>
  <si>
    <t>Pitkin-State Forest</t>
  </si>
  <si>
    <t>Austria</t>
  </si>
  <si>
    <t>Platreef (Flatreef-Turfspruit)</t>
  </si>
  <si>
    <t>Ivanhoe Mines</t>
  </si>
  <si>
    <t>Pomalaa (Limonite)</t>
  </si>
  <si>
    <t>Pomalaa (Saprolite)</t>
  </si>
  <si>
    <t>Prony</t>
  </si>
  <si>
    <t>Prospect D-Barrow Creek</t>
  </si>
  <si>
    <t>Kidman Resources</t>
  </si>
  <si>
    <t>website (2016-05-25)</t>
  </si>
  <si>
    <t>Pujada</t>
  </si>
  <si>
    <t>Asiaticus Management Corp</t>
  </si>
  <si>
    <t>1.3</t>
  </si>
  <si>
    <t>Pulau-Gag Island (Limonite)</t>
  </si>
  <si>
    <t>Pulau-Gag Island (Saprolite)</t>
  </si>
  <si>
    <t>Pulot</t>
  </si>
  <si>
    <t>Oriental Peninsula</t>
  </si>
  <si>
    <t>Tech Rep 2008-04</t>
  </si>
  <si>
    <t>Punta Gorda</t>
  </si>
  <si>
    <t>Puumala-Rantala</t>
  </si>
  <si>
    <t>Pyke Hill</t>
  </si>
  <si>
    <t>Cougar Metals, Admiralty Resources</t>
  </si>
  <si>
    <t>Quicksilver</t>
  </si>
  <si>
    <t>Golden Mile Resources</t>
  </si>
  <si>
    <t>media 19 Nov 2018</t>
  </si>
  <si>
    <t>Rest of the World</t>
  </si>
  <si>
    <t>Radio Hill</t>
  </si>
  <si>
    <t>Artemis Resources</t>
  </si>
  <si>
    <t>Raglan</t>
  </si>
  <si>
    <t>Raglan-Nunavik Group #1</t>
  </si>
  <si>
    <t>Jilin Jien Nickel (?)</t>
  </si>
  <si>
    <t>Tech Rep (2011-08)</t>
  </si>
  <si>
    <t>Raglan-Nunavik Group #2</t>
  </si>
  <si>
    <t>Tech Rep (2010-04)</t>
  </si>
  <si>
    <t>Ramu</t>
  </si>
  <si>
    <t>MCC, Highlands Pacific</t>
  </si>
  <si>
    <t>Rapid City II-Dinagat Island</t>
  </si>
  <si>
    <t>Rautavaara R1</t>
  </si>
  <si>
    <t>Bluejay Mining</t>
  </si>
  <si>
    <t>QR (2011-03)</t>
  </si>
  <si>
    <t>RAV 1-4-5-8</t>
  </si>
  <si>
    <t>Ravensthorpe</t>
  </si>
  <si>
    <t>Red Flat Mountain</t>
  </si>
  <si>
    <t>Riddle (Nickel Mountain)</t>
  </si>
  <si>
    <t>Riihilathi</t>
  </si>
  <si>
    <t>Rio Tuba</t>
  </si>
  <si>
    <t>Nickel Asia Corp-60%</t>
  </si>
  <si>
    <t>HPAL, DSO</t>
  </si>
  <si>
    <t>River Valley</t>
  </si>
  <si>
    <t>New Age Metals</t>
  </si>
  <si>
    <t>Tech Rep (2019-01)</t>
  </si>
  <si>
    <t>Riverina-Martins</t>
  </si>
  <si>
    <t>Carnegie Gold</t>
  </si>
  <si>
    <t>Rogozhinskoe (Rogozha)</t>
  </si>
  <si>
    <t>Romblon</t>
  </si>
  <si>
    <t>Dynamo Atlantic</t>
  </si>
  <si>
    <t>Rönnbäcksnäset (Rönnbäcken)</t>
  </si>
  <si>
    <t>Nickel Mountain Resources</t>
  </si>
  <si>
    <t>Rooderand (Platinum Australia)</t>
  </si>
  <si>
    <t>Pt Australia, Atla Mining Res</t>
  </si>
  <si>
    <t>Rooderand (Sedibelo)</t>
  </si>
  <si>
    <t>Rooipoort</t>
  </si>
  <si>
    <t>Tech Rep (2005-12)</t>
  </si>
  <si>
    <t>Ror</t>
  </si>
  <si>
    <t>Rörmyrberget</t>
  </si>
  <si>
    <t>Rosario</t>
  </si>
  <si>
    <t>Roughrider East/West</t>
  </si>
  <si>
    <t>Rio Tinto</t>
  </si>
  <si>
    <t>Tech Rep (2011-09)</t>
  </si>
  <si>
    <t>Rudjinci</t>
  </si>
  <si>
    <t>Ruighoek</t>
  </si>
  <si>
    <t>Sedibelo Pt Mines, Itereleng Bakgatla</t>
  </si>
  <si>
    <t>Ruimu</t>
  </si>
  <si>
    <t>Pres. (2011-11)</t>
  </si>
  <si>
    <t>Runnijoki</t>
  </si>
  <si>
    <t>Rustenburg Group</t>
  </si>
  <si>
    <t>Ruth Well</t>
  </si>
  <si>
    <t>Rybozerskoe</t>
  </si>
  <si>
    <t>Saints</t>
  </si>
  <si>
    <t>Minotaur Exploration</t>
  </si>
  <si>
    <t>media 4 May 2017</t>
  </si>
  <si>
    <t>Samapleu</t>
  </si>
  <si>
    <t>Sama Resources, SODEMI</t>
  </si>
  <si>
    <t>Tech Rep (2015-12)</t>
  </si>
  <si>
    <t>Sampolanmäki</t>
  </si>
  <si>
    <t>San Felipe</t>
  </si>
  <si>
    <t>Santa Cruz</t>
  </si>
  <si>
    <t>Benguet Corp</t>
  </si>
  <si>
    <t>AR's 2013 to 2018</t>
  </si>
  <si>
    <t>Santa Fé-Iporá</t>
  </si>
  <si>
    <t>Santa Rita</t>
  </si>
  <si>
    <t>Atlantic Nickel, Appian Capital</t>
  </si>
  <si>
    <t>media (28 Oct 2019)</t>
  </si>
  <si>
    <t>Saruabil</t>
  </si>
  <si>
    <t>0.92</t>
  </si>
  <si>
    <t>Savannah-Copernicus</t>
  </si>
  <si>
    <t>Sconi North-Bell Creek Group</t>
  </si>
  <si>
    <t>Australian Mines</t>
  </si>
  <si>
    <t>media 21 Oct. 2013</t>
  </si>
  <si>
    <t>Italy</t>
  </si>
  <si>
    <t>Sconi North-Minnimoolka</t>
  </si>
  <si>
    <t>Macedonia</t>
  </si>
  <si>
    <t>Sconi South-Greenvale</t>
  </si>
  <si>
    <t>Sconi South-Kokomo</t>
  </si>
  <si>
    <t>Japan</t>
  </si>
  <si>
    <t>Sconi South-Lucknow</t>
  </si>
  <si>
    <t>Mexico</t>
  </si>
  <si>
    <t>Scotia Group</t>
  </si>
  <si>
    <t>SE Extension</t>
  </si>
  <si>
    <t>Sedibelo Central</t>
  </si>
  <si>
    <t>Sedibelo Pt Mines, Itereleng Bakgatla Min. Res.</t>
  </si>
  <si>
    <t>Selebi</t>
  </si>
  <si>
    <t>Selebi Central</t>
  </si>
  <si>
    <t>Selebi North</t>
  </si>
  <si>
    <t>Serovskoe (Serov)</t>
  </si>
  <si>
    <t>Berger et al (2011); Herrington et al (2005)</t>
  </si>
  <si>
    <t>Hydrous Mg silicate-Clay silicate</t>
  </si>
  <si>
    <t>Serpentine</t>
  </si>
  <si>
    <t>Serra do Quatipuru</t>
  </si>
  <si>
    <t>Tech Rep (2010-01)</t>
  </si>
  <si>
    <t>Serra do Tapa</t>
  </si>
  <si>
    <t>Severo-Konzhozerskoe</t>
  </si>
  <si>
    <t>Shakespeare</t>
  </si>
  <si>
    <t>private equity</t>
  </si>
  <si>
    <t>Shaw Dome-Hart</t>
  </si>
  <si>
    <t>Northern Sun Mining</t>
  </si>
  <si>
    <t>AIF 2013</t>
  </si>
  <si>
    <t>Shaw Dome-McWatters</t>
  </si>
  <si>
    <t>Shaw Dome-Redstone</t>
  </si>
  <si>
    <t>Sheba's Ridge</t>
  </si>
  <si>
    <t>Sibanye-Stillwater, Anglo Am Pt, IDC</t>
  </si>
  <si>
    <t>Shebandowan West</t>
  </si>
  <si>
    <t>Vale, North American Pd</t>
  </si>
  <si>
    <t>Tech Rep (2007-10)</t>
  </si>
  <si>
    <t>Sherlock Bay</t>
  </si>
  <si>
    <t>Sabre Resources, Metals Australia</t>
  </si>
  <si>
    <t>Shevchenko Group</t>
  </si>
  <si>
    <t>Mechel (formerly Oriel Resources plc)</t>
  </si>
  <si>
    <t>0.84</t>
  </si>
  <si>
    <t>Shining Tree</t>
  </si>
  <si>
    <t>AIF 2012-01</t>
  </si>
  <si>
    <t>Sidamo</t>
  </si>
  <si>
    <t>Tadesse et al (2003)</t>
  </si>
  <si>
    <t>Silver Knight</t>
  </si>
  <si>
    <t>Great Southern Nickel</t>
  </si>
  <si>
    <t xml:space="preserve">Simlipal </t>
  </si>
  <si>
    <t>Sinarskoe</t>
  </si>
  <si>
    <t>Sinclair</t>
  </si>
  <si>
    <t>Talisman Mining</t>
  </si>
  <si>
    <t>media 31 Aug 2018</t>
  </si>
  <si>
    <t>Siphumelele 3</t>
  </si>
  <si>
    <t>Smokey Hills</t>
  </si>
  <si>
    <t>Aberdeen International</t>
  </si>
  <si>
    <t>Snake Hill-Cullens</t>
  </si>
  <si>
    <t>Mt Ida Gold</t>
  </si>
  <si>
    <t>Snipe Bay</t>
  </si>
  <si>
    <t>Sorowako</t>
  </si>
  <si>
    <t>Souker</t>
  </si>
  <si>
    <t>Ferropicrite related</t>
  </si>
  <si>
    <t>South-east Kalimantan</t>
  </si>
  <si>
    <t>PT Kreasitama Rimba Persada (?)</t>
  </si>
  <si>
    <t>South-east Sulawesi Coastal</t>
  </si>
  <si>
    <t>Mudd et al (2013)</t>
  </si>
  <si>
    <t>Spitzkop-Kennedy's Vale</t>
  </si>
  <si>
    <t>Spotted Quoll-Beautiful Sunday</t>
  </si>
  <si>
    <t>Spruce Road</t>
  </si>
  <si>
    <t>CuCoNi</t>
  </si>
  <si>
    <t>Stanton</t>
  </si>
  <si>
    <t>Northern Cobalt</t>
  </si>
  <si>
    <t>Ahmad &amp; Khan (2013)</t>
  </si>
  <si>
    <t>State Forest Lot 3</t>
  </si>
  <si>
    <t>Bolivia</t>
  </si>
  <si>
    <t>Stillwater-East Boulder</t>
  </si>
  <si>
    <t>Stormyra</t>
  </si>
  <si>
    <t>Sudbury Group (Glencore)</t>
  </si>
  <si>
    <t>Sudbury Group (Vale)</t>
  </si>
  <si>
    <t>Sudbury-Aer-Kidd</t>
  </si>
  <si>
    <t>Pres. (2019-04)</t>
  </si>
  <si>
    <t>Sudbury-Kirkwood (KGHM)</t>
  </si>
  <si>
    <t>KGHM International</t>
  </si>
  <si>
    <t>AIF 2010</t>
  </si>
  <si>
    <t>Sudbury-Lockerby / Conwest</t>
  </si>
  <si>
    <t>AIF 2014</t>
  </si>
  <si>
    <t>Sudbury-Lockerby East</t>
  </si>
  <si>
    <t>Sudbury-Nickel Lake / Foy Offset</t>
  </si>
  <si>
    <t>unclear - KGHM?</t>
  </si>
  <si>
    <t>Tech Rep (2009-03)</t>
  </si>
  <si>
    <t>Sudbury-Parkin Offset</t>
  </si>
  <si>
    <t>Wallbridge Mining, Glencore</t>
  </si>
  <si>
    <t>Sudbury-Podolsky (KGHM)</t>
  </si>
  <si>
    <t>Sudbury-Victoria (KGHM)</t>
  </si>
  <si>
    <t>KGHM Presentation (undated)</t>
  </si>
  <si>
    <t>Sudbury-West Graham</t>
  </si>
  <si>
    <t>Sudbury Platinum, Landore Resources</t>
  </si>
  <si>
    <t>Sueinlagash</t>
  </si>
  <si>
    <t>Sulawesi JV</t>
  </si>
  <si>
    <t>AR 2013</t>
  </si>
  <si>
    <t>Sundsberget</t>
  </si>
  <si>
    <t>Sunrise-Syerston</t>
  </si>
  <si>
    <t>CleanTeq Holdings</t>
  </si>
  <si>
    <t>media 25 June 2018</t>
  </si>
  <si>
    <t>Svetloozerskoe</t>
  </si>
  <si>
    <t>Szklary</t>
  </si>
  <si>
    <t>Taco Bay</t>
  </si>
  <si>
    <t>Taganito</t>
  </si>
  <si>
    <t>Nickel Asia Corp-65%, SMMC</t>
  </si>
  <si>
    <t>Tagaung Taung</t>
  </si>
  <si>
    <t>TISCO (Tata), CNMC</t>
  </si>
  <si>
    <t>2.15</t>
  </si>
  <si>
    <t>Taimyr Peninsula (Nor’ilsk-Talnakh)</t>
  </si>
  <si>
    <t>EQH</t>
  </si>
  <si>
    <t>Tallas-Tuliniemi</t>
  </si>
  <si>
    <t>Talvivaara (Kolmisoppi-Kuusilampi)</t>
  </si>
  <si>
    <t>Terrafame</t>
  </si>
  <si>
    <t>Tamarack North</t>
  </si>
  <si>
    <t>Talon Metals</t>
  </si>
  <si>
    <t>Tati-Phoenix</t>
  </si>
  <si>
    <t>AR 2014</t>
  </si>
  <si>
    <t>Tati-Selkirk</t>
  </si>
  <si>
    <r>
      <rPr>
        <sz val="10"/>
        <color theme="1"/>
        <rFont val="Arial"/>
        <family val="2"/>
      </rPr>
      <t xml:space="preserve">Terra (Silver Bear) </t>
    </r>
    <r>
      <rPr>
        <b/>
        <sz val="10"/>
        <color rgb="FFFF0000"/>
        <rFont val="Arial"/>
        <family val="2"/>
      </rPr>
      <t>Tailings</t>
    </r>
  </si>
  <si>
    <t>Denendeh</t>
  </si>
  <si>
    <t>GNT (2016)</t>
  </si>
  <si>
    <t>Epithermal</t>
  </si>
  <si>
    <t>Texmont</t>
  </si>
  <si>
    <t>Fletcher Nickel (?)</t>
  </si>
  <si>
    <t>Thompson</t>
  </si>
  <si>
    <t>Form 20F 2015, 2018</t>
  </si>
  <si>
    <t>Thunder Bay North-Current Lake</t>
  </si>
  <si>
    <t>Thunderbox-Waterloo / Amorac</t>
  </si>
  <si>
    <t>Saracen Mineral Holdings</t>
  </si>
  <si>
    <t>Tianyu</t>
  </si>
  <si>
    <t>Tira Pressa</t>
  </si>
  <si>
    <t>Tiuba-Biankouma</t>
  </si>
  <si>
    <t>Compagnie Miniere du Bafing (CMB)</t>
  </si>
  <si>
    <t>Tjate</t>
  </si>
  <si>
    <t>Jubilee Metals Group</t>
  </si>
  <si>
    <t>Toronto</t>
  </si>
  <si>
    <t>Trough Well</t>
  </si>
  <si>
    <t>Kym Anthony McClaren</t>
  </si>
  <si>
    <t>Trstenik</t>
  </si>
  <si>
    <t>Tubatse (Eerste Geluk-Nooitverwacht)</t>
  </si>
  <si>
    <t>Turnagain</t>
  </si>
  <si>
    <t>Giga Metals Corp</t>
  </si>
  <si>
    <t>media (19 Sept 2019)</t>
  </si>
  <si>
    <t>Alaskan-type Complex</t>
  </si>
  <si>
    <t>Twickenham</t>
  </si>
  <si>
    <t>Two Rivers</t>
  </si>
  <si>
    <t>African Rainbow Mins, Impala Pt</t>
  </si>
  <si>
    <t>Union North/South</t>
  </si>
  <si>
    <t>Siyanda Resources</t>
  </si>
  <si>
    <t>Unki Main Sulphide Zone</t>
  </si>
  <si>
    <t>Vakkerlien</t>
  </si>
  <si>
    <t>Valozoro</t>
  </si>
  <si>
    <t>Vammala-Ekojoki</t>
  </si>
  <si>
    <t>Dragon Mining</t>
  </si>
  <si>
    <t>media (18 March 2014)</t>
  </si>
  <si>
    <t>Vammala-Sahakoski</t>
  </si>
  <si>
    <t>Vammala-Soukko</t>
  </si>
  <si>
    <t>Vammala-Stormi</t>
  </si>
  <si>
    <t>Vehmasjoki</t>
  </si>
  <si>
    <t>Veluce (Veluca)</t>
  </si>
  <si>
    <t>Venus</t>
  </si>
  <si>
    <t>Vermelho</t>
  </si>
  <si>
    <t>media (9 May 2018)</t>
  </si>
  <si>
    <t>Oxide-Mg silicate</t>
  </si>
  <si>
    <t>Vesilaskujänkä</t>
  </si>
  <si>
    <t>Viken (Myrviken)</t>
  </si>
  <si>
    <t>Continental Precious Minerals</t>
  </si>
  <si>
    <t>Tech Rep (2014-02)</t>
  </si>
  <si>
    <t>Vinberget</t>
  </si>
  <si>
    <t>Voisey's Bay</t>
  </si>
  <si>
    <t>Volspruit</t>
  </si>
  <si>
    <t>Tech Rep (2010-21)</t>
  </si>
  <si>
    <t>Vozhma Massif Orebody No. 4</t>
  </si>
  <si>
    <t>Waga</t>
  </si>
  <si>
    <t>Waite Kauri North / Extended</t>
  </si>
  <si>
    <t>Waite Kauri-Eagle Eye</t>
  </si>
  <si>
    <t>War Springs (Oorlogsfontein)</t>
  </si>
  <si>
    <t>Sedibelo, Wesizwe Pt, etc</t>
  </si>
  <si>
    <t>Waterberg</t>
  </si>
  <si>
    <t>Platinum Group Metals</t>
  </si>
  <si>
    <t>Tech Rep (2018-11)</t>
  </si>
  <si>
    <t>Waterbury Lake</t>
  </si>
  <si>
    <t>Fission Energy</t>
  </si>
  <si>
    <t>Tech Rep (2013-01)</t>
  </si>
  <si>
    <t>Weda Bay</t>
  </si>
  <si>
    <t>Eramet</t>
  </si>
  <si>
    <t>Weld Range (laterite)</t>
  </si>
  <si>
    <t>Podium Metals</t>
  </si>
  <si>
    <t>Weld Range (Ni-Cr)</t>
  </si>
  <si>
    <t>F?</t>
  </si>
  <si>
    <t>Weld Range (PGEs)-Parks Reef (Central-Western)</t>
  </si>
  <si>
    <t>media 5 March 2019</t>
  </si>
  <si>
    <t>Wellgreen</t>
  </si>
  <si>
    <t>Nickel Creek Platinum</t>
  </si>
  <si>
    <t>Werner Lake-Big Zone</t>
  </si>
  <si>
    <t>Global Cobalt Corp, Global Energy Metals Corp</t>
  </si>
  <si>
    <t>Tech Rep (2015-05)</t>
  </si>
  <si>
    <t>Werner Lake-Norpax</t>
  </si>
  <si>
    <t>Global Cobalt Corp</t>
  </si>
  <si>
    <t>website (10 July 2016)</t>
  </si>
  <si>
    <t>West Musgrave-Babel</t>
  </si>
  <si>
    <t>Cassini Resources, OZ Minerals</t>
  </si>
  <si>
    <t>West Musgrave-Nebo</t>
  </si>
  <si>
    <t>Wetlegs</t>
  </si>
  <si>
    <t>Wilconi (Wiluna)</t>
  </si>
  <si>
    <t>A-Cap Resources</t>
  </si>
  <si>
    <t>Wildara-The Horn</t>
  </si>
  <si>
    <t>Wildcatters</t>
  </si>
  <si>
    <t>Windarra Group</t>
  </si>
  <si>
    <t>Wingellina</t>
  </si>
  <si>
    <t>QR 2018-06</t>
  </si>
  <si>
    <t>Witkleifontein</t>
  </si>
  <si>
    <t>Wowo Gap</t>
  </si>
  <si>
    <t>Resource Mining Corp</t>
  </si>
  <si>
    <t>Wyo Well</t>
  </si>
  <si>
    <t xml:space="preserve"> Connor Brendan Gabriel </t>
  </si>
  <si>
    <t>Xiarihamu</t>
  </si>
  <si>
    <t>Yakabindie</t>
  </si>
  <si>
    <t>Yangliuping</t>
  </si>
  <si>
    <t>Yerilla East / West</t>
  </si>
  <si>
    <t>Yunges</t>
  </si>
  <si>
    <t>Zambales Chromite</t>
  </si>
  <si>
    <t>Zambales-Global</t>
  </si>
  <si>
    <t>Zapadno-Rybozero</t>
  </si>
  <si>
    <t>Zhouan</t>
  </si>
  <si>
    <t>Zhubu</t>
  </si>
  <si>
    <t>Zimplats</t>
  </si>
  <si>
    <t>Impala Platinum</t>
  </si>
  <si>
    <t>Zolotoprozhskoe</t>
  </si>
  <si>
    <t>Zondereinde (Northam)</t>
  </si>
  <si>
    <t>Zondernaam</t>
  </si>
  <si>
    <t>Sibanye-Stillwater, Bakgaga Pt</t>
  </si>
  <si>
    <t>Zulapa (Ni-Cu)</t>
  </si>
  <si>
    <t>Ann Info Form 2013</t>
  </si>
  <si>
    <r>
      <rPr>
        <b/>
        <sz val="10"/>
        <color rgb="FFFF0000"/>
        <rFont val="Arial"/>
        <family val="2"/>
      </rPr>
      <t xml:space="preserve">Mineral Resources (including reserves): </t>
    </r>
    <r>
      <rPr>
        <b/>
        <sz val="10"/>
        <color rgb="FF0000CC"/>
        <rFont val="Arial"/>
        <family val="2"/>
      </rPr>
      <t>US$MILLIONS</t>
    </r>
  </si>
  <si>
    <r>
      <rPr>
        <b/>
        <sz val="10"/>
        <color rgb="FFFF0000"/>
        <rFont val="Arial"/>
        <family val="2"/>
      </rPr>
      <t xml:space="preserve">Ore Reserves: </t>
    </r>
    <r>
      <rPr>
        <b/>
        <sz val="10"/>
        <color rgb="FF0000CC"/>
        <rFont val="Arial"/>
        <family val="2"/>
      </rPr>
      <t>US$MILLIONS</t>
    </r>
  </si>
  <si>
    <t>Resources (kt Ni)</t>
  </si>
  <si>
    <t>Reserves (kt Ni)</t>
  </si>
  <si>
    <t>Resources: By %Value</t>
  </si>
  <si>
    <t>Reserves: By %Value</t>
  </si>
  <si>
    <r>
      <rPr>
        <sz val="10"/>
        <color theme="1"/>
        <rFont val="Arial"/>
        <family val="2"/>
      </rPr>
      <t>%SiO</t>
    </r>
    <r>
      <rPr>
        <vertAlign val="subscript"/>
        <sz val="10"/>
        <color theme="1"/>
        <rFont val="Arial"/>
        <family val="2"/>
      </rPr>
      <t>2</t>
    </r>
  </si>
  <si>
    <r>
      <rPr>
        <sz val="10"/>
        <color theme="1"/>
        <rFont val="Arial"/>
        <family val="2"/>
      </rPr>
      <t>%SiO</t>
    </r>
    <r>
      <rPr>
        <vertAlign val="subscript"/>
        <sz val="10"/>
        <color theme="1"/>
        <rFont val="Arial"/>
        <family val="2"/>
      </rPr>
      <t>2</t>
    </r>
  </si>
  <si>
    <r>
      <rPr>
        <sz val="10"/>
        <color theme="1"/>
        <rFont val="Arial"/>
        <family val="2"/>
      </rPr>
      <t>%SiO</t>
    </r>
    <r>
      <rPr>
        <vertAlign val="subscript"/>
        <sz val="10"/>
        <color theme="1"/>
        <rFont val="Arial"/>
        <family val="2"/>
      </rPr>
      <t>2</t>
    </r>
  </si>
  <si>
    <r>
      <rPr>
        <sz val="10"/>
        <color theme="1"/>
        <rFont val="Arial"/>
        <family val="2"/>
      </rPr>
      <t>%SiO</t>
    </r>
    <r>
      <rPr>
        <vertAlign val="subscript"/>
        <sz val="10"/>
        <color theme="1"/>
        <rFont val="Arial"/>
        <family val="2"/>
      </rPr>
      <t>2</t>
    </r>
  </si>
  <si>
    <r>
      <rPr>
        <sz val="10"/>
        <color theme="1"/>
        <rFont val="Arial"/>
        <family val="2"/>
      </rPr>
      <t>%SiO</t>
    </r>
    <r>
      <rPr>
        <vertAlign val="subscript"/>
        <sz val="10"/>
        <color theme="1"/>
        <rFont val="Arial"/>
        <family val="2"/>
      </rPr>
      <t>2</t>
    </r>
  </si>
  <si>
    <t>Mt Cu</t>
  </si>
  <si>
    <t>t Au</t>
  </si>
  <si>
    <t>t Ag</t>
  </si>
  <si>
    <t>Mt U</t>
  </si>
  <si>
    <t>Mt Mo</t>
  </si>
  <si>
    <t>Mt Pb</t>
  </si>
  <si>
    <t>Mt Zn</t>
  </si>
  <si>
    <t>Mt Ni</t>
  </si>
  <si>
    <t>Mt Co</t>
  </si>
  <si>
    <t>t Pt</t>
  </si>
  <si>
    <t>t Pd</t>
  </si>
  <si>
    <t>t Rh</t>
  </si>
  <si>
    <t>t Ru</t>
  </si>
  <si>
    <t>t Ir</t>
  </si>
  <si>
    <t>Mt Cr</t>
  </si>
  <si>
    <t>Mt Fe</t>
  </si>
  <si>
    <t>Mt SiO2</t>
  </si>
  <si>
    <t>t Sc</t>
  </si>
  <si>
    <t>Mt Mn</t>
  </si>
  <si>
    <t>Cu</t>
  </si>
  <si>
    <t>Au</t>
  </si>
  <si>
    <t>Ag</t>
  </si>
  <si>
    <t>U</t>
  </si>
  <si>
    <t>Mo</t>
  </si>
  <si>
    <t>Pb</t>
  </si>
  <si>
    <t>Zn</t>
  </si>
  <si>
    <t>Ni</t>
  </si>
  <si>
    <t>Pt</t>
  </si>
  <si>
    <t>Pd</t>
  </si>
  <si>
    <t>Rh</t>
  </si>
  <si>
    <t>Ru</t>
  </si>
  <si>
    <t>Ir</t>
  </si>
  <si>
    <t>Cr</t>
  </si>
  <si>
    <t>Fe</t>
  </si>
  <si>
    <t>SiO2</t>
  </si>
  <si>
    <t>Sc</t>
  </si>
  <si>
    <t>Mn</t>
  </si>
  <si>
    <t>US$mill</t>
  </si>
  <si>
    <t>Proved</t>
  </si>
  <si>
    <t>%Ni min</t>
  </si>
  <si>
    <t>%Ni max</t>
  </si>
  <si>
    <t>PGEs</t>
  </si>
  <si>
    <t>Sediment-hosted</t>
  </si>
  <si>
    <t>Miscellaneous</t>
  </si>
  <si>
    <t>Clay silicate (dominant)</t>
  </si>
  <si>
    <t>Hydrous Mg silicate (dominant)</t>
  </si>
  <si>
    <t>Oxide (dominant)</t>
  </si>
  <si>
    <t>GRAND TOTALS</t>
  </si>
  <si>
    <t>Master</t>
  </si>
  <si>
    <t>`</t>
  </si>
  <si>
    <t>Associated with Wrangellia/Nikolai LIP</t>
  </si>
  <si>
    <r>
      <rPr>
        <sz val="10"/>
        <color theme="1"/>
        <rFont val="Arial"/>
        <family val="2"/>
      </rPr>
      <t xml:space="preserve">Mt Keith </t>
    </r>
    <r>
      <rPr>
        <b/>
        <sz val="10"/>
        <color rgb="FFFF0000"/>
        <rFont val="Arial"/>
        <family val="2"/>
      </rPr>
      <t>Tailings</t>
    </r>
  </si>
  <si>
    <r>
      <rPr>
        <sz val="10"/>
        <color theme="1"/>
        <rFont val="Arial"/>
        <family val="2"/>
      </rPr>
      <t xml:space="preserve">Kambalda </t>
    </r>
    <r>
      <rPr>
        <b/>
        <sz val="10"/>
        <color rgb="FFFF0000"/>
        <rFont val="Arial"/>
        <family val="2"/>
      </rPr>
      <t>Tailings</t>
    </r>
  </si>
  <si>
    <r>
      <rPr>
        <sz val="10"/>
        <color theme="1"/>
        <rFont val="Arial"/>
        <family val="2"/>
      </rPr>
      <t xml:space="preserve">Leinster </t>
    </r>
    <r>
      <rPr>
        <b/>
        <sz val="10"/>
        <color rgb="FFFF0000"/>
        <rFont val="Arial"/>
        <family val="2"/>
      </rPr>
      <t>Tailings</t>
    </r>
  </si>
  <si>
    <r>
      <rPr>
        <sz val="10"/>
        <color theme="1"/>
        <rFont val="Arial"/>
        <family val="2"/>
      </rPr>
      <t xml:space="preserve">Terra (Silver Bear) </t>
    </r>
    <r>
      <rPr>
        <b/>
        <sz val="10"/>
        <color rgb="FFFF0000"/>
        <rFont val="Arial"/>
        <family val="2"/>
      </rPr>
      <t>Tailings</t>
    </r>
  </si>
  <si>
    <r>
      <rPr>
        <sz val="10"/>
        <color theme="1"/>
        <rFont val="Arial"/>
        <family val="2"/>
      </rPr>
      <t xml:space="preserve">Eldorado-Port Radium </t>
    </r>
    <r>
      <rPr>
        <b/>
        <sz val="10"/>
        <color rgb="FFFF0000"/>
        <rFont val="Arial"/>
        <family val="2"/>
      </rPr>
      <t>Tailings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</si>
</sst>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[$£-809]#,##0.00"/>
    <numFmt numFmtId="165" formatCode="#,##0.0"/>
    <numFmt numFmtId="166" formatCode="0.0"/>
    <numFmt numFmtId="167" formatCode="0.000"/>
    <numFmt numFmtId="168" formatCode="0.0000"/>
    <numFmt numFmtId="169" formatCode="0.00000"/>
    <numFmt numFmtId="170" formatCode="0.0E+00"/>
    <numFmt numFmtId="171" formatCode="#,##0.000"/>
  </numFmts>
  <fonts count="16" x14ac:knownFonts="1">
    <font>
      <sz val="11"/>
      <color theme="1"/>
      <name val="Calibri"/>
      <scheme val="minor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1"/>
      <name val="Calibri"/>
      <family val="2"/>
    </font>
    <font>
      <b/>
      <sz val="10"/>
      <color rgb="FFFFFF00"/>
      <name val="Arial"/>
      <family val="2"/>
    </font>
    <font>
      <b/>
      <sz val="10"/>
      <color rgb="FF0000CC"/>
      <name val="Arial"/>
      <family val="2"/>
    </font>
    <font>
      <b/>
      <sz val="10"/>
      <color rgb="FF990000"/>
      <name val="Arial"/>
      <family val="2"/>
    </font>
    <font>
      <b/>
      <sz val="10"/>
      <color rgb="FF006600"/>
      <name val="Arial"/>
      <family val="2"/>
    </font>
    <font>
      <b/>
      <sz val="10"/>
      <color rgb="FFC00000"/>
      <name val="Arial"/>
      <family val="2"/>
    </font>
    <font>
      <b/>
      <sz val="10"/>
      <color theme="1"/>
      <name val="Arial"/>
      <family val="2"/>
    </font>
    <font>
      <i/>
      <sz val="10"/>
      <color theme="1"/>
      <name val="Arial"/>
      <family val="2"/>
    </font>
    <font>
      <vertAlign val="subscript"/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Arial"/>
      <family val="2"/>
    </font>
    <font>
      <sz val="11"/>
      <color rgb="FF00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006600"/>
        <bgColor rgb="FF006600"/>
      </patternFill>
    </fill>
    <fill>
      <patternFill patternType="solid">
        <fgColor rgb="FFFFCCFF"/>
        <bgColor rgb="FFFFCCFF"/>
      </patternFill>
    </fill>
    <fill>
      <patternFill patternType="solid">
        <fgColor rgb="FFCC6600"/>
        <bgColor rgb="FFCC66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  <fill>
      <patternFill patternType="solid">
        <fgColor rgb="FFCCFF99"/>
        <bgColor rgb="FFCCFF99"/>
      </patternFill>
    </fill>
    <fill>
      <patternFill patternType="solid">
        <fgColor rgb="FFCCFFFF"/>
        <bgColor rgb="FFCCFFFF"/>
      </patternFill>
    </fill>
    <fill>
      <patternFill patternType="solid">
        <fgColor rgb="FFFFCCCC"/>
        <bgColor rgb="FFFFCCCC"/>
      </patternFill>
    </fill>
  </fills>
  <borders count="11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70">
    <xf numFmtId="0" fontId="0" fillId="0" borderId="0" xfId="0"/>
    <xf numFmtId="164" fontId="1" fillId="0" borderId="0" xfId="0" applyNumberFormat="1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5" fillId="6" borderId="4" xfId="0" applyFont="1" applyFill="1" applyBorder="1" applyAlignment="1">
      <alignment horizontal="center" vertical="center"/>
    </xf>
    <xf numFmtId="0" fontId="5" fillId="9" borderId="4" xfId="0" applyFont="1" applyFill="1" applyBorder="1" applyAlignment="1">
      <alignment horizontal="center" vertical="center"/>
    </xf>
    <xf numFmtId="0" fontId="6" fillId="7" borderId="4" xfId="0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2" fillId="10" borderId="4" xfId="0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" fillId="7" borderId="4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6" fontId="1" fillId="0" borderId="0" xfId="0" applyNumberFormat="1" applyFont="1" applyAlignment="1">
      <alignment horizontal="center" vertical="center"/>
    </xf>
    <xf numFmtId="0" fontId="1" fillId="9" borderId="4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3" fontId="1" fillId="0" borderId="0" xfId="0" applyNumberFormat="1" applyFont="1" applyAlignment="1">
      <alignment horizontal="center" vertical="center"/>
    </xf>
    <xf numFmtId="167" fontId="1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6" borderId="4" xfId="0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1" fontId="1" fillId="0" borderId="0" xfId="0" applyNumberFormat="1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168" fontId="1" fillId="0" borderId="0" xfId="0" applyNumberFormat="1" applyFont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169" fontId="1" fillId="0" borderId="0" xfId="0" applyNumberFormat="1" applyFont="1" applyAlignment="1">
      <alignment horizontal="center" vertical="center"/>
    </xf>
    <xf numFmtId="166" fontId="2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1" fillId="9" borderId="4" xfId="0" applyFont="1" applyFill="1" applyBorder="1" applyAlignment="1">
      <alignment horizontal="center" vertical="center" wrapText="1"/>
    </xf>
    <xf numFmtId="0" fontId="1" fillId="9" borderId="4" xfId="0" applyFont="1" applyFill="1" applyBorder="1" applyAlignment="1">
      <alignment horizontal="center"/>
    </xf>
    <xf numFmtId="0" fontId="2" fillId="6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166" fontId="2" fillId="0" borderId="0" xfId="0" applyNumberFormat="1" applyFont="1" applyAlignment="1">
      <alignment horizontal="center"/>
    </xf>
    <xf numFmtId="0" fontId="2" fillId="0" borderId="0" xfId="0" applyFont="1" applyAlignment="1">
      <alignment vertical="center"/>
    </xf>
    <xf numFmtId="0" fontId="5" fillId="6" borderId="0" xfId="0" applyFont="1" applyFill="1" applyAlignment="1">
      <alignment horizontal="center" vertical="center"/>
    </xf>
    <xf numFmtId="170" fontId="1" fillId="0" borderId="0" xfId="0" applyNumberFormat="1" applyFont="1" applyAlignment="1">
      <alignment horizontal="center" vertical="center"/>
    </xf>
    <xf numFmtId="166" fontId="9" fillId="0" borderId="0" xfId="0" applyNumberFormat="1" applyFont="1" applyAlignment="1">
      <alignment horizontal="center" vertical="center"/>
    </xf>
    <xf numFmtId="171" fontId="1" fillId="0" borderId="0" xfId="0" applyNumberFormat="1" applyFont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12" fillId="0" borderId="0" xfId="0" applyFont="1"/>
    <xf numFmtId="0" fontId="14" fillId="0" borderId="0" xfId="0" applyFont="1" applyAlignment="1">
      <alignment horizontal="center" vertical="center"/>
    </xf>
    <xf numFmtId="0" fontId="15" fillId="0" borderId="0" xfId="0" applyFont="1"/>
    <xf numFmtId="0" fontId="2" fillId="2" borderId="1" xfId="0" applyFont="1" applyFill="1" applyBorder="1" applyAlignment="1">
      <alignment horizontal="center" vertical="center"/>
    </xf>
    <xf numFmtId="0" fontId="3" fillId="0" borderId="2" xfId="0" applyFont="1" applyBorder="1"/>
    <xf numFmtId="0" fontId="3" fillId="0" borderId="3" xfId="0" applyFont="1" applyBorder="1"/>
    <xf numFmtId="0" fontId="4" fillId="3" borderId="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/>
    </xf>
    <xf numFmtId="0" fontId="1" fillId="9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 textRotation="90"/>
    </xf>
    <xf numFmtId="0" fontId="0" fillId="0" borderId="0" xfId="0"/>
    <xf numFmtId="0" fontId="5" fillId="4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3" fillId="0" borderId="6" xfId="0" applyFont="1" applyBorder="1"/>
    <xf numFmtId="0" fontId="3" fillId="0" borderId="7" xfId="0" applyFont="1" applyBorder="1"/>
    <xf numFmtId="0" fontId="3" fillId="0" borderId="8" xfId="0" applyFont="1" applyBorder="1"/>
    <xf numFmtId="0" fontId="3" fillId="0" borderId="9" xfId="0" applyFont="1" applyBorder="1"/>
    <xf numFmtId="0" fontId="3" fillId="0" borderId="10" xfId="0" applyFont="1" applyBorder="1"/>
    <xf numFmtId="0" fontId="4" fillId="3" borderId="5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 wrapText="1"/>
    </xf>
    <xf numFmtId="0" fontId="5" fillId="9" borderId="5" xfId="0" applyFont="1" applyFill="1" applyBorder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0" fontId="2" fillId="2" borderId="5" xfId="0" applyFont="1" applyFill="1" applyBorder="1" applyAlignment="1">
      <alignment horizontal="center" vertical="center" wrapText="1"/>
    </xf>
  </cellXfs>
  <cellStyles count="1">
    <cellStyle name="Normal" xfId="0" builtinId="0"/>
  </cellStyles>
  <dxfs count="192"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0000CC"/>
      </font>
      <fill>
        <patternFill patternType="solid">
          <fgColor rgb="FFFFFF00"/>
          <bgColor rgb="FFFFFF00"/>
        </patternFill>
      </fill>
    </dxf>
    <dxf>
      <font>
        <b/>
        <color rgb="FFFF0000"/>
      </font>
      <fill>
        <patternFill patternType="solid">
          <fgColor rgb="FFCCFFFF"/>
          <bgColor rgb="FFCC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6.xml"/><Relationship Id="rId13" Type="http://schemas.openxmlformats.org/officeDocument/2006/relationships/theme" Target="theme/theme1.xml"/><Relationship Id="rId3" Type="http://schemas.openxmlformats.org/officeDocument/2006/relationships/chartsheet" Target="chartsheets/sheet1.xml"/><Relationship Id="rId7" Type="http://schemas.openxmlformats.org/officeDocument/2006/relationships/chartsheet" Target="chartsheets/sheet5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4.xml"/><Relationship Id="rId5" Type="http://schemas.openxmlformats.org/officeDocument/2006/relationships/chartsheet" Target="chartsheets/sheet3.xml"/><Relationship Id="rId15" Type="http://schemas.openxmlformats.org/officeDocument/2006/relationships/sharedStrings" Target="sharedStrings.xml"/><Relationship Id="rId4" Type="http://schemas.openxmlformats.org/officeDocument/2006/relationships/chartsheet" Target="chartsheets/sheet2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>
        <c:manualLayout>
          <c:xMode val="edge"/>
          <c:yMode val="edge"/>
          <c:x val="8.320753718604379E-2"/>
          <c:y val="0.24478136637060843"/>
          <c:w val="0.88541168357619271"/>
          <c:h val="0.65647285190307247"/>
        </c:manualLayout>
      </c:layout>
      <c:scatterChart>
        <c:scatterStyle val="lineMarker"/>
        <c:varyColors val="0"/>
        <c:ser>
          <c:idx val="0"/>
          <c:order val="0"/>
          <c:tx>
            <c:v>Hydrothermal: IOCG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800000"/>
              </a:solidFill>
              <a:ln cmpd="sng">
                <a:solidFill>
                  <a:srgbClr val="800000"/>
                </a:solidFill>
              </a:ln>
            </c:spPr>
          </c:marker>
          <c:xVal>
            <c:numRef>
              <c:f>'Ni $Values'!$GP$6:$GP$14</c:f>
              <c:numCache>
                <c:formatCode>General</c:formatCode>
                <c:ptCount val="9"/>
                <c:pt idx="0" formatCode="0.00">
                  <c:v>0.77940594059405943</c:v>
                </c:pt>
                <c:pt idx="1">
                  <c:v>0.05</c:v>
                </c:pt>
                <c:pt idx="2">
                  <c:v>0.46</c:v>
                </c:pt>
                <c:pt idx="3" formatCode="0.00">
                  <c:v>0.7927522935779816</c:v>
                </c:pt>
                <c:pt idx="4">
                  <c:v>0.45</c:v>
                </c:pt>
                <c:pt idx="5" formatCode="0.00">
                  <c:v>0.60244897959183674</c:v>
                </c:pt>
                <c:pt idx="6">
                  <c:v>0.66</c:v>
                </c:pt>
                <c:pt idx="7" formatCode="0.00">
                  <c:v>0.3155172297893335</c:v>
                </c:pt>
                <c:pt idx="8" formatCode="0.00">
                  <c:v>0.19095619890431587</c:v>
                </c:pt>
              </c:numCache>
            </c:numRef>
          </c:xVal>
          <c:yVal>
            <c:numRef>
              <c:f>'Ni $Values'!$GQ$6:$GQ$14</c:f>
              <c:numCache>
                <c:formatCode>0.0</c:formatCode>
                <c:ptCount val="9"/>
                <c:pt idx="0">
                  <c:v>314.88</c:v>
                </c:pt>
                <c:pt idx="1">
                  <c:v>8.25</c:v>
                </c:pt>
                <c:pt idx="2">
                  <c:v>6.9</c:v>
                </c:pt>
                <c:pt idx="3">
                  <c:v>8.6409999999999982</c:v>
                </c:pt>
                <c:pt idx="4">
                  <c:v>2.25</c:v>
                </c:pt>
                <c:pt idx="5">
                  <c:v>2.952</c:v>
                </c:pt>
                <c:pt idx="6">
                  <c:v>1.1220000000000001</c:v>
                </c:pt>
                <c:pt idx="7">
                  <c:v>26.002929700000003</c:v>
                </c:pt>
                <c:pt idx="8">
                  <c:v>65.424839999999989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80-6047-9EFC-3FB3B1843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802108"/>
        <c:axId val="558852188"/>
      </c:scatterChart>
      <c:valAx>
        <c:axId val="1601802108"/>
        <c:scaling>
          <c:orientation val="minMax"/>
          <c:max val="6"/>
        </c:scaling>
        <c:delete val="0"/>
        <c:axPos val="b"/>
        <c:title>
          <c:tx>
            <c:rich>
              <a:bodyPr/>
              <a:lstStyle/>
              <a:p>
                <a:pPr lvl="0">
                  <a:defRPr sz="1600" b="1" i="0">
                    <a:solidFill>
                      <a:srgbClr val="000000"/>
                    </a:solidFill>
                    <a:latin typeface="Arial"/>
                  </a:defRPr>
                </a:pPr>
                <a:r>
                  <a:rPr sz="1600" b="1" i="0">
                    <a:solidFill>
                      <a:srgbClr val="000000"/>
                    </a:solidFill>
                    <a:latin typeface="Arial"/>
                  </a:rPr>
                  <a:t>Ore Grade (%Ni)</a:t>
                </a:r>
              </a:p>
            </c:rich>
          </c:tx>
          <c:overlay val="0"/>
        </c:title>
        <c:numFmt formatCode="General" sourceLinked="0"/>
        <c:majorTickMark val="out"/>
        <c:minorTickMark val="out"/>
        <c:tickLblPos val="nextTo"/>
        <c:spPr>
          <a:ln/>
        </c:spPr>
        <c:txPr>
          <a:bodyPr/>
          <a:lstStyle/>
          <a:p>
            <a:pPr lvl="0">
              <a:defRPr sz="1400" b="1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558852188"/>
        <c:crosses val="autoZero"/>
        <c:crossBetween val="midCat"/>
      </c:valAx>
      <c:valAx>
        <c:axId val="558852188"/>
        <c:scaling>
          <c:orientation val="minMax"/>
          <c:max val="16000"/>
        </c:scaling>
        <c:delete val="0"/>
        <c:axPos val="l"/>
        <c:title>
          <c:tx>
            <c:rich>
              <a:bodyPr/>
              <a:lstStyle/>
              <a:p>
                <a:pPr lvl="0">
                  <a:defRPr sz="1600" b="1" i="0">
                    <a:solidFill>
                      <a:srgbClr val="000000"/>
                    </a:solidFill>
                    <a:latin typeface="Arial"/>
                  </a:defRPr>
                </a:pPr>
                <a:r>
                  <a:rPr sz="1600" b="1" i="0">
                    <a:solidFill>
                      <a:srgbClr val="000000"/>
                    </a:solidFill>
                    <a:latin typeface="Arial"/>
                  </a:rPr>
                  <a:t>Contained Nickel (Mt Ni)</a:t>
                </a:r>
              </a:p>
            </c:rich>
          </c:tx>
          <c:layout>
            <c:manualLayout>
              <c:xMode val="edge"/>
              <c:yMode val="edge"/>
              <c:x val="3.2836773745035549E-3"/>
              <c:y val="0.24033480964332163"/>
            </c:manualLayout>
          </c:layout>
          <c:overlay val="0"/>
        </c:title>
        <c:numFmt formatCode="General" sourceLinked="0"/>
        <c:majorTickMark val="out"/>
        <c:minorTickMark val="out"/>
        <c:tickLblPos val="nextTo"/>
        <c:spPr>
          <a:ln/>
        </c:spPr>
        <c:txPr>
          <a:bodyPr/>
          <a:lstStyle/>
          <a:p>
            <a:pPr lvl="0">
              <a:defRPr sz="1400" b="1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601802108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9.9213474735516213E-2"/>
          <c:y val="8.3685937220720832E-3"/>
        </c:manualLayout>
      </c:layout>
      <c:overlay val="0"/>
      <c:txPr>
        <a:bodyPr/>
        <a:lstStyle/>
        <a:p>
          <a:pPr lvl="0">
            <a:defRPr sz="1100" b="1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>
        <c:manualLayout>
          <c:xMode val="edge"/>
          <c:yMode val="edge"/>
          <c:x val="8.320753718604379E-2"/>
          <c:y val="0.24478136637060843"/>
          <c:w val="0.88541168357619271"/>
          <c:h val="0.65647285190307247"/>
        </c:manualLayout>
      </c:layout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396837369"/>
        <c:axId val="158794468"/>
      </c:scatterChart>
      <c:valAx>
        <c:axId val="1396837369"/>
        <c:scaling>
          <c:orientation val="minMax"/>
          <c:max val="6"/>
        </c:scaling>
        <c:delete val="0"/>
        <c:axPos val="b"/>
        <c:title>
          <c:tx>
            <c:rich>
              <a:bodyPr/>
              <a:lstStyle/>
              <a:p>
                <a:pPr lvl="0">
                  <a:defRPr sz="1600" b="1" i="0">
                    <a:solidFill>
                      <a:srgbClr val="000000"/>
                    </a:solidFill>
                    <a:latin typeface="Arial"/>
                  </a:defRPr>
                </a:pPr>
                <a:r>
                  <a:rPr sz="1600" b="1" i="0">
                    <a:solidFill>
                      <a:srgbClr val="000000"/>
                    </a:solidFill>
                    <a:latin typeface="Arial"/>
                  </a:rPr>
                  <a:t>Ore Grade (%Ni)</a:t>
                </a:r>
              </a:p>
            </c:rich>
          </c:tx>
          <c:overlay val="0"/>
        </c:title>
        <c:numFmt formatCode="General" sourceLinked="0"/>
        <c:majorTickMark val="out"/>
        <c:minorTickMark val="out"/>
        <c:tickLblPos val="nextTo"/>
        <c:spPr>
          <a:ln/>
        </c:spPr>
        <c:txPr>
          <a:bodyPr/>
          <a:lstStyle/>
          <a:p>
            <a:pPr lvl="0">
              <a:defRPr sz="1400" b="1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58794468"/>
        <c:crosses val="autoZero"/>
        <c:crossBetween val="midCat"/>
      </c:valAx>
      <c:valAx>
        <c:axId val="158794468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1396837369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9.9213474735516213E-2"/>
          <c:y val="8.3685937220720832E-3"/>
        </c:manualLayout>
      </c:layout>
      <c:overlay val="0"/>
      <c:txPr>
        <a:bodyPr/>
        <a:lstStyle/>
        <a:p>
          <a:pPr lvl="0">
            <a:defRPr sz="1100" b="1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>
        <c:manualLayout>
          <c:xMode val="edge"/>
          <c:yMode val="edge"/>
          <c:x val="8.3835836780628156E-2"/>
          <c:y val="0.24478136637060843"/>
          <c:w val="0.8840458148923136"/>
          <c:h val="0.65647285190307247"/>
        </c:manualLayout>
      </c:layout>
      <c:scatterChart>
        <c:scatterStyle val="lineMarker"/>
        <c:varyColors val="0"/>
        <c:ser>
          <c:idx val="0"/>
          <c:order val="0"/>
          <c:tx>
            <c:v>Hydrothermal: IOCG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800000"/>
              </a:solidFill>
              <a:ln cmpd="sng">
                <a:solidFill>
                  <a:srgbClr val="800000"/>
                </a:solidFill>
              </a:ln>
            </c:spPr>
          </c:marker>
          <c:xVal>
            <c:numRef>
              <c:f>'Ni $Values'!$GS$6:$GS$14</c:f>
              <c:numCache>
                <c:formatCode>0.0</c:formatCode>
                <c:ptCount val="9"/>
                <c:pt idx="0">
                  <c:v>116.1558903409109</c:v>
                </c:pt>
                <c:pt idx="1">
                  <c:v>35.379987319999998</c:v>
                </c:pt>
                <c:pt idx="2">
                  <c:v>60.324400000000004</c:v>
                </c:pt>
                <c:pt idx="3">
                  <c:v>223.47576226340601</c:v>
                </c:pt>
                <c:pt idx="4">
                  <c:v>59.013000000000005</c:v>
                </c:pt>
                <c:pt idx="5">
                  <c:v>151.94389103392609</c:v>
                </c:pt>
                <c:pt idx="6">
                  <c:v>87.204961600000004</c:v>
                </c:pt>
                <c:pt idx="7">
                  <c:v>56.810044920889823</c:v>
                </c:pt>
                <c:pt idx="8">
                  <c:v>51.505836363236128</c:v>
                </c:pt>
              </c:numCache>
            </c:numRef>
          </c:xVal>
          <c:yVal>
            <c:numRef>
              <c:f>'Ni $Values'!$GQ$6:$GQ$14</c:f>
              <c:numCache>
                <c:formatCode>0.0</c:formatCode>
                <c:ptCount val="9"/>
                <c:pt idx="0">
                  <c:v>314.88</c:v>
                </c:pt>
                <c:pt idx="1">
                  <c:v>8.25</c:v>
                </c:pt>
                <c:pt idx="2">
                  <c:v>6.9</c:v>
                </c:pt>
                <c:pt idx="3">
                  <c:v>8.6409999999999982</c:v>
                </c:pt>
                <c:pt idx="4">
                  <c:v>2.25</c:v>
                </c:pt>
                <c:pt idx="5">
                  <c:v>2.952</c:v>
                </c:pt>
                <c:pt idx="6">
                  <c:v>1.1220000000000001</c:v>
                </c:pt>
                <c:pt idx="7">
                  <c:v>26.002929700000003</c:v>
                </c:pt>
                <c:pt idx="8">
                  <c:v>65.424839999999989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94-9740-AC86-74342E667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6184225"/>
        <c:axId val="1478125716"/>
      </c:scatterChart>
      <c:valAx>
        <c:axId val="1596184225"/>
        <c:scaling>
          <c:orientation val="minMax"/>
          <c:max val="5000"/>
        </c:scaling>
        <c:delete val="0"/>
        <c:axPos val="b"/>
        <c:title>
          <c:tx>
            <c:rich>
              <a:bodyPr/>
              <a:lstStyle/>
              <a:p>
                <a:pPr lvl="0">
                  <a:defRPr sz="1600" b="1" i="0">
                    <a:solidFill>
                      <a:srgbClr val="000000"/>
                    </a:solidFill>
                    <a:latin typeface="Arial"/>
                  </a:defRPr>
                </a:pPr>
                <a:r>
                  <a:rPr sz="1600" b="1" i="0">
                    <a:solidFill>
                      <a:srgbClr val="000000"/>
                    </a:solidFill>
                    <a:latin typeface="Arial"/>
                  </a:rPr>
                  <a:t>Unit Ore Value (US$/t ore)</a:t>
                </a:r>
              </a:p>
            </c:rich>
          </c:tx>
          <c:overlay val="0"/>
        </c:title>
        <c:numFmt formatCode="#,##0" sourceLinked="0"/>
        <c:majorTickMark val="out"/>
        <c:minorTickMark val="out"/>
        <c:tickLblPos val="nextTo"/>
        <c:spPr>
          <a:ln/>
        </c:spPr>
        <c:txPr>
          <a:bodyPr/>
          <a:lstStyle/>
          <a:p>
            <a:pPr lvl="0">
              <a:defRPr sz="1400" b="1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478125716"/>
        <c:crosses val="autoZero"/>
        <c:crossBetween val="midCat"/>
      </c:valAx>
      <c:valAx>
        <c:axId val="1478125716"/>
        <c:scaling>
          <c:orientation val="minMax"/>
          <c:max val="16000"/>
        </c:scaling>
        <c:delete val="0"/>
        <c:axPos val="l"/>
        <c:title>
          <c:tx>
            <c:rich>
              <a:bodyPr/>
              <a:lstStyle/>
              <a:p>
                <a:pPr lvl="0">
                  <a:defRPr sz="1600" b="1" i="0">
                    <a:solidFill>
                      <a:srgbClr val="000000"/>
                    </a:solidFill>
                    <a:latin typeface="Arial"/>
                  </a:defRPr>
                </a:pPr>
                <a:r>
                  <a:rPr sz="1600" b="1" i="0">
                    <a:solidFill>
                      <a:srgbClr val="000000"/>
                    </a:solidFill>
                    <a:latin typeface="Arial"/>
                  </a:rPr>
                  <a:t>Contained Nickel (Mt Ni)</a:t>
                </a:r>
              </a:p>
            </c:rich>
          </c:tx>
          <c:layout>
            <c:manualLayout>
              <c:xMode val="edge"/>
              <c:yMode val="edge"/>
              <c:x val="3.2836773745035549E-3"/>
              <c:y val="0.24033480964332163"/>
            </c:manualLayout>
          </c:layout>
          <c:overlay val="0"/>
        </c:title>
        <c:numFmt formatCode="General" sourceLinked="0"/>
        <c:majorTickMark val="out"/>
        <c:minorTickMark val="out"/>
        <c:tickLblPos val="nextTo"/>
        <c:spPr>
          <a:ln/>
        </c:spPr>
        <c:txPr>
          <a:bodyPr/>
          <a:lstStyle/>
          <a:p>
            <a:pPr lvl="0">
              <a:defRPr sz="1400" b="1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596184225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9.9213474735516213E-2"/>
          <c:y val="8.3685937220720832E-3"/>
        </c:manualLayout>
      </c:layout>
      <c:overlay val="0"/>
      <c:txPr>
        <a:bodyPr/>
        <a:lstStyle/>
        <a:p>
          <a:pPr lvl="0">
            <a:defRPr sz="1100" b="1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>
        <c:manualLayout>
          <c:xMode val="edge"/>
          <c:yMode val="edge"/>
          <c:x val="8.3835836780628156E-2"/>
          <c:y val="0.24478136637060843"/>
          <c:w val="0.8840458148923136"/>
          <c:h val="0.65647285190307247"/>
        </c:manualLayout>
      </c:layout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512980127"/>
        <c:axId val="1320004956"/>
      </c:scatterChart>
      <c:valAx>
        <c:axId val="512980127"/>
        <c:scaling>
          <c:orientation val="minMax"/>
          <c:max val="5000"/>
        </c:scaling>
        <c:delete val="0"/>
        <c:axPos val="b"/>
        <c:title>
          <c:tx>
            <c:rich>
              <a:bodyPr/>
              <a:lstStyle/>
              <a:p>
                <a:pPr lvl="0">
                  <a:defRPr sz="1600" b="1" i="0">
                    <a:solidFill>
                      <a:srgbClr val="000000"/>
                    </a:solidFill>
                    <a:latin typeface="Arial"/>
                  </a:defRPr>
                </a:pPr>
                <a:r>
                  <a:rPr sz="1600" b="1" i="0">
                    <a:solidFill>
                      <a:srgbClr val="000000"/>
                    </a:solidFill>
                    <a:latin typeface="Arial"/>
                  </a:rPr>
                  <a:t>Unit Ore Value (US$/t ore)</a:t>
                </a:r>
              </a:p>
            </c:rich>
          </c:tx>
          <c:overlay val="0"/>
        </c:title>
        <c:numFmt formatCode="#,##0" sourceLinked="0"/>
        <c:majorTickMark val="out"/>
        <c:minorTickMark val="out"/>
        <c:tickLblPos val="nextTo"/>
        <c:spPr>
          <a:ln/>
        </c:spPr>
        <c:txPr>
          <a:bodyPr/>
          <a:lstStyle/>
          <a:p>
            <a:pPr lvl="0">
              <a:defRPr sz="1400" b="1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320004956"/>
        <c:crosses val="autoZero"/>
        <c:crossBetween val="midCat"/>
      </c:valAx>
      <c:valAx>
        <c:axId val="1320004956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512980127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9.9213474735516213E-2"/>
          <c:y val="8.3685937220720832E-3"/>
        </c:manualLayout>
      </c:layout>
      <c:overlay val="0"/>
      <c:txPr>
        <a:bodyPr/>
        <a:lstStyle/>
        <a:p>
          <a:pPr lvl="0">
            <a:defRPr sz="1100" b="1" i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>
        <c:manualLayout>
          <c:xMode val="edge"/>
          <c:yMode val="edge"/>
          <c:x val="0.16418989145323265"/>
          <c:y val="7.3413488426877352E-2"/>
          <c:w val="0.55487823764652433"/>
          <c:h val="0.80691924554162342"/>
        </c:manualLayout>
      </c:layout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rgbClr val="0000CC"/>
              </a:solidFill>
              <a:ln cmpd="sng">
                <a:solidFill>
                  <a:srgbClr val="0000CC"/>
                </a:solidFill>
              </a:ln>
            </c:spPr>
          </c:marker>
          <c:trendlin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1"/>
            <c:dispEq val="0"/>
            <c:trendlineLbl>
              <c:numFmt formatCode="General" sourceLinked="0"/>
            </c:trendlineLbl>
          </c:trendline>
          <c:xVal>
            <c:numRef>
              <c:f>'Ni Master'!$EH$5:$EH$65</c:f>
              <c:numCache>
                <c:formatCode>General</c:formatCode>
                <c:ptCount val="61"/>
                <c:pt idx="21" formatCode="0.0">
                  <c:v>47.059999999999988</c:v>
                </c:pt>
                <c:pt idx="31" formatCode="#,##0.0">
                  <c:v>5302.4767999999995</c:v>
                </c:pt>
              </c:numCache>
            </c:numRef>
          </c:xVal>
          <c:yVal>
            <c:numRef>
              <c:f>'Ni Master'!$EJ$5:$EJ$65</c:f>
              <c:numCache>
                <c:formatCode>General</c:formatCode>
                <c:ptCount val="61"/>
                <c:pt idx="21" formatCode="0.0">
                  <c:v>222.6</c:v>
                </c:pt>
                <c:pt idx="31" formatCode="#,##0.0">
                  <c:v>4548.154324091216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183-1E4A-8CF9-04345BE3F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182880"/>
        <c:axId val="2068966976"/>
      </c:scatterChart>
      <c:valAx>
        <c:axId val="215182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1500" b="1" i="0">
                    <a:solidFill>
                      <a:srgbClr val="000000"/>
                    </a:solidFill>
                    <a:latin typeface="Arial"/>
                  </a:defRPr>
                </a:pPr>
                <a:r>
                  <a:rPr sz="1500" b="1" i="0">
                    <a:solidFill>
                      <a:srgbClr val="000000"/>
                    </a:solidFill>
                    <a:latin typeface="Arial"/>
                  </a:rPr>
                  <a:t>2011 Resources - Cumulative Production (Mt Ni)</a:t>
                </a:r>
              </a:p>
            </c:rich>
          </c:tx>
          <c:overlay val="0"/>
        </c:title>
        <c:numFmt formatCode="General" sourceLinked="1"/>
        <c:majorTickMark val="out"/>
        <c:minorTickMark val="out"/>
        <c:tickLblPos val="nextTo"/>
        <c:spPr>
          <a:ln/>
        </c:spPr>
        <c:txPr>
          <a:bodyPr/>
          <a:lstStyle/>
          <a:p>
            <a:pPr lvl="0">
              <a:defRPr sz="1400" b="1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2068966976"/>
        <c:crosses val="autoZero"/>
        <c:crossBetween val="midCat"/>
      </c:valAx>
      <c:valAx>
        <c:axId val="20689669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sz="1500" b="1" i="0">
                    <a:solidFill>
                      <a:srgbClr val="000000"/>
                    </a:solidFill>
                    <a:latin typeface="Arial"/>
                  </a:defRPr>
                </a:pPr>
                <a:r>
                  <a:rPr sz="1500" b="1" i="0">
                    <a:solidFill>
                      <a:srgbClr val="000000"/>
                    </a:solidFill>
                    <a:latin typeface="Arial"/>
                  </a:rPr>
                  <a:t>2018 Resources (Mt Ni)</a:t>
                </a:r>
              </a:p>
            </c:rich>
          </c:tx>
          <c:overlay val="0"/>
        </c:title>
        <c:numFmt formatCode="General" sourceLinked="0"/>
        <c:majorTickMark val="out"/>
        <c:minorTickMark val="out"/>
        <c:tickLblPos val="nextTo"/>
        <c:spPr>
          <a:ln/>
        </c:spPr>
        <c:txPr>
          <a:bodyPr/>
          <a:lstStyle/>
          <a:p>
            <a:pPr lvl="0">
              <a:defRPr sz="1400" b="1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215182880"/>
        <c:crosses val="autoZero"/>
        <c:crossBetween val="midCat"/>
      </c:valAx>
    </c:plotArea>
    <c:plotVisOnly val="1"/>
    <c:dispBlanksAs val="zero"/>
    <c:showDLblsOverMax val="1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>
        <c:manualLayout>
          <c:xMode val="edge"/>
          <c:yMode val="edge"/>
          <c:x val="0.16418989145323265"/>
          <c:y val="7.3413488426877352E-2"/>
          <c:w val="0.55487823764652433"/>
          <c:h val="0.80691924554162342"/>
        </c:manualLayout>
      </c:layout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rgbClr val="800000"/>
              </a:solidFill>
              <a:ln cmpd="sng">
                <a:solidFill>
                  <a:srgbClr val="800000"/>
                </a:solidFill>
              </a:ln>
            </c:spPr>
          </c:marker>
          <c:trendlin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1"/>
            <c:dispEq val="0"/>
            <c:trendlineLbl>
              <c:numFmt formatCode="General" sourceLinked="0"/>
            </c:trendlineLbl>
          </c:trendline>
          <c:xVal>
            <c:numRef>
              <c:f>'Ni Master'!$EI$5:$EI$65</c:f>
              <c:numCache>
                <c:formatCode>General</c:formatCode>
                <c:ptCount val="61"/>
                <c:pt idx="22" formatCode="#,##0.0">
                  <c:v>3579.3000000000011</c:v>
                </c:pt>
                <c:pt idx="32" formatCode="#,##0.0">
                  <c:v>95.58</c:v>
                </c:pt>
                <c:pt idx="39" formatCode="#,##0.0">
                  <c:v>742.07198400000027</c:v>
                </c:pt>
              </c:numCache>
            </c:numRef>
          </c:xVal>
          <c:yVal>
            <c:numRef>
              <c:f>'Ni Master'!$EK$5:$EK$65</c:f>
              <c:numCache>
                <c:formatCode>General</c:formatCode>
                <c:ptCount val="61"/>
                <c:pt idx="22" formatCode="#,##0.0">
                  <c:v>1640.7243000000001</c:v>
                </c:pt>
                <c:pt idx="32" formatCode="0.0">
                  <c:v>20.646000000000001</c:v>
                </c:pt>
                <c:pt idx="39" formatCode="0.0">
                  <c:v>2507.4970834999999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9BB-2E45-B28A-25104FA63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923452"/>
        <c:axId val="1383724986"/>
      </c:scatterChart>
      <c:valAx>
        <c:axId val="12349234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1500" b="1" i="0">
                    <a:solidFill>
                      <a:srgbClr val="000000"/>
                    </a:solidFill>
                    <a:latin typeface="Arial"/>
                  </a:defRPr>
                </a:pPr>
                <a:r>
                  <a:rPr sz="1500" b="1" i="0">
                    <a:solidFill>
                      <a:srgbClr val="000000"/>
                    </a:solidFill>
                    <a:latin typeface="Arial"/>
                  </a:rPr>
                  <a:t>2011 Resources - Cumulative Production (Mt Ni)</a:t>
                </a:r>
              </a:p>
            </c:rich>
          </c:tx>
          <c:overlay val="0"/>
        </c:title>
        <c:numFmt formatCode="General" sourceLinked="1"/>
        <c:majorTickMark val="out"/>
        <c:minorTickMark val="out"/>
        <c:tickLblPos val="nextTo"/>
        <c:spPr>
          <a:ln/>
        </c:spPr>
        <c:txPr>
          <a:bodyPr/>
          <a:lstStyle/>
          <a:p>
            <a:pPr lvl="0">
              <a:defRPr sz="1400" b="1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383724986"/>
        <c:crosses val="autoZero"/>
        <c:crossBetween val="midCat"/>
      </c:valAx>
      <c:valAx>
        <c:axId val="138372498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sz="1500" b="1" i="0">
                    <a:solidFill>
                      <a:srgbClr val="000000"/>
                    </a:solidFill>
                    <a:latin typeface="Arial"/>
                  </a:defRPr>
                </a:pPr>
                <a:r>
                  <a:rPr sz="1500" b="1" i="0">
                    <a:solidFill>
                      <a:srgbClr val="000000"/>
                    </a:solidFill>
                    <a:latin typeface="Arial"/>
                  </a:rPr>
                  <a:t>2018 Resources (Mt Ni)</a:t>
                </a:r>
              </a:p>
            </c:rich>
          </c:tx>
          <c:overlay val="0"/>
        </c:title>
        <c:numFmt formatCode="General" sourceLinked="0"/>
        <c:majorTickMark val="out"/>
        <c:minorTickMark val="out"/>
        <c:tickLblPos val="nextTo"/>
        <c:spPr>
          <a:ln/>
        </c:spPr>
        <c:txPr>
          <a:bodyPr/>
          <a:lstStyle/>
          <a:p>
            <a:pPr lvl="0">
              <a:defRPr sz="1400" b="1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234923452"/>
        <c:crosses val="autoZero"/>
        <c:crossBetween val="midCat"/>
      </c:valAx>
    </c:plotArea>
    <c:plotVisOnly val="1"/>
    <c:dispBlanksAs val="zero"/>
    <c:showDLblsOverMax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/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300-000000000000}">
  <sheetPr/>
  <sheetViews>
    <sheetView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400-000000000000}">
  <sheetPr/>
  <sheetViews>
    <sheetView workbookViewId="0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500-000000000000}">
  <sheetPr/>
  <sheetViews>
    <sheetView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600-000000000000}">
  <sheetPr/>
  <sheetViews>
    <sheetView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700-000000000000}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10600" cy="6276975"/>
    <xdr:graphicFrame macro="">
      <xdr:nvGraphicFramePr>
        <xdr:cNvPr id="389775149" name="Chart 1">
          <a:extLst>
            <a:ext uri="{FF2B5EF4-FFF2-40B4-BE49-F238E27FC236}">
              <a16:creationId xmlns:a16="http://schemas.microsoft.com/office/drawing/2014/main" id="{00000000-0008-0000-0200-00002D7F3B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10600" cy="6276975"/>
    <xdr:graphicFrame macro="">
      <xdr:nvGraphicFramePr>
        <xdr:cNvPr id="1550345531" name="Chart 2">
          <a:extLst>
            <a:ext uri="{FF2B5EF4-FFF2-40B4-BE49-F238E27FC236}">
              <a16:creationId xmlns:a16="http://schemas.microsoft.com/office/drawing/2014/main" id="{00000000-0008-0000-0300-00003B6568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10600" cy="6276975"/>
    <xdr:graphicFrame macro="">
      <xdr:nvGraphicFramePr>
        <xdr:cNvPr id="931600068" name="Chart 3">
          <a:extLst>
            <a:ext uri="{FF2B5EF4-FFF2-40B4-BE49-F238E27FC236}">
              <a16:creationId xmlns:a16="http://schemas.microsoft.com/office/drawing/2014/main" id="{00000000-0008-0000-0400-0000C41687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10600" cy="6276975"/>
    <xdr:graphicFrame macro="">
      <xdr:nvGraphicFramePr>
        <xdr:cNvPr id="1879694979" name="Chart 4">
          <a:extLst>
            <a:ext uri="{FF2B5EF4-FFF2-40B4-BE49-F238E27FC236}">
              <a16:creationId xmlns:a16="http://schemas.microsoft.com/office/drawing/2014/main" id="{00000000-0008-0000-0500-000083DE09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10600" cy="6276975"/>
    <xdr:graphicFrame macro="">
      <xdr:nvGraphicFramePr>
        <xdr:cNvPr id="812069751" name="Chart 5">
          <a:extLst>
            <a:ext uri="{FF2B5EF4-FFF2-40B4-BE49-F238E27FC236}">
              <a16:creationId xmlns:a16="http://schemas.microsoft.com/office/drawing/2014/main" id="{00000000-0008-0000-0600-0000773367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10600" cy="6276975"/>
    <xdr:graphicFrame macro="">
      <xdr:nvGraphicFramePr>
        <xdr:cNvPr id="1579754847" name="Chart 6">
          <a:extLst>
            <a:ext uri="{FF2B5EF4-FFF2-40B4-BE49-F238E27FC236}">
              <a16:creationId xmlns:a16="http://schemas.microsoft.com/office/drawing/2014/main" id="{00000000-0008-0000-0700-00005F2529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absolute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V632"/>
  <sheetViews>
    <sheetView tabSelected="1" zoomScale="140" zoomScaleNormal="140" workbookViewId="0">
      <pane xSplit="3" ySplit="4" topLeftCell="D29" activePane="bottomRight" state="frozen"/>
      <selection pane="topRight" activeCell="D1" sqref="D1"/>
      <selection pane="bottomLeft" activeCell="A5" sqref="A5"/>
      <selection pane="bottomRight" activeCell="F118" sqref="F118"/>
    </sheetView>
  </sheetViews>
  <sheetFormatPr baseColWidth="10" defaultColWidth="14.5" defaultRowHeight="15" customHeight="1" x14ac:dyDescent="0.2"/>
  <cols>
    <col min="1" max="2" width="8.33203125" customWidth="1"/>
    <col min="3" max="3" width="36.6640625" customWidth="1"/>
    <col min="4" max="4" width="10.6640625" customWidth="1"/>
    <col min="5" max="6" width="12.6640625" customWidth="1"/>
    <col min="7" max="7" width="9.6640625" customWidth="1"/>
    <col min="8" max="8" width="28.6640625" customWidth="1"/>
    <col min="9" max="9" width="9.6640625" customWidth="1"/>
    <col min="10" max="10" width="12.6640625" customWidth="1"/>
    <col min="11" max="11" width="7.6640625" customWidth="1"/>
    <col min="12" max="31" width="7.33203125" customWidth="1"/>
    <col min="32" max="32" width="7.6640625" customWidth="1"/>
    <col min="33" max="52" width="7.33203125" customWidth="1"/>
    <col min="53" max="53" width="7.6640625" customWidth="1"/>
    <col min="54" max="73" width="7.33203125" customWidth="1"/>
    <col min="74" max="74" width="7.6640625" customWidth="1"/>
    <col min="75" max="94" width="7.33203125" customWidth="1"/>
    <col min="95" max="95" width="7.6640625" customWidth="1"/>
    <col min="96" max="115" width="7.33203125" customWidth="1"/>
    <col min="116" max="117" width="5.6640625" customWidth="1"/>
    <col min="118" max="119" width="8.6640625" customWidth="1"/>
    <col min="120" max="120" width="18.6640625" customWidth="1"/>
    <col min="121" max="121" width="1.6640625" customWidth="1"/>
    <col min="122" max="122" width="9.6640625" customWidth="1"/>
    <col min="123" max="123" width="7.6640625" customWidth="1"/>
    <col min="124" max="126" width="9.6640625" customWidth="1"/>
    <col min="127" max="127" width="7.6640625" customWidth="1"/>
    <col min="128" max="129" width="9.6640625" customWidth="1"/>
    <col min="130" max="130" width="1.6640625" customWidth="1"/>
    <col min="131" max="131" width="16.6640625" customWidth="1"/>
    <col min="132" max="141" width="9.6640625" customWidth="1"/>
    <col min="142" max="142" width="12.6640625" customWidth="1"/>
    <col min="143" max="143" width="16.6640625" customWidth="1"/>
    <col min="144" max="171" width="10.6640625" customWidth="1"/>
    <col min="172" max="172" width="16.6640625" customWidth="1"/>
    <col min="173" max="173" width="1.6640625" customWidth="1"/>
    <col min="174" max="174" width="28.6640625" customWidth="1"/>
    <col min="175" max="176" width="34.6640625" customWidth="1"/>
    <col min="177" max="177" width="22.6640625" customWidth="1"/>
    <col min="178" max="178" width="2.6640625" customWidth="1"/>
  </cols>
  <sheetData>
    <row r="1" spans="1:178" ht="15.75" customHeight="1" x14ac:dyDescent="0.2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>
        <f t="shared" ref="K1:DK1" si="0">COUNT(K5:K631)</f>
        <v>627</v>
      </c>
      <c r="L1" s="2">
        <f t="shared" si="0"/>
        <v>96</v>
      </c>
      <c r="M1" s="2">
        <f t="shared" si="0"/>
        <v>71</v>
      </c>
      <c r="N1" s="2">
        <f t="shared" si="0"/>
        <v>5</v>
      </c>
      <c r="O1" s="2">
        <f t="shared" si="0"/>
        <v>0</v>
      </c>
      <c r="P1" s="2">
        <f t="shared" si="0"/>
        <v>0</v>
      </c>
      <c r="Q1" s="2">
        <f t="shared" si="0"/>
        <v>1</v>
      </c>
      <c r="R1" s="2">
        <f t="shared" si="0"/>
        <v>3</v>
      </c>
      <c r="S1" s="2">
        <f t="shared" si="0"/>
        <v>170</v>
      </c>
      <c r="T1" s="2">
        <f t="shared" si="0"/>
        <v>93</v>
      </c>
      <c r="U1" s="2">
        <f t="shared" si="0"/>
        <v>79</v>
      </c>
      <c r="V1" s="2">
        <f t="shared" si="0"/>
        <v>79</v>
      </c>
      <c r="W1" s="2">
        <f t="shared" si="0"/>
        <v>48</v>
      </c>
      <c r="X1" s="2">
        <f t="shared" si="0"/>
        <v>9</v>
      </c>
      <c r="Y1" s="2">
        <f t="shared" si="0"/>
        <v>9</v>
      </c>
      <c r="Z1" s="2">
        <f t="shared" si="0"/>
        <v>11</v>
      </c>
      <c r="AA1" s="2">
        <f t="shared" si="0"/>
        <v>28</v>
      </c>
      <c r="AB1" s="2">
        <f t="shared" si="0"/>
        <v>11</v>
      </c>
      <c r="AC1" s="2">
        <f t="shared" si="0"/>
        <v>5</v>
      </c>
      <c r="AD1" s="2">
        <f t="shared" si="0"/>
        <v>2</v>
      </c>
      <c r="AE1" s="2">
        <f t="shared" si="0"/>
        <v>2</v>
      </c>
      <c r="AF1" s="2">
        <f t="shared" si="0"/>
        <v>627</v>
      </c>
      <c r="AG1" s="2">
        <f t="shared" si="0"/>
        <v>172</v>
      </c>
      <c r="AH1" s="2">
        <f t="shared" si="0"/>
        <v>100</v>
      </c>
      <c r="AI1" s="2">
        <f t="shared" si="0"/>
        <v>7</v>
      </c>
      <c r="AJ1" s="2">
        <f t="shared" si="0"/>
        <v>5</v>
      </c>
      <c r="AK1" s="2">
        <f t="shared" si="0"/>
        <v>3</v>
      </c>
      <c r="AL1" s="2">
        <f t="shared" si="0"/>
        <v>2</v>
      </c>
      <c r="AM1" s="2">
        <f t="shared" si="0"/>
        <v>9</v>
      </c>
      <c r="AN1" s="2">
        <f t="shared" si="0"/>
        <v>297</v>
      </c>
      <c r="AO1" s="2">
        <f t="shared" si="0"/>
        <v>175</v>
      </c>
      <c r="AP1" s="2">
        <f t="shared" si="0"/>
        <v>116</v>
      </c>
      <c r="AQ1" s="2">
        <f t="shared" si="0"/>
        <v>118</v>
      </c>
      <c r="AR1" s="2">
        <f t="shared" si="0"/>
        <v>57</v>
      </c>
      <c r="AS1" s="2">
        <f t="shared" si="0"/>
        <v>9</v>
      </c>
      <c r="AT1" s="2">
        <f t="shared" si="0"/>
        <v>9</v>
      </c>
      <c r="AU1" s="2">
        <f t="shared" si="0"/>
        <v>14</v>
      </c>
      <c r="AV1" s="2">
        <f t="shared" si="0"/>
        <v>42</v>
      </c>
      <c r="AW1" s="2">
        <f t="shared" si="0"/>
        <v>14</v>
      </c>
      <c r="AX1" s="2">
        <f t="shared" si="0"/>
        <v>6</v>
      </c>
      <c r="AY1" s="2">
        <f t="shared" si="0"/>
        <v>2</v>
      </c>
      <c r="AZ1" s="2">
        <f t="shared" si="0"/>
        <v>7</v>
      </c>
      <c r="BA1" s="2">
        <f t="shared" si="0"/>
        <v>627</v>
      </c>
      <c r="BB1" s="2">
        <f t="shared" si="0"/>
        <v>303</v>
      </c>
      <c r="BC1" s="2">
        <f t="shared" si="0"/>
        <v>123</v>
      </c>
      <c r="BD1" s="2">
        <f t="shared" si="0"/>
        <v>17</v>
      </c>
      <c r="BE1" s="2">
        <f t="shared" si="0"/>
        <v>8</v>
      </c>
      <c r="BF1" s="2">
        <f t="shared" si="0"/>
        <v>5</v>
      </c>
      <c r="BG1" s="2">
        <f t="shared" si="0"/>
        <v>4</v>
      </c>
      <c r="BH1" s="2">
        <f t="shared" si="0"/>
        <v>15</v>
      </c>
      <c r="BI1" s="2">
        <f t="shared" si="0"/>
        <v>572</v>
      </c>
      <c r="BJ1" s="2">
        <f t="shared" si="0"/>
        <v>284</v>
      </c>
      <c r="BK1" s="2">
        <f t="shared" si="0"/>
        <v>141</v>
      </c>
      <c r="BL1" s="2">
        <f t="shared" si="0"/>
        <v>144</v>
      </c>
      <c r="BM1" s="2">
        <f t="shared" si="0"/>
        <v>64</v>
      </c>
      <c r="BN1" s="2">
        <f t="shared" si="0"/>
        <v>8</v>
      </c>
      <c r="BO1" s="2">
        <f t="shared" si="0"/>
        <v>8</v>
      </c>
      <c r="BP1" s="2">
        <f t="shared" si="0"/>
        <v>21</v>
      </c>
      <c r="BQ1" s="2">
        <f t="shared" si="0"/>
        <v>54</v>
      </c>
      <c r="BR1" s="2">
        <f t="shared" si="0"/>
        <v>13</v>
      </c>
      <c r="BS1" s="2">
        <f t="shared" si="0"/>
        <v>15</v>
      </c>
      <c r="BT1" s="2">
        <f t="shared" si="0"/>
        <v>5</v>
      </c>
      <c r="BU1" s="2">
        <f t="shared" si="0"/>
        <v>6</v>
      </c>
      <c r="BV1" s="2">
        <f t="shared" si="0"/>
        <v>614</v>
      </c>
      <c r="BW1" s="2">
        <f t="shared" si="0"/>
        <v>46</v>
      </c>
      <c r="BX1" s="2">
        <f t="shared" si="0"/>
        <v>37</v>
      </c>
      <c r="BY1" s="2">
        <f t="shared" si="0"/>
        <v>2</v>
      </c>
      <c r="BZ1" s="2">
        <f t="shared" si="0"/>
        <v>0</v>
      </c>
      <c r="CA1" s="2">
        <f t="shared" si="0"/>
        <v>0</v>
      </c>
      <c r="CB1" s="2">
        <f t="shared" si="0"/>
        <v>0</v>
      </c>
      <c r="CC1" s="2">
        <f t="shared" si="0"/>
        <v>1</v>
      </c>
      <c r="CD1" s="2">
        <f t="shared" si="0"/>
        <v>80</v>
      </c>
      <c r="CE1" s="2">
        <f t="shared" si="0"/>
        <v>42</v>
      </c>
      <c r="CF1" s="2">
        <f t="shared" si="0"/>
        <v>40</v>
      </c>
      <c r="CG1" s="2">
        <f t="shared" si="0"/>
        <v>40</v>
      </c>
      <c r="CH1" s="2">
        <f t="shared" si="0"/>
        <v>25</v>
      </c>
      <c r="CI1" s="2">
        <f t="shared" si="0"/>
        <v>6</v>
      </c>
      <c r="CJ1" s="2">
        <f t="shared" si="0"/>
        <v>6</v>
      </c>
      <c r="CK1" s="2">
        <f t="shared" si="0"/>
        <v>7</v>
      </c>
      <c r="CL1" s="2">
        <f t="shared" si="0"/>
        <v>13</v>
      </c>
      <c r="CM1" s="2">
        <f t="shared" si="0"/>
        <v>9</v>
      </c>
      <c r="CN1" s="2">
        <f t="shared" si="0"/>
        <v>2</v>
      </c>
      <c r="CO1" s="2">
        <f t="shared" si="0"/>
        <v>0</v>
      </c>
      <c r="CP1" s="2">
        <f t="shared" si="0"/>
        <v>0</v>
      </c>
      <c r="CQ1" s="2">
        <f t="shared" si="0"/>
        <v>614</v>
      </c>
      <c r="CR1" s="2">
        <f t="shared" si="0"/>
        <v>55</v>
      </c>
      <c r="CS1" s="2">
        <f t="shared" si="0"/>
        <v>42</v>
      </c>
      <c r="CT1" s="2">
        <f t="shared" si="0"/>
        <v>2</v>
      </c>
      <c r="CU1" s="2">
        <f t="shared" si="0"/>
        <v>0</v>
      </c>
      <c r="CV1" s="2">
        <f t="shared" si="0"/>
        <v>0</v>
      </c>
      <c r="CW1" s="2">
        <f t="shared" si="0"/>
        <v>0</v>
      </c>
      <c r="CX1" s="2">
        <f t="shared" si="0"/>
        <v>1</v>
      </c>
      <c r="CY1" s="2">
        <f t="shared" si="0"/>
        <v>104</v>
      </c>
      <c r="CZ1" s="2">
        <f t="shared" si="0"/>
        <v>51</v>
      </c>
      <c r="DA1" s="2">
        <f t="shared" si="0"/>
        <v>45</v>
      </c>
      <c r="DB1" s="2">
        <f t="shared" si="0"/>
        <v>45</v>
      </c>
      <c r="DC1" s="2">
        <f t="shared" si="0"/>
        <v>30</v>
      </c>
      <c r="DD1" s="2">
        <f t="shared" si="0"/>
        <v>5</v>
      </c>
      <c r="DE1" s="2">
        <f t="shared" si="0"/>
        <v>5</v>
      </c>
      <c r="DF1" s="2">
        <f t="shared" si="0"/>
        <v>6</v>
      </c>
      <c r="DG1" s="2">
        <f t="shared" si="0"/>
        <v>17</v>
      </c>
      <c r="DH1" s="2">
        <f t="shared" si="0"/>
        <v>8</v>
      </c>
      <c r="DI1" s="2">
        <f t="shared" si="0"/>
        <v>2</v>
      </c>
      <c r="DJ1" s="2">
        <f t="shared" si="0"/>
        <v>0</v>
      </c>
      <c r="DK1" s="2">
        <f t="shared" si="0"/>
        <v>5</v>
      </c>
      <c r="DL1" s="53" t="s">
        <v>1</v>
      </c>
      <c r="DM1" s="53" t="s">
        <v>2</v>
      </c>
      <c r="DN1" s="2"/>
      <c r="DO1" s="2"/>
      <c r="DP1" s="2"/>
      <c r="DQ1" s="2" t="s">
        <v>3</v>
      </c>
      <c r="DR1" s="2"/>
      <c r="DS1" s="2"/>
      <c r="DT1" s="3">
        <f>SUM(DT5:DT631)</f>
        <v>350219.2610443295</v>
      </c>
      <c r="DU1" s="2"/>
      <c r="DV1" s="2"/>
      <c r="DW1" s="2"/>
      <c r="DX1" s="3">
        <f>SUM(DX5:DX631)</f>
        <v>47124.272689771075</v>
      </c>
      <c r="DY1" s="2"/>
      <c r="DZ1" s="2" t="s">
        <v>3</v>
      </c>
      <c r="EA1" s="2"/>
      <c r="EB1" s="3">
        <f t="shared" ref="EB1:EC1" si="1">SUM(EB5:EB51)</f>
        <v>2306.0255999999999</v>
      </c>
      <c r="EC1" s="3">
        <f t="shared" si="1"/>
        <v>46.8735</v>
      </c>
      <c r="ED1" s="2"/>
      <c r="EE1" s="2"/>
      <c r="EF1" s="2"/>
      <c r="EG1" s="2"/>
      <c r="EH1" s="2"/>
      <c r="EI1" s="2"/>
      <c r="EJ1" s="2"/>
      <c r="EK1" s="2"/>
      <c r="EL1" s="3">
        <f>EB1+EC1+EP1+ET1+EX1+FB1</f>
        <v>11292.520807591216</v>
      </c>
      <c r="EM1" s="2"/>
      <c r="EN1" s="3">
        <f>SUM(EN5:EN51)</f>
        <v>1359.0149126829267</v>
      </c>
      <c r="EO1" s="4">
        <f>100*(EP1/1000)/EN1</f>
        <v>0.35104503118902025</v>
      </c>
      <c r="EP1" s="3">
        <f t="shared" ref="EP1:ER1" si="2">SUM(EP5:EP51)</f>
        <v>4770.7543240912164</v>
      </c>
      <c r="EQ1" s="2">
        <f t="shared" si="2"/>
        <v>16</v>
      </c>
      <c r="ER1" s="3">
        <f t="shared" si="2"/>
        <v>801.31080499999996</v>
      </c>
      <c r="ES1" s="4">
        <f>100*(ET1/1000)/ER1</f>
        <v>0.52025598026224051</v>
      </c>
      <c r="ET1" s="3">
        <f t="shared" ref="ET1:EV1" si="3">SUM(ET5:ET51)</f>
        <v>4168.8673835</v>
      </c>
      <c r="EU1" s="2">
        <f t="shared" si="3"/>
        <v>8</v>
      </c>
      <c r="EV1" s="3">
        <f t="shared" si="3"/>
        <v>0</v>
      </c>
      <c r="EW1" s="4" t="e">
        <f>100*(EX1/1000)/EV1</f>
        <v>#DIV/0!</v>
      </c>
      <c r="EX1" s="3">
        <f t="shared" ref="EX1:EZ1" si="4">SUM(EX5:EX51)</f>
        <v>0</v>
      </c>
      <c r="EY1" s="2">
        <f t="shared" si="4"/>
        <v>0</v>
      </c>
      <c r="EZ1" s="3">
        <f t="shared" si="4"/>
        <v>0</v>
      </c>
      <c r="FA1" s="4" t="e">
        <f>100*(FB1/1000)/EZ1</f>
        <v>#DIV/0!</v>
      </c>
      <c r="FB1" s="3">
        <f t="shared" ref="FB1:FE1" si="5">SUM(FB5:FB51)</f>
        <v>0</v>
      </c>
      <c r="FC1" s="2">
        <f t="shared" si="5"/>
        <v>0</v>
      </c>
      <c r="FD1" s="3">
        <f t="shared" si="5"/>
        <v>8939.6217075912155</v>
      </c>
      <c r="FE1" s="3">
        <f t="shared" si="5"/>
        <v>316.59439536585376</v>
      </c>
      <c r="FF1" s="4">
        <f>100*(FG1/1000)/FE1</f>
        <v>0.12784967201013614</v>
      </c>
      <c r="FG1" s="3">
        <f t="shared" ref="FG1:FI1" si="6">SUM(FG5:FG51)</f>
        <v>404.76489607771765</v>
      </c>
      <c r="FH1" s="2">
        <f t="shared" si="6"/>
        <v>3</v>
      </c>
      <c r="FI1" s="3">
        <f t="shared" si="6"/>
        <v>0</v>
      </c>
      <c r="FJ1" s="4" t="e">
        <f>100*(FK1/1000)/FI1</f>
        <v>#DIV/0!</v>
      </c>
      <c r="FK1" s="3">
        <f t="shared" ref="FK1:FO1" si="7">SUM(FK5:FK51)</f>
        <v>0</v>
      </c>
      <c r="FL1" s="2">
        <f t="shared" si="7"/>
        <v>0</v>
      </c>
      <c r="FM1" s="3">
        <f t="shared" si="7"/>
        <v>0</v>
      </c>
      <c r="FN1" s="3">
        <f t="shared" si="7"/>
        <v>0</v>
      </c>
      <c r="FO1" s="3">
        <f t="shared" si="7"/>
        <v>404.76489607771765</v>
      </c>
      <c r="FP1" s="2"/>
      <c r="FQ1" s="2" t="s">
        <v>3</v>
      </c>
      <c r="FR1" s="2"/>
      <c r="FS1" s="2"/>
      <c r="FT1" s="2"/>
      <c r="FU1" s="2"/>
      <c r="FV1" s="2" t="s">
        <v>3</v>
      </c>
    </row>
    <row r="2" spans="1:178" ht="15.75" customHeight="1" x14ac:dyDescent="0.2">
      <c r="A2" s="2" t="s">
        <v>4</v>
      </c>
      <c r="B2" s="2" t="s">
        <v>5</v>
      </c>
      <c r="C2" s="2" t="s">
        <v>6</v>
      </c>
      <c r="D2" s="2" t="s">
        <v>7</v>
      </c>
      <c r="E2" s="57" t="s">
        <v>8</v>
      </c>
      <c r="F2" s="54"/>
      <c r="G2" s="2" t="s">
        <v>9</v>
      </c>
      <c r="H2" s="2" t="s">
        <v>10</v>
      </c>
      <c r="I2" s="2" t="s">
        <v>11</v>
      </c>
      <c r="J2" s="2" t="s">
        <v>12</v>
      </c>
      <c r="K2" s="46" t="s">
        <v>13</v>
      </c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  <c r="AU2" s="47"/>
      <c r="AV2" s="47"/>
      <c r="AW2" s="47"/>
      <c r="AX2" s="47"/>
      <c r="AY2" s="47"/>
      <c r="AZ2" s="47"/>
      <c r="BA2" s="47"/>
      <c r="BB2" s="47"/>
      <c r="BC2" s="47"/>
      <c r="BD2" s="47"/>
      <c r="BE2" s="47"/>
      <c r="BF2" s="47"/>
      <c r="BG2" s="47"/>
      <c r="BH2" s="47"/>
      <c r="BI2" s="47"/>
      <c r="BJ2" s="47"/>
      <c r="BK2" s="47"/>
      <c r="BL2" s="47"/>
      <c r="BM2" s="47"/>
      <c r="BN2" s="47"/>
      <c r="BO2" s="47"/>
      <c r="BP2" s="47"/>
      <c r="BQ2" s="47"/>
      <c r="BR2" s="47"/>
      <c r="BS2" s="47"/>
      <c r="BT2" s="47"/>
      <c r="BU2" s="48"/>
      <c r="BV2" s="49" t="s">
        <v>14</v>
      </c>
      <c r="BW2" s="47"/>
      <c r="BX2" s="47"/>
      <c r="BY2" s="47"/>
      <c r="BZ2" s="47"/>
      <c r="CA2" s="47"/>
      <c r="CB2" s="47"/>
      <c r="CC2" s="47"/>
      <c r="CD2" s="47"/>
      <c r="CE2" s="47"/>
      <c r="CF2" s="47"/>
      <c r="CG2" s="47"/>
      <c r="CH2" s="47"/>
      <c r="CI2" s="47"/>
      <c r="CJ2" s="47"/>
      <c r="CK2" s="47"/>
      <c r="CL2" s="47"/>
      <c r="CM2" s="47"/>
      <c r="CN2" s="47"/>
      <c r="CO2" s="47"/>
      <c r="CP2" s="47"/>
      <c r="CQ2" s="47"/>
      <c r="CR2" s="47"/>
      <c r="CS2" s="47"/>
      <c r="CT2" s="47"/>
      <c r="CU2" s="47"/>
      <c r="CV2" s="47"/>
      <c r="CW2" s="47"/>
      <c r="CX2" s="47"/>
      <c r="CY2" s="47"/>
      <c r="CZ2" s="47"/>
      <c r="DA2" s="47"/>
      <c r="DB2" s="47"/>
      <c r="DC2" s="47"/>
      <c r="DD2" s="47"/>
      <c r="DE2" s="47"/>
      <c r="DF2" s="47"/>
      <c r="DG2" s="47"/>
      <c r="DH2" s="47"/>
      <c r="DI2" s="47"/>
      <c r="DJ2" s="47"/>
      <c r="DK2" s="48"/>
      <c r="DL2" s="54"/>
      <c r="DM2" s="54"/>
      <c r="DN2" s="2"/>
      <c r="DO2" s="2"/>
      <c r="DP2" s="5" t="s">
        <v>15</v>
      </c>
      <c r="DQ2" s="2" t="s">
        <v>3</v>
      </c>
      <c r="DR2" s="58" t="s">
        <v>16</v>
      </c>
      <c r="DS2" s="59"/>
      <c r="DT2" s="59"/>
      <c r="DU2" s="60"/>
      <c r="DV2" s="64" t="s">
        <v>17</v>
      </c>
      <c r="DW2" s="59"/>
      <c r="DX2" s="59"/>
      <c r="DY2" s="60"/>
      <c r="DZ2" s="2" t="s">
        <v>3</v>
      </c>
      <c r="EA2" s="2"/>
      <c r="EB2" s="55" t="s">
        <v>18</v>
      </c>
      <c r="EC2" s="48"/>
      <c r="ED2" s="55" t="s">
        <v>19</v>
      </c>
      <c r="EE2" s="48"/>
      <c r="EF2" s="56" t="s">
        <v>20</v>
      </c>
      <c r="EG2" s="48"/>
      <c r="EH2" s="56" t="s">
        <v>21</v>
      </c>
      <c r="EI2" s="48"/>
      <c r="EJ2" s="56" t="s">
        <v>22</v>
      </c>
      <c r="EK2" s="48"/>
      <c r="EL2" s="6" t="s">
        <v>23</v>
      </c>
      <c r="EM2" s="2"/>
      <c r="EN2" s="46" t="s">
        <v>16</v>
      </c>
      <c r="EO2" s="47"/>
      <c r="EP2" s="47"/>
      <c r="EQ2" s="47"/>
      <c r="ER2" s="47"/>
      <c r="ES2" s="47"/>
      <c r="ET2" s="47"/>
      <c r="EU2" s="47"/>
      <c r="EV2" s="47"/>
      <c r="EW2" s="47"/>
      <c r="EX2" s="47"/>
      <c r="EY2" s="47"/>
      <c r="EZ2" s="47"/>
      <c r="FA2" s="47"/>
      <c r="FB2" s="47"/>
      <c r="FC2" s="47"/>
      <c r="FD2" s="48"/>
      <c r="FE2" s="49" t="s">
        <v>17</v>
      </c>
      <c r="FF2" s="47"/>
      <c r="FG2" s="47"/>
      <c r="FH2" s="47"/>
      <c r="FI2" s="47"/>
      <c r="FJ2" s="47"/>
      <c r="FK2" s="47"/>
      <c r="FL2" s="47"/>
      <c r="FM2" s="47"/>
      <c r="FN2" s="47"/>
      <c r="FO2" s="48"/>
      <c r="FP2" s="2"/>
      <c r="FQ2" s="2" t="s">
        <v>3</v>
      </c>
      <c r="FR2" s="2" t="s">
        <v>24</v>
      </c>
      <c r="FS2" s="2" t="s">
        <v>24</v>
      </c>
      <c r="FT2" s="2" t="s">
        <v>24</v>
      </c>
      <c r="FU2" s="2" t="s">
        <v>24</v>
      </c>
      <c r="FV2" s="2" t="s">
        <v>3</v>
      </c>
    </row>
    <row r="3" spans="1:178" ht="15.75" customHeight="1" x14ac:dyDescent="0.2">
      <c r="A3" s="2" t="s">
        <v>25</v>
      </c>
      <c r="B3" s="2"/>
      <c r="C3" s="2"/>
      <c r="D3" s="2"/>
      <c r="E3" s="2" t="s">
        <v>26</v>
      </c>
      <c r="F3" s="2" t="s">
        <v>27</v>
      </c>
      <c r="G3" s="2" t="s">
        <v>28</v>
      </c>
      <c r="H3" s="2"/>
      <c r="I3" s="2" t="s">
        <v>29</v>
      </c>
      <c r="J3" s="2" t="s">
        <v>30</v>
      </c>
      <c r="K3" s="50" t="s">
        <v>31</v>
      </c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8"/>
      <c r="AF3" s="51" t="s">
        <v>32</v>
      </c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  <c r="AT3" s="47"/>
      <c r="AU3" s="47"/>
      <c r="AV3" s="47"/>
      <c r="AW3" s="47"/>
      <c r="AX3" s="47"/>
      <c r="AY3" s="47"/>
      <c r="AZ3" s="48"/>
      <c r="BA3" s="52" t="s">
        <v>33</v>
      </c>
      <c r="BB3" s="47"/>
      <c r="BC3" s="47"/>
      <c r="BD3" s="47"/>
      <c r="BE3" s="47"/>
      <c r="BF3" s="47"/>
      <c r="BG3" s="47"/>
      <c r="BH3" s="47"/>
      <c r="BI3" s="47"/>
      <c r="BJ3" s="47"/>
      <c r="BK3" s="47"/>
      <c r="BL3" s="47"/>
      <c r="BM3" s="47"/>
      <c r="BN3" s="47"/>
      <c r="BO3" s="47"/>
      <c r="BP3" s="47"/>
      <c r="BQ3" s="47"/>
      <c r="BR3" s="47"/>
      <c r="BS3" s="47"/>
      <c r="BT3" s="47"/>
      <c r="BU3" s="48"/>
      <c r="BV3" s="51" t="s">
        <v>34</v>
      </c>
      <c r="BW3" s="47"/>
      <c r="BX3" s="47"/>
      <c r="BY3" s="47"/>
      <c r="BZ3" s="47"/>
      <c r="CA3" s="47"/>
      <c r="CB3" s="47"/>
      <c r="CC3" s="47"/>
      <c r="CD3" s="47"/>
      <c r="CE3" s="47"/>
      <c r="CF3" s="47"/>
      <c r="CG3" s="47"/>
      <c r="CH3" s="47"/>
      <c r="CI3" s="47"/>
      <c r="CJ3" s="47"/>
      <c r="CK3" s="47"/>
      <c r="CL3" s="47"/>
      <c r="CM3" s="47"/>
      <c r="CN3" s="47"/>
      <c r="CO3" s="47"/>
      <c r="CP3" s="48"/>
      <c r="CQ3" s="52" t="s">
        <v>35</v>
      </c>
      <c r="CR3" s="47"/>
      <c r="CS3" s="47"/>
      <c r="CT3" s="47"/>
      <c r="CU3" s="47"/>
      <c r="CV3" s="47"/>
      <c r="CW3" s="47"/>
      <c r="CX3" s="47"/>
      <c r="CY3" s="47"/>
      <c r="CZ3" s="47"/>
      <c r="DA3" s="47"/>
      <c r="DB3" s="47"/>
      <c r="DC3" s="47"/>
      <c r="DD3" s="47"/>
      <c r="DE3" s="47"/>
      <c r="DF3" s="47"/>
      <c r="DG3" s="47"/>
      <c r="DH3" s="47"/>
      <c r="DI3" s="47"/>
      <c r="DJ3" s="47"/>
      <c r="DK3" s="48"/>
      <c r="DL3" s="54"/>
      <c r="DM3" s="54"/>
      <c r="DN3" s="2"/>
      <c r="DO3" s="2"/>
      <c r="DP3" s="2"/>
      <c r="DQ3" s="2" t="s">
        <v>3</v>
      </c>
      <c r="DR3" s="61"/>
      <c r="DS3" s="62"/>
      <c r="DT3" s="62"/>
      <c r="DU3" s="63"/>
      <c r="DV3" s="61"/>
      <c r="DW3" s="62"/>
      <c r="DX3" s="62"/>
      <c r="DY3" s="63"/>
      <c r="DZ3" s="2" t="s">
        <v>3</v>
      </c>
      <c r="EA3" s="2"/>
      <c r="EB3" s="7" t="s">
        <v>36</v>
      </c>
      <c r="EC3" s="8" t="s">
        <v>37</v>
      </c>
      <c r="ED3" s="7" t="s">
        <v>36</v>
      </c>
      <c r="EE3" s="8" t="s">
        <v>37</v>
      </c>
      <c r="EF3" s="7" t="s">
        <v>36</v>
      </c>
      <c r="EG3" s="8" t="s">
        <v>37</v>
      </c>
      <c r="EH3" s="7" t="s">
        <v>36</v>
      </c>
      <c r="EI3" s="8" t="s">
        <v>37</v>
      </c>
      <c r="EJ3" s="7" t="s">
        <v>36</v>
      </c>
      <c r="EK3" s="8" t="s">
        <v>37</v>
      </c>
      <c r="EL3" s="6" t="s">
        <v>23</v>
      </c>
      <c r="EM3" s="2"/>
      <c r="EN3" s="7" t="s">
        <v>36</v>
      </c>
      <c r="EO3" s="7" t="s">
        <v>36</v>
      </c>
      <c r="EP3" s="7" t="s">
        <v>36</v>
      </c>
      <c r="EQ3" s="7" t="s">
        <v>36</v>
      </c>
      <c r="ER3" s="8" t="s">
        <v>37</v>
      </c>
      <c r="ES3" s="8" t="s">
        <v>37</v>
      </c>
      <c r="ET3" s="8" t="s">
        <v>37</v>
      </c>
      <c r="EU3" s="8" t="s">
        <v>37</v>
      </c>
      <c r="EV3" s="9" t="s">
        <v>38</v>
      </c>
      <c r="EW3" s="9" t="s">
        <v>38</v>
      </c>
      <c r="EX3" s="9" t="s">
        <v>38</v>
      </c>
      <c r="EY3" s="9" t="s">
        <v>38</v>
      </c>
      <c r="EZ3" s="10" t="s">
        <v>39</v>
      </c>
      <c r="FA3" s="10" t="s">
        <v>39</v>
      </c>
      <c r="FB3" s="10" t="s">
        <v>39</v>
      </c>
      <c r="FC3" s="10" t="s">
        <v>39</v>
      </c>
      <c r="FD3" s="11" t="s">
        <v>40</v>
      </c>
      <c r="FE3" s="7" t="s">
        <v>36</v>
      </c>
      <c r="FF3" s="7" t="s">
        <v>36</v>
      </c>
      <c r="FG3" s="7" t="s">
        <v>36</v>
      </c>
      <c r="FH3" s="7" t="s">
        <v>36</v>
      </c>
      <c r="FI3" s="8" t="s">
        <v>37</v>
      </c>
      <c r="FJ3" s="8" t="s">
        <v>37</v>
      </c>
      <c r="FK3" s="8" t="s">
        <v>37</v>
      </c>
      <c r="FL3" s="8" t="s">
        <v>37</v>
      </c>
      <c r="FM3" s="9" t="s">
        <v>38</v>
      </c>
      <c r="FN3" s="10" t="s">
        <v>39</v>
      </c>
      <c r="FO3" s="11" t="s">
        <v>40</v>
      </c>
      <c r="FP3" s="2"/>
      <c r="FQ3" s="2" t="s">
        <v>3</v>
      </c>
      <c r="FR3" s="2" t="s">
        <v>41</v>
      </c>
      <c r="FS3" s="2" t="s">
        <v>41</v>
      </c>
      <c r="FT3" s="2" t="s">
        <v>41</v>
      </c>
      <c r="FU3" s="2" t="s">
        <v>41</v>
      </c>
      <c r="FV3" s="2" t="s">
        <v>3</v>
      </c>
    </row>
    <row r="4" spans="1:178" ht="15.75" customHeight="1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2" t="s">
        <v>42</v>
      </c>
      <c r="L4" s="2" t="s">
        <v>43</v>
      </c>
      <c r="M4" s="2" t="s">
        <v>44</v>
      </c>
      <c r="N4" s="2" t="s">
        <v>45</v>
      </c>
      <c r="O4" s="2" t="s">
        <v>46</v>
      </c>
      <c r="P4" s="2" t="s">
        <v>47</v>
      </c>
      <c r="Q4" s="2" t="s">
        <v>48</v>
      </c>
      <c r="R4" s="2" t="s">
        <v>49</v>
      </c>
      <c r="S4" s="2" t="s">
        <v>50</v>
      </c>
      <c r="T4" s="2" t="s">
        <v>51</v>
      </c>
      <c r="U4" s="2" t="s">
        <v>52</v>
      </c>
      <c r="V4" s="2" t="s">
        <v>53</v>
      </c>
      <c r="W4" s="2" t="s">
        <v>54</v>
      </c>
      <c r="X4" s="2" t="s">
        <v>55</v>
      </c>
      <c r="Y4" s="2" t="s">
        <v>56</v>
      </c>
      <c r="Z4" s="2" t="s">
        <v>57</v>
      </c>
      <c r="AA4" s="2" t="s">
        <v>58</v>
      </c>
      <c r="AB4" s="2" t="s">
        <v>59</v>
      </c>
      <c r="AC4" s="2" t="s">
        <v>60</v>
      </c>
      <c r="AD4" s="2" t="s">
        <v>61</v>
      </c>
      <c r="AE4" s="2" t="s">
        <v>62</v>
      </c>
      <c r="AF4" s="2" t="s">
        <v>42</v>
      </c>
      <c r="AG4" s="2" t="s">
        <v>43</v>
      </c>
      <c r="AH4" s="2" t="s">
        <v>44</v>
      </c>
      <c r="AI4" s="2" t="s">
        <v>45</v>
      </c>
      <c r="AJ4" s="2" t="s">
        <v>46</v>
      </c>
      <c r="AK4" s="2" t="s">
        <v>47</v>
      </c>
      <c r="AL4" s="2" t="s">
        <v>48</v>
      </c>
      <c r="AM4" s="2" t="s">
        <v>49</v>
      </c>
      <c r="AN4" s="2" t="s">
        <v>50</v>
      </c>
      <c r="AO4" s="2" t="s">
        <v>51</v>
      </c>
      <c r="AP4" s="2" t="s">
        <v>52</v>
      </c>
      <c r="AQ4" s="2" t="s">
        <v>53</v>
      </c>
      <c r="AR4" s="2" t="s">
        <v>54</v>
      </c>
      <c r="AS4" s="2" t="s">
        <v>55</v>
      </c>
      <c r="AT4" s="2" t="s">
        <v>56</v>
      </c>
      <c r="AU4" s="2" t="s">
        <v>57</v>
      </c>
      <c r="AV4" s="2" t="s">
        <v>58</v>
      </c>
      <c r="AW4" s="2" t="s">
        <v>63</v>
      </c>
      <c r="AX4" s="2" t="s">
        <v>60</v>
      </c>
      <c r="AY4" s="2" t="s">
        <v>61</v>
      </c>
      <c r="AZ4" s="2" t="s">
        <v>62</v>
      </c>
      <c r="BA4" s="2" t="s">
        <v>42</v>
      </c>
      <c r="BB4" s="2" t="s">
        <v>43</v>
      </c>
      <c r="BC4" s="2" t="s">
        <v>44</v>
      </c>
      <c r="BD4" s="2" t="s">
        <v>45</v>
      </c>
      <c r="BE4" s="2" t="s">
        <v>46</v>
      </c>
      <c r="BF4" s="2" t="s">
        <v>47</v>
      </c>
      <c r="BG4" s="2" t="s">
        <v>48</v>
      </c>
      <c r="BH4" s="2" t="s">
        <v>49</v>
      </c>
      <c r="BI4" s="2" t="s">
        <v>50</v>
      </c>
      <c r="BJ4" s="2" t="s">
        <v>51</v>
      </c>
      <c r="BK4" s="2" t="s">
        <v>52</v>
      </c>
      <c r="BL4" s="2" t="s">
        <v>53</v>
      </c>
      <c r="BM4" s="2" t="s">
        <v>54</v>
      </c>
      <c r="BN4" s="2" t="s">
        <v>55</v>
      </c>
      <c r="BO4" s="2" t="s">
        <v>56</v>
      </c>
      <c r="BP4" s="2" t="s">
        <v>57</v>
      </c>
      <c r="BQ4" s="2" t="s">
        <v>58</v>
      </c>
      <c r="BR4" s="2" t="s">
        <v>64</v>
      </c>
      <c r="BS4" s="2" t="s">
        <v>60</v>
      </c>
      <c r="BT4" s="2" t="s">
        <v>61</v>
      </c>
      <c r="BU4" s="2" t="s">
        <v>62</v>
      </c>
      <c r="BV4" s="2" t="s">
        <v>42</v>
      </c>
      <c r="BW4" s="2" t="s">
        <v>43</v>
      </c>
      <c r="BX4" s="2" t="s">
        <v>44</v>
      </c>
      <c r="BY4" s="2" t="s">
        <v>45</v>
      </c>
      <c r="BZ4" s="2" t="s">
        <v>46</v>
      </c>
      <c r="CA4" s="2" t="s">
        <v>47</v>
      </c>
      <c r="CB4" s="2" t="s">
        <v>48</v>
      </c>
      <c r="CC4" s="2" t="s">
        <v>49</v>
      </c>
      <c r="CD4" s="2" t="s">
        <v>50</v>
      </c>
      <c r="CE4" s="2" t="s">
        <v>51</v>
      </c>
      <c r="CF4" s="2" t="s">
        <v>52</v>
      </c>
      <c r="CG4" s="2" t="s">
        <v>53</v>
      </c>
      <c r="CH4" s="2" t="s">
        <v>54</v>
      </c>
      <c r="CI4" s="2" t="s">
        <v>55</v>
      </c>
      <c r="CJ4" s="2" t="s">
        <v>56</v>
      </c>
      <c r="CK4" s="2" t="s">
        <v>57</v>
      </c>
      <c r="CL4" s="2" t="s">
        <v>58</v>
      </c>
      <c r="CM4" s="2" t="s">
        <v>65</v>
      </c>
      <c r="CN4" s="2" t="s">
        <v>60</v>
      </c>
      <c r="CO4" s="2" t="s">
        <v>61</v>
      </c>
      <c r="CP4" s="2" t="s">
        <v>62</v>
      </c>
      <c r="CQ4" s="2" t="s">
        <v>42</v>
      </c>
      <c r="CR4" s="2" t="s">
        <v>43</v>
      </c>
      <c r="CS4" s="2" t="s">
        <v>44</v>
      </c>
      <c r="CT4" s="2" t="s">
        <v>45</v>
      </c>
      <c r="CU4" s="2" t="s">
        <v>46</v>
      </c>
      <c r="CV4" s="2" t="s">
        <v>47</v>
      </c>
      <c r="CW4" s="2" t="s">
        <v>48</v>
      </c>
      <c r="CX4" s="2" t="s">
        <v>49</v>
      </c>
      <c r="CY4" s="2" t="s">
        <v>50</v>
      </c>
      <c r="CZ4" s="2" t="s">
        <v>51</v>
      </c>
      <c r="DA4" s="2" t="s">
        <v>52</v>
      </c>
      <c r="DB4" s="2" t="s">
        <v>53</v>
      </c>
      <c r="DC4" s="2" t="s">
        <v>54</v>
      </c>
      <c r="DD4" s="2" t="s">
        <v>55</v>
      </c>
      <c r="DE4" s="2" t="s">
        <v>56</v>
      </c>
      <c r="DF4" s="2" t="s">
        <v>57</v>
      </c>
      <c r="DG4" s="2" t="s">
        <v>58</v>
      </c>
      <c r="DH4" s="2" t="s">
        <v>66</v>
      </c>
      <c r="DI4" s="2" t="s">
        <v>60</v>
      </c>
      <c r="DJ4" s="2" t="s">
        <v>61</v>
      </c>
      <c r="DK4" s="2" t="s">
        <v>62</v>
      </c>
      <c r="DL4" s="54"/>
      <c r="DM4" s="54"/>
      <c r="DN4" s="2" t="s">
        <v>50</v>
      </c>
      <c r="DO4" s="2" t="s">
        <v>51</v>
      </c>
      <c r="DP4" s="2"/>
      <c r="DQ4" s="2" t="s">
        <v>3</v>
      </c>
      <c r="DR4" s="2" t="s">
        <v>67</v>
      </c>
      <c r="DS4" s="2" t="s">
        <v>50</v>
      </c>
      <c r="DT4" s="2" t="s">
        <v>68</v>
      </c>
      <c r="DU4" s="2" t="s">
        <v>69</v>
      </c>
      <c r="DV4" s="2" t="s">
        <v>67</v>
      </c>
      <c r="DW4" s="2" t="s">
        <v>50</v>
      </c>
      <c r="DX4" s="2" t="s">
        <v>68</v>
      </c>
      <c r="DY4" s="2" t="s">
        <v>69</v>
      </c>
      <c r="DZ4" s="2" t="s">
        <v>3</v>
      </c>
      <c r="EA4" s="2"/>
      <c r="EB4" s="2" t="s">
        <v>68</v>
      </c>
      <c r="EC4" s="2" t="s">
        <v>68</v>
      </c>
      <c r="ED4" s="2" t="s">
        <v>68</v>
      </c>
      <c r="EE4" s="2" t="s">
        <v>68</v>
      </c>
      <c r="EF4" s="2" t="s">
        <v>68</v>
      </c>
      <c r="EG4" s="2" t="s">
        <v>68</v>
      </c>
      <c r="EH4" s="2" t="s">
        <v>68</v>
      </c>
      <c r="EI4" s="2" t="s">
        <v>68</v>
      </c>
      <c r="EJ4" s="2" t="s">
        <v>68</v>
      </c>
      <c r="EK4" s="2" t="s">
        <v>68</v>
      </c>
      <c r="EL4" s="2" t="s">
        <v>68</v>
      </c>
      <c r="EM4" s="2"/>
      <c r="EN4" s="2" t="s">
        <v>67</v>
      </c>
      <c r="EO4" s="2" t="s">
        <v>50</v>
      </c>
      <c r="EP4" s="2" t="s">
        <v>68</v>
      </c>
      <c r="EQ4" s="2" t="s">
        <v>70</v>
      </c>
      <c r="ER4" s="2" t="s">
        <v>67</v>
      </c>
      <c r="ES4" s="2" t="s">
        <v>50</v>
      </c>
      <c r="ET4" s="2" t="s">
        <v>68</v>
      </c>
      <c r="EU4" s="2" t="s">
        <v>70</v>
      </c>
      <c r="EV4" s="2" t="s">
        <v>67</v>
      </c>
      <c r="EW4" s="2" t="s">
        <v>50</v>
      </c>
      <c r="EX4" s="2" t="s">
        <v>68</v>
      </c>
      <c r="EY4" s="2" t="s">
        <v>70</v>
      </c>
      <c r="EZ4" s="2" t="s">
        <v>67</v>
      </c>
      <c r="FA4" s="2" t="s">
        <v>50</v>
      </c>
      <c r="FB4" s="2" t="s">
        <v>68</v>
      </c>
      <c r="FC4" s="2" t="s">
        <v>70</v>
      </c>
      <c r="FD4" s="2" t="s">
        <v>68</v>
      </c>
      <c r="FE4" s="2" t="s">
        <v>67</v>
      </c>
      <c r="FF4" s="2" t="s">
        <v>50</v>
      </c>
      <c r="FG4" s="2" t="s">
        <v>68</v>
      </c>
      <c r="FH4" s="2" t="s">
        <v>70</v>
      </c>
      <c r="FI4" s="2" t="s">
        <v>67</v>
      </c>
      <c r="FJ4" s="2" t="s">
        <v>50</v>
      </c>
      <c r="FK4" s="2" t="s">
        <v>68</v>
      </c>
      <c r="FL4" s="2" t="s">
        <v>70</v>
      </c>
      <c r="FM4" s="2" t="s">
        <v>68</v>
      </c>
      <c r="FN4" s="2"/>
      <c r="FO4" s="2" t="s">
        <v>68</v>
      </c>
      <c r="FP4" s="2"/>
      <c r="FQ4" s="2" t="s">
        <v>3</v>
      </c>
      <c r="FR4" s="2" t="s">
        <v>71</v>
      </c>
      <c r="FS4" s="2" t="s">
        <v>72</v>
      </c>
      <c r="FT4" s="2" t="s">
        <v>73</v>
      </c>
      <c r="FU4" s="2" t="s">
        <v>73</v>
      </c>
      <c r="FV4" s="2" t="s">
        <v>3</v>
      </c>
    </row>
    <row r="5" spans="1:178" ht="15.75" customHeight="1" x14ac:dyDescent="0.2">
      <c r="A5" s="12" t="s">
        <v>74</v>
      </c>
      <c r="B5" s="2" t="s">
        <v>75</v>
      </c>
      <c r="C5" s="13" t="s">
        <v>76</v>
      </c>
      <c r="D5" s="2" t="s">
        <v>77</v>
      </c>
      <c r="E5" s="2"/>
      <c r="F5" s="2"/>
      <c r="G5" s="2" t="s">
        <v>78</v>
      </c>
      <c r="H5" s="2" t="s">
        <v>79</v>
      </c>
      <c r="I5" s="2"/>
      <c r="J5" s="2" t="s">
        <v>80</v>
      </c>
      <c r="K5" s="2">
        <v>0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>
        <v>30.76</v>
      </c>
      <c r="AG5" s="2"/>
      <c r="AH5" s="2"/>
      <c r="AI5" s="2"/>
      <c r="AJ5" s="2"/>
      <c r="AK5" s="2"/>
      <c r="AL5" s="2"/>
      <c r="AM5" s="2"/>
      <c r="AN5" s="2">
        <v>1.1200000000000001</v>
      </c>
      <c r="AO5" s="2">
        <v>0.05</v>
      </c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>
        <v>0</v>
      </c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>
        <v>0</v>
      </c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>
        <v>0</v>
      </c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14" t="s">
        <v>81</v>
      </c>
      <c r="DM5" s="2" t="s">
        <v>81</v>
      </c>
      <c r="DN5" s="2">
        <f t="shared" ref="DN5:DN259" si="8">(S5*K5+AN5*AF5+BI5*BA5)/(K5+AF5+BA5)</f>
        <v>1.1200000000000001</v>
      </c>
      <c r="DO5" s="2">
        <f t="shared" ref="DO5:DO259" si="9">(T5*K5+AO5*AF5+BJ5*BA5)/(K5+AF5+BA5)</f>
        <v>0.05</v>
      </c>
      <c r="DP5" s="2" t="s">
        <v>82</v>
      </c>
      <c r="DQ5" s="2" t="s">
        <v>3</v>
      </c>
      <c r="DR5" s="2">
        <f t="shared" ref="DR5:DR259" si="10">K5+AF5+BA5</f>
        <v>30.76</v>
      </c>
      <c r="DS5" s="4">
        <f t="shared" ref="DS5:DS259" si="11">(K5*S5+AF5*AN5+BA5*BI5)/DR5</f>
        <v>1.1200000000000001</v>
      </c>
      <c r="DT5" s="15">
        <f t="shared" ref="DT5:DT259" si="12">1000*DR5*DS5/100</f>
        <v>344.51200000000006</v>
      </c>
      <c r="DU5" s="2"/>
      <c r="DV5" s="2">
        <f t="shared" ref="DV5:DV259" si="13">BV5+CQ5</f>
        <v>0</v>
      </c>
      <c r="DW5" s="2"/>
      <c r="DX5" s="2"/>
      <c r="DY5" s="2"/>
      <c r="DZ5" s="2" t="s">
        <v>3</v>
      </c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 t="s">
        <v>3</v>
      </c>
      <c r="FR5" s="2" t="s">
        <v>37</v>
      </c>
      <c r="FS5" s="2" t="s">
        <v>83</v>
      </c>
      <c r="FT5" s="2" t="s">
        <v>83</v>
      </c>
      <c r="FU5" s="2"/>
      <c r="FV5" s="2" t="s">
        <v>3</v>
      </c>
    </row>
    <row r="6" spans="1:178" ht="15.75" customHeight="1" x14ac:dyDescent="0.2">
      <c r="A6" s="14" t="s">
        <v>84</v>
      </c>
      <c r="B6" s="2" t="s">
        <v>85</v>
      </c>
      <c r="C6" s="16" t="s">
        <v>86</v>
      </c>
      <c r="D6" s="2"/>
      <c r="E6" s="2"/>
      <c r="F6" s="2"/>
      <c r="G6" s="2"/>
      <c r="H6" s="17" t="s">
        <v>87</v>
      </c>
      <c r="I6" s="2"/>
      <c r="J6" s="2"/>
      <c r="K6" s="2">
        <v>0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>
        <v>96.100000000000009</v>
      </c>
      <c r="AG6" s="4">
        <v>0.01</v>
      </c>
      <c r="AH6" s="4">
        <v>2.4090489073881373E-2</v>
      </c>
      <c r="AI6" s="2"/>
      <c r="AJ6" s="2"/>
      <c r="AK6" s="2"/>
      <c r="AL6" s="2"/>
      <c r="AM6" s="2"/>
      <c r="AN6" s="4">
        <v>0.03</v>
      </c>
      <c r="AO6" s="2"/>
      <c r="AP6" s="4">
        <v>2.9450622892819975</v>
      </c>
      <c r="AQ6" s="4">
        <v>1.3189542767950051</v>
      </c>
      <c r="AR6" s="4">
        <v>0.55408124869927156</v>
      </c>
      <c r="AS6" s="4">
        <v>0.95759694068678458</v>
      </c>
      <c r="AT6" s="4">
        <v>0.22283702393340268</v>
      </c>
      <c r="AU6" s="2"/>
      <c r="AV6" s="2"/>
      <c r="AW6" s="2"/>
      <c r="AX6" s="2"/>
      <c r="AY6" s="2"/>
      <c r="AZ6" s="2"/>
      <c r="BA6" s="2">
        <v>78.599999999999994</v>
      </c>
      <c r="BB6" s="4">
        <v>1.0000000000000002E-2</v>
      </c>
      <c r="BC6" s="4">
        <v>2.3151755725190841E-2</v>
      </c>
      <c r="BD6" s="2"/>
      <c r="BE6" s="2"/>
      <c r="BF6" s="2"/>
      <c r="BG6" s="2"/>
      <c r="BH6" s="2"/>
      <c r="BI6" s="4">
        <v>0.03</v>
      </c>
      <c r="BJ6" s="2"/>
      <c r="BK6" s="4">
        <v>2.8303021374045803</v>
      </c>
      <c r="BL6" s="4">
        <v>1.2675586259541987</v>
      </c>
      <c r="BM6" s="4">
        <v>0.53249038167938934</v>
      </c>
      <c r="BN6" s="4">
        <v>0.920282290076336</v>
      </c>
      <c r="BO6" s="4">
        <v>0.21415374045801527</v>
      </c>
      <c r="BP6" s="2"/>
      <c r="BQ6" s="2"/>
      <c r="BR6" s="2"/>
      <c r="BS6" s="2"/>
      <c r="BT6" s="2"/>
      <c r="BU6" s="2"/>
      <c r="BV6" s="2">
        <v>0</v>
      </c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>
        <v>0</v>
      </c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14" t="s">
        <v>81</v>
      </c>
      <c r="DM6" s="2"/>
      <c r="DN6" s="2">
        <f t="shared" si="8"/>
        <v>0.03</v>
      </c>
      <c r="DO6" s="2">
        <f t="shared" si="9"/>
        <v>0</v>
      </c>
      <c r="DP6" s="2" t="s">
        <v>88</v>
      </c>
      <c r="DQ6" s="2" t="s">
        <v>3</v>
      </c>
      <c r="DR6" s="2">
        <f t="shared" si="10"/>
        <v>174.7</v>
      </c>
      <c r="DS6" s="4">
        <f t="shared" si="11"/>
        <v>0.03</v>
      </c>
      <c r="DT6" s="15">
        <f t="shared" si="12"/>
        <v>52.41</v>
      </c>
      <c r="DU6" s="2"/>
      <c r="DV6" s="2">
        <f t="shared" si="13"/>
        <v>0</v>
      </c>
      <c r="DW6" s="2"/>
      <c r="DX6" s="2"/>
      <c r="DY6" s="2"/>
      <c r="DZ6" s="2" t="s">
        <v>3</v>
      </c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 t="s">
        <v>3</v>
      </c>
      <c r="FR6" s="2" t="s">
        <v>89</v>
      </c>
      <c r="FS6" s="2" t="s">
        <v>90</v>
      </c>
      <c r="FT6" s="2" t="s">
        <v>91</v>
      </c>
      <c r="FU6" s="2" t="s">
        <v>92</v>
      </c>
      <c r="FV6" s="2" t="s">
        <v>3</v>
      </c>
    </row>
    <row r="7" spans="1:178" ht="15.75" customHeight="1" x14ac:dyDescent="0.2">
      <c r="A7" s="14" t="s">
        <v>84</v>
      </c>
      <c r="B7" s="2" t="s">
        <v>85</v>
      </c>
      <c r="C7" s="16" t="s">
        <v>93</v>
      </c>
      <c r="D7" s="2"/>
      <c r="E7" s="2"/>
      <c r="F7" s="2"/>
      <c r="G7" s="2"/>
      <c r="H7" s="2" t="s">
        <v>94</v>
      </c>
      <c r="I7" s="2"/>
      <c r="J7" s="2"/>
      <c r="K7" s="2">
        <v>98.4</v>
      </c>
      <c r="L7" s="2">
        <v>0.01</v>
      </c>
      <c r="M7" s="4">
        <v>5.8974502899999996E-2</v>
      </c>
      <c r="N7" s="2"/>
      <c r="O7" s="2"/>
      <c r="P7" s="2"/>
      <c r="Q7" s="2"/>
      <c r="R7" s="2"/>
      <c r="S7" s="2">
        <v>0.03</v>
      </c>
      <c r="T7" s="2"/>
      <c r="U7" s="4">
        <v>3.1921685999999996</v>
      </c>
      <c r="V7" s="4">
        <v>1.60276134</v>
      </c>
      <c r="W7" s="4">
        <v>0.54552451999999996</v>
      </c>
      <c r="X7" s="4">
        <v>0.85477758000000004</v>
      </c>
      <c r="Y7" s="4">
        <v>0.215799086</v>
      </c>
      <c r="Z7" s="15">
        <f>31*(2*52/(2*52+3*16.001))</f>
        <v>21.210107695242861</v>
      </c>
      <c r="AA7" s="2"/>
      <c r="AB7" s="2"/>
      <c r="AC7" s="2"/>
      <c r="AD7" s="2"/>
      <c r="AE7" s="2"/>
      <c r="AF7" s="2">
        <v>10.8</v>
      </c>
      <c r="AG7" s="2">
        <v>0.01</v>
      </c>
      <c r="AH7" s="2"/>
      <c r="AI7" s="2"/>
      <c r="AJ7" s="2"/>
      <c r="AK7" s="2"/>
      <c r="AL7" s="2"/>
      <c r="AM7" s="2"/>
      <c r="AN7" s="2">
        <v>0.03</v>
      </c>
      <c r="AO7" s="2"/>
      <c r="AP7" s="2"/>
      <c r="AQ7" s="2"/>
      <c r="AR7" s="2"/>
      <c r="AS7" s="2"/>
      <c r="AT7" s="2"/>
      <c r="AU7" s="15">
        <f>31*(2*52/(2*52+3*16.001))</f>
        <v>21.210107695242861</v>
      </c>
      <c r="AV7" s="2"/>
      <c r="AW7" s="2"/>
      <c r="AX7" s="2"/>
      <c r="AY7" s="2"/>
      <c r="AZ7" s="2"/>
      <c r="BA7" s="2">
        <v>55.9</v>
      </c>
      <c r="BB7" s="2">
        <v>0.01</v>
      </c>
      <c r="BC7" s="4">
        <v>5.5267343999999996E-2</v>
      </c>
      <c r="BD7" s="2"/>
      <c r="BE7" s="2"/>
      <c r="BF7" s="2"/>
      <c r="BG7" s="2"/>
      <c r="BH7" s="2"/>
      <c r="BI7" s="2">
        <v>0.03</v>
      </c>
      <c r="BJ7" s="2"/>
      <c r="BK7" s="4">
        <v>2.9914972999999998</v>
      </c>
      <c r="BL7" s="4">
        <v>1.50200534</v>
      </c>
      <c r="BM7" s="4">
        <v>0.51123001599999995</v>
      </c>
      <c r="BN7" s="4"/>
      <c r="BO7" s="4"/>
      <c r="BP7" s="15">
        <f>31*(2*52/(2*52+3*16.001))</f>
        <v>21.210107695242861</v>
      </c>
      <c r="BQ7" s="2"/>
      <c r="BR7" s="2"/>
      <c r="BS7" s="2"/>
      <c r="BT7" s="2"/>
      <c r="BU7" s="2"/>
      <c r="BV7" s="2">
        <v>0</v>
      </c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>
        <v>0</v>
      </c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14" t="s">
        <v>81</v>
      </c>
      <c r="DM7" s="2"/>
      <c r="DN7" s="2">
        <f t="shared" si="8"/>
        <v>0.03</v>
      </c>
      <c r="DO7" s="2">
        <f t="shared" si="9"/>
        <v>0</v>
      </c>
      <c r="DP7" s="2" t="s">
        <v>95</v>
      </c>
      <c r="DQ7" s="2" t="s">
        <v>3</v>
      </c>
      <c r="DR7" s="2">
        <f t="shared" si="10"/>
        <v>165.1</v>
      </c>
      <c r="DS7" s="4">
        <f t="shared" si="11"/>
        <v>0.03</v>
      </c>
      <c r="DT7" s="15">
        <f t="shared" si="12"/>
        <v>49.53</v>
      </c>
      <c r="DU7" s="2"/>
      <c r="DV7" s="2">
        <f t="shared" si="13"/>
        <v>0</v>
      </c>
      <c r="DW7" s="2"/>
      <c r="DX7" s="2"/>
      <c r="DY7" s="2"/>
      <c r="DZ7" s="2" t="s">
        <v>3</v>
      </c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 t="s">
        <v>3</v>
      </c>
      <c r="FR7" s="2" t="s">
        <v>89</v>
      </c>
      <c r="FS7" s="2" t="s">
        <v>90</v>
      </c>
      <c r="FT7" s="2" t="s">
        <v>91</v>
      </c>
      <c r="FU7" s="2" t="s">
        <v>92</v>
      </c>
      <c r="FV7" s="2" t="s">
        <v>3</v>
      </c>
    </row>
    <row r="8" spans="1:178" ht="15.75" customHeight="1" x14ac:dyDescent="0.2">
      <c r="A8" s="14" t="s">
        <v>96</v>
      </c>
      <c r="B8" s="2" t="s">
        <v>97</v>
      </c>
      <c r="C8" s="16" t="s">
        <v>98</v>
      </c>
      <c r="D8" s="2" t="s">
        <v>99</v>
      </c>
      <c r="E8" s="2"/>
      <c r="F8" s="2"/>
      <c r="G8" s="2"/>
      <c r="H8" s="2" t="s">
        <v>79</v>
      </c>
      <c r="I8" s="2"/>
      <c r="J8" s="2"/>
      <c r="K8" s="2">
        <v>0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>
        <v>0</v>
      </c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18">
        <v>2773.79</v>
      </c>
      <c r="BB8" s="2"/>
      <c r="BC8" s="2"/>
      <c r="BD8" s="2"/>
      <c r="BE8" s="2"/>
      <c r="BF8" s="2"/>
      <c r="BG8" s="2"/>
      <c r="BH8" s="2"/>
      <c r="BI8" s="2">
        <v>0.28999999999999998</v>
      </c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>
        <v>0</v>
      </c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>
        <v>0</v>
      </c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14" t="s">
        <v>100</v>
      </c>
      <c r="DM8" s="2"/>
      <c r="DN8" s="2">
        <f t="shared" si="8"/>
        <v>0.28999999999999998</v>
      </c>
      <c r="DO8" s="2">
        <f t="shared" si="9"/>
        <v>0</v>
      </c>
      <c r="DP8" s="2" t="s">
        <v>101</v>
      </c>
      <c r="DQ8" s="2" t="s">
        <v>3</v>
      </c>
      <c r="DR8" s="18">
        <f t="shared" si="10"/>
        <v>2773.79</v>
      </c>
      <c r="DS8" s="2">
        <f t="shared" si="11"/>
        <v>0.28999999999999998</v>
      </c>
      <c r="DT8" s="18">
        <f t="shared" si="12"/>
        <v>8043.991</v>
      </c>
      <c r="DU8" s="2"/>
      <c r="DV8" s="2">
        <f t="shared" si="13"/>
        <v>0</v>
      </c>
      <c r="DW8" s="2"/>
      <c r="DX8" s="2"/>
      <c r="DY8" s="2"/>
      <c r="DZ8" s="2" t="s">
        <v>3</v>
      </c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 t="s">
        <v>3</v>
      </c>
      <c r="FR8" s="2" t="s">
        <v>89</v>
      </c>
      <c r="FS8" s="2" t="s">
        <v>90</v>
      </c>
      <c r="FT8" s="2" t="s">
        <v>91</v>
      </c>
      <c r="FU8" s="2" t="s">
        <v>102</v>
      </c>
      <c r="FV8" s="2" t="s">
        <v>3</v>
      </c>
    </row>
    <row r="9" spans="1:178" ht="15.75" customHeight="1" x14ac:dyDescent="0.2">
      <c r="A9" s="12" t="s">
        <v>74</v>
      </c>
      <c r="B9" s="2" t="s">
        <v>75</v>
      </c>
      <c r="C9" s="13" t="s">
        <v>103</v>
      </c>
      <c r="D9" s="2" t="s">
        <v>99</v>
      </c>
      <c r="E9" s="2"/>
      <c r="F9" s="2"/>
      <c r="G9" s="2" t="s">
        <v>78</v>
      </c>
      <c r="H9" s="2" t="s">
        <v>104</v>
      </c>
      <c r="I9" s="2"/>
      <c r="J9" s="2" t="s">
        <v>80</v>
      </c>
      <c r="K9" s="2">
        <v>0.78</v>
      </c>
      <c r="L9" s="2"/>
      <c r="M9" s="2"/>
      <c r="N9" s="2"/>
      <c r="O9" s="2"/>
      <c r="P9" s="2"/>
      <c r="Q9" s="2"/>
      <c r="R9" s="2"/>
      <c r="S9" s="2">
        <v>1.1000000000000001</v>
      </c>
      <c r="T9" s="2">
        <v>0.06</v>
      </c>
      <c r="U9" s="2"/>
      <c r="V9" s="2"/>
      <c r="W9" s="2"/>
      <c r="X9" s="2"/>
      <c r="Y9" s="2"/>
      <c r="Z9" s="2"/>
      <c r="AA9" s="2">
        <v>23</v>
      </c>
      <c r="AB9" s="2">
        <v>30</v>
      </c>
      <c r="AC9" s="2"/>
      <c r="AD9" s="2"/>
      <c r="AE9" s="2"/>
      <c r="AF9" s="2">
        <v>42</v>
      </c>
      <c r="AG9" s="2"/>
      <c r="AH9" s="2"/>
      <c r="AI9" s="2"/>
      <c r="AJ9" s="2"/>
      <c r="AK9" s="2"/>
      <c r="AL9" s="2"/>
      <c r="AM9" s="2"/>
      <c r="AN9" s="15">
        <v>1</v>
      </c>
      <c r="AO9" s="2">
        <v>0.05</v>
      </c>
      <c r="AP9" s="2"/>
      <c r="AQ9" s="2"/>
      <c r="AR9" s="2"/>
      <c r="AS9" s="2"/>
      <c r="AT9" s="2"/>
      <c r="AU9" s="2"/>
      <c r="AV9" s="2">
        <v>22</v>
      </c>
      <c r="AW9" s="2">
        <v>29</v>
      </c>
      <c r="AX9" s="2"/>
      <c r="AY9" s="2"/>
      <c r="AZ9" s="2"/>
      <c r="BA9" s="2">
        <v>2.4</v>
      </c>
      <c r="BB9" s="2"/>
      <c r="BC9" s="2"/>
      <c r="BD9" s="2"/>
      <c r="BE9" s="2"/>
      <c r="BF9" s="2"/>
      <c r="BG9" s="2"/>
      <c r="BH9" s="2"/>
      <c r="BI9" s="15">
        <v>1</v>
      </c>
      <c r="BJ9" s="2">
        <v>0.04</v>
      </c>
      <c r="BK9" s="2"/>
      <c r="BL9" s="2"/>
      <c r="BM9" s="2"/>
      <c r="BN9" s="2"/>
      <c r="BO9" s="2"/>
      <c r="BP9" s="2"/>
      <c r="BQ9" s="2">
        <v>20</v>
      </c>
      <c r="BR9" s="2">
        <v>33</v>
      </c>
      <c r="BS9" s="2"/>
      <c r="BT9" s="2"/>
      <c r="BU9" s="2"/>
      <c r="BV9" s="2">
        <v>0</v>
      </c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>
        <v>0</v>
      </c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14" t="s">
        <v>81</v>
      </c>
      <c r="DM9" s="2" t="s">
        <v>81</v>
      </c>
      <c r="DN9" s="2">
        <f t="shared" si="8"/>
        <v>1.0017264276228419</v>
      </c>
      <c r="DO9" s="2">
        <f t="shared" si="9"/>
        <v>4.9641434262948217E-2</v>
      </c>
      <c r="DP9" s="2" t="s">
        <v>105</v>
      </c>
      <c r="DQ9" s="2" t="s">
        <v>3</v>
      </c>
      <c r="DR9" s="2">
        <f t="shared" si="10"/>
        <v>45.18</v>
      </c>
      <c r="DS9" s="4">
        <f t="shared" si="11"/>
        <v>1.0017264276228419</v>
      </c>
      <c r="DT9" s="15">
        <f t="shared" si="12"/>
        <v>452.58</v>
      </c>
      <c r="DU9" s="2"/>
      <c r="DV9" s="2">
        <f t="shared" si="13"/>
        <v>0</v>
      </c>
      <c r="DW9" s="2"/>
      <c r="DX9" s="2"/>
      <c r="DY9" s="2"/>
      <c r="DZ9" s="2" t="s">
        <v>3</v>
      </c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 t="s">
        <v>3</v>
      </c>
      <c r="FR9" s="2" t="s">
        <v>37</v>
      </c>
      <c r="FS9" s="2" t="s">
        <v>106</v>
      </c>
      <c r="FT9" s="2" t="s">
        <v>106</v>
      </c>
      <c r="FU9" s="2"/>
      <c r="FV9" s="2" t="s">
        <v>3</v>
      </c>
    </row>
    <row r="10" spans="1:178" ht="15.75" customHeight="1" x14ac:dyDescent="0.2">
      <c r="A10" s="12" t="s">
        <v>74</v>
      </c>
      <c r="B10" s="2" t="s">
        <v>107</v>
      </c>
      <c r="C10" s="13" t="s">
        <v>108</v>
      </c>
      <c r="D10" s="2" t="s">
        <v>109</v>
      </c>
      <c r="E10" s="2"/>
      <c r="F10" s="2"/>
      <c r="G10" s="2"/>
      <c r="H10" s="2" t="s">
        <v>110</v>
      </c>
      <c r="I10" s="2"/>
      <c r="J10" s="2" t="s">
        <v>111</v>
      </c>
      <c r="K10" s="2">
        <v>0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>
        <v>0</v>
      </c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>
        <f>66.2-13*0.7</f>
        <v>57.1</v>
      </c>
      <c r="BB10" s="2"/>
      <c r="BC10" s="2"/>
      <c r="BD10" s="2"/>
      <c r="BE10" s="2"/>
      <c r="BF10" s="2"/>
      <c r="BG10" s="2"/>
      <c r="BH10" s="2"/>
      <c r="BI10" s="2" t="s">
        <v>112</v>
      </c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>
        <v>0</v>
      </c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>
        <v>0</v>
      </c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14" t="s">
        <v>100</v>
      </c>
      <c r="DM10" s="2"/>
      <c r="DN10" s="2">
        <f t="shared" si="8"/>
        <v>0.76999999999999991</v>
      </c>
      <c r="DO10" s="2">
        <f t="shared" si="9"/>
        <v>0</v>
      </c>
      <c r="DP10" s="2" t="s">
        <v>113</v>
      </c>
      <c r="DQ10" s="2" t="s">
        <v>3</v>
      </c>
      <c r="DR10" s="2">
        <f t="shared" si="10"/>
        <v>57.1</v>
      </c>
      <c r="DS10" s="2">
        <f t="shared" si="11"/>
        <v>0.76999999999999991</v>
      </c>
      <c r="DT10" s="15">
        <f t="shared" si="12"/>
        <v>439.6699999999999</v>
      </c>
      <c r="DU10" s="2"/>
      <c r="DV10" s="2">
        <f t="shared" si="13"/>
        <v>0</v>
      </c>
      <c r="DW10" s="2"/>
      <c r="DX10" s="2"/>
      <c r="DY10" s="2"/>
      <c r="DZ10" s="2" t="s">
        <v>3</v>
      </c>
      <c r="EA10" s="2" t="s">
        <v>107</v>
      </c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 t="s">
        <v>107</v>
      </c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 t="s">
        <v>107</v>
      </c>
      <c r="FQ10" s="2" t="s">
        <v>3</v>
      </c>
      <c r="FR10" s="2" t="s">
        <v>37</v>
      </c>
      <c r="FS10" s="2" t="s">
        <v>114</v>
      </c>
      <c r="FT10" s="2" t="s">
        <v>114</v>
      </c>
      <c r="FU10" s="2"/>
      <c r="FV10" s="2" t="s">
        <v>3</v>
      </c>
    </row>
    <row r="11" spans="1:178" ht="15.75" customHeight="1" x14ac:dyDescent="0.2">
      <c r="A11" s="12" t="s">
        <v>74</v>
      </c>
      <c r="B11" s="2" t="s">
        <v>115</v>
      </c>
      <c r="C11" s="13" t="s">
        <v>116</v>
      </c>
      <c r="D11" s="2" t="s">
        <v>99</v>
      </c>
      <c r="E11" s="2"/>
      <c r="F11" s="2"/>
      <c r="G11" s="2"/>
      <c r="H11" s="2" t="s">
        <v>79</v>
      </c>
      <c r="I11" s="2"/>
      <c r="J11" s="2"/>
      <c r="K11" s="2">
        <v>0</v>
      </c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>
        <v>0</v>
      </c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>
        <v>4.5309999999999997</v>
      </c>
      <c r="BB11" s="2"/>
      <c r="BC11" s="2"/>
      <c r="BD11" s="2"/>
      <c r="BE11" s="2"/>
      <c r="BF11" s="2"/>
      <c r="BG11" s="2"/>
      <c r="BH11" s="2"/>
      <c r="BI11" s="4">
        <v>1.4</v>
      </c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>
        <v>0</v>
      </c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>
        <v>0</v>
      </c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14" t="s">
        <v>100</v>
      </c>
      <c r="DM11" s="2"/>
      <c r="DN11" s="2">
        <f t="shared" si="8"/>
        <v>1.4</v>
      </c>
      <c r="DO11" s="2">
        <f t="shared" si="9"/>
        <v>0</v>
      </c>
      <c r="DP11" s="2" t="s">
        <v>117</v>
      </c>
      <c r="DQ11" s="2" t="s">
        <v>3</v>
      </c>
      <c r="DR11" s="2">
        <f t="shared" si="10"/>
        <v>4.5309999999999997</v>
      </c>
      <c r="DS11" s="2">
        <f t="shared" si="11"/>
        <v>1.4</v>
      </c>
      <c r="DT11" s="15">
        <f t="shared" si="12"/>
        <v>63.433999999999997</v>
      </c>
      <c r="DU11" s="2"/>
      <c r="DV11" s="2">
        <f t="shared" si="13"/>
        <v>0</v>
      </c>
      <c r="DW11" s="2"/>
      <c r="DX11" s="2"/>
      <c r="DY11" s="2"/>
      <c r="DZ11" s="2" t="s">
        <v>3</v>
      </c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 t="s">
        <v>3</v>
      </c>
      <c r="FR11" s="2" t="s">
        <v>37</v>
      </c>
      <c r="FS11" s="2" t="s">
        <v>106</v>
      </c>
      <c r="FT11" s="2"/>
      <c r="FU11" s="2"/>
      <c r="FV11" s="2" t="s">
        <v>3</v>
      </c>
    </row>
    <row r="12" spans="1:178" ht="15.75" customHeight="1" x14ac:dyDescent="0.2">
      <c r="A12" s="14" t="s">
        <v>96</v>
      </c>
      <c r="B12" s="2" t="s">
        <v>118</v>
      </c>
      <c r="C12" s="16" t="s">
        <v>119</v>
      </c>
      <c r="D12" s="2" t="s">
        <v>120</v>
      </c>
      <c r="E12" s="2"/>
      <c r="F12" s="2"/>
      <c r="G12" s="2"/>
      <c r="H12" s="2" t="s">
        <v>121</v>
      </c>
      <c r="I12" s="2"/>
      <c r="J12" s="2"/>
      <c r="K12" s="2">
        <f>3.903+0.361</f>
        <v>4.2640000000000002</v>
      </c>
      <c r="L12" s="4">
        <f>(0.6*3.903+0.4*0.361)/K12</f>
        <v>0.58306754221388368</v>
      </c>
      <c r="M12" s="2">
        <v>0.14000000000000001</v>
      </c>
      <c r="N12" s="2"/>
      <c r="O12" s="2"/>
      <c r="P12" s="2"/>
      <c r="Q12" s="2"/>
      <c r="R12" s="2"/>
      <c r="S12" s="2">
        <f>(0.6*3.903+0.6*0.361)/K12</f>
        <v>0.6</v>
      </c>
      <c r="T12" s="2">
        <v>0.01</v>
      </c>
      <c r="U12" s="4">
        <f>0.35*0.51</f>
        <v>0.17849999999999999</v>
      </c>
      <c r="V12" s="4">
        <f>0.5*0.51</f>
        <v>0.255</v>
      </c>
      <c r="W12" s="4">
        <f>0.15*0.51</f>
        <v>7.6499999999999999E-2</v>
      </c>
      <c r="X12" s="2"/>
      <c r="Y12" s="2"/>
      <c r="Z12" s="2"/>
      <c r="AA12" s="2"/>
      <c r="AB12" s="2"/>
      <c r="AC12" s="2"/>
      <c r="AD12" s="2"/>
      <c r="AE12" s="2"/>
      <c r="AF12" s="2">
        <v>1.5269999999999999</v>
      </c>
      <c r="AG12" s="2">
        <v>0.5</v>
      </c>
      <c r="AH12" s="2">
        <v>0.14000000000000001</v>
      </c>
      <c r="AI12" s="2"/>
      <c r="AJ12" s="2"/>
      <c r="AK12" s="2"/>
      <c r="AL12" s="2"/>
      <c r="AM12" s="2"/>
      <c r="AN12" s="2">
        <v>0.6</v>
      </c>
      <c r="AO12" s="2">
        <v>0.01</v>
      </c>
      <c r="AP12" s="4">
        <f>0.35*0.51</f>
        <v>0.17849999999999999</v>
      </c>
      <c r="AQ12" s="4">
        <f>0.5*0.51</f>
        <v>0.255</v>
      </c>
      <c r="AR12" s="4">
        <f>0.15*0.51</f>
        <v>7.6499999999999999E-2</v>
      </c>
      <c r="AS12" s="2"/>
      <c r="AT12" s="2"/>
      <c r="AU12" s="2"/>
      <c r="AV12" s="2"/>
      <c r="AW12" s="2"/>
      <c r="AX12" s="2"/>
      <c r="AY12" s="2"/>
      <c r="AZ12" s="2"/>
      <c r="BA12" s="2">
        <v>4.2999999999999997E-2</v>
      </c>
      <c r="BB12" s="2">
        <v>0.2</v>
      </c>
      <c r="BC12" s="2">
        <v>0.14000000000000001</v>
      </c>
      <c r="BD12" s="2"/>
      <c r="BE12" s="2"/>
      <c r="BF12" s="2"/>
      <c r="BG12" s="2"/>
      <c r="BH12" s="2"/>
      <c r="BI12" s="4">
        <v>0.4</v>
      </c>
      <c r="BJ12" s="2">
        <v>0.01</v>
      </c>
      <c r="BK12" s="4">
        <f>0.35*0.51</f>
        <v>0.17849999999999999</v>
      </c>
      <c r="BL12" s="4">
        <f>0.5*0.51</f>
        <v>0.255</v>
      </c>
      <c r="BM12" s="4">
        <f>0.15*0.51</f>
        <v>7.6499999999999999E-2</v>
      </c>
      <c r="BN12" s="4"/>
      <c r="BO12" s="4"/>
      <c r="BP12" s="2"/>
      <c r="BQ12" s="2"/>
      <c r="BR12" s="2"/>
      <c r="BS12" s="2"/>
      <c r="BT12" s="2"/>
      <c r="BU12" s="2"/>
      <c r="BV12" s="2">
        <f>1.8+0.361</f>
        <v>2.161</v>
      </c>
      <c r="BW12" s="4">
        <f>(0.6*1.8+0.4*0.361)/BV12</f>
        <v>0.56658954187875987</v>
      </c>
      <c r="BX12" s="2">
        <v>0.14000000000000001</v>
      </c>
      <c r="BY12" s="2"/>
      <c r="BZ12" s="2"/>
      <c r="CA12" s="2"/>
      <c r="CB12" s="2"/>
      <c r="CC12" s="2"/>
      <c r="CD12" s="4">
        <f>(0.7*1.8+0.6*0.361)/BV12</f>
        <v>0.68329477093937985</v>
      </c>
      <c r="CE12" s="2">
        <v>0.01</v>
      </c>
      <c r="CF12" s="4">
        <f>0.35*0.51</f>
        <v>0.17849999999999999</v>
      </c>
      <c r="CG12" s="4">
        <f>0.5*0.51</f>
        <v>0.255</v>
      </c>
      <c r="CH12" s="4">
        <f>0.15*0.51</f>
        <v>7.6499999999999999E-2</v>
      </c>
      <c r="CI12" s="4"/>
      <c r="CJ12" s="4"/>
      <c r="CK12" s="2"/>
      <c r="CL12" s="2"/>
      <c r="CM12" s="2"/>
      <c r="CN12" s="2"/>
      <c r="CO12" s="2"/>
      <c r="CP12" s="2"/>
      <c r="CQ12" s="2">
        <v>1.2889999999999999</v>
      </c>
      <c r="CR12" s="2">
        <v>0.5</v>
      </c>
      <c r="CS12" s="2">
        <v>0.14000000000000001</v>
      </c>
      <c r="CT12" s="2"/>
      <c r="CU12" s="2"/>
      <c r="CV12" s="2"/>
      <c r="CW12" s="2"/>
      <c r="CX12" s="2"/>
      <c r="CY12" s="2">
        <v>0.6</v>
      </c>
      <c r="CZ12" s="2">
        <v>0.01</v>
      </c>
      <c r="DA12" s="4">
        <f>0.35*0.51</f>
        <v>0.17849999999999999</v>
      </c>
      <c r="DB12" s="4">
        <f>0.5*0.51</f>
        <v>0.255</v>
      </c>
      <c r="DC12" s="4">
        <f>0.15*0.51</f>
        <v>7.6499999999999999E-2</v>
      </c>
      <c r="DD12" s="4"/>
      <c r="DE12" s="4"/>
      <c r="DF12" s="2"/>
      <c r="DG12" s="2"/>
      <c r="DH12" s="2"/>
      <c r="DI12" s="2"/>
      <c r="DJ12" s="2"/>
      <c r="DK12" s="2"/>
      <c r="DL12" s="14" t="s">
        <v>81</v>
      </c>
      <c r="DM12" s="2" t="s">
        <v>100</v>
      </c>
      <c r="DN12" s="2">
        <f t="shared" si="8"/>
        <v>0.5985258827562564</v>
      </c>
      <c r="DO12" s="2">
        <f t="shared" si="9"/>
        <v>0.01</v>
      </c>
      <c r="DP12" s="2" t="s">
        <v>122</v>
      </c>
      <c r="DQ12" s="2" t="s">
        <v>3</v>
      </c>
      <c r="DR12" s="2">
        <f t="shared" si="10"/>
        <v>5.8340000000000005</v>
      </c>
      <c r="DS12" s="4">
        <f t="shared" si="11"/>
        <v>0.5985258827562564</v>
      </c>
      <c r="DT12" s="15">
        <f t="shared" si="12"/>
        <v>34.917999999999999</v>
      </c>
      <c r="DU12" s="2"/>
      <c r="DV12" s="2">
        <f t="shared" si="13"/>
        <v>3.45</v>
      </c>
      <c r="DW12" s="4">
        <f>(BV12*CD12+CQ12*CY12)/DV12</f>
        <v>0.65217391304347827</v>
      </c>
      <c r="DX12" s="15">
        <f>1000*DV12*DW12/100</f>
        <v>22.5</v>
      </c>
      <c r="DY12" s="2"/>
      <c r="DZ12" s="2" t="s">
        <v>3</v>
      </c>
      <c r="EA12" s="2" t="s">
        <v>118</v>
      </c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 t="s">
        <v>118</v>
      </c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 t="s">
        <v>118</v>
      </c>
      <c r="FQ12" s="2" t="s">
        <v>3</v>
      </c>
      <c r="FR12" s="2" t="s">
        <v>89</v>
      </c>
      <c r="FS12" s="2" t="s">
        <v>123</v>
      </c>
      <c r="FT12" s="2"/>
      <c r="FU12" s="2"/>
      <c r="FV12" s="2" t="s">
        <v>3</v>
      </c>
    </row>
    <row r="13" spans="1:178" ht="15.75" customHeight="1" x14ac:dyDescent="0.2">
      <c r="A13" s="14" t="s">
        <v>96</v>
      </c>
      <c r="B13" s="2" t="s">
        <v>124</v>
      </c>
      <c r="C13" s="16" t="s">
        <v>125</v>
      </c>
      <c r="D13" s="2" t="s">
        <v>99</v>
      </c>
      <c r="E13" s="2"/>
      <c r="F13" s="2"/>
      <c r="G13" s="2"/>
      <c r="H13" s="2" t="s">
        <v>79</v>
      </c>
      <c r="I13" s="2"/>
      <c r="J13" s="2"/>
      <c r="K13" s="2">
        <v>0</v>
      </c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>
        <v>0</v>
      </c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>
        <v>0.02</v>
      </c>
      <c r="BB13" s="2">
        <v>0.2</v>
      </c>
      <c r="BC13" s="2"/>
      <c r="BD13" s="2"/>
      <c r="BE13" s="2"/>
      <c r="BF13" s="2"/>
      <c r="BG13" s="2"/>
      <c r="BH13" s="2"/>
      <c r="BI13" s="2">
        <v>1.25</v>
      </c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>
        <v>0</v>
      </c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>
        <v>0</v>
      </c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14" t="s">
        <v>100</v>
      </c>
      <c r="DM13" s="2"/>
      <c r="DN13" s="2">
        <f t="shared" si="8"/>
        <v>1.25</v>
      </c>
      <c r="DO13" s="2">
        <f t="shared" si="9"/>
        <v>0</v>
      </c>
      <c r="DP13" s="2" t="s">
        <v>126</v>
      </c>
      <c r="DQ13" s="2" t="s">
        <v>3</v>
      </c>
      <c r="DR13" s="2">
        <f t="shared" si="10"/>
        <v>0.02</v>
      </c>
      <c r="DS13" s="2">
        <f t="shared" si="11"/>
        <v>1.25</v>
      </c>
      <c r="DT13" s="15">
        <f t="shared" si="12"/>
        <v>0.25</v>
      </c>
      <c r="DU13" s="2"/>
      <c r="DV13" s="2">
        <f t="shared" si="13"/>
        <v>0</v>
      </c>
      <c r="DW13" s="2"/>
      <c r="DX13" s="2"/>
      <c r="DY13" s="2"/>
      <c r="DZ13" s="2" t="s">
        <v>3</v>
      </c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 t="s">
        <v>3</v>
      </c>
      <c r="FR13" s="2" t="s">
        <v>89</v>
      </c>
      <c r="FS13" s="2" t="s">
        <v>123</v>
      </c>
      <c r="FT13" s="2"/>
      <c r="FU13" s="2"/>
      <c r="FV13" s="2" t="s">
        <v>3</v>
      </c>
    </row>
    <row r="14" spans="1:178" ht="15.75" customHeight="1" x14ac:dyDescent="0.2">
      <c r="A14" s="14" t="s">
        <v>127</v>
      </c>
      <c r="B14" s="2" t="s">
        <v>85</v>
      </c>
      <c r="C14" s="16" t="s">
        <v>128</v>
      </c>
      <c r="D14" s="2" t="s">
        <v>99</v>
      </c>
      <c r="E14" s="2"/>
      <c r="F14" s="2"/>
      <c r="G14" s="2"/>
      <c r="H14" s="2" t="s">
        <v>129</v>
      </c>
      <c r="I14" s="2"/>
      <c r="J14" s="2"/>
      <c r="K14" s="2">
        <v>0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>
        <v>151.89999999999998</v>
      </c>
      <c r="AG14" s="4">
        <v>0.12799210006583281</v>
      </c>
      <c r="AH14" s="4">
        <v>0.2414843094140883</v>
      </c>
      <c r="AI14" s="2"/>
      <c r="AJ14" s="2"/>
      <c r="AK14" s="2"/>
      <c r="AL14" s="2"/>
      <c r="AM14" s="2"/>
      <c r="AN14" s="4">
        <v>0.23797893350888746</v>
      </c>
      <c r="AO14" s="2"/>
      <c r="AP14" s="4">
        <v>1.729208267281106</v>
      </c>
      <c r="AQ14" s="4">
        <v>2.0413440895325876</v>
      </c>
      <c r="AR14" s="4">
        <v>0.15165019486504283</v>
      </c>
      <c r="AS14" s="4"/>
      <c r="AT14" s="4"/>
      <c r="AU14" s="2"/>
      <c r="AV14" s="2"/>
      <c r="AW14" s="2"/>
      <c r="AX14" s="2"/>
      <c r="AY14" s="2"/>
      <c r="AZ14" s="2"/>
      <c r="BA14" s="2">
        <v>81.199999999999989</v>
      </c>
      <c r="BB14" s="4">
        <v>9.9334975369458123E-2</v>
      </c>
      <c r="BC14" s="4">
        <v>0.19825397413793108</v>
      </c>
      <c r="BD14" s="2"/>
      <c r="BE14" s="2"/>
      <c r="BF14" s="2"/>
      <c r="BG14" s="2"/>
      <c r="BH14" s="2"/>
      <c r="BI14" s="4">
        <v>0.1780049261083744</v>
      </c>
      <c r="BJ14" s="2"/>
      <c r="BK14" s="4">
        <v>1.418353511083744</v>
      </c>
      <c r="BL14" s="4">
        <v>1.6623498817733993</v>
      </c>
      <c r="BM14" s="4">
        <v>0.12451818349753693</v>
      </c>
      <c r="BN14" s="4"/>
      <c r="BO14" s="4"/>
      <c r="BP14" s="2"/>
      <c r="BQ14" s="2"/>
      <c r="BR14" s="2"/>
      <c r="BS14" s="2"/>
      <c r="BT14" s="2"/>
      <c r="BU14" s="2"/>
      <c r="BV14" s="2">
        <v>0</v>
      </c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>
        <v>0</v>
      </c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14" t="s">
        <v>81</v>
      </c>
      <c r="DM14" s="2"/>
      <c r="DN14" s="2">
        <f t="shared" si="8"/>
        <v>0.21708708708708713</v>
      </c>
      <c r="DO14" s="2">
        <f t="shared" si="9"/>
        <v>0</v>
      </c>
      <c r="DP14" s="2" t="s">
        <v>95</v>
      </c>
      <c r="DQ14" s="2" t="s">
        <v>3</v>
      </c>
      <c r="DR14" s="2">
        <f t="shared" si="10"/>
        <v>233.09999999999997</v>
      </c>
      <c r="DS14" s="4">
        <f t="shared" si="11"/>
        <v>0.21708708708708713</v>
      </c>
      <c r="DT14" s="15">
        <f t="shared" si="12"/>
        <v>506.03</v>
      </c>
      <c r="DU14" s="2"/>
      <c r="DV14" s="2">
        <f t="shared" si="13"/>
        <v>0</v>
      </c>
      <c r="DW14" s="2"/>
      <c r="DX14" s="2"/>
      <c r="DY14" s="2"/>
      <c r="DZ14" s="2" t="s">
        <v>3</v>
      </c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 t="s">
        <v>3</v>
      </c>
      <c r="FR14" s="2" t="s">
        <v>89</v>
      </c>
      <c r="FS14" s="2" t="s">
        <v>90</v>
      </c>
      <c r="FT14" s="2" t="s">
        <v>91</v>
      </c>
      <c r="FU14" s="2" t="s">
        <v>130</v>
      </c>
      <c r="FV14" s="2" t="s">
        <v>3</v>
      </c>
    </row>
    <row r="15" spans="1:178" ht="15.75" customHeight="1" x14ac:dyDescent="0.2">
      <c r="A15" s="14" t="s">
        <v>96</v>
      </c>
      <c r="B15" s="2" t="s">
        <v>97</v>
      </c>
      <c r="C15" s="16" t="s">
        <v>131</v>
      </c>
      <c r="D15" s="2" t="s">
        <v>99</v>
      </c>
      <c r="E15" s="2"/>
      <c r="F15" s="2"/>
      <c r="G15" s="2"/>
      <c r="H15" s="2" t="s">
        <v>79</v>
      </c>
      <c r="I15" s="2"/>
      <c r="J15" s="2"/>
      <c r="K15" s="2">
        <v>0</v>
      </c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>
        <v>0</v>
      </c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>
        <v>1.75</v>
      </c>
      <c r="BB15" s="2">
        <v>0.33500000000000002</v>
      </c>
      <c r="BC15" s="2"/>
      <c r="BD15" s="2"/>
      <c r="BE15" s="2"/>
      <c r="BF15" s="2"/>
      <c r="BG15" s="2"/>
      <c r="BH15" s="2"/>
      <c r="BI15" s="2">
        <v>0.47</v>
      </c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>
        <v>0</v>
      </c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>
        <v>0</v>
      </c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14" t="s">
        <v>100</v>
      </c>
      <c r="DM15" s="2"/>
      <c r="DN15" s="2">
        <f t="shared" si="8"/>
        <v>0.47000000000000003</v>
      </c>
      <c r="DO15" s="2">
        <f t="shared" si="9"/>
        <v>0</v>
      </c>
      <c r="DP15" s="2" t="s">
        <v>132</v>
      </c>
      <c r="DQ15" s="2" t="s">
        <v>3</v>
      </c>
      <c r="DR15" s="2">
        <f t="shared" si="10"/>
        <v>1.75</v>
      </c>
      <c r="DS15" s="2">
        <f t="shared" si="11"/>
        <v>0.47000000000000003</v>
      </c>
      <c r="DT15" s="15">
        <f t="shared" si="12"/>
        <v>8.2249999999999996</v>
      </c>
      <c r="DU15" s="2"/>
      <c r="DV15" s="2">
        <f t="shared" si="13"/>
        <v>0</v>
      </c>
      <c r="DW15" s="2"/>
      <c r="DX15" s="2"/>
      <c r="DY15" s="2"/>
      <c r="DZ15" s="2" t="s">
        <v>3</v>
      </c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 t="s">
        <v>3</v>
      </c>
      <c r="FR15" s="2" t="s">
        <v>89</v>
      </c>
      <c r="FS15" s="2" t="s">
        <v>123</v>
      </c>
      <c r="FT15" s="2"/>
      <c r="FU15" s="2"/>
      <c r="FV15" s="2" t="s">
        <v>3</v>
      </c>
    </row>
    <row r="16" spans="1:178" ht="15.75" customHeight="1" x14ac:dyDescent="0.2">
      <c r="A16" s="14" t="s">
        <v>96</v>
      </c>
      <c r="B16" s="2" t="s">
        <v>133</v>
      </c>
      <c r="C16" s="16" t="s">
        <v>134</v>
      </c>
      <c r="D16" s="2" t="s">
        <v>120</v>
      </c>
      <c r="E16" s="2"/>
      <c r="F16" s="2"/>
      <c r="G16" s="2"/>
      <c r="H16" s="2" t="s">
        <v>135</v>
      </c>
      <c r="I16" s="2"/>
      <c r="J16" s="2"/>
      <c r="K16" s="2">
        <v>0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>
        <v>0.47299999999999998</v>
      </c>
      <c r="AG16" s="2">
        <v>0.04</v>
      </c>
      <c r="AH16" s="2">
        <v>0.01</v>
      </c>
      <c r="AI16" s="2"/>
      <c r="AJ16" s="2"/>
      <c r="AK16" s="2"/>
      <c r="AL16" s="2"/>
      <c r="AM16" s="2"/>
      <c r="AN16" s="2">
        <v>0.96</v>
      </c>
      <c r="AO16" s="2">
        <v>0.03</v>
      </c>
      <c r="AP16" s="2">
        <v>0.03</v>
      </c>
      <c r="AQ16" s="2">
        <v>7.0000000000000007E-2</v>
      </c>
      <c r="AR16" s="2"/>
      <c r="AS16" s="2"/>
      <c r="AT16" s="2"/>
      <c r="AU16" s="2"/>
      <c r="AV16" s="2"/>
      <c r="AW16" s="2"/>
      <c r="AX16" s="2"/>
      <c r="AY16" s="2"/>
      <c r="AZ16" s="2"/>
      <c r="BA16" s="2">
        <v>6.6000000000000003E-2</v>
      </c>
      <c r="BB16" s="2">
        <v>0.04</v>
      </c>
      <c r="BC16" s="2">
        <v>0.01</v>
      </c>
      <c r="BD16" s="2"/>
      <c r="BE16" s="2"/>
      <c r="BF16" s="2"/>
      <c r="BG16" s="2"/>
      <c r="BH16" s="2"/>
      <c r="BI16" s="2">
        <v>0.82</v>
      </c>
      <c r="BJ16" s="2">
        <v>0.02</v>
      </c>
      <c r="BK16" s="2">
        <v>0.01</v>
      </c>
      <c r="BL16" s="2">
        <v>0.02</v>
      </c>
      <c r="BM16" s="2"/>
      <c r="BN16" s="2"/>
      <c r="BO16" s="2"/>
      <c r="BP16" s="2"/>
      <c r="BQ16" s="2"/>
      <c r="BR16" s="2"/>
      <c r="BS16" s="2"/>
      <c r="BT16" s="2"/>
      <c r="BU16" s="2"/>
      <c r="BV16" s="2">
        <v>0</v>
      </c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>
        <v>0</v>
      </c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14" t="s">
        <v>81</v>
      </c>
      <c r="DM16" s="2" t="s">
        <v>81</v>
      </c>
      <c r="DN16" s="2">
        <f t="shared" si="8"/>
        <v>0.94285714285714295</v>
      </c>
      <c r="DO16" s="2">
        <f t="shared" si="9"/>
        <v>2.8775510204081634E-2</v>
      </c>
      <c r="DP16" s="2" t="s">
        <v>136</v>
      </c>
      <c r="DQ16" s="2" t="s">
        <v>3</v>
      </c>
      <c r="DR16" s="2">
        <f t="shared" si="10"/>
        <v>0.53899999999999992</v>
      </c>
      <c r="DS16" s="4">
        <f t="shared" si="11"/>
        <v>0.94285714285714295</v>
      </c>
      <c r="DT16" s="15">
        <f t="shared" si="12"/>
        <v>5.081999999999999</v>
      </c>
      <c r="DU16" s="2"/>
      <c r="DV16" s="2">
        <f t="shared" si="13"/>
        <v>0</v>
      </c>
      <c r="DW16" s="2"/>
      <c r="DX16" s="2"/>
      <c r="DY16" s="2"/>
      <c r="DZ16" s="2" t="s">
        <v>3</v>
      </c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 t="s">
        <v>3</v>
      </c>
      <c r="FR16" s="2" t="s">
        <v>89</v>
      </c>
      <c r="FS16" s="2" t="s">
        <v>137</v>
      </c>
      <c r="FT16" s="2"/>
      <c r="FU16" s="2"/>
      <c r="FV16" s="2" t="s">
        <v>3</v>
      </c>
    </row>
    <row r="17" spans="1:178" ht="15.75" customHeight="1" x14ac:dyDescent="0.2">
      <c r="A17" s="12" t="s">
        <v>74</v>
      </c>
      <c r="B17" s="2" t="s">
        <v>75</v>
      </c>
      <c r="C17" s="13" t="s">
        <v>138</v>
      </c>
      <c r="D17" s="2" t="s">
        <v>139</v>
      </c>
      <c r="E17" s="2"/>
      <c r="F17" s="2"/>
      <c r="G17" s="2" t="s">
        <v>78</v>
      </c>
      <c r="H17" s="2" t="s">
        <v>140</v>
      </c>
      <c r="I17" s="2"/>
      <c r="J17" s="2" t="s">
        <v>141</v>
      </c>
      <c r="K17" s="2">
        <v>1.782</v>
      </c>
      <c r="L17" s="2"/>
      <c r="M17" s="2"/>
      <c r="N17" s="2"/>
      <c r="O17" s="2"/>
      <c r="P17" s="2"/>
      <c r="Q17" s="2"/>
      <c r="R17" s="2"/>
      <c r="S17" s="2">
        <v>1.34</v>
      </c>
      <c r="T17" s="2">
        <v>3.1E-2</v>
      </c>
      <c r="U17" s="2"/>
      <c r="V17" s="2"/>
      <c r="W17" s="2"/>
      <c r="X17" s="2"/>
      <c r="Y17" s="2"/>
      <c r="Z17" s="2"/>
      <c r="AA17" s="2">
        <v>13.7</v>
      </c>
      <c r="AB17" s="2"/>
      <c r="AC17" s="2"/>
      <c r="AD17" s="2"/>
      <c r="AE17" s="2"/>
      <c r="AF17" s="2">
        <v>0.64600000000000002</v>
      </c>
      <c r="AG17" s="2"/>
      <c r="AH17" s="2"/>
      <c r="AI17" s="2"/>
      <c r="AJ17" s="2"/>
      <c r="AK17" s="2"/>
      <c r="AL17" s="2"/>
      <c r="AM17" s="2"/>
      <c r="AN17" s="2">
        <v>1.22</v>
      </c>
      <c r="AO17" s="2">
        <v>3.9E-2</v>
      </c>
      <c r="AP17" s="2"/>
      <c r="AQ17" s="2"/>
      <c r="AR17" s="2"/>
      <c r="AS17" s="2"/>
      <c r="AT17" s="2"/>
      <c r="AU17" s="2"/>
      <c r="AV17" s="2">
        <v>17.600000000000001</v>
      </c>
      <c r="AW17" s="2"/>
      <c r="AX17" s="2"/>
      <c r="AY17" s="2"/>
      <c r="AZ17" s="2"/>
      <c r="BA17" s="2">
        <v>0.29299999999999998</v>
      </c>
      <c r="BB17" s="2"/>
      <c r="BC17" s="2"/>
      <c r="BD17" s="2"/>
      <c r="BE17" s="2"/>
      <c r="BF17" s="2"/>
      <c r="BG17" s="2"/>
      <c r="BH17" s="2"/>
      <c r="BI17" s="2">
        <v>1.23</v>
      </c>
      <c r="BJ17" s="2">
        <v>4.3999999999999997E-2</v>
      </c>
      <c r="BK17" s="2"/>
      <c r="BL17" s="2"/>
      <c r="BM17" s="2"/>
      <c r="BN17" s="2"/>
      <c r="BO17" s="2"/>
      <c r="BP17" s="2"/>
      <c r="BQ17" s="2">
        <v>19.100000000000001</v>
      </c>
      <c r="BR17" s="2"/>
      <c r="BS17" s="2"/>
      <c r="BT17" s="2"/>
      <c r="BU17" s="2"/>
      <c r="BV17" s="2">
        <v>0</v>
      </c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>
        <v>0</v>
      </c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14" t="s">
        <v>81</v>
      </c>
      <c r="DM17" s="2" t="s">
        <v>81</v>
      </c>
      <c r="DN17" s="2">
        <f t="shared" si="8"/>
        <v>1.2996655641308341</v>
      </c>
      <c r="DO17" s="2">
        <f t="shared" si="9"/>
        <v>3.4299154722528487E-2</v>
      </c>
      <c r="DP17" s="2" t="s">
        <v>142</v>
      </c>
      <c r="DQ17" s="2" t="s">
        <v>3</v>
      </c>
      <c r="DR17" s="2">
        <f t="shared" si="10"/>
        <v>2.7210000000000001</v>
      </c>
      <c r="DS17" s="4">
        <f t="shared" si="11"/>
        <v>1.2996655641308341</v>
      </c>
      <c r="DT17" s="15">
        <f t="shared" si="12"/>
        <v>35.363899999999994</v>
      </c>
      <c r="DU17" s="2"/>
      <c r="DV17" s="2">
        <f t="shared" si="13"/>
        <v>0</v>
      </c>
      <c r="DW17" s="2"/>
      <c r="DX17" s="2"/>
      <c r="DY17" s="2"/>
      <c r="DZ17" s="2" t="s">
        <v>3</v>
      </c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 t="s">
        <v>3</v>
      </c>
      <c r="FR17" s="2" t="s">
        <v>37</v>
      </c>
      <c r="FS17" s="2" t="s">
        <v>106</v>
      </c>
      <c r="FT17" s="2" t="s">
        <v>106</v>
      </c>
      <c r="FU17" s="2"/>
      <c r="FV17" s="2" t="s">
        <v>3</v>
      </c>
    </row>
    <row r="18" spans="1:178" ht="15.75" customHeight="1" x14ac:dyDescent="0.2">
      <c r="A18" s="14" t="s">
        <v>143</v>
      </c>
      <c r="B18" s="2" t="s">
        <v>85</v>
      </c>
      <c r="C18" s="16" t="s">
        <v>144</v>
      </c>
      <c r="D18" s="2"/>
      <c r="E18" s="2"/>
      <c r="F18" s="2"/>
      <c r="G18" s="2"/>
      <c r="H18" s="2" t="s">
        <v>145</v>
      </c>
      <c r="I18" s="2"/>
      <c r="J18" s="2"/>
      <c r="K18" s="2">
        <v>102.8</v>
      </c>
      <c r="L18" s="4">
        <v>1.9601167315175094E-2</v>
      </c>
      <c r="M18" s="4">
        <v>6.9095301556420241E-2</v>
      </c>
      <c r="N18" s="2"/>
      <c r="O18" s="2"/>
      <c r="P18" s="2"/>
      <c r="Q18" s="2"/>
      <c r="R18" s="2"/>
      <c r="S18" s="4">
        <v>0.14097276264591441</v>
      </c>
      <c r="T18" s="2"/>
      <c r="U18" s="4">
        <v>3.3585684435797671</v>
      </c>
      <c r="V18" s="4">
        <v>1.5444746692607008</v>
      </c>
      <c r="W18" s="4">
        <v>0.56594524319066153</v>
      </c>
      <c r="X18" s="2"/>
      <c r="Y18" s="2"/>
      <c r="Z18" s="15">
        <v>18.655150954295884</v>
      </c>
      <c r="AA18" s="2"/>
      <c r="AB18" s="2"/>
      <c r="AC18" s="2"/>
      <c r="AD18" s="2"/>
      <c r="AE18" s="2"/>
      <c r="AF18" s="2">
        <v>51.199999999999996</v>
      </c>
      <c r="AG18" s="4">
        <v>3.2421874999999996E-2</v>
      </c>
      <c r="AH18" s="4">
        <v>0.11020453124999999</v>
      </c>
      <c r="AI18" s="2"/>
      <c r="AJ18" s="2"/>
      <c r="AK18" s="2"/>
      <c r="AL18" s="2"/>
      <c r="AM18" s="2"/>
      <c r="AN18" s="4">
        <v>0.15562500000000001</v>
      </c>
      <c r="AO18" s="2"/>
      <c r="AP18" s="4">
        <v>3.6535332812500001</v>
      </c>
      <c r="AQ18" s="4">
        <v>1.679052421875</v>
      </c>
      <c r="AR18" s="4">
        <v>0.53392851562499999</v>
      </c>
      <c r="AS18" s="2"/>
      <c r="AT18" s="2"/>
      <c r="AU18" s="15">
        <v>14.695269172318971</v>
      </c>
      <c r="AV18" s="2"/>
      <c r="AW18" s="2"/>
      <c r="AX18" s="2"/>
      <c r="AY18" s="2"/>
      <c r="AZ18" s="2"/>
      <c r="BA18" s="2">
        <v>21.8</v>
      </c>
      <c r="BB18" s="4">
        <v>5.174311926605505E-2</v>
      </c>
      <c r="BC18" s="4">
        <v>0.16217266055045873</v>
      </c>
      <c r="BD18" s="2"/>
      <c r="BE18" s="2"/>
      <c r="BF18" s="2"/>
      <c r="BG18" s="2"/>
      <c r="BH18" s="2"/>
      <c r="BI18" s="4">
        <v>0.17770642201834863</v>
      </c>
      <c r="BJ18" s="2"/>
      <c r="BK18" s="4">
        <v>3.7055919266055044</v>
      </c>
      <c r="BL18" s="4">
        <v>1.7014451376146789</v>
      </c>
      <c r="BM18" s="4">
        <v>0.42400128440366974</v>
      </c>
      <c r="BN18" s="4"/>
      <c r="BO18" s="4"/>
      <c r="BP18" s="15">
        <v>8.727592109933612</v>
      </c>
      <c r="BQ18" s="2"/>
      <c r="BR18" s="2"/>
      <c r="BS18" s="2"/>
      <c r="BT18" s="2"/>
      <c r="BU18" s="2"/>
      <c r="BV18" s="2">
        <v>49.5</v>
      </c>
      <c r="BW18" s="4">
        <v>1.5656565656565657E-2</v>
      </c>
      <c r="BX18" s="4">
        <v>4.4190808080808087E-2</v>
      </c>
      <c r="BY18" s="2"/>
      <c r="BZ18" s="2"/>
      <c r="CA18" s="2"/>
      <c r="CB18" s="2"/>
      <c r="CC18" s="2"/>
      <c r="CD18" s="4">
        <v>0.13646464646464646</v>
      </c>
      <c r="CE18" s="2"/>
      <c r="CF18" s="4">
        <v>2.6769670707070703</v>
      </c>
      <c r="CG18" s="4">
        <v>1.2313635353535355</v>
      </c>
      <c r="CH18" s="4">
        <v>0.47646848484848486</v>
      </c>
      <c r="CI18" s="4"/>
      <c r="CJ18" s="4"/>
      <c r="CK18" s="15">
        <v>19.873504623147728</v>
      </c>
      <c r="CL18" s="2"/>
      <c r="CM18" s="2"/>
      <c r="CN18" s="2"/>
      <c r="CO18" s="2"/>
      <c r="CP18" s="2"/>
      <c r="CQ18" s="2">
        <v>13.600000000000001</v>
      </c>
      <c r="CR18" s="4">
        <v>3.4705882352941177E-2</v>
      </c>
      <c r="CS18" s="4">
        <v>8.7374705882352924E-2</v>
      </c>
      <c r="CT18" s="2"/>
      <c r="CU18" s="2"/>
      <c r="CV18" s="2"/>
      <c r="CW18" s="2"/>
      <c r="CX18" s="2"/>
      <c r="CY18" s="4">
        <v>0.15823529411764706</v>
      </c>
      <c r="CZ18" s="2"/>
      <c r="DA18" s="4">
        <v>2.8094694117647059</v>
      </c>
      <c r="DB18" s="4">
        <v>1.2910664705882351</v>
      </c>
      <c r="DC18" s="4">
        <v>0.40444235294117648</v>
      </c>
      <c r="DD18" s="4"/>
      <c r="DE18" s="4"/>
      <c r="DF18" s="15">
        <v>13.989816764452407</v>
      </c>
      <c r="DG18" s="2"/>
      <c r="DH18" s="2"/>
      <c r="DI18" s="2"/>
      <c r="DJ18" s="2"/>
      <c r="DK18" s="2"/>
      <c r="DL18" s="14" t="s">
        <v>81</v>
      </c>
      <c r="DM18" s="2"/>
      <c r="DN18" s="2">
        <f t="shared" si="8"/>
        <v>0.1497952218430034</v>
      </c>
      <c r="DO18" s="2">
        <f t="shared" si="9"/>
        <v>0</v>
      </c>
      <c r="DP18" s="2" t="s">
        <v>95</v>
      </c>
      <c r="DQ18" s="2" t="s">
        <v>3</v>
      </c>
      <c r="DR18" s="2">
        <f t="shared" si="10"/>
        <v>175.8</v>
      </c>
      <c r="DS18" s="4">
        <f t="shared" si="11"/>
        <v>0.1497952218430034</v>
      </c>
      <c r="DT18" s="15">
        <f t="shared" si="12"/>
        <v>263.33999999999997</v>
      </c>
      <c r="DU18" s="2"/>
      <c r="DV18" s="2">
        <f t="shared" si="13"/>
        <v>63.1</v>
      </c>
      <c r="DW18" s="4">
        <f t="shared" ref="DW18:DW20" si="14">(BV18*CD18+CQ18*CY18)/DV18</f>
        <v>0.14115689381933438</v>
      </c>
      <c r="DX18" s="15">
        <f t="shared" ref="DX18:DX20" si="15">1000*DV18*DW18/100</f>
        <v>89.07</v>
      </c>
      <c r="DY18" s="2"/>
      <c r="DZ18" s="2" t="s">
        <v>3</v>
      </c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 t="s">
        <v>3</v>
      </c>
      <c r="FR18" s="2" t="s">
        <v>89</v>
      </c>
      <c r="FS18" s="2" t="s">
        <v>90</v>
      </c>
      <c r="FT18" s="2" t="s">
        <v>91</v>
      </c>
      <c r="FU18" s="2" t="s">
        <v>92</v>
      </c>
      <c r="FV18" s="2" t="s">
        <v>3</v>
      </c>
    </row>
    <row r="19" spans="1:178" ht="15.75" customHeight="1" x14ac:dyDescent="0.2">
      <c r="A19" s="14" t="s">
        <v>143</v>
      </c>
      <c r="B19" s="2" t="s">
        <v>85</v>
      </c>
      <c r="C19" s="16" t="s">
        <v>146</v>
      </c>
      <c r="D19" s="2"/>
      <c r="E19" s="2"/>
      <c r="F19" s="2"/>
      <c r="G19" s="2"/>
      <c r="H19" s="2" t="s">
        <v>145</v>
      </c>
      <c r="I19" s="2"/>
      <c r="J19" s="2"/>
      <c r="K19" s="2">
        <v>179.9</v>
      </c>
      <c r="L19" s="4">
        <v>1.9883268482490273E-2</v>
      </c>
      <c r="M19" s="4">
        <v>0.20146092273485267</v>
      </c>
      <c r="N19" s="2"/>
      <c r="O19" s="2"/>
      <c r="P19" s="2"/>
      <c r="Q19" s="2"/>
      <c r="R19" s="2"/>
      <c r="S19" s="4">
        <v>0.13694274596998332</v>
      </c>
      <c r="T19" s="2"/>
      <c r="U19" s="4">
        <v>3.464008643690939</v>
      </c>
      <c r="V19" s="4">
        <v>1.6508603390772649</v>
      </c>
      <c r="W19" s="4">
        <v>0.28540297387437458</v>
      </c>
      <c r="X19" s="2"/>
      <c r="Y19" s="2"/>
      <c r="Z19" s="15">
        <v>18.744298137206904</v>
      </c>
      <c r="AA19" s="2"/>
      <c r="AB19" s="2"/>
      <c r="AC19" s="2"/>
      <c r="AD19" s="2"/>
      <c r="AE19" s="2"/>
      <c r="AF19" s="2">
        <v>92.1</v>
      </c>
      <c r="AG19" s="4">
        <v>4.5646036916395225E-2</v>
      </c>
      <c r="AH19" s="4">
        <v>0.22676833876221494</v>
      </c>
      <c r="AI19" s="2"/>
      <c r="AJ19" s="2"/>
      <c r="AK19" s="2"/>
      <c r="AL19" s="2"/>
      <c r="AM19" s="2"/>
      <c r="AN19" s="4">
        <v>0.18110749185667754</v>
      </c>
      <c r="AO19" s="2"/>
      <c r="AP19" s="4">
        <v>3.8991556026058634</v>
      </c>
      <c r="AQ19" s="4">
        <v>1.8582405537459281</v>
      </c>
      <c r="AR19" s="4">
        <v>0.32125514657980453</v>
      </c>
      <c r="AS19" s="2"/>
      <c r="AT19" s="2"/>
      <c r="AU19" s="15">
        <v>10.711509258385618</v>
      </c>
      <c r="AV19" s="2"/>
      <c r="AW19" s="2"/>
      <c r="AX19" s="2"/>
      <c r="AY19" s="2"/>
      <c r="AZ19" s="2"/>
      <c r="BA19" s="2">
        <v>92.4</v>
      </c>
      <c r="BB19" s="4">
        <v>4.4318181818181812E-2</v>
      </c>
      <c r="BC19" s="4">
        <v>0.22924519480519479</v>
      </c>
      <c r="BD19" s="2"/>
      <c r="BE19" s="2"/>
      <c r="BF19" s="2"/>
      <c r="BG19" s="2"/>
      <c r="BH19" s="2"/>
      <c r="BI19" s="4">
        <v>0.17883116883116879</v>
      </c>
      <c r="BJ19" s="2"/>
      <c r="BK19" s="4">
        <v>3.941743766233766</v>
      </c>
      <c r="BL19" s="4">
        <v>1.8785370129870129</v>
      </c>
      <c r="BM19" s="4">
        <v>0.32476402597402593</v>
      </c>
      <c r="BN19" s="4"/>
      <c r="BO19" s="4"/>
      <c r="BP19" s="15">
        <v>11.12553229682497</v>
      </c>
      <c r="BQ19" s="2"/>
      <c r="BR19" s="2"/>
      <c r="BS19" s="2"/>
      <c r="BT19" s="2"/>
      <c r="BU19" s="2"/>
      <c r="BV19" s="2">
        <v>40.4</v>
      </c>
      <c r="BW19" s="4">
        <v>1.0173267326732674E-2</v>
      </c>
      <c r="BX19" s="4">
        <v>3.2979133663366335E-2</v>
      </c>
      <c r="BY19" s="2"/>
      <c r="BZ19" s="2"/>
      <c r="CA19" s="2"/>
      <c r="CB19" s="2"/>
      <c r="CC19" s="2"/>
      <c r="CD19" s="4">
        <v>0.12029702970297029</v>
      </c>
      <c r="CE19" s="2"/>
      <c r="CF19" s="4">
        <v>2.7315577475247528</v>
      </c>
      <c r="CG19" s="4">
        <v>1.3586158415841585</v>
      </c>
      <c r="CH19" s="4">
        <v>0.52950995049504945</v>
      </c>
      <c r="CI19" s="4"/>
      <c r="CJ19" s="4"/>
      <c r="CK19" s="15">
        <v>21.772141455979018</v>
      </c>
      <c r="CL19" s="2"/>
      <c r="CM19" s="2"/>
      <c r="CN19" s="2"/>
      <c r="CO19" s="2"/>
      <c r="CP19" s="2"/>
      <c r="CQ19" s="2">
        <v>0.1</v>
      </c>
      <c r="CR19" s="4">
        <v>0.01</v>
      </c>
      <c r="CS19" s="4">
        <v>3.1220000000000001E-2</v>
      </c>
      <c r="CT19" s="2"/>
      <c r="CU19" s="2"/>
      <c r="CV19" s="2"/>
      <c r="CW19" s="2"/>
      <c r="CX19" s="2"/>
      <c r="CY19" s="4">
        <v>0.12</v>
      </c>
      <c r="CZ19" s="2"/>
      <c r="DA19" s="4">
        <v>2.61802</v>
      </c>
      <c r="DB19" s="4">
        <v>1.3023199999999997</v>
      </c>
      <c r="DC19" s="4">
        <v>0.50844</v>
      </c>
      <c r="DD19" s="4"/>
      <c r="DE19" s="4"/>
      <c r="DF19" s="15">
        <v>21.825885015427328</v>
      </c>
      <c r="DG19" s="2"/>
      <c r="DH19" s="2"/>
      <c r="DI19" s="2"/>
      <c r="DJ19" s="2"/>
      <c r="DK19" s="2"/>
      <c r="DL19" s="14" t="s">
        <v>81</v>
      </c>
      <c r="DM19" s="2"/>
      <c r="DN19" s="2">
        <f t="shared" si="8"/>
        <v>0.1587266739846323</v>
      </c>
      <c r="DO19" s="2">
        <f t="shared" si="9"/>
        <v>0</v>
      </c>
      <c r="DP19" s="2" t="s">
        <v>95</v>
      </c>
      <c r="DQ19" s="2" t="s">
        <v>3</v>
      </c>
      <c r="DR19" s="2">
        <f t="shared" si="10"/>
        <v>364.4</v>
      </c>
      <c r="DS19" s="4">
        <f t="shared" si="11"/>
        <v>0.1587266739846323</v>
      </c>
      <c r="DT19" s="15">
        <f t="shared" si="12"/>
        <v>578.40000000000009</v>
      </c>
      <c r="DU19" s="2"/>
      <c r="DV19" s="2">
        <f t="shared" si="13"/>
        <v>40.5</v>
      </c>
      <c r="DW19" s="4">
        <f t="shared" si="14"/>
        <v>0.12029629629629628</v>
      </c>
      <c r="DX19" s="15">
        <f t="shared" si="15"/>
        <v>48.719999999999992</v>
      </c>
      <c r="DY19" s="2"/>
      <c r="DZ19" s="2" t="s">
        <v>3</v>
      </c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 t="s">
        <v>3</v>
      </c>
      <c r="FR19" s="2" t="s">
        <v>89</v>
      </c>
      <c r="FS19" s="2" t="s">
        <v>90</v>
      </c>
      <c r="FT19" s="2" t="s">
        <v>91</v>
      </c>
      <c r="FU19" s="2" t="s">
        <v>92</v>
      </c>
      <c r="FV19" s="2" t="s">
        <v>3</v>
      </c>
    </row>
    <row r="20" spans="1:178" ht="15.75" customHeight="1" x14ac:dyDescent="0.2">
      <c r="A20" s="12" t="s">
        <v>74</v>
      </c>
      <c r="B20" s="2" t="s">
        <v>147</v>
      </c>
      <c r="C20" s="13" t="s">
        <v>148</v>
      </c>
      <c r="D20" s="2" t="s">
        <v>109</v>
      </c>
      <c r="E20" s="2"/>
      <c r="F20" s="2"/>
      <c r="G20" s="2"/>
      <c r="H20" s="2" t="s">
        <v>149</v>
      </c>
      <c r="I20" s="2"/>
      <c r="J20" s="2"/>
      <c r="K20" s="2">
        <f>49.9+4.6</f>
        <v>54.5</v>
      </c>
      <c r="L20" s="2"/>
      <c r="M20" s="2"/>
      <c r="N20" s="2"/>
      <c r="O20" s="2"/>
      <c r="P20" s="2"/>
      <c r="Q20" s="2"/>
      <c r="R20" s="2"/>
      <c r="S20" s="4">
        <f>(0.94*49.9+1.05*4.6)/K20</f>
        <v>0.94928440366972466</v>
      </c>
      <c r="T20" s="4">
        <f>(0.08*49.9+0.08*4.6)/K20</f>
        <v>0.08</v>
      </c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>
        <f>102.6+19.2</f>
        <v>121.8</v>
      </c>
      <c r="AG20" s="2"/>
      <c r="AH20" s="2"/>
      <c r="AI20" s="2"/>
      <c r="AJ20" s="2"/>
      <c r="AK20" s="2"/>
      <c r="AL20" s="2"/>
      <c r="AM20" s="2"/>
      <c r="AN20" s="4">
        <f>(0.93*102.6+0.84*19.2)/AF20</f>
        <v>0.91581280788177344</v>
      </c>
      <c r="AO20" s="4">
        <f>(0.08*102.6+0.07*19.2)/AF20</f>
        <v>7.842364532019705E-2</v>
      </c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>
        <v>52.5</v>
      </c>
      <c r="BB20" s="2"/>
      <c r="BC20" s="2"/>
      <c r="BD20" s="2"/>
      <c r="BE20" s="2"/>
      <c r="BF20" s="2"/>
      <c r="BG20" s="2"/>
      <c r="BH20" s="2"/>
      <c r="BI20" s="2">
        <v>0.84</v>
      </c>
      <c r="BJ20" s="2">
        <v>0.08</v>
      </c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>
        <v>49.9</v>
      </c>
      <c r="BW20" s="2"/>
      <c r="BX20" s="2"/>
      <c r="BY20" s="2"/>
      <c r="BZ20" s="2"/>
      <c r="CA20" s="2"/>
      <c r="CB20" s="2"/>
      <c r="CC20" s="2"/>
      <c r="CD20" s="2">
        <v>0.94</v>
      </c>
      <c r="CE20" s="2">
        <v>0.08</v>
      </c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>
        <v>102.6</v>
      </c>
      <c r="CR20" s="2"/>
      <c r="CS20" s="2"/>
      <c r="CT20" s="2"/>
      <c r="CU20" s="2"/>
      <c r="CV20" s="2"/>
      <c r="CW20" s="2"/>
      <c r="CX20" s="2"/>
      <c r="CY20" s="2">
        <v>0.93</v>
      </c>
      <c r="CZ20" s="2">
        <v>0.08</v>
      </c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14" t="s">
        <v>81</v>
      </c>
      <c r="DM20" s="2" t="s">
        <v>81</v>
      </c>
      <c r="DN20" s="2">
        <f t="shared" si="8"/>
        <v>0.90638986013986012</v>
      </c>
      <c r="DO20" s="2">
        <f t="shared" si="9"/>
        <v>7.9160839160839144E-2</v>
      </c>
      <c r="DP20" s="2" t="s">
        <v>150</v>
      </c>
      <c r="DQ20" s="2" t="s">
        <v>3</v>
      </c>
      <c r="DR20" s="2">
        <f t="shared" si="10"/>
        <v>228.8</v>
      </c>
      <c r="DS20" s="4">
        <f t="shared" si="11"/>
        <v>0.90638986013986012</v>
      </c>
      <c r="DT20" s="18">
        <f t="shared" si="12"/>
        <v>2073.8200000000002</v>
      </c>
      <c r="DU20" s="2"/>
      <c r="DV20" s="2">
        <f t="shared" si="13"/>
        <v>152.5</v>
      </c>
      <c r="DW20" s="4">
        <f t="shared" si="14"/>
        <v>0.93327213114754104</v>
      </c>
      <c r="DX20" s="18">
        <f t="shared" si="15"/>
        <v>1423.24</v>
      </c>
      <c r="DY20" s="2"/>
      <c r="DZ20" s="2" t="s">
        <v>3</v>
      </c>
      <c r="EA20" s="2" t="s">
        <v>147</v>
      </c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 t="s">
        <v>147</v>
      </c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 t="s">
        <v>147</v>
      </c>
      <c r="FQ20" s="2" t="s">
        <v>3</v>
      </c>
      <c r="FR20" s="2" t="s">
        <v>37</v>
      </c>
      <c r="FS20" s="2" t="s">
        <v>151</v>
      </c>
      <c r="FT20" s="2" t="s">
        <v>151</v>
      </c>
      <c r="FU20" s="2"/>
      <c r="FV20" s="2" t="s">
        <v>3</v>
      </c>
    </row>
    <row r="21" spans="1:178" ht="15.75" customHeight="1" x14ac:dyDescent="0.2">
      <c r="A21" s="14" t="s">
        <v>96</v>
      </c>
      <c r="B21" s="2" t="s">
        <v>115</v>
      </c>
      <c r="C21" s="16" t="s">
        <v>152</v>
      </c>
      <c r="D21" s="2" t="s">
        <v>99</v>
      </c>
      <c r="E21" s="2"/>
      <c r="F21" s="2"/>
      <c r="G21" s="2"/>
      <c r="H21" s="2" t="s">
        <v>153</v>
      </c>
      <c r="I21" s="2"/>
      <c r="J21" s="2"/>
      <c r="K21" s="2">
        <v>0</v>
      </c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>
        <v>0</v>
      </c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>
        <v>3.09</v>
      </c>
      <c r="BB21" s="2">
        <v>1.02</v>
      </c>
      <c r="BC21" s="2"/>
      <c r="BD21" s="2"/>
      <c r="BE21" s="2"/>
      <c r="BF21" s="2"/>
      <c r="BG21" s="2"/>
      <c r="BH21" s="2"/>
      <c r="BI21" s="2">
        <v>1.1200000000000001</v>
      </c>
      <c r="BJ21" s="19">
        <v>6.6199999999999995E-2</v>
      </c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>
        <v>0</v>
      </c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>
        <v>0</v>
      </c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14" t="s">
        <v>100</v>
      </c>
      <c r="DM21" s="2" t="s">
        <v>100</v>
      </c>
      <c r="DN21" s="2">
        <f t="shared" si="8"/>
        <v>1.1200000000000001</v>
      </c>
      <c r="DO21" s="2">
        <f t="shared" si="9"/>
        <v>6.6199999999999995E-2</v>
      </c>
      <c r="DP21" s="2" t="s">
        <v>154</v>
      </c>
      <c r="DQ21" s="2" t="s">
        <v>3</v>
      </c>
      <c r="DR21" s="2">
        <f t="shared" si="10"/>
        <v>3.09</v>
      </c>
      <c r="DS21" s="2">
        <f t="shared" si="11"/>
        <v>1.1200000000000001</v>
      </c>
      <c r="DT21" s="15">
        <f t="shared" si="12"/>
        <v>34.608000000000004</v>
      </c>
      <c r="DU21" s="2"/>
      <c r="DV21" s="2">
        <f t="shared" si="13"/>
        <v>0</v>
      </c>
      <c r="DW21" s="2"/>
      <c r="DX21" s="2"/>
      <c r="DY21" s="2"/>
      <c r="DZ21" s="2" t="s">
        <v>3</v>
      </c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 t="s">
        <v>3</v>
      </c>
      <c r="FR21" s="2" t="s">
        <v>89</v>
      </c>
      <c r="FS21" s="2" t="s">
        <v>90</v>
      </c>
      <c r="FT21" s="2"/>
      <c r="FU21" s="2"/>
      <c r="FV21" s="2" t="s">
        <v>3</v>
      </c>
    </row>
    <row r="22" spans="1:178" ht="15.75" customHeight="1" x14ac:dyDescent="0.2">
      <c r="A22" s="12" t="s">
        <v>74</v>
      </c>
      <c r="B22" s="2" t="s">
        <v>115</v>
      </c>
      <c r="C22" s="13" t="s">
        <v>155</v>
      </c>
      <c r="D22" s="2" t="s">
        <v>99</v>
      </c>
      <c r="E22" s="2"/>
      <c r="F22" s="2"/>
      <c r="G22" s="2"/>
      <c r="H22" s="2" t="s">
        <v>156</v>
      </c>
      <c r="I22" s="2"/>
      <c r="J22" s="2"/>
      <c r="K22" s="2">
        <v>18.167999999999999</v>
      </c>
      <c r="L22" s="2"/>
      <c r="M22" s="2"/>
      <c r="N22" s="2"/>
      <c r="O22" s="2"/>
      <c r="P22" s="2"/>
      <c r="Q22" s="2"/>
      <c r="R22" s="2"/>
      <c r="S22" s="2">
        <v>1.44</v>
      </c>
      <c r="T22" s="2">
        <v>0.05</v>
      </c>
      <c r="U22" s="2"/>
      <c r="V22" s="2"/>
      <c r="W22" s="2"/>
      <c r="X22" s="2"/>
      <c r="Y22" s="2"/>
      <c r="Z22" s="2"/>
      <c r="AA22" s="2">
        <v>16.260000000000002</v>
      </c>
      <c r="AB22" s="2"/>
      <c r="AC22" s="2"/>
      <c r="AD22" s="2"/>
      <c r="AE22" s="2"/>
      <c r="AF22" s="15">
        <v>101.169</v>
      </c>
      <c r="AG22" s="2"/>
      <c r="AH22" s="2"/>
      <c r="AI22" s="2"/>
      <c r="AJ22" s="2"/>
      <c r="AK22" s="2"/>
      <c r="AL22" s="2"/>
      <c r="AM22" s="2"/>
      <c r="AN22" s="2">
        <v>1.25</v>
      </c>
      <c r="AO22" s="2">
        <v>0.06</v>
      </c>
      <c r="AP22" s="2"/>
      <c r="AQ22" s="2"/>
      <c r="AR22" s="2"/>
      <c r="AS22" s="2"/>
      <c r="AT22" s="2"/>
      <c r="AU22" s="2"/>
      <c r="AV22" s="2">
        <v>19.39</v>
      </c>
      <c r="AW22" s="2"/>
      <c r="AX22" s="2"/>
      <c r="AY22" s="2"/>
      <c r="AZ22" s="2"/>
      <c r="BA22" s="2">
        <v>12.92</v>
      </c>
      <c r="BB22" s="2"/>
      <c r="BC22" s="2"/>
      <c r="BD22" s="2"/>
      <c r="BE22" s="2"/>
      <c r="BF22" s="2"/>
      <c r="BG22" s="2"/>
      <c r="BH22" s="2"/>
      <c r="BI22" s="2">
        <v>1.19</v>
      </c>
      <c r="BJ22" s="2">
        <v>0.06</v>
      </c>
      <c r="BK22" s="2"/>
      <c r="BL22" s="2"/>
      <c r="BM22" s="2"/>
      <c r="BN22" s="2"/>
      <c r="BO22" s="2"/>
      <c r="BP22" s="2"/>
      <c r="BQ22" s="2">
        <v>20.21</v>
      </c>
      <c r="BR22" s="2"/>
      <c r="BS22" s="2"/>
      <c r="BT22" s="2"/>
      <c r="BU22" s="2"/>
      <c r="BV22" s="2">
        <v>0</v>
      </c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>
        <v>0</v>
      </c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14" t="s">
        <v>81</v>
      </c>
      <c r="DM22" s="2" t="s">
        <v>81</v>
      </c>
      <c r="DN22" s="2">
        <f t="shared" si="8"/>
        <v>1.2702387775316242</v>
      </c>
      <c r="DO22" s="2">
        <f t="shared" si="9"/>
        <v>5.8626310894697456E-2</v>
      </c>
      <c r="DP22" s="2" t="s">
        <v>157</v>
      </c>
      <c r="DQ22" s="2" t="s">
        <v>3</v>
      </c>
      <c r="DR22" s="15">
        <f t="shared" si="10"/>
        <v>132.25699999999998</v>
      </c>
      <c r="DS22" s="4">
        <f t="shared" si="11"/>
        <v>1.2702387775316242</v>
      </c>
      <c r="DT22" s="18">
        <f t="shared" si="12"/>
        <v>1679.9796999999996</v>
      </c>
      <c r="DU22" s="2"/>
      <c r="DV22" s="2">
        <f t="shared" si="13"/>
        <v>0</v>
      </c>
      <c r="DW22" s="2"/>
      <c r="DX22" s="2"/>
      <c r="DY22" s="2"/>
      <c r="DZ22" s="2" t="s">
        <v>3</v>
      </c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 t="s">
        <v>3</v>
      </c>
      <c r="FR22" s="2" t="s">
        <v>37</v>
      </c>
      <c r="FS22" s="2" t="s">
        <v>106</v>
      </c>
      <c r="FT22" s="2" t="s">
        <v>106</v>
      </c>
      <c r="FU22" s="2"/>
      <c r="FV22" s="2" t="s">
        <v>3</v>
      </c>
    </row>
    <row r="23" spans="1:178" ht="15.75" customHeight="1" x14ac:dyDescent="0.2">
      <c r="A23" s="14" t="s">
        <v>158</v>
      </c>
      <c r="B23" s="2" t="s">
        <v>124</v>
      </c>
      <c r="C23" s="16" t="s">
        <v>159</v>
      </c>
      <c r="D23" s="2" t="s">
        <v>99</v>
      </c>
      <c r="E23" s="2"/>
      <c r="F23" s="2"/>
      <c r="G23" s="2"/>
      <c r="H23" s="2" t="s">
        <v>160</v>
      </c>
      <c r="I23" s="2"/>
      <c r="J23" s="2"/>
      <c r="K23" s="2">
        <v>46.9</v>
      </c>
      <c r="L23" s="2">
        <v>0.24</v>
      </c>
      <c r="M23" s="2">
        <v>0.16</v>
      </c>
      <c r="N23" s="2"/>
      <c r="O23" s="2"/>
      <c r="P23" s="2"/>
      <c r="Q23" s="2"/>
      <c r="R23" s="2"/>
      <c r="S23" s="4">
        <v>0.1</v>
      </c>
      <c r="T23" s="2"/>
      <c r="U23" s="2">
        <v>0.41</v>
      </c>
      <c r="V23" s="2">
        <v>1.68</v>
      </c>
      <c r="W23" s="2"/>
      <c r="X23" s="2"/>
      <c r="Y23" s="2"/>
      <c r="Z23" s="2"/>
      <c r="AA23" s="2"/>
      <c r="AB23" s="2"/>
      <c r="AC23" s="2"/>
      <c r="AD23" s="2"/>
      <c r="AE23" s="2"/>
      <c r="AF23" s="2">
        <v>69.900000000000006</v>
      </c>
      <c r="AG23" s="2">
        <v>0.22</v>
      </c>
      <c r="AH23" s="2">
        <v>0.11</v>
      </c>
      <c r="AI23" s="2"/>
      <c r="AJ23" s="2"/>
      <c r="AK23" s="2"/>
      <c r="AL23" s="2"/>
      <c r="AM23" s="2"/>
      <c r="AN23" s="2">
        <v>0.09</v>
      </c>
      <c r="AO23" s="2"/>
      <c r="AP23" s="2">
        <v>0.31</v>
      </c>
      <c r="AQ23" s="2">
        <v>1.28</v>
      </c>
      <c r="AR23" s="2"/>
      <c r="AS23" s="2"/>
      <c r="AT23" s="2"/>
      <c r="AU23" s="2"/>
      <c r="AV23" s="2"/>
      <c r="AW23" s="2"/>
      <c r="AX23" s="2"/>
      <c r="AY23" s="2"/>
      <c r="AZ23" s="2"/>
      <c r="BA23" s="2">
        <v>91.7</v>
      </c>
      <c r="BB23" s="2">
        <v>0.22</v>
      </c>
      <c r="BC23" s="4">
        <v>0.1</v>
      </c>
      <c r="BD23" s="2"/>
      <c r="BE23" s="2"/>
      <c r="BF23" s="2"/>
      <c r="BG23" s="2"/>
      <c r="BH23" s="2"/>
      <c r="BI23" s="4">
        <v>0.1</v>
      </c>
      <c r="BJ23" s="2"/>
      <c r="BK23" s="2">
        <v>0.38</v>
      </c>
      <c r="BL23" s="4">
        <v>1.5</v>
      </c>
      <c r="BM23" s="2"/>
      <c r="BN23" s="2"/>
      <c r="BO23" s="2"/>
      <c r="BP23" s="2"/>
      <c r="BQ23" s="2"/>
      <c r="BR23" s="2"/>
      <c r="BS23" s="2"/>
      <c r="BT23" s="2"/>
      <c r="BU23" s="2"/>
      <c r="BV23" s="2">
        <v>0</v>
      </c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>
        <v>0</v>
      </c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14" t="s">
        <v>81</v>
      </c>
      <c r="DM23" s="2"/>
      <c r="DN23" s="2">
        <f t="shared" si="8"/>
        <v>9.6647482014388511E-2</v>
      </c>
      <c r="DO23" s="2">
        <f t="shared" si="9"/>
        <v>0</v>
      </c>
      <c r="DP23" s="2" t="s">
        <v>161</v>
      </c>
      <c r="DQ23" s="2" t="s">
        <v>3</v>
      </c>
      <c r="DR23" s="2">
        <f t="shared" si="10"/>
        <v>208.5</v>
      </c>
      <c r="DS23" s="19">
        <f t="shared" si="11"/>
        <v>9.6647482014388511E-2</v>
      </c>
      <c r="DT23" s="15">
        <f t="shared" si="12"/>
        <v>201.51000000000005</v>
      </c>
      <c r="DU23" s="2"/>
      <c r="DV23" s="2">
        <f t="shared" si="13"/>
        <v>0</v>
      </c>
      <c r="DW23" s="2"/>
      <c r="DX23" s="2"/>
      <c r="DY23" s="2"/>
      <c r="DZ23" s="2" t="s">
        <v>3</v>
      </c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 t="s">
        <v>3</v>
      </c>
      <c r="FR23" s="2" t="s">
        <v>89</v>
      </c>
      <c r="FS23" s="2" t="s">
        <v>90</v>
      </c>
      <c r="FT23" s="2" t="s">
        <v>162</v>
      </c>
      <c r="FU23" s="2"/>
      <c r="FV23" s="2" t="s">
        <v>3</v>
      </c>
    </row>
    <row r="24" spans="1:178" ht="15.75" customHeight="1" x14ac:dyDescent="0.2">
      <c r="A24" s="20" t="s">
        <v>163</v>
      </c>
      <c r="B24" s="2" t="s">
        <v>164</v>
      </c>
      <c r="C24" s="16" t="s">
        <v>165</v>
      </c>
      <c r="D24" s="2" t="s">
        <v>99</v>
      </c>
      <c r="E24" s="2"/>
      <c r="F24" s="2"/>
      <c r="G24" s="2" t="s">
        <v>78</v>
      </c>
      <c r="H24" s="2" t="s">
        <v>166</v>
      </c>
      <c r="I24" s="2"/>
      <c r="J24" s="2" t="s">
        <v>167</v>
      </c>
      <c r="K24" s="2">
        <v>0</v>
      </c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>
        <v>12.2</v>
      </c>
      <c r="AG24" s="2">
        <v>0.49</v>
      </c>
      <c r="AH24" s="2"/>
      <c r="AI24" s="2"/>
      <c r="AJ24" s="2"/>
      <c r="AK24" s="2"/>
      <c r="AL24" s="2">
        <v>0.56000000000000005</v>
      </c>
      <c r="AM24" s="2"/>
      <c r="AN24" s="4">
        <v>0.2</v>
      </c>
      <c r="AO24" s="2">
        <v>0.21</v>
      </c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>
        <v>0</v>
      </c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>
        <v>0</v>
      </c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>
        <v>0</v>
      </c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14" t="s">
        <v>81</v>
      </c>
      <c r="DM24" s="2" t="s">
        <v>81</v>
      </c>
      <c r="DN24" s="2">
        <f t="shared" si="8"/>
        <v>0.2</v>
      </c>
      <c r="DO24" s="2">
        <f t="shared" si="9"/>
        <v>0.21</v>
      </c>
      <c r="DP24" s="2" t="s">
        <v>168</v>
      </c>
      <c r="DQ24" s="2" t="s">
        <v>3</v>
      </c>
      <c r="DR24" s="2">
        <f t="shared" si="10"/>
        <v>12.2</v>
      </c>
      <c r="DS24" s="2">
        <f t="shared" si="11"/>
        <v>0.2</v>
      </c>
      <c r="DT24" s="15">
        <f t="shared" si="12"/>
        <v>24.4</v>
      </c>
      <c r="DU24" s="2"/>
      <c r="DV24" s="2">
        <f t="shared" si="13"/>
        <v>0</v>
      </c>
      <c r="DW24" s="2"/>
      <c r="DX24" s="2"/>
      <c r="DY24" s="2"/>
      <c r="DZ24" s="2" t="s">
        <v>3</v>
      </c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 t="s">
        <v>3</v>
      </c>
      <c r="FR24" s="2" t="s">
        <v>89</v>
      </c>
      <c r="FS24" s="2" t="s">
        <v>169</v>
      </c>
      <c r="FT24" s="2"/>
      <c r="FU24" s="2"/>
      <c r="FV24" s="2" t="s">
        <v>3</v>
      </c>
    </row>
    <row r="25" spans="1:178" ht="15.75" customHeight="1" x14ac:dyDescent="0.2">
      <c r="A25" s="14" t="s">
        <v>127</v>
      </c>
      <c r="B25" s="2" t="s">
        <v>85</v>
      </c>
      <c r="C25" s="16" t="s">
        <v>170</v>
      </c>
      <c r="D25" s="2" t="s">
        <v>99</v>
      </c>
      <c r="E25" s="2"/>
      <c r="F25" s="2"/>
      <c r="G25" s="2"/>
      <c r="H25" s="2" t="s">
        <v>171</v>
      </c>
      <c r="I25" s="2"/>
      <c r="J25" s="2"/>
      <c r="K25" s="2">
        <v>0</v>
      </c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>
        <v>0</v>
      </c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>
        <v>133.43</v>
      </c>
      <c r="BB25" s="4">
        <v>0.10798927886436387</v>
      </c>
      <c r="BC25" s="4">
        <v>9.3515517999999992E-2</v>
      </c>
      <c r="BD25" s="2"/>
      <c r="BE25" s="2"/>
      <c r="BF25" s="2"/>
      <c r="BG25" s="2"/>
      <c r="BH25" s="2"/>
      <c r="BI25" s="4">
        <v>0.20463110206781226</v>
      </c>
      <c r="BJ25" s="2"/>
      <c r="BK25" s="4">
        <v>0.56108131600000011</v>
      </c>
      <c r="BL25" s="4">
        <v>0.68540330000000005</v>
      </c>
      <c r="BM25" s="2"/>
      <c r="BN25" s="2"/>
      <c r="BO25" s="2"/>
      <c r="BP25" s="2"/>
      <c r="BQ25" s="2"/>
      <c r="BR25" s="2"/>
      <c r="BS25" s="2"/>
      <c r="BT25" s="2"/>
      <c r="BU25" s="2"/>
      <c r="BV25" s="2">
        <v>0</v>
      </c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>
        <v>0</v>
      </c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14" t="s">
        <v>100</v>
      </c>
      <c r="DM25" s="2"/>
      <c r="DN25" s="2">
        <f t="shared" si="8"/>
        <v>0.20463110206781226</v>
      </c>
      <c r="DO25" s="2">
        <f t="shared" si="9"/>
        <v>0</v>
      </c>
      <c r="DP25" s="2" t="s">
        <v>172</v>
      </c>
      <c r="DQ25" s="2" t="s">
        <v>3</v>
      </c>
      <c r="DR25" s="15">
        <f t="shared" si="10"/>
        <v>133.43</v>
      </c>
      <c r="DS25" s="4">
        <f t="shared" si="11"/>
        <v>0.20463110206781226</v>
      </c>
      <c r="DT25" s="15">
        <f t="shared" si="12"/>
        <v>273.03927948908188</v>
      </c>
      <c r="DU25" s="2"/>
      <c r="DV25" s="2">
        <f t="shared" si="13"/>
        <v>0</v>
      </c>
      <c r="DW25" s="2"/>
      <c r="DX25" s="2"/>
      <c r="DY25" s="2"/>
      <c r="DZ25" s="2" t="s">
        <v>3</v>
      </c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 t="s">
        <v>3</v>
      </c>
      <c r="FR25" s="2" t="s">
        <v>89</v>
      </c>
      <c r="FS25" s="2" t="s">
        <v>90</v>
      </c>
      <c r="FT25" s="2" t="s">
        <v>162</v>
      </c>
      <c r="FU25" s="2" t="s">
        <v>130</v>
      </c>
      <c r="FV25" s="2" t="s">
        <v>3</v>
      </c>
    </row>
    <row r="26" spans="1:178" ht="15.75" customHeight="1" x14ac:dyDescent="0.2">
      <c r="A26" s="14" t="s">
        <v>74</v>
      </c>
      <c r="B26" s="2" t="s">
        <v>164</v>
      </c>
      <c r="C26" s="13" t="s">
        <v>173</v>
      </c>
      <c r="D26" s="2" t="s">
        <v>120</v>
      </c>
      <c r="E26" s="2"/>
      <c r="F26" s="2"/>
      <c r="G26" s="2" t="s">
        <v>78</v>
      </c>
      <c r="H26" s="2" t="s">
        <v>174</v>
      </c>
      <c r="I26" s="2"/>
      <c r="J26" s="2" t="s">
        <v>80</v>
      </c>
      <c r="K26" s="2">
        <v>0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>
        <v>88</v>
      </c>
      <c r="AG26" s="2"/>
      <c r="AH26" s="2"/>
      <c r="AI26" s="2"/>
      <c r="AJ26" s="2"/>
      <c r="AK26" s="2"/>
      <c r="AL26" s="2"/>
      <c r="AM26" s="2"/>
      <c r="AN26" s="2">
        <v>0.86</v>
      </c>
      <c r="AO26" s="2">
        <v>5.2999999999999999E-2</v>
      </c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>
        <v>81.8</v>
      </c>
      <c r="BB26" s="2"/>
      <c r="BC26" s="2"/>
      <c r="BD26" s="2"/>
      <c r="BE26" s="2"/>
      <c r="BF26" s="2"/>
      <c r="BG26" s="2"/>
      <c r="BH26" s="2"/>
      <c r="BI26" s="2">
        <v>0.79</v>
      </c>
      <c r="BJ26" s="2">
        <v>0.06</v>
      </c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>
        <v>0</v>
      </c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>
        <v>0</v>
      </c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14" t="s">
        <v>81</v>
      </c>
      <c r="DM26" s="2" t="s">
        <v>81</v>
      </c>
      <c r="DN26" s="2">
        <f t="shared" si="8"/>
        <v>0.8262779740871613</v>
      </c>
      <c r="DO26" s="2">
        <f t="shared" si="9"/>
        <v>5.6372202591283851E-2</v>
      </c>
      <c r="DP26" s="2" t="s">
        <v>175</v>
      </c>
      <c r="DQ26" s="2" t="s">
        <v>3</v>
      </c>
      <c r="DR26" s="2">
        <f t="shared" si="10"/>
        <v>169.8</v>
      </c>
      <c r="DS26" s="4">
        <f t="shared" si="11"/>
        <v>0.8262779740871613</v>
      </c>
      <c r="DT26" s="18">
        <f t="shared" si="12"/>
        <v>1403.02</v>
      </c>
      <c r="DU26" s="2"/>
      <c r="DV26" s="2">
        <f t="shared" si="13"/>
        <v>0</v>
      </c>
      <c r="DW26" s="2"/>
      <c r="DX26" s="2"/>
      <c r="DY26" s="2"/>
      <c r="DZ26" s="2" t="s">
        <v>3</v>
      </c>
      <c r="EA26" s="2" t="s">
        <v>118</v>
      </c>
      <c r="EB26" s="15">
        <v>66.685599999999994</v>
      </c>
      <c r="EC26" s="2" t="s">
        <v>176</v>
      </c>
      <c r="ED26" s="15">
        <v>25.815999999999999</v>
      </c>
      <c r="EE26" s="2" t="s">
        <v>176</v>
      </c>
      <c r="EF26" s="15">
        <v>72.875999999999991</v>
      </c>
      <c r="EG26" s="2" t="s">
        <v>176</v>
      </c>
      <c r="EH26" s="15">
        <f>EF26-ED26</f>
        <v>47.059999999999988</v>
      </c>
      <c r="EI26" s="2"/>
      <c r="EJ26" s="15">
        <f>SUM(EP26,EX26,FB26)</f>
        <v>222.6</v>
      </c>
      <c r="EK26" s="2"/>
      <c r="EL26" s="15">
        <f>EB26+FD26</f>
        <v>289.28559999999999</v>
      </c>
      <c r="EM26" s="2" t="s">
        <v>118</v>
      </c>
      <c r="EN26" s="15">
        <f>DR557</f>
        <v>106</v>
      </c>
      <c r="EO26" s="4">
        <f>100*(EP26/1000)/EN26</f>
        <v>0.21</v>
      </c>
      <c r="EP26" s="15">
        <f>DT557</f>
        <v>222.6</v>
      </c>
      <c r="EQ26" s="2">
        <f>COUNT(DT557)</f>
        <v>1</v>
      </c>
      <c r="ER26" s="2" t="s">
        <v>176</v>
      </c>
      <c r="ES26" s="2" t="s">
        <v>176</v>
      </c>
      <c r="ET26" s="2" t="s">
        <v>176</v>
      </c>
      <c r="EU26" s="2" t="s">
        <v>176</v>
      </c>
      <c r="EV26" s="2" t="s">
        <v>176</v>
      </c>
      <c r="EW26" s="2" t="s">
        <v>176</v>
      </c>
      <c r="EX26" s="2" t="s">
        <v>176</v>
      </c>
      <c r="EY26" s="2" t="s">
        <v>176</v>
      </c>
      <c r="EZ26" s="2" t="s">
        <v>176</v>
      </c>
      <c r="FA26" s="2" t="s">
        <v>176</v>
      </c>
      <c r="FB26" s="2" t="s">
        <v>176</v>
      </c>
      <c r="FC26" s="2" t="s">
        <v>176</v>
      </c>
      <c r="FD26" s="3">
        <f t="shared" ref="FD26:FD27" si="16">SUM(EP26,ET26,EX26,FB26)</f>
        <v>222.6</v>
      </c>
      <c r="FE26" s="15">
        <f>DV557</f>
        <v>0</v>
      </c>
      <c r="FF26" s="4" t="e">
        <f>100*(FG26/1000)/FE26</f>
        <v>#DIV/0!</v>
      </c>
      <c r="FG26" s="15">
        <f>DX557</f>
        <v>0</v>
      </c>
      <c r="FH26" s="2">
        <f>COUNT(DX557)</f>
        <v>0</v>
      </c>
      <c r="FI26" s="2" t="s">
        <v>176</v>
      </c>
      <c r="FJ26" s="2" t="s">
        <v>176</v>
      </c>
      <c r="FK26" s="2" t="s">
        <v>176</v>
      </c>
      <c r="FL26" s="2" t="s">
        <v>176</v>
      </c>
      <c r="FM26" s="2" t="s">
        <v>176</v>
      </c>
      <c r="FN26" s="2" t="s">
        <v>176</v>
      </c>
      <c r="FO26" s="15">
        <f>SUM(FG26,FK26,FM26,FN26)</f>
        <v>0</v>
      </c>
      <c r="FP26" s="2" t="s">
        <v>118</v>
      </c>
      <c r="FQ26" s="2" t="s">
        <v>3</v>
      </c>
      <c r="FR26" s="2" t="s">
        <v>37</v>
      </c>
      <c r="FS26" s="2" t="s">
        <v>177</v>
      </c>
      <c r="FT26" s="2" t="s">
        <v>177</v>
      </c>
      <c r="FU26" s="2"/>
      <c r="FV26" s="2" t="s">
        <v>3</v>
      </c>
    </row>
    <row r="27" spans="1:178" ht="15.75" customHeight="1" x14ac:dyDescent="0.2">
      <c r="A27" s="14" t="s">
        <v>96</v>
      </c>
      <c r="B27" s="2" t="s">
        <v>164</v>
      </c>
      <c r="C27" s="21" t="s">
        <v>178</v>
      </c>
      <c r="D27" s="2" t="s">
        <v>120</v>
      </c>
      <c r="E27" s="2"/>
      <c r="F27" s="2"/>
      <c r="G27" s="2" t="s">
        <v>179</v>
      </c>
      <c r="H27" s="2" t="s">
        <v>180</v>
      </c>
      <c r="I27" s="2"/>
      <c r="J27" s="2" t="s">
        <v>181</v>
      </c>
      <c r="K27" s="2">
        <v>3.8</v>
      </c>
      <c r="L27" s="2"/>
      <c r="M27" s="2"/>
      <c r="N27" s="2"/>
      <c r="O27" s="2"/>
      <c r="P27" s="2"/>
      <c r="Q27" s="2"/>
      <c r="R27" s="2"/>
      <c r="S27" s="2">
        <v>1.1000000000000001</v>
      </c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>
        <v>4.9000000000000004</v>
      </c>
      <c r="AG27" s="2"/>
      <c r="AH27" s="2"/>
      <c r="AI27" s="2"/>
      <c r="AJ27" s="2"/>
      <c r="AK27" s="2"/>
      <c r="AL27" s="2"/>
      <c r="AM27" s="2"/>
      <c r="AN27" s="2">
        <v>0.9</v>
      </c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>
        <v>20.7</v>
      </c>
      <c r="BB27" s="2"/>
      <c r="BC27" s="2"/>
      <c r="BD27" s="2"/>
      <c r="BE27" s="2"/>
      <c r="BF27" s="2"/>
      <c r="BG27" s="2"/>
      <c r="BH27" s="2"/>
      <c r="BI27" s="2">
        <v>0.8</v>
      </c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>
        <v>0</v>
      </c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>
        <v>0</v>
      </c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14" t="s">
        <v>81</v>
      </c>
      <c r="DM27" s="2"/>
      <c r="DN27" s="2">
        <f t="shared" si="8"/>
        <v>0.85544217687074831</v>
      </c>
      <c r="DO27" s="2">
        <f t="shared" si="9"/>
        <v>0</v>
      </c>
      <c r="DP27" s="2" t="s">
        <v>161</v>
      </c>
      <c r="DQ27" s="2" t="s">
        <v>3</v>
      </c>
      <c r="DR27" s="2">
        <f t="shared" si="10"/>
        <v>29.4</v>
      </c>
      <c r="DS27" s="4">
        <f t="shared" si="11"/>
        <v>0.85544217687074831</v>
      </c>
      <c r="DT27" s="15">
        <f t="shared" si="12"/>
        <v>251.5</v>
      </c>
      <c r="DU27" s="2"/>
      <c r="DV27" s="2">
        <f t="shared" si="13"/>
        <v>0</v>
      </c>
      <c r="DW27" s="2"/>
      <c r="DX27" s="2"/>
      <c r="DY27" s="2"/>
      <c r="DZ27" s="2" t="s">
        <v>3</v>
      </c>
      <c r="EA27" s="2" t="s">
        <v>182</v>
      </c>
      <c r="EB27" s="2" t="s">
        <v>176</v>
      </c>
      <c r="EC27" s="2" t="s">
        <v>176</v>
      </c>
      <c r="ED27" s="2" t="s">
        <v>176</v>
      </c>
      <c r="EE27" s="2" t="s">
        <v>176</v>
      </c>
      <c r="EF27" s="2" t="s">
        <v>176</v>
      </c>
      <c r="EG27" s="3">
        <v>3579.3000000000011</v>
      </c>
      <c r="EH27" s="2"/>
      <c r="EI27" s="3">
        <v>3579.3000000000011</v>
      </c>
      <c r="EJ27" s="2"/>
      <c r="EK27" s="3">
        <f>ET27</f>
        <v>1640.7243000000001</v>
      </c>
      <c r="EL27" s="3">
        <f>FD27</f>
        <v>1640.7243000000001</v>
      </c>
      <c r="EM27" s="2" t="s">
        <v>182</v>
      </c>
      <c r="EN27" s="2" t="s">
        <v>176</v>
      </c>
      <c r="EO27" s="2" t="s">
        <v>176</v>
      </c>
      <c r="EP27" s="2" t="s">
        <v>176</v>
      </c>
      <c r="EQ27" s="2" t="s">
        <v>176</v>
      </c>
      <c r="ER27" s="15">
        <f>SUM(DR217:DR219)</f>
        <v>404.87</v>
      </c>
      <c r="ES27" s="4">
        <f>100*(ET27/1000)/ER27</f>
        <v>0.40524719045619578</v>
      </c>
      <c r="ET27" s="3">
        <f>SUM(DT217:DT219)</f>
        <v>1640.7243000000001</v>
      </c>
      <c r="EU27" s="2">
        <f>COUNT(DT217:DT219)</f>
        <v>3</v>
      </c>
      <c r="EV27" s="2" t="s">
        <v>176</v>
      </c>
      <c r="EW27" s="2" t="s">
        <v>176</v>
      </c>
      <c r="EX27" s="2" t="s">
        <v>176</v>
      </c>
      <c r="EY27" s="2" t="s">
        <v>176</v>
      </c>
      <c r="EZ27" s="2" t="s">
        <v>176</v>
      </c>
      <c r="FA27" s="2" t="s">
        <v>176</v>
      </c>
      <c r="FB27" s="2" t="s">
        <v>176</v>
      </c>
      <c r="FC27" s="2" t="s">
        <v>176</v>
      </c>
      <c r="FD27" s="3">
        <f t="shared" si="16"/>
        <v>1640.7243000000001</v>
      </c>
      <c r="FE27" s="2" t="s">
        <v>176</v>
      </c>
      <c r="FF27" s="2" t="s">
        <v>176</v>
      </c>
      <c r="FG27" s="2" t="s">
        <v>176</v>
      </c>
      <c r="FH27" s="2" t="s">
        <v>176</v>
      </c>
      <c r="FI27" s="2" t="s">
        <v>176</v>
      </c>
      <c r="FJ27" s="2" t="s">
        <v>176</v>
      </c>
      <c r="FK27" s="2" t="s">
        <v>176</v>
      </c>
      <c r="FL27" s="2" t="s">
        <v>176</v>
      </c>
      <c r="FM27" s="2" t="s">
        <v>176</v>
      </c>
      <c r="FN27" s="2" t="s">
        <v>176</v>
      </c>
      <c r="FO27" s="2" t="s">
        <v>176</v>
      </c>
      <c r="FP27" s="2" t="s">
        <v>182</v>
      </c>
      <c r="FQ27" s="2" t="s">
        <v>3</v>
      </c>
      <c r="FR27" s="2" t="s">
        <v>183</v>
      </c>
      <c r="FS27" s="2" t="s">
        <v>184</v>
      </c>
      <c r="FT27" s="2"/>
      <c r="FU27" s="2"/>
      <c r="FV27" s="2" t="s">
        <v>3</v>
      </c>
    </row>
    <row r="28" spans="1:178" ht="15.75" customHeight="1" x14ac:dyDescent="0.2">
      <c r="A28" s="12" t="s">
        <v>74</v>
      </c>
      <c r="B28" s="2" t="s">
        <v>185</v>
      </c>
      <c r="C28" s="13" t="s">
        <v>186</v>
      </c>
      <c r="D28" s="2" t="s">
        <v>99</v>
      </c>
      <c r="E28" s="2"/>
      <c r="F28" s="2"/>
      <c r="G28" s="2"/>
      <c r="H28" s="2" t="s">
        <v>79</v>
      </c>
      <c r="I28" s="2"/>
      <c r="J28" s="2"/>
      <c r="K28" s="2">
        <v>0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>
        <v>0</v>
      </c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>
        <v>2.5</v>
      </c>
      <c r="BB28" s="2"/>
      <c r="BC28" s="2"/>
      <c r="BD28" s="2"/>
      <c r="BE28" s="2"/>
      <c r="BF28" s="2"/>
      <c r="BG28" s="2"/>
      <c r="BH28" s="2"/>
      <c r="BI28" s="2">
        <v>1.55</v>
      </c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>
        <v>0</v>
      </c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>
        <v>0</v>
      </c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14" t="s">
        <v>100</v>
      </c>
      <c r="DM28" s="2"/>
      <c r="DN28" s="2">
        <f t="shared" si="8"/>
        <v>1.55</v>
      </c>
      <c r="DO28" s="2">
        <f t="shared" si="9"/>
        <v>0</v>
      </c>
      <c r="DP28" s="2" t="s">
        <v>187</v>
      </c>
      <c r="DQ28" s="2" t="s">
        <v>3</v>
      </c>
      <c r="DR28" s="2">
        <f t="shared" si="10"/>
        <v>2.5</v>
      </c>
      <c r="DS28" s="2">
        <f t="shared" si="11"/>
        <v>1.55</v>
      </c>
      <c r="DT28" s="15">
        <f t="shared" si="12"/>
        <v>38.75</v>
      </c>
      <c r="DU28" s="2"/>
      <c r="DV28" s="2">
        <f t="shared" si="13"/>
        <v>0</v>
      </c>
      <c r="DW28" s="2"/>
      <c r="DX28" s="2"/>
      <c r="DY28" s="2"/>
      <c r="DZ28" s="2" t="s">
        <v>3</v>
      </c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 t="s">
        <v>3</v>
      </c>
      <c r="FR28" s="2" t="s">
        <v>37</v>
      </c>
      <c r="FS28" s="2" t="s">
        <v>188</v>
      </c>
      <c r="FT28" s="2"/>
      <c r="FU28" s="2"/>
      <c r="FV28" s="2" t="s">
        <v>3</v>
      </c>
    </row>
    <row r="29" spans="1:178" ht="15.75" customHeight="1" x14ac:dyDescent="0.2">
      <c r="A29" s="14" t="s">
        <v>96</v>
      </c>
      <c r="B29" s="2" t="s">
        <v>189</v>
      </c>
      <c r="C29" s="16" t="s">
        <v>190</v>
      </c>
      <c r="D29" s="2" t="s">
        <v>99</v>
      </c>
      <c r="E29" s="43">
        <v>51.76</v>
      </c>
      <c r="F29" s="43">
        <v>-86.71</v>
      </c>
      <c r="G29" s="2"/>
      <c r="H29" s="2" t="s">
        <v>79</v>
      </c>
      <c r="I29" s="22"/>
      <c r="J29" s="2"/>
      <c r="K29" s="2">
        <v>0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>
        <v>0</v>
      </c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3">
        <f>364*0.9072</f>
        <v>330.2208</v>
      </c>
      <c r="BB29" s="2">
        <v>0.84</v>
      </c>
      <c r="BC29" s="2"/>
      <c r="BD29" s="2"/>
      <c r="BE29" s="2"/>
      <c r="BF29" s="2"/>
      <c r="BG29" s="2"/>
      <c r="BH29" s="2"/>
      <c r="BI29" s="2">
        <v>0.19</v>
      </c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>
        <v>0</v>
      </c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>
        <v>0</v>
      </c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14" t="s">
        <v>100</v>
      </c>
      <c r="DM29" s="2"/>
      <c r="DN29" s="2">
        <f t="shared" si="8"/>
        <v>0.19</v>
      </c>
      <c r="DO29" s="2">
        <f t="shared" si="9"/>
        <v>0</v>
      </c>
      <c r="DP29" s="2" t="s">
        <v>191</v>
      </c>
      <c r="DQ29" s="2" t="s">
        <v>3</v>
      </c>
      <c r="DR29" s="15">
        <f t="shared" si="10"/>
        <v>330.2208</v>
      </c>
      <c r="DS29" s="2">
        <f t="shared" si="11"/>
        <v>0.19</v>
      </c>
      <c r="DT29" s="15">
        <f t="shared" si="12"/>
        <v>627.41951999999992</v>
      </c>
      <c r="DU29" s="2"/>
      <c r="DV29" s="2">
        <f t="shared" si="13"/>
        <v>0</v>
      </c>
      <c r="DW29" s="2"/>
      <c r="DX29" s="2"/>
      <c r="DY29" s="2"/>
      <c r="DZ29" s="2" t="s">
        <v>3</v>
      </c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 t="s">
        <v>3</v>
      </c>
      <c r="FR29" s="2" t="s">
        <v>89</v>
      </c>
      <c r="FS29" s="2" t="s">
        <v>123</v>
      </c>
      <c r="FT29" s="2" t="s">
        <v>192</v>
      </c>
      <c r="FU29" s="2"/>
      <c r="FV29" s="2" t="s">
        <v>3</v>
      </c>
    </row>
    <row r="30" spans="1:178" ht="15.75" customHeight="1" x14ac:dyDescent="0.2">
      <c r="A30" s="14" t="s">
        <v>96</v>
      </c>
      <c r="B30" s="2" t="s">
        <v>193</v>
      </c>
      <c r="C30" s="16" t="s">
        <v>194</v>
      </c>
      <c r="D30" s="2" t="s">
        <v>99</v>
      </c>
      <c r="E30" s="2"/>
      <c r="F30" s="2"/>
      <c r="G30" s="2"/>
      <c r="H30" s="2" t="s">
        <v>79</v>
      </c>
      <c r="I30" s="2"/>
      <c r="J30" s="2"/>
      <c r="K30" s="2">
        <v>0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>
        <v>0</v>
      </c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>
        <v>7.0000000000000007E-2</v>
      </c>
      <c r="BB30" s="2">
        <v>0.27</v>
      </c>
      <c r="BC30" s="2"/>
      <c r="BD30" s="2"/>
      <c r="BE30" s="2"/>
      <c r="BF30" s="2"/>
      <c r="BG30" s="2"/>
      <c r="BH30" s="2"/>
      <c r="BI30" s="2">
        <v>0.46</v>
      </c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>
        <v>0</v>
      </c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>
        <v>0</v>
      </c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14" t="s">
        <v>100</v>
      </c>
      <c r="DM30" s="2"/>
      <c r="DN30" s="2">
        <f t="shared" si="8"/>
        <v>0.46</v>
      </c>
      <c r="DO30" s="2">
        <f t="shared" si="9"/>
        <v>0</v>
      </c>
      <c r="DP30" s="2" t="s">
        <v>195</v>
      </c>
      <c r="DQ30" s="2" t="s">
        <v>3</v>
      </c>
      <c r="DR30" s="2">
        <f t="shared" si="10"/>
        <v>7.0000000000000007E-2</v>
      </c>
      <c r="DS30" s="2">
        <f t="shared" si="11"/>
        <v>0.46</v>
      </c>
      <c r="DT30" s="15">
        <f t="shared" si="12"/>
        <v>0.32200000000000001</v>
      </c>
      <c r="DU30" s="2"/>
      <c r="DV30" s="2">
        <f t="shared" si="13"/>
        <v>0</v>
      </c>
      <c r="DW30" s="2"/>
      <c r="DX30" s="2"/>
      <c r="DY30" s="2"/>
      <c r="DZ30" s="2" t="s">
        <v>3</v>
      </c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 t="s">
        <v>3</v>
      </c>
      <c r="FR30" s="2" t="s">
        <v>89</v>
      </c>
      <c r="FS30" s="2" t="s">
        <v>123</v>
      </c>
      <c r="FT30" s="2"/>
      <c r="FU30" s="2"/>
      <c r="FV30" s="2" t="s">
        <v>3</v>
      </c>
    </row>
    <row r="31" spans="1:178" ht="15.75" customHeight="1" x14ac:dyDescent="0.2">
      <c r="A31" s="14" t="s">
        <v>143</v>
      </c>
      <c r="B31" s="2" t="s">
        <v>85</v>
      </c>
      <c r="C31" s="16" t="s">
        <v>196</v>
      </c>
      <c r="D31" s="2"/>
      <c r="E31" s="2"/>
      <c r="F31" s="2"/>
      <c r="G31" s="2"/>
      <c r="H31" s="2" t="s">
        <v>197</v>
      </c>
      <c r="I31" s="2"/>
      <c r="J31" s="2"/>
      <c r="K31" s="2">
        <v>169.01</v>
      </c>
      <c r="L31" s="4">
        <v>5.3973729365126316E-2</v>
      </c>
      <c r="M31" s="4">
        <v>0.15692089225489614</v>
      </c>
      <c r="N31" s="2"/>
      <c r="O31" s="2"/>
      <c r="P31" s="2"/>
      <c r="Q31" s="2"/>
      <c r="R31" s="2"/>
      <c r="S31" s="4">
        <v>0.16276847523815161</v>
      </c>
      <c r="T31" s="2"/>
      <c r="U31" s="4">
        <v>3.8727634341163246</v>
      </c>
      <c r="V31" s="4">
        <v>1.7400606827998344</v>
      </c>
      <c r="W31" s="4">
        <v>0.46323098041536004</v>
      </c>
      <c r="X31" s="2"/>
      <c r="Y31" s="2"/>
      <c r="Z31" s="2"/>
      <c r="AA31" s="2"/>
      <c r="AB31" s="2"/>
      <c r="AC31" s="2"/>
      <c r="AD31" s="2"/>
      <c r="AE31" s="2"/>
      <c r="AF31" s="2">
        <v>123.4</v>
      </c>
      <c r="AG31" s="4">
        <v>5.0729335494327385E-2</v>
      </c>
      <c r="AH31" s="4">
        <v>0.13868732576985413</v>
      </c>
      <c r="AI31" s="2"/>
      <c r="AJ31" s="2"/>
      <c r="AK31" s="2"/>
      <c r="AL31" s="2"/>
      <c r="AM31" s="2"/>
      <c r="AN31" s="4">
        <v>0.15887520259319285</v>
      </c>
      <c r="AO31" s="2"/>
      <c r="AP31" s="4">
        <v>3.6139807666126416</v>
      </c>
      <c r="AQ31" s="4">
        <v>1.6354221977309562</v>
      </c>
      <c r="AR31" s="4">
        <v>0.44915793030794171</v>
      </c>
      <c r="AS31" s="2"/>
      <c r="AT31" s="2"/>
      <c r="AU31" s="2"/>
      <c r="AV31" s="2"/>
      <c r="AW31" s="2"/>
      <c r="AX31" s="2"/>
      <c r="AY31" s="2"/>
      <c r="AZ31" s="2"/>
      <c r="BA31" s="2">
        <v>55.540000000000006</v>
      </c>
      <c r="BB31" s="4">
        <v>5.6543032048973707E-2</v>
      </c>
      <c r="BC31" s="4">
        <v>0.16773014043932299</v>
      </c>
      <c r="BD31" s="2"/>
      <c r="BE31" s="2"/>
      <c r="BF31" s="2"/>
      <c r="BG31" s="2"/>
      <c r="BH31" s="2"/>
      <c r="BI31" s="4">
        <v>0.16585163845876846</v>
      </c>
      <c r="BJ31" s="2"/>
      <c r="BK31" s="4">
        <v>3.9191215700396111</v>
      </c>
      <c r="BL31" s="4">
        <v>1.7474789701116309</v>
      </c>
      <c r="BM31" s="4">
        <v>0.44931811307166003</v>
      </c>
      <c r="BN31" s="4"/>
      <c r="BO31" s="4"/>
      <c r="BP31" s="2"/>
      <c r="BQ31" s="2"/>
      <c r="BR31" s="2"/>
      <c r="BS31" s="2"/>
      <c r="BT31" s="2"/>
      <c r="BU31" s="2"/>
      <c r="BV31" s="2">
        <v>60.910000000000004</v>
      </c>
      <c r="BW31" s="4">
        <v>9.7292726974224253E-2</v>
      </c>
      <c r="BX31" s="4">
        <v>0.17392956821539976</v>
      </c>
      <c r="BY31" s="2"/>
      <c r="BZ31" s="2"/>
      <c r="CA31" s="2"/>
      <c r="CB31" s="2"/>
      <c r="CC31" s="2"/>
      <c r="CD31" s="4">
        <v>0.21475127236906913</v>
      </c>
      <c r="CE31" s="2"/>
      <c r="CF31" s="4">
        <v>2.9358104843211295</v>
      </c>
      <c r="CG31" s="4">
        <v>1.236532099819406</v>
      </c>
      <c r="CH31" s="4">
        <v>0.23138828763749791</v>
      </c>
      <c r="CI31" s="4"/>
      <c r="CJ31" s="4"/>
      <c r="CK31" s="2"/>
      <c r="CL31" s="2"/>
      <c r="CM31" s="2"/>
      <c r="CN31" s="2"/>
      <c r="CO31" s="2"/>
      <c r="CP31" s="2"/>
      <c r="CQ31" s="2">
        <v>64.31</v>
      </c>
      <c r="CR31" s="4">
        <v>4.4458093609081012E-2</v>
      </c>
      <c r="CS31" s="4">
        <v>7.5727631783548438E-2</v>
      </c>
      <c r="CT31" s="2"/>
      <c r="CU31" s="2"/>
      <c r="CV31" s="2"/>
      <c r="CW31" s="2"/>
      <c r="CX31" s="2"/>
      <c r="CY31" s="4">
        <v>0.1513497123308972</v>
      </c>
      <c r="CZ31" s="2"/>
      <c r="DA31" s="4">
        <v>2.4107949619032807</v>
      </c>
      <c r="DB31" s="4">
        <v>1.1161566474887266</v>
      </c>
      <c r="DC31" s="4">
        <v>0.33619648577204164</v>
      </c>
      <c r="DD31" s="4"/>
      <c r="DE31" s="4"/>
      <c r="DF31" s="2"/>
      <c r="DG31" s="2"/>
      <c r="DH31" s="2"/>
      <c r="DI31" s="2"/>
      <c r="DJ31" s="2"/>
      <c r="DK31" s="2"/>
      <c r="DL31" s="14" t="s">
        <v>81</v>
      </c>
      <c r="DM31" s="2"/>
      <c r="DN31" s="2">
        <f t="shared" si="8"/>
        <v>0.16187986779709729</v>
      </c>
      <c r="DO31" s="2">
        <f t="shared" si="9"/>
        <v>0</v>
      </c>
      <c r="DP31" s="2" t="s">
        <v>95</v>
      </c>
      <c r="DQ31" s="2" t="s">
        <v>3</v>
      </c>
      <c r="DR31" s="15">
        <f t="shared" si="10"/>
        <v>347.95</v>
      </c>
      <c r="DS31" s="4">
        <f t="shared" si="11"/>
        <v>0.16187986779709729</v>
      </c>
      <c r="DT31" s="15">
        <f t="shared" si="12"/>
        <v>563.26099999999997</v>
      </c>
      <c r="DU31" s="2"/>
      <c r="DV31" s="2">
        <f t="shared" si="13"/>
        <v>125.22</v>
      </c>
      <c r="DW31" s="4">
        <f>(BV31*CD31+CQ31*CY31)/DV31</f>
        <v>0.18218974604695737</v>
      </c>
      <c r="DX31" s="15">
        <f>1000*DV31*DW31/100</f>
        <v>228.13800000000003</v>
      </c>
      <c r="DY31" s="2"/>
      <c r="DZ31" s="2" t="s">
        <v>3</v>
      </c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 t="s">
        <v>3</v>
      </c>
      <c r="FR31" s="2" t="s">
        <v>89</v>
      </c>
      <c r="FS31" s="2" t="s">
        <v>90</v>
      </c>
      <c r="FT31" s="2" t="s">
        <v>162</v>
      </c>
      <c r="FU31" s="2" t="s">
        <v>92</v>
      </c>
      <c r="FV31" s="2" t="s">
        <v>3</v>
      </c>
    </row>
    <row r="32" spans="1:178" ht="15.75" customHeight="1" x14ac:dyDescent="0.2">
      <c r="A32" s="12" t="s">
        <v>74</v>
      </c>
      <c r="B32" s="2" t="s">
        <v>198</v>
      </c>
      <c r="C32" s="13" t="s">
        <v>199</v>
      </c>
      <c r="D32" s="2" t="s">
        <v>99</v>
      </c>
      <c r="E32" s="2"/>
      <c r="F32" s="2"/>
      <c r="G32" s="2"/>
      <c r="H32" s="2" t="s">
        <v>200</v>
      </c>
      <c r="I32" s="2"/>
      <c r="J32" s="2" t="s">
        <v>111</v>
      </c>
      <c r="K32" s="2">
        <v>0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>
        <v>0</v>
      </c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>
        <v>175</v>
      </c>
      <c r="BB32" s="2"/>
      <c r="BC32" s="2"/>
      <c r="BD32" s="2"/>
      <c r="BE32" s="2"/>
      <c r="BF32" s="2"/>
      <c r="BG32" s="2"/>
      <c r="BH32" s="2"/>
      <c r="BI32" s="2">
        <v>1.77</v>
      </c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>
        <v>0</v>
      </c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>
        <v>0</v>
      </c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14" t="s">
        <v>100</v>
      </c>
      <c r="DM32" s="2"/>
      <c r="DN32" s="2">
        <f t="shared" si="8"/>
        <v>1.77</v>
      </c>
      <c r="DO32" s="2">
        <f t="shared" si="9"/>
        <v>0</v>
      </c>
      <c r="DP32" s="2" t="s">
        <v>201</v>
      </c>
      <c r="DQ32" s="2" t="s">
        <v>3</v>
      </c>
      <c r="DR32" s="2">
        <f t="shared" si="10"/>
        <v>175</v>
      </c>
      <c r="DS32" s="4">
        <f t="shared" si="11"/>
        <v>1.77</v>
      </c>
      <c r="DT32" s="18">
        <f t="shared" si="12"/>
        <v>3097.5</v>
      </c>
      <c r="DU32" s="2"/>
      <c r="DV32" s="2">
        <f t="shared" si="13"/>
        <v>0</v>
      </c>
      <c r="DW32" s="2"/>
      <c r="DX32" s="2"/>
      <c r="DY32" s="2"/>
      <c r="DZ32" s="2" t="s">
        <v>3</v>
      </c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 t="s">
        <v>3</v>
      </c>
      <c r="FR32" s="2" t="s">
        <v>37</v>
      </c>
      <c r="FS32" s="2" t="s">
        <v>106</v>
      </c>
      <c r="FT32" s="2" t="s">
        <v>106</v>
      </c>
      <c r="FU32" s="2"/>
      <c r="FV32" s="2" t="s">
        <v>3</v>
      </c>
    </row>
    <row r="33" spans="1:178" ht="15.75" customHeight="1" x14ac:dyDescent="0.2">
      <c r="A33" s="14" t="s">
        <v>96</v>
      </c>
      <c r="B33" s="24" t="s">
        <v>202</v>
      </c>
      <c r="C33" s="16" t="s">
        <v>203</v>
      </c>
      <c r="D33" s="2"/>
      <c r="E33" s="2"/>
      <c r="F33" s="2"/>
      <c r="G33" s="2"/>
      <c r="H33" s="2" t="s">
        <v>79</v>
      </c>
      <c r="I33" s="2"/>
      <c r="J33" s="2"/>
      <c r="K33" s="2">
        <v>0</v>
      </c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>
        <v>0</v>
      </c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>
        <v>3.8</v>
      </c>
      <c r="BB33" s="2">
        <v>0.81</v>
      </c>
      <c r="BC33" s="2"/>
      <c r="BD33" s="2"/>
      <c r="BE33" s="2"/>
      <c r="BF33" s="2"/>
      <c r="BG33" s="2"/>
      <c r="BH33" s="2"/>
      <c r="BI33" s="2">
        <v>1.03</v>
      </c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14" t="s">
        <v>100</v>
      </c>
      <c r="DM33" s="2"/>
      <c r="DN33" s="2">
        <f t="shared" si="8"/>
        <v>1.03</v>
      </c>
      <c r="DO33" s="2">
        <f t="shared" si="9"/>
        <v>0</v>
      </c>
      <c r="DP33" s="2" t="s">
        <v>204</v>
      </c>
      <c r="DQ33" s="2" t="s">
        <v>3</v>
      </c>
      <c r="DR33" s="2">
        <f t="shared" si="10"/>
        <v>3.8</v>
      </c>
      <c r="DS33" s="2">
        <f t="shared" si="11"/>
        <v>1.03</v>
      </c>
      <c r="DT33" s="15">
        <f t="shared" si="12"/>
        <v>39.14</v>
      </c>
      <c r="DU33" s="2"/>
      <c r="DV33" s="2">
        <f t="shared" si="13"/>
        <v>0</v>
      </c>
      <c r="DW33" s="2"/>
      <c r="DX33" s="2"/>
      <c r="DY33" s="2"/>
      <c r="DZ33" s="2" t="s">
        <v>3</v>
      </c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 t="s">
        <v>3</v>
      </c>
      <c r="FR33" s="2" t="s">
        <v>89</v>
      </c>
      <c r="FS33" s="2" t="s">
        <v>123</v>
      </c>
      <c r="FT33" s="2" t="s">
        <v>205</v>
      </c>
      <c r="FU33" s="2"/>
      <c r="FV33" s="2" t="s">
        <v>3</v>
      </c>
    </row>
    <row r="34" spans="1:178" ht="15.75" customHeight="1" x14ac:dyDescent="0.2">
      <c r="A34" s="12" t="s">
        <v>74</v>
      </c>
      <c r="B34" s="2" t="s">
        <v>206</v>
      </c>
      <c r="C34" s="13" t="s">
        <v>207</v>
      </c>
      <c r="D34" s="2" t="s">
        <v>99</v>
      </c>
      <c r="E34" s="2"/>
      <c r="F34" s="2"/>
      <c r="G34" s="2"/>
      <c r="H34" s="2" t="s">
        <v>79</v>
      </c>
      <c r="I34" s="2"/>
      <c r="J34" s="2"/>
      <c r="K34" s="2">
        <v>0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>
        <v>0</v>
      </c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>
        <v>40</v>
      </c>
      <c r="BB34" s="2"/>
      <c r="BC34" s="2"/>
      <c r="BD34" s="2"/>
      <c r="BE34" s="2"/>
      <c r="BF34" s="2"/>
      <c r="BG34" s="2"/>
      <c r="BH34" s="2"/>
      <c r="BI34" s="2">
        <v>1.35</v>
      </c>
      <c r="BJ34" s="2">
        <v>0.04</v>
      </c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>
        <v>0</v>
      </c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>
        <v>0</v>
      </c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14" t="s">
        <v>100</v>
      </c>
      <c r="DM34" s="2" t="s">
        <v>100</v>
      </c>
      <c r="DN34" s="2">
        <f t="shared" si="8"/>
        <v>1.35</v>
      </c>
      <c r="DO34" s="2">
        <f t="shared" si="9"/>
        <v>0.04</v>
      </c>
      <c r="DP34" s="2" t="s">
        <v>113</v>
      </c>
      <c r="DQ34" s="2" t="s">
        <v>3</v>
      </c>
      <c r="DR34" s="2">
        <f t="shared" si="10"/>
        <v>40</v>
      </c>
      <c r="DS34" s="2">
        <f t="shared" si="11"/>
        <v>1.35</v>
      </c>
      <c r="DT34" s="15">
        <f t="shared" si="12"/>
        <v>540</v>
      </c>
      <c r="DU34" s="2"/>
      <c r="DV34" s="2">
        <f t="shared" si="13"/>
        <v>0</v>
      </c>
      <c r="DW34" s="2"/>
      <c r="DX34" s="2"/>
      <c r="DY34" s="2"/>
      <c r="DZ34" s="2" t="s">
        <v>3</v>
      </c>
      <c r="EA34" s="2" t="s">
        <v>206</v>
      </c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 t="s">
        <v>206</v>
      </c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 t="s">
        <v>206</v>
      </c>
      <c r="FQ34" s="2" t="s">
        <v>3</v>
      </c>
      <c r="FR34" s="2" t="s">
        <v>37</v>
      </c>
      <c r="FS34" s="2" t="s">
        <v>208</v>
      </c>
      <c r="FT34" s="2" t="s">
        <v>208</v>
      </c>
      <c r="FU34" s="2"/>
      <c r="FV34" s="2" t="s">
        <v>3</v>
      </c>
    </row>
    <row r="35" spans="1:178" ht="15.75" customHeight="1" x14ac:dyDescent="0.2">
      <c r="A35" s="14" t="s">
        <v>143</v>
      </c>
      <c r="B35" s="2" t="s">
        <v>85</v>
      </c>
      <c r="C35" s="16" t="s">
        <v>209</v>
      </c>
      <c r="D35" s="2"/>
      <c r="E35" s="2"/>
      <c r="F35" s="2"/>
      <c r="G35" s="2"/>
      <c r="H35" s="2" t="s">
        <v>210</v>
      </c>
      <c r="I35" s="2"/>
      <c r="J35" s="2"/>
      <c r="K35" s="2">
        <v>6.6980000000000004</v>
      </c>
      <c r="L35" s="4">
        <v>8.8627284768528908E-2</v>
      </c>
      <c r="M35" s="4">
        <v>0.23825999999999997</v>
      </c>
      <c r="N35" s="2"/>
      <c r="O35" s="2"/>
      <c r="P35" s="2"/>
      <c r="Q35" s="2"/>
      <c r="R35" s="2"/>
      <c r="S35" s="4">
        <v>0.2156295867868934</v>
      </c>
      <c r="T35" s="2"/>
      <c r="U35" s="4">
        <v>4.0566899999999997</v>
      </c>
      <c r="V35" s="4">
        <v>1.6866300000000001</v>
      </c>
      <c r="W35" s="4">
        <v>0.28841999999999995</v>
      </c>
      <c r="X35" s="2"/>
      <c r="Y35" s="2"/>
      <c r="Z35" s="2"/>
      <c r="AA35" s="2"/>
      <c r="AB35" s="2"/>
      <c r="AC35" s="2"/>
      <c r="AD35" s="2"/>
      <c r="AE35" s="2"/>
      <c r="AF35" s="2">
        <v>50.986999999999995</v>
      </c>
      <c r="AG35" s="4">
        <v>4.147684110533801E-2</v>
      </c>
      <c r="AH35" s="4">
        <v>9.3933818424304247E-2</v>
      </c>
      <c r="AI35" s="2"/>
      <c r="AJ35" s="2"/>
      <c r="AK35" s="2"/>
      <c r="AL35" s="2"/>
      <c r="AM35" s="2"/>
      <c r="AN35" s="4">
        <v>0.14903304313763949</v>
      </c>
      <c r="AO35" s="2"/>
      <c r="AP35" s="4">
        <v>3.1791663369094088</v>
      </c>
      <c r="AQ35" s="4">
        <v>1.4525827289309041</v>
      </c>
      <c r="AR35" s="4">
        <v>0.41587007590170044</v>
      </c>
      <c r="AS35" s="2"/>
      <c r="AT35" s="2"/>
      <c r="AU35" s="2"/>
      <c r="AV35" s="2"/>
      <c r="AW35" s="2"/>
      <c r="AX35" s="2"/>
      <c r="AY35" s="2"/>
      <c r="AZ35" s="2"/>
      <c r="BA35" s="2">
        <v>21.32</v>
      </c>
      <c r="BB35" s="4">
        <v>5.6084803663925431E-2</v>
      </c>
      <c r="BC35" s="4">
        <v>0.12568529080675425</v>
      </c>
      <c r="BD35" s="2"/>
      <c r="BE35" s="2"/>
      <c r="BF35" s="2"/>
      <c r="BG35" s="2"/>
      <c r="BH35" s="2"/>
      <c r="BI35" s="4">
        <v>0.15620543421284055</v>
      </c>
      <c r="BJ35" s="2"/>
      <c r="BK35" s="4">
        <v>3.1799967016885553</v>
      </c>
      <c r="BL35" s="4">
        <v>1.4082384803001877</v>
      </c>
      <c r="BM35" s="4">
        <v>0.35106618386491556</v>
      </c>
      <c r="BN35" s="4"/>
      <c r="BO35" s="4"/>
      <c r="BP35" s="2"/>
      <c r="BQ35" s="2"/>
      <c r="BR35" s="2"/>
      <c r="BS35" s="2"/>
      <c r="BT35" s="2"/>
      <c r="BU35" s="2"/>
      <c r="BV35" s="2">
        <v>7.0519999999999996</v>
      </c>
      <c r="BW35" s="4">
        <v>8.8627284768528908E-2</v>
      </c>
      <c r="BX35" s="4">
        <v>0.19303999999999999</v>
      </c>
      <c r="BY35" s="2"/>
      <c r="BZ35" s="2"/>
      <c r="CA35" s="2"/>
      <c r="CB35" s="2"/>
      <c r="CC35" s="2"/>
      <c r="CD35" s="4">
        <v>0.2156295867868934</v>
      </c>
      <c r="CE35" s="2"/>
      <c r="CF35" s="4">
        <v>3.2867600000000001</v>
      </c>
      <c r="CG35" s="4">
        <v>1.36652</v>
      </c>
      <c r="CH35" s="4">
        <v>0.23368</v>
      </c>
      <c r="CI35" s="4"/>
      <c r="CJ35" s="4"/>
      <c r="CK35" s="2"/>
      <c r="CL35" s="2"/>
      <c r="CM35" s="2"/>
      <c r="CN35" s="2"/>
      <c r="CO35" s="2"/>
      <c r="CP35" s="2"/>
      <c r="CQ35" s="2">
        <v>54.070000000000007</v>
      </c>
      <c r="CR35" s="4">
        <v>4.1291636725162659E-2</v>
      </c>
      <c r="CS35" s="4">
        <v>7.5481501756981678E-2</v>
      </c>
      <c r="CT35" s="2"/>
      <c r="CU35" s="2"/>
      <c r="CV35" s="2"/>
      <c r="CW35" s="2"/>
      <c r="CX35" s="2"/>
      <c r="CY35" s="4">
        <v>0.1487714555335761</v>
      </c>
      <c r="CZ35" s="2"/>
      <c r="DA35" s="4">
        <v>2.5560471499907522</v>
      </c>
      <c r="DB35" s="4">
        <v>1.1679334270390234</v>
      </c>
      <c r="DC35" s="4">
        <v>0.33444352136119837</v>
      </c>
      <c r="DD35" s="4"/>
      <c r="DE35" s="4"/>
      <c r="DF35" s="2"/>
      <c r="DG35" s="2"/>
      <c r="DH35" s="2"/>
      <c r="DI35" s="2"/>
      <c r="DJ35" s="2"/>
      <c r="DK35" s="2"/>
      <c r="DL35" s="14" t="s">
        <v>81</v>
      </c>
      <c r="DM35" s="2"/>
      <c r="DN35" s="2">
        <f t="shared" si="8"/>
        <v>0.15661457629485723</v>
      </c>
      <c r="DO35" s="2">
        <f t="shared" si="9"/>
        <v>0</v>
      </c>
      <c r="DP35" s="2" t="s">
        <v>211</v>
      </c>
      <c r="DQ35" s="2" t="s">
        <v>3</v>
      </c>
      <c r="DR35" s="4">
        <f t="shared" si="10"/>
        <v>79.004999999999995</v>
      </c>
      <c r="DS35" s="4">
        <f t="shared" si="11"/>
        <v>0.15661457629485723</v>
      </c>
      <c r="DT35" s="15">
        <f t="shared" si="12"/>
        <v>123.73334600175195</v>
      </c>
      <c r="DU35" s="2"/>
      <c r="DV35" s="2">
        <f t="shared" si="13"/>
        <v>61.122000000000007</v>
      </c>
      <c r="DW35" s="4">
        <f>(BV35*CD35+CQ35*CY35)/DV35</f>
        <v>0.15648526629890436</v>
      </c>
      <c r="DX35" s="15">
        <f>1000*DV35*DW35/100</f>
        <v>95.646924467216337</v>
      </c>
      <c r="DY35" s="2"/>
      <c r="DZ35" s="2" t="s">
        <v>3</v>
      </c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 t="s">
        <v>3</v>
      </c>
      <c r="FR35" s="2" t="s">
        <v>89</v>
      </c>
      <c r="FS35" s="2" t="s">
        <v>90</v>
      </c>
      <c r="FT35" s="2" t="s">
        <v>91</v>
      </c>
      <c r="FU35" s="2" t="s">
        <v>92</v>
      </c>
      <c r="FV35" s="2" t="s">
        <v>3</v>
      </c>
    </row>
    <row r="36" spans="1:178" ht="15.75" customHeight="1" x14ac:dyDescent="0.2">
      <c r="A36" s="14" t="s">
        <v>96</v>
      </c>
      <c r="B36" s="2" t="s">
        <v>164</v>
      </c>
      <c r="C36" s="21" t="s">
        <v>212</v>
      </c>
      <c r="D36" s="2" t="s">
        <v>99</v>
      </c>
      <c r="E36" s="2"/>
      <c r="F36" s="2"/>
      <c r="G36" s="2" t="s">
        <v>179</v>
      </c>
      <c r="H36" s="2" t="s">
        <v>213</v>
      </c>
      <c r="I36" s="2"/>
      <c r="J36" s="2" t="s">
        <v>181</v>
      </c>
      <c r="K36" s="2">
        <v>0</v>
      </c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>
        <v>0</v>
      </c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>
        <v>1.0249999999999999</v>
      </c>
      <c r="BB36" s="2"/>
      <c r="BC36" s="2"/>
      <c r="BD36" s="2"/>
      <c r="BE36" s="2"/>
      <c r="BF36" s="2"/>
      <c r="BG36" s="2"/>
      <c r="BH36" s="2"/>
      <c r="BI36" s="2">
        <v>0.8</v>
      </c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>
        <v>0</v>
      </c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>
        <v>0</v>
      </c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14" t="s">
        <v>81</v>
      </c>
      <c r="DM36" s="2"/>
      <c r="DN36" s="2">
        <f t="shared" si="8"/>
        <v>0.8</v>
      </c>
      <c r="DO36" s="2">
        <f t="shared" si="9"/>
        <v>0</v>
      </c>
      <c r="DP36" s="2" t="s">
        <v>175</v>
      </c>
      <c r="DQ36" s="2" t="s">
        <v>3</v>
      </c>
      <c r="DR36" s="2">
        <f t="shared" si="10"/>
        <v>1.0249999999999999</v>
      </c>
      <c r="DS36" s="2">
        <f t="shared" si="11"/>
        <v>0.8</v>
      </c>
      <c r="DT36" s="15">
        <f t="shared" si="12"/>
        <v>8.1999999999999993</v>
      </c>
      <c r="DU36" s="2"/>
      <c r="DV36" s="2">
        <f t="shared" si="13"/>
        <v>0</v>
      </c>
      <c r="DW36" s="2"/>
      <c r="DX36" s="2"/>
      <c r="DY36" s="2"/>
      <c r="DZ36" s="2" t="s">
        <v>3</v>
      </c>
      <c r="EA36" s="2" t="s">
        <v>202</v>
      </c>
      <c r="EB36" s="3">
        <v>2239.34</v>
      </c>
      <c r="EC36" s="2" t="s">
        <v>176</v>
      </c>
      <c r="ED36" s="15">
        <v>699.64</v>
      </c>
      <c r="EE36" s="2" t="s">
        <v>176</v>
      </c>
      <c r="EF36" s="3">
        <v>6002.1167999999998</v>
      </c>
      <c r="EG36" s="2" t="s">
        <v>176</v>
      </c>
      <c r="EH36" s="3">
        <f>EF36-ED36</f>
        <v>5302.4767999999995</v>
      </c>
      <c r="EI36" s="2"/>
      <c r="EJ36" s="3">
        <f>SUM(EP36,EX36,FB36)</f>
        <v>4548.154324091216</v>
      </c>
      <c r="EK36" s="2"/>
      <c r="EL36" s="3">
        <f>EB36+FD36</f>
        <v>6787.4943240912162</v>
      </c>
      <c r="EM36" s="2" t="s">
        <v>202</v>
      </c>
      <c r="EN36" s="15">
        <f>SUM(DR294:DR308)</f>
        <v>1253.0149126829267</v>
      </c>
      <c r="EO36" s="4">
        <f>100*(EP36/1000)/EN36</f>
        <v>0.36297687106954002</v>
      </c>
      <c r="EP36" s="3">
        <f>SUM(DT294:DT308)</f>
        <v>4548.154324091216</v>
      </c>
      <c r="EQ36" s="2">
        <f>COUNT(DT294:DT308)</f>
        <v>15</v>
      </c>
      <c r="ER36" s="2" t="s">
        <v>176</v>
      </c>
      <c r="ES36" s="2" t="s">
        <v>176</v>
      </c>
      <c r="ET36" s="2" t="s">
        <v>176</v>
      </c>
      <c r="EU36" s="2" t="s">
        <v>176</v>
      </c>
      <c r="EV36" s="2" t="s">
        <v>176</v>
      </c>
      <c r="EW36" s="2" t="s">
        <v>176</v>
      </c>
      <c r="EX36" s="2" t="s">
        <v>176</v>
      </c>
      <c r="EY36" s="2" t="s">
        <v>176</v>
      </c>
      <c r="EZ36" s="2" t="s">
        <v>176</v>
      </c>
      <c r="FA36" s="2" t="s">
        <v>176</v>
      </c>
      <c r="FB36" s="2" t="s">
        <v>176</v>
      </c>
      <c r="FC36" s="2" t="s">
        <v>176</v>
      </c>
      <c r="FD36" s="3">
        <f t="shared" ref="FD36:FD37" si="17">SUM(EP36,ET36,EX36,FB36)</f>
        <v>4548.154324091216</v>
      </c>
      <c r="FE36" s="15">
        <f>SUM(DV294:DV308)</f>
        <v>316.59439536585376</v>
      </c>
      <c r="FF36" s="4">
        <f>100*(FG36/1000)/FE36</f>
        <v>0.12784967201013614</v>
      </c>
      <c r="FG36" s="15">
        <f>SUM(DX294:DX308)</f>
        <v>404.76489607771765</v>
      </c>
      <c r="FH36" s="2">
        <f>COUNT(DX294:DX308)</f>
        <v>3</v>
      </c>
      <c r="FI36" s="2" t="s">
        <v>176</v>
      </c>
      <c r="FJ36" s="2" t="s">
        <v>176</v>
      </c>
      <c r="FK36" s="2" t="s">
        <v>176</v>
      </c>
      <c r="FL36" s="2" t="s">
        <v>176</v>
      </c>
      <c r="FM36" s="2" t="s">
        <v>176</v>
      </c>
      <c r="FN36" s="2" t="s">
        <v>176</v>
      </c>
      <c r="FO36" s="15">
        <f>SUM(FG36,FK36,FM36,FN36)</f>
        <v>404.76489607771765</v>
      </c>
      <c r="FP36" s="2" t="s">
        <v>202</v>
      </c>
      <c r="FQ36" s="2" t="s">
        <v>3</v>
      </c>
      <c r="FR36" s="2" t="s">
        <v>183</v>
      </c>
      <c r="FS36" s="2"/>
      <c r="FT36" s="2"/>
      <c r="FU36" s="2"/>
      <c r="FV36" s="2" t="s">
        <v>3</v>
      </c>
    </row>
    <row r="37" spans="1:178" ht="15.75" customHeight="1" x14ac:dyDescent="0.2">
      <c r="A37" s="14" t="s">
        <v>74</v>
      </c>
      <c r="B37" s="2" t="s">
        <v>164</v>
      </c>
      <c r="C37" s="13" t="s">
        <v>214</v>
      </c>
      <c r="D37" s="2" t="s">
        <v>99</v>
      </c>
      <c r="E37" s="2"/>
      <c r="F37" s="2"/>
      <c r="G37" s="2" t="s">
        <v>78</v>
      </c>
      <c r="H37" s="2" t="s">
        <v>215</v>
      </c>
      <c r="I37" s="2"/>
      <c r="J37" s="2" t="s">
        <v>80</v>
      </c>
      <c r="K37" s="2">
        <v>0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4">
        <v>5.6740000000000004</v>
      </c>
      <c r="AG37" s="2"/>
      <c r="AH37" s="2"/>
      <c r="AI37" s="2"/>
      <c r="AJ37" s="2"/>
      <c r="AK37" s="2"/>
      <c r="AL37" s="2"/>
      <c r="AM37" s="2"/>
      <c r="AN37" s="2">
        <v>0.82</v>
      </c>
      <c r="AO37" s="2">
        <v>0.06</v>
      </c>
      <c r="AP37" s="2"/>
      <c r="AQ37" s="2"/>
      <c r="AR37" s="2"/>
      <c r="AS37" s="2"/>
      <c r="AT37" s="2"/>
      <c r="AU37" s="2"/>
      <c r="AV37" s="15">
        <f>26.3*(2*55.85/(2*55.85+3*16.001))</f>
        <v>18.394832908586565</v>
      </c>
      <c r="AW37" s="2"/>
      <c r="AX37" s="2"/>
      <c r="AY37" s="2"/>
      <c r="AZ37" s="2"/>
      <c r="BA37" s="4">
        <v>0.93300000000000005</v>
      </c>
      <c r="BB37" s="2"/>
      <c r="BC37" s="2"/>
      <c r="BD37" s="2"/>
      <c r="BE37" s="2"/>
      <c r="BF37" s="2"/>
      <c r="BG37" s="2"/>
      <c r="BH37" s="2"/>
      <c r="BI37" s="2">
        <v>0.77</v>
      </c>
      <c r="BJ37" s="2">
        <v>0.05</v>
      </c>
      <c r="BK37" s="2"/>
      <c r="BL37" s="2"/>
      <c r="BM37" s="2"/>
      <c r="BN37" s="2"/>
      <c r="BO37" s="2"/>
      <c r="BP37" s="2"/>
      <c r="BQ37" s="15">
        <f>24.7*(2*55.85/(2*55.85+3*16.001))</f>
        <v>17.27575562137217</v>
      </c>
      <c r="BR37" s="2"/>
      <c r="BS37" s="2"/>
      <c r="BT37" s="2"/>
      <c r="BU37" s="2"/>
      <c r="BV37" s="2">
        <v>0</v>
      </c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>
        <v>0</v>
      </c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14" t="s">
        <v>81</v>
      </c>
      <c r="DM37" s="2" t="s">
        <v>81</v>
      </c>
      <c r="DN37" s="2">
        <f t="shared" si="8"/>
        <v>0.81293930679582271</v>
      </c>
      <c r="DO37" s="2">
        <f t="shared" si="9"/>
        <v>5.8587861359164529E-2</v>
      </c>
      <c r="DP37" s="2" t="s">
        <v>82</v>
      </c>
      <c r="DQ37" s="2" t="s">
        <v>3</v>
      </c>
      <c r="DR37" s="4">
        <f t="shared" si="10"/>
        <v>6.6070000000000002</v>
      </c>
      <c r="DS37" s="4">
        <f t="shared" si="11"/>
        <v>0.81293930679582271</v>
      </c>
      <c r="DT37" s="15">
        <f t="shared" si="12"/>
        <v>53.710900000000009</v>
      </c>
      <c r="DU37" s="2"/>
      <c r="DV37" s="2">
        <f t="shared" si="13"/>
        <v>0</v>
      </c>
      <c r="DW37" s="2"/>
      <c r="DX37" s="2"/>
      <c r="DY37" s="2"/>
      <c r="DZ37" s="2" t="s">
        <v>3</v>
      </c>
      <c r="EA37" s="2" t="s">
        <v>216</v>
      </c>
      <c r="EB37" s="2" t="s">
        <v>176</v>
      </c>
      <c r="EC37" s="15">
        <v>46.8735</v>
      </c>
      <c r="ED37" s="2" t="s">
        <v>176</v>
      </c>
      <c r="EE37" s="15">
        <v>5.22</v>
      </c>
      <c r="EF37" s="2" t="s">
        <v>176</v>
      </c>
      <c r="EG37" s="3">
        <v>100.8</v>
      </c>
      <c r="EH37" s="2"/>
      <c r="EI37" s="3">
        <f>EG37-EE37</f>
        <v>95.58</v>
      </c>
      <c r="EJ37" s="2"/>
      <c r="EK37" s="15">
        <f>ET37</f>
        <v>20.646000000000001</v>
      </c>
      <c r="EL37" s="15">
        <f>EC37+FD37</f>
        <v>67.519499999999994</v>
      </c>
      <c r="EM37" s="2" t="s">
        <v>216</v>
      </c>
      <c r="EN37" s="2" t="s">
        <v>176</v>
      </c>
      <c r="EO37" s="2" t="s">
        <v>176</v>
      </c>
      <c r="EP37" s="2" t="s">
        <v>176</v>
      </c>
      <c r="EQ37" s="2" t="s">
        <v>176</v>
      </c>
      <c r="ER37" s="15">
        <f>DR447</f>
        <v>4.0199999999999996</v>
      </c>
      <c r="ES37" s="4">
        <f>100*(ET37/1000)/ER37</f>
        <v>0.51358208955223883</v>
      </c>
      <c r="ET37" s="15">
        <f>DT447</f>
        <v>20.646000000000001</v>
      </c>
      <c r="EU37" s="2">
        <f>COUNT(DT447)</f>
        <v>1</v>
      </c>
      <c r="EV37" s="2" t="s">
        <v>176</v>
      </c>
      <c r="EW37" s="2" t="s">
        <v>176</v>
      </c>
      <c r="EX37" s="2" t="s">
        <v>176</v>
      </c>
      <c r="EY37" s="2" t="s">
        <v>176</v>
      </c>
      <c r="EZ37" s="2" t="s">
        <v>176</v>
      </c>
      <c r="FA37" s="2" t="s">
        <v>176</v>
      </c>
      <c r="FB37" s="2" t="s">
        <v>176</v>
      </c>
      <c r="FC37" s="2" t="s">
        <v>176</v>
      </c>
      <c r="FD37" s="3">
        <f t="shared" si="17"/>
        <v>20.646000000000001</v>
      </c>
      <c r="FE37" s="2" t="s">
        <v>176</v>
      </c>
      <c r="FF37" s="2" t="s">
        <v>176</v>
      </c>
      <c r="FG37" s="2" t="s">
        <v>176</v>
      </c>
      <c r="FH37" s="2" t="s">
        <v>176</v>
      </c>
      <c r="FI37" s="2" t="s">
        <v>176</v>
      </c>
      <c r="FJ37" s="2" t="s">
        <v>176</v>
      </c>
      <c r="FK37" s="2" t="s">
        <v>176</v>
      </c>
      <c r="FL37" s="2" t="s">
        <v>176</v>
      </c>
      <c r="FM37" s="2" t="s">
        <v>176</v>
      </c>
      <c r="FN37" s="2" t="s">
        <v>176</v>
      </c>
      <c r="FO37" s="2" t="s">
        <v>176</v>
      </c>
      <c r="FP37" s="2" t="s">
        <v>216</v>
      </c>
      <c r="FQ37" s="2" t="s">
        <v>3</v>
      </c>
      <c r="FR37" s="2" t="s">
        <v>37</v>
      </c>
      <c r="FS37" s="2" t="s">
        <v>208</v>
      </c>
      <c r="FT37" s="2" t="s">
        <v>208</v>
      </c>
      <c r="FU37" s="2"/>
      <c r="FV37" s="2" t="s">
        <v>3</v>
      </c>
    </row>
    <row r="38" spans="1:178" ht="15.75" customHeight="1" x14ac:dyDescent="0.2">
      <c r="A38" s="12" t="s">
        <v>74</v>
      </c>
      <c r="B38" s="2" t="s">
        <v>115</v>
      </c>
      <c r="C38" s="13" t="s">
        <v>217</v>
      </c>
      <c r="D38" s="2" t="s">
        <v>109</v>
      </c>
      <c r="E38" s="2"/>
      <c r="F38" s="2"/>
      <c r="G38" s="2"/>
      <c r="H38" s="2" t="s">
        <v>218</v>
      </c>
      <c r="I38" s="2"/>
      <c r="J38" s="2"/>
      <c r="K38" s="2">
        <f>13.9+0.5</f>
        <v>14.4</v>
      </c>
      <c r="L38" s="2"/>
      <c r="M38" s="2"/>
      <c r="N38" s="2"/>
      <c r="O38" s="2"/>
      <c r="P38" s="2"/>
      <c r="Q38" s="2"/>
      <c r="R38" s="2"/>
      <c r="S38" s="4">
        <f>(1.42*13.9+1.18*0.5)/K38</f>
        <v>1.4116666666666666</v>
      </c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>
        <f>38.1+7.5+4</f>
        <v>49.6</v>
      </c>
      <c r="AG38" s="2"/>
      <c r="AH38" s="2"/>
      <c r="AI38" s="2"/>
      <c r="AJ38" s="2"/>
      <c r="AK38" s="2"/>
      <c r="AL38" s="2"/>
      <c r="AM38" s="2"/>
      <c r="AN38" s="4">
        <f>(1.27*38.1+1.11*7.5+1.21*4)/AF38</f>
        <v>1.2409677419354839</v>
      </c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>
        <f>9.2+8.3</f>
        <v>17.5</v>
      </c>
      <c r="BB38" s="2"/>
      <c r="BC38" s="2"/>
      <c r="BD38" s="2"/>
      <c r="BE38" s="2"/>
      <c r="BF38" s="2"/>
      <c r="BG38" s="2"/>
      <c r="BH38" s="2"/>
      <c r="BI38" s="4">
        <f>(1.34*9.2+1.19*8.3)/BA38</f>
        <v>1.2688571428571427</v>
      </c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>
        <v>13.9</v>
      </c>
      <c r="BW38" s="2"/>
      <c r="BX38" s="2"/>
      <c r="BY38" s="2"/>
      <c r="BZ38" s="2"/>
      <c r="CA38" s="2"/>
      <c r="CB38" s="2"/>
      <c r="CC38" s="2"/>
      <c r="CD38" s="2">
        <v>1.42</v>
      </c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>
        <v>38.1</v>
      </c>
      <c r="CR38" s="2"/>
      <c r="CS38" s="2"/>
      <c r="CT38" s="2"/>
      <c r="CU38" s="2"/>
      <c r="CV38" s="2"/>
      <c r="CW38" s="2"/>
      <c r="CX38" s="2"/>
      <c r="CY38" s="2">
        <v>1.27</v>
      </c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14" t="s">
        <v>81</v>
      </c>
      <c r="DM38" s="2"/>
      <c r="DN38" s="2">
        <f t="shared" si="8"/>
        <v>1.2771165644171778</v>
      </c>
      <c r="DO38" s="2">
        <f t="shared" si="9"/>
        <v>0</v>
      </c>
      <c r="DP38" s="2" t="s">
        <v>95</v>
      </c>
      <c r="DQ38" s="2" t="s">
        <v>3</v>
      </c>
      <c r="DR38" s="2">
        <f t="shared" si="10"/>
        <v>81.5</v>
      </c>
      <c r="DS38" s="4">
        <f t="shared" si="11"/>
        <v>1.2771165644171778</v>
      </c>
      <c r="DT38" s="18">
        <f t="shared" si="12"/>
        <v>1040.8499999999999</v>
      </c>
      <c r="DU38" s="2"/>
      <c r="DV38" s="2">
        <f t="shared" si="13"/>
        <v>52</v>
      </c>
      <c r="DW38" s="4">
        <f>(BV38*CD38+CQ38*CY38)/DV38</f>
        <v>1.3100961538461537</v>
      </c>
      <c r="DX38" s="15">
        <f>1000*DV38*DW38/100</f>
        <v>681.25</v>
      </c>
      <c r="DY38" s="2"/>
      <c r="DZ38" s="2" t="s">
        <v>3</v>
      </c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 t="s">
        <v>3</v>
      </c>
      <c r="FR38" s="2" t="s">
        <v>37</v>
      </c>
      <c r="FS38" s="2" t="s">
        <v>219</v>
      </c>
      <c r="FT38" s="2" t="s">
        <v>219</v>
      </c>
      <c r="FU38" s="2"/>
      <c r="FV38" s="2" t="s">
        <v>3</v>
      </c>
    </row>
    <row r="39" spans="1:178" ht="15.75" customHeight="1" x14ac:dyDescent="0.2">
      <c r="A39" s="14" t="s">
        <v>96</v>
      </c>
      <c r="B39" s="2" t="s">
        <v>189</v>
      </c>
      <c r="C39" s="16" t="s">
        <v>220</v>
      </c>
      <c r="D39" s="2" t="s">
        <v>99</v>
      </c>
      <c r="E39" s="44"/>
      <c r="F39" s="44"/>
      <c r="G39" s="2"/>
      <c r="H39" s="2" t="s">
        <v>79</v>
      </c>
      <c r="I39" s="2"/>
      <c r="J39" s="2"/>
      <c r="K39" s="2">
        <v>0</v>
      </c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>
        <v>0</v>
      </c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15">
        <f>10.2*0.9072</f>
        <v>9.2534399999999994</v>
      </c>
      <c r="BB39" s="2">
        <v>0.25</v>
      </c>
      <c r="BC39" s="2"/>
      <c r="BD39" s="2"/>
      <c r="BE39" s="2"/>
      <c r="BF39" s="2"/>
      <c r="BG39" s="2"/>
      <c r="BH39" s="2"/>
      <c r="BI39" s="2">
        <v>0.26</v>
      </c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>
        <v>0</v>
      </c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>
        <v>0</v>
      </c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14" t="s">
        <v>100</v>
      </c>
      <c r="DM39" s="2"/>
      <c r="DN39" s="2">
        <f t="shared" si="8"/>
        <v>0.26</v>
      </c>
      <c r="DO39" s="2">
        <f t="shared" si="9"/>
        <v>0</v>
      </c>
      <c r="DP39" s="2" t="s">
        <v>221</v>
      </c>
      <c r="DQ39" s="2" t="s">
        <v>3</v>
      </c>
      <c r="DR39" s="19">
        <f t="shared" si="10"/>
        <v>9.2534399999999994</v>
      </c>
      <c r="DS39" s="2">
        <f t="shared" si="11"/>
        <v>0.26</v>
      </c>
      <c r="DT39" s="15">
        <f t="shared" si="12"/>
        <v>24.058943999999997</v>
      </c>
      <c r="DU39" s="2"/>
      <c r="DV39" s="2">
        <f t="shared" si="13"/>
        <v>0</v>
      </c>
      <c r="DW39" s="2"/>
      <c r="DX39" s="2"/>
      <c r="DY39" s="2"/>
      <c r="DZ39" s="2" t="s">
        <v>3</v>
      </c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 t="s">
        <v>3</v>
      </c>
      <c r="FR39" s="2" t="s">
        <v>89</v>
      </c>
      <c r="FS39" s="2" t="s">
        <v>91</v>
      </c>
      <c r="FT39" s="2"/>
      <c r="FU39" s="2"/>
      <c r="FV39" s="2" t="s">
        <v>3</v>
      </c>
    </row>
    <row r="40" spans="1:178" ht="15.75" customHeight="1" x14ac:dyDescent="0.2">
      <c r="A40" s="14" t="s">
        <v>222</v>
      </c>
      <c r="B40" s="2" t="s">
        <v>85</v>
      </c>
      <c r="C40" s="16" t="s">
        <v>223</v>
      </c>
      <c r="D40" s="2"/>
      <c r="E40" s="2"/>
      <c r="F40" s="2"/>
      <c r="G40" s="2"/>
      <c r="H40" s="2" t="s">
        <v>224</v>
      </c>
      <c r="I40" s="2"/>
      <c r="J40" s="2"/>
      <c r="K40" s="2">
        <v>0</v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>
        <v>13.685</v>
      </c>
      <c r="AG40" s="4">
        <v>2.9148595329822911E-2</v>
      </c>
      <c r="AH40" s="2">
        <v>0.02</v>
      </c>
      <c r="AI40" s="2"/>
      <c r="AJ40" s="2"/>
      <c r="AK40" s="2"/>
      <c r="AL40" s="2"/>
      <c r="AM40" s="2"/>
      <c r="AN40" s="4">
        <v>0.11240231217618901</v>
      </c>
      <c r="AO40" s="2"/>
      <c r="AP40" s="2">
        <v>1.32</v>
      </c>
      <c r="AQ40" s="2">
        <v>0.59</v>
      </c>
      <c r="AR40" s="2">
        <v>0.24</v>
      </c>
      <c r="AS40" s="2"/>
      <c r="AT40" s="2"/>
      <c r="AU40" s="2"/>
      <c r="AV40" s="2"/>
      <c r="AW40" s="2"/>
      <c r="AX40" s="2"/>
      <c r="AY40" s="2"/>
      <c r="AZ40" s="2"/>
      <c r="BA40" s="2">
        <v>9.9450000000000003</v>
      </c>
      <c r="BB40" s="4">
        <v>2.9148595329822911E-2</v>
      </c>
      <c r="BC40" s="2">
        <v>0.03</v>
      </c>
      <c r="BD40" s="2"/>
      <c r="BE40" s="2"/>
      <c r="BF40" s="2"/>
      <c r="BG40" s="2"/>
      <c r="BH40" s="2"/>
      <c r="BI40" s="4">
        <v>0.11240231217618901</v>
      </c>
      <c r="BJ40" s="2"/>
      <c r="BK40" s="2">
        <v>2.36</v>
      </c>
      <c r="BL40" s="2">
        <v>0.98</v>
      </c>
      <c r="BM40" s="2">
        <v>0.38</v>
      </c>
      <c r="BN40" s="2"/>
      <c r="BO40" s="2"/>
      <c r="BP40" s="2"/>
      <c r="BQ40" s="2"/>
      <c r="BR40" s="2"/>
      <c r="BS40" s="2"/>
      <c r="BT40" s="2"/>
      <c r="BU40" s="2"/>
      <c r="BV40" s="2">
        <v>0</v>
      </c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>
        <v>0</v>
      </c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14" t="s">
        <v>81</v>
      </c>
      <c r="DM40" s="2"/>
      <c r="DN40" s="2">
        <f t="shared" si="8"/>
        <v>0.11240231217618898</v>
      </c>
      <c r="DO40" s="2">
        <f t="shared" si="9"/>
        <v>0</v>
      </c>
      <c r="DP40" s="2" t="s">
        <v>225</v>
      </c>
      <c r="DQ40" s="2" t="s">
        <v>3</v>
      </c>
      <c r="DR40" s="2">
        <f t="shared" si="10"/>
        <v>23.630000000000003</v>
      </c>
      <c r="DS40" s="4">
        <f t="shared" si="11"/>
        <v>0.11240231217618898</v>
      </c>
      <c r="DT40" s="15">
        <f t="shared" si="12"/>
        <v>26.560666367233463</v>
      </c>
      <c r="DU40" s="2"/>
      <c r="DV40" s="2">
        <f t="shared" si="13"/>
        <v>0</v>
      </c>
      <c r="DW40" s="2"/>
      <c r="DX40" s="2"/>
      <c r="DY40" s="2"/>
      <c r="DZ40" s="2" t="s">
        <v>3</v>
      </c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 t="s">
        <v>3</v>
      </c>
      <c r="FR40" s="2" t="s">
        <v>89</v>
      </c>
      <c r="FS40" s="2" t="s">
        <v>90</v>
      </c>
      <c r="FT40" s="2" t="s">
        <v>91</v>
      </c>
      <c r="FU40" s="2" t="s">
        <v>226</v>
      </c>
      <c r="FV40" s="2" t="s">
        <v>3</v>
      </c>
    </row>
    <row r="41" spans="1:178" ht="15.75" customHeight="1" x14ac:dyDescent="0.2">
      <c r="A41" s="12" t="s">
        <v>74</v>
      </c>
      <c r="B41" s="2" t="s">
        <v>75</v>
      </c>
      <c r="C41" s="13" t="s">
        <v>227</v>
      </c>
      <c r="D41" s="2" t="s">
        <v>109</v>
      </c>
      <c r="E41" s="2"/>
      <c r="F41" s="2"/>
      <c r="G41" s="2" t="s">
        <v>78</v>
      </c>
      <c r="H41" s="2" t="s">
        <v>228</v>
      </c>
      <c r="I41" s="2"/>
      <c r="J41" s="2" t="s">
        <v>141</v>
      </c>
      <c r="K41" s="2">
        <v>0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>
        <v>0</v>
      </c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>
        <v>9.1300000000000008</v>
      </c>
      <c r="BB41" s="2"/>
      <c r="BC41" s="2"/>
      <c r="BD41" s="2"/>
      <c r="BE41" s="2"/>
      <c r="BF41" s="2"/>
      <c r="BG41" s="2"/>
      <c r="BH41" s="2"/>
      <c r="BI41" s="2">
        <v>1.55</v>
      </c>
      <c r="BJ41" s="2">
        <v>0.08</v>
      </c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>
        <v>0</v>
      </c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>
        <v>0</v>
      </c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14" t="s">
        <v>81</v>
      </c>
      <c r="DM41" s="2"/>
      <c r="DN41" s="2">
        <f t="shared" si="8"/>
        <v>1.55</v>
      </c>
      <c r="DO41" s="2">
        <f t="shared" si="9"/>
        <v>0.08</v>
      </c>
      <c r="DP41" s="2" t="s">
        <v>82</v>
      </c>
      <c r="DQ41" s="2" t="s">
        <v>3</v>
      </c>
      <c r="DR41" s="2">
        <f t="shared" si="10"/>
        <v>9.1300000000000008</v>
      </c>
      <c r="DS41" s="4">
        <f t="shared" si="11"/>
        <v>1.55</v>
      </c>
      <c r="DT41" s="15">
        <f t="shared" si="12"/>
        <v>141.51499999999999</v>
      </c>
      <c r="DU41" s="2"/>
      <c r="DV41" s="2">
        <f t="shared" si="13"/>
        <v>0</v>
      </c>
      <c r="DW41" s="2"/>
      <c r="DX41" s="2"/>
      <c r="DY41" s="2"/>
      <c r="DZ41" s="2" t="s">
        <v>3</v>
      </c>
      <c r="EA41" s="2" t="s">
        <v>75</v>
      </c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 t="s">
        <v>75</v>
      </c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 t="s">
        <v>75</v>
      </c>
      <c r="FQ41" s="2" t="s">
        <v>3</v>
      </c>
      <c r="FR41" s="2" t="s">
        <v>37</v>
      </c>
      <c r="FS41" s="2" t="s">
        <v>229</v>
      </c>
      <c r="FT41" s="2" t="s">
        <v>106</v>
      </c>
      <c r="FU41" s="2"/>
      <c r="FV41" s="2" t="s">
        <v>3</v>
      </c>
    </row>
    <row r="42" spans="1:178" ht="15.75" customHeight="1" x14ac:dyDescent="0.2">
      <c r="A42" s="12" t="s">
        <v>74</v>
      </c>
      <c r="B42" s="2" t="s">
        <v>230</v>
      </c>
      <c r="C42" s="13" t="s">
        <v>231</v>
      </c>
      <c r="D42" s="2" t="s">
        <v>99</v>
      </c>
      <c r="E42" s="2"/>
      <c r="F42" s="2"/>
      <c r="G42" s="2"/>
      <c r="H42" s="2" t="s">
        <v>232</v>
      </c>
      <c r="I42" s="2"/>
      <c r="J42" s="2"/>
      <c r="K42" s="2">
        <v>0</v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>
        <v>0</v>
      </c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>
        <v>63.9</v>
      </c>
      <c r="BB42" s="2"/>
      <c r="BC42" s="2"/>
      <c r="BD42" s="2"/>
      <c r="BE42" s="2"/>
      <c r="BF42" s="2"/>
      <c r="BG42" s="2"/>
      <c r="BH42" s="2"/>
      <c r="BI42" s="2" t="s">
        <v>233</v>
      </c>
      <c r="BJ42" s="2" t="s">
        <v>234</v>
      </c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>
        <v>0</v>
      </c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>
        <v>0</v>
      </c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14" t="s">
        <v>100</v>
      </c>
      <c r="DM42" s="2" t="s">
        <v>100</v>
      </c>
      <c r="DN42" s="2">
        <f t="shared" si="8"/>
        <v>1.03</v>
      </c>
      <c r="DO42" s="2">
        <f t="shared" si="9"/>
        <v>0.15</v>
      </c>
      <c r="DP42" s="2" t="s">
        <v>113</v>
      </c>
      <c r="DQ42" s="2" t="s">
        <v>3</v>
      </c>
      <c r="DR42" s="2">
        <f t="shared" si="10"/>
        <v>63.9</v>
      </c>
      <c r="DS42" s="2">
        <f t="shared" si="11"/>
        <v>1.03</v>
      </c>
      <c r="DT42" s="15">
        <f t="shared" si="12"/>
        <v>658.17</v>
      </c>
      <c r="DU42" s="2"/>
      <c r="DV42" s="2">
        <f t="shared" si="13"/>
        <v>0</v>
      </c>
      <c r="DW42" s="2"/>
      <c r="DX42" s="2"/>
      <c r="DY42" s="2"/>
      <c r="DZ42" s="2" t="s">
        <v>3</v>
      </c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 t="s">
        <v>3</v>
      </c>
      <c r="FR42" s="2" t="s">
        <v>37</v>
      </c>
      <c r="FS42" s="2" t="s">
        <v>235</v>
      </c>
      <c r="FT42" s="2" t="s">
        <v>235</v>
      </c>
      <c r="FU42" s="2"/>
      <c r="FV42" s="2" t="s">
        <v>3</v>
      </c>
    </row>
    <row r="43" spans="1:178" ht="15.75" customHeight="1" x14ac:dyDescent="0.2">
      <c r="A43" s="14" t="s">
        <v>96</v>
      </c>
      <c r="B43" s="2" t="s">
        <v>236</v>
      </c>
      <c r="C43" s="16" t="s">
        <v>237</v>
      </c>
      <c r="D43" s="2" t="s">
        <v>238</v>
      </c>
      <c r="E43" s="2"/>
      <c r="F43" s="2"/>
      <c r="G43" s="2"/>
      <c r="H43" s="2" t="s">
        <v>239</v>
      </c>
      <c r="I43" s="2"/>
      <c r="J43" s="2"/>
      <c r="K43" s="2">
        <v>3.55</v>
      </c>
      <c r="L43" s="2"/>
      <c r="M43" s="2"/>
      <c r="N43" s="2"/>
      <c r="O43" s="2"/>
      <c r="P43" s="2"/>
      <c r="Q43" s="2"/>
      <c r="R43" s="2"/>
      <c r="S43" s="2">
        <v>0.96</v>
      </c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>
        <v>37.627000000000002</v>
      </c>
      <c r="AG43" s="2"/>
      <c r="AH43" s="2"/>
      <c r="AI43" s="2"/>
      <c r="AJ43" s="2"/>
      <c r="AK43" s="2"/>
      <c r="AL43" s="2"/>
      <c r="AM43" s="2"/>
      <c r="AN43" s="2">
        <v>0.56999999999999995</v>
      </c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>
        <v>10.55</v>
      </c>
      <c r="BB43" s="2"/>
      <c r="BC43" s="2"/>
      <c r="BD43" s="2"/>
      <c r="BE43" s="2"/>
      <c r="BF43" s="2"/>
      <c r="BG43" s="2"/>
      <c r="BH43" s="2"/>
      <c r="BI43" s="2">
        <v>0.62</v>
      </c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>
        <v>1.72</v>
      </c>
      <c r="BW43" s="2"/>
      <c r="BX43" s="2"/>
      <c r="BY43" s="2"/>
      <c r="BZ43" s="2"/>
      <c r="CA43" s="2"/>
      <c r="CB43" s="2"/>
      <c r="CC43" s="2"/>
      <c r="CD43" s="2">
        <v>1.07</v>
      </c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>
        <v>0.69</v>
      </c>
      <c r="CR43" s="2">
        <v>1.08</v>
      </c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14" t="s">
        <v>81</v>
      </c>
      <c r="DM43" s="2"/>
      <c r="DN43" s="2">
        <f t="shared" si="8"/>
        <v>0.60696328803139554</v>
      </c>
      <c r="DO43" s="2">
        <f t="shared" si="9"/>
        <v>0</v>
      </c>
      <c r="DP43" s="2" t="s">
        <v>225</v>
      </c>
      <c r="DQ43" s="2" t="s">
        <v>3</v>
      </c>
      <c r="DR43" s="4">
        <f t="shared" si="10"/>
        <v>51.727000000000004</v>
      </c>
      <c r="DS43" s="4">
        <f t="shared" si="11"/>
        <v>0.60696328803139554</v>
      </c>
      <c r="DT43" s="15">
        <f t="shared" si="12"/>
        <v>313.96390000000002</v>
      </c>
      <c r="DU43" s="2"/>
      <c r="DV43" s="2">
        <f t="shared" si="13"/>
        <v>2.41</v>
      </c>
      <c r="DW43" s="4">
        <f>(BV43*CD43+CQ43*CY43)/DV43</f>
        <v>0.76365145228215769</v>
      </c>
      <c r="DX43" s="15">
        <f>1000*DV43*DW43/100</f>
        <v>18.404</v>
      </c>
      <c r="DY43" s="2"/>
      <c r="DZ43" s="2" t="s">
        <v>3</v>
      </c>
      <c r="EA43" s="2" t="s">
        <v>236</v>
      </c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 t="s">
        <v>236</v>
      </c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 t="s">
        <v>236</v>
      </c>
      <c r="FQ43" s="2" t="s">
        <v>3</v>
      </c>
      <c r="FR43" s="2" t="s">
        <v>89</v>
      </c>
      <c r="FS43" s="2" t="s">
        <v>137</v>
      </c>
      <c r="FT43" s="2"/>
      <c r="FU43" s="2"/>
      <c r="FV43" s="2" t="s">
        <v>3</v>
      </c>
    </row>
    <row r="44" spans="1:178" ht="15.75" customHeight="1" x14ac:dyDescent="0.2">
      <c r="A44" s="14" t="s">
        <v>74</v>
      </c>
      <c r="B44" s="2" t="s">
        <v>164</v>
      </c>
      <c r="C44" s="13" t="s">
        <v>240</v>
      </c>
      <c r="D44" s="2" t="s">
        <v>99</v>
      </c>
      <c r="E44" s="2"/>
      <c r="F44" s="2"/>
      <c r="G44" s="2" t="s">
        <v>78</v>
      </c>
      <c r="H44" s="2" t="s">
        <v>241</v>
      </c>
      <c r="I44" s="2"/>
      <c r="J44" s="2" t="s">
        <v>242</v>
      </c>
      <c r="K44" s="2">
        <v>0</v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>
        <v>0</v>
      </c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>
        <v>2.8</v>
      </c>
      <c r="BB44" s="2"/>
      <c r="BC44" s="2"/>
      <c r="BD44" s="2"/>
      <c r="BE44" s="2"/>
      <c r="BF44" s="2"/>
      <c r="BG44" s="2"/>
      <c r="BH44" s="2"/>
      <c r="BI44" s="2">
        <v>0.91</v>
      </c>
      <c r="BJ44" s="2">
        <v>0.09</v>
      </c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>
        <v>0</v>
      </c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>
        <v>0</v>
      </c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14" t="s">
        <v>81</v>
      </c>
      <c r="DM44" s="2" t="s">
        <v>81</v>
      </c>
      <c r="DN44" s="2">
        <f t="shared" si="8"/>
        <v>0.91</v>
      </c>
      <c r="DO44" s="2">
        <f t="shared" si="9"/>
        <v>9.0000000000000011E-2</v>
      </c>
      <c r="DP44" s="2" t="s">
        <v>175</v>
      </c>
      <c r="DQ44" s="2" t="s">
        <v>3</v>
      </c>
      <c r="DR44" s="2">
        <f t="shared" si="10"/>
        <v>2.8</v>
      </c>
      <c r="DS44" s="2">
        <f t="shared" si="11"/>
        <v>0.91</v>
      </c>
      <c r="DT44" s="15">
        <f t="shared" si="12"/>
        <v>25.48</v>
      </c>
      <c r="DU44" s="2"/>
      <c r="DV44" s="2">
        <f t="shared" si="13"/>
        <v>0</v>
      </c>
      <c r="DW44" s="2"/>
      <c r="DX44" s="2"/>
      <c r="DY44" s="2"/>
      <c r="DZ44" s="2" t="s">
        <v>3</v>
      </c>
      <c r="EA44" s="2" t="s">
        <v>243</v>
      </c>
      <c r="EB44" s="2" t="s">
        <v>176</v>
      </c>
      <c r="EC44" s="2" t="s">
        <v>176</v>
      </c>
      <c r="ED44" s="2" t="s">
        <v>176</v>
      </c>
      <c r="EE44" s="2" t="s">
        <v>176</v>
      </c>
      <c r="EF44" s="2" t="s">
        <v>176</v>
      </c>
      <c r="EG44" s="3">
        <v>742.07198400000027</v>
      </c>
      <c r="EH44" s="2"/>
      <c r="EI44" s="3">
        <v>742.07198400000027</v>
      </c>
      <c r="EJ44" s="2"/>
      <c r="EK44" s="15">
        <f>ET44</f>
        <v>2507.4970834999999</v>
      </c>
      <c r="EL44" s="15">
        <f>FD44</f>
        <v>2507.4970834999999</v>
      </c>
      <c r="EM44" s="2" t="s">
        <v>243</v>
      </c>
      <c r="EN44" s="2" t="s">
        <v>176</v>
      </c>
      <c r="EO44" s="2" t="s">
        <v>176</v>
      </c>
      <c r="EP44" s="2" t="s">
        <v>176</v>
      </c>
      <c r="EQ44" s="2" t="s">
        <v>176</v>
      </c>
      <c r="ER44" s="15">
        <f>SUM(DR454:DR457)</f>
        <v>392.42080499999997</v>
      </c>
      <c r="ES44" s="4">
        <f>100*(ET44/1000)/ER44</f>
        <v>0.63898168791025245</v>
      </c>
      <c r="ET44" s="15">
        <f>SUM(DT454:DT457)</f>
        <v>2507.4970834999999</v>
      </c>
      <c r="EU44" s="2">
        <f>COUNT(DT454:DT457)</f>
        <v>4</v>
      </c>
      <c r="EV44" s="2" t="s">
        <v>176</v>
      </c>
      <c r="EW44" s="2" t="s">
        <v>176</v>
      </c>
      <c r="EX44" s="2" t="s">
        <v>176</v>
      </c>
      <c r="EY44" s="2" t="s">
        <v>176</v>
      </c>
      <c r="EZ44" s="2" t="s">
        <v>176</v>
      </c>
      <c r="FA44" s="2" t="s">
        <v>176</v>
      </c>
      <c r="FB44" s="2" t="s">
        <v>176</v>
      </c>
      <c r="FC44" s="2" t="s">
        <v>176</v>
      </c>
      <c r="FD44" s="3">
        <f>SUM(EP44,ET44,EX44,FB44)</f>
        <v>2507.4970834999999</v>
      </c>
      <c r="FE44" s="2" t="s">
        <v>176</v>
      </c>
      <c r="FF44" s="2" t="s">
        <v>176</v>
      </c>
      <c r="FG44" s="2" t="s">
        <v>176</v>
      </c>
      <c r="FH44" s="2" t="s">
        <v>176</v>
      </c>
      <c r="FI44" s="2" t="s">
        <v>176</v>
      </c>
      <c r="FJ44" s="2" t="s">
        <v>176</v>
      </c>
      <c r="FK44" s="2" t="s">
        <v>176</v>
      </c>
      <c r="FL44" s="2" t="s">
        <v>176</v>
      </c>
      <c r="FM44" s="2" t="s">
        <v>176</v>
      </c>
      <c r="FN44" s="2" t="s">
        <v>176</v>
      </c>
      <c r="FO44" s="2" t="s">
        <v>176</v>
      </c>
      <c r="FP44" s="2" t="s">
        <v>243</v>
      </c>
      <c r="FQ44" s="2" t="s">
        <v>3</v>
      </c>
      <c r="FR44" s="2" t="s">
        <v>37</v>
      </c>
      <c r="FS44" s="2" t="s">
        <v>244</v>
      </c>
      <c r="FT44" s="2" t="s">
        <v>208</v>
      </c>
      <c r="FU44" s="2"/>
      <c r="FV44" s="2" t="s">
        <v>3</v>
      </c>
    </row>
    <row r="45" spans="1:178" ht="15.75" customHeight="1" x14ac:dyDescent="0.2">
      <c r="A45" s="14" t="s">
        <v>96</v>
      </c>
      <c r="B45" s="2" t="s">
        <v>189</v>
      </c>
      <c r="C45" s="16" t="s">
        <v>245</v>
      </c>
      <c r="D45" s="2" t="s">
        <v>99</v>
      </c>
      <c r="E45" s="45">
        <v>47.75</v>
      </c>
      <c r="F45" s="45">
        <v>-91.8</v>
      </c>
      <c r="G45" s="2"/>
      <c r="H45" s="2" t="s">
        <v>246</v>
      </c>
      <c r="I45" s="2"/>
      <c r="J45" s="2"/>
      <c r="K45" s="2">
        <v>0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>
        <v>90.4</v>
      </c>
      <c r="AG45" s="2">
        <v>0.52</v>
      </c>
      <c r="AH45" s="2"/>
      <c r="AI45" s="2"/>
      <c r="AJ45" s="2"/>
      <c r="AK45" s="2"/>
      <c r="AL45" s="2"/>
      <c r="AM45" s="2"/>
      <c r="AN45" s="2">
        <v>0.16</v>
      </c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15">
        <v>217</v>
      </c>
      <c r="BB45" s="2">
        <v>0.46</v>
      </c>
      <c r="BC45" s="2"/>
      <c r="BD45" s="2"/>
      <c r="BE45" s="2"/>
      <c r="BF45" s="2"/>
      <c r="BG45" s="2"/>
      <c r="BH45" s="2"/>
      <c r="BI45" s="2">
        <v>0.15</v>
      </c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>
        <v>0</v>
      </c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>
        <v>0</v>
      </c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14" t="s">
        <v>81</v>
      </c>
      <c r="DM45" s="2"/>
      <c r="DN45" s="2">
        <f t="shared" si="8"/>
        <v>0.15294079375406636</v>
      </c>
      <c r="DO45" s="2">
        <f t="shared" si="9"/>
        <v>0</v>
      </c>
      <c r="DP45" s="2" t="s">
        <v>211</v>
      </c>
      <c r="DQ45" s="2" t="s">
        <v>3</v>
      </c>
      <c r="DR45" s="15">
        <f t="shared" si="10"/>
        <v>307.39999999999998</v>
      </c>
      <c r="DS45" s="4">
        <f t="shared" si="11"/>
        <v>0.15294079375406636</v>
      </c>
      <c r="DT45" s="15">
        <f t="shared" si="12"/>
        <v>470.14</v>
      </c>
      <c r="DU45" s="2"/>
      <c r="DV45" s="2">
        <f t="shared" si="13"/>
        <v>0</v>
      </c>
      <c r="DW45" s="2"/>
      <c r="DX45" s="2"/>
      <c r="DY45" s="2"/>
      <c r="DZ45" s="2" t="s">
        <v>3</v>
      </c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 t="s">
        <v>3</v>
      </c>
      <c r="FR45" s="2" t="s">
        <v>89</v>
      </c>
      <c r="FS45" s="2" t="s">
        <v>123</v>
      </c>
      <c r="FT45" s="2" t="s">
        <v>192</v>
      </c>
      <c r="FU45" s="2"/>
      <c r="FV45" s="2" t="s">
        <v>3</v>
      </c>
    </row>
    <row r="46" spans="1:178" ht="15.75" customHeight="1" x14ac:dyDescent="0.2">
      <c r="A46" s="14" t="s">
        <v>74</v>
      </c>
      <c r="B46" s="2" t="s">
        <v>164</v>
      </c>
      <c r="C46" s="13" t="s">
        <v>247</v>
      </c>
      <c r="D46" s="2" t="s">
        <v>99</v>
      </c>
      <c r="E46" s="2"/>
      <c r="F46" s="2"/>
      <c r="G46" s="2" t="s">
        <v>78</v>
      </c>
      <c r="H46" s="2" t="s">
        <v>248</v>
      </c>
      <c r="I46" s="2"/>
      <c r="J46" s="2" t="s">
        <v>242</v>
      </c>
      <c r="K46" s="2">
        <v>0</v>
      </c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>
        <v>0</v>
      </c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>
        <v>30</v>
      </c>
      <c r="BB46" s="2"/>
      <c r="BC46" s="2"/>
      <c r="BD46" s="2"/>
      <c r="BE46" s="2"/>
      <c r="BF46" s="2"/>
      <c r="BG46" s="2"/>
      <c r="BH46" s="2"/>
      <c r="BI46" s="2">
        <v>0.64</v>
      </c>
      <c r="BJ46" s="2">
        <v>0.03</v>
      </c>
      <c r="BK46" s="2"/>
      <c r="BL46" s="2"/>
      <c r="BM46" s="2"/>
      <c r="BN46" s="2"/>
      <c r="BO46" s="2"/>
      <c r="BP46" s="2"/>
      <c r="BQ46" s="2">
        <v>12.98</v>
      </c>
      <c r="BR46" s="2"/>
      <c r="BS46" s="2"/>
      <c r="BT46" s="2"/>
      <c r="BU46" s="2"/>
      <c r="BV46" s="2">
        <v>0</v>
      </c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>
        <v>0</v>
      </c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14" t="s">
        <v>81</v>
      </c>
      <c r="DM46" s="2" t="s">
        <v>81</v>
      </c>
      <c r="DN46" s="2">
        <f t="shared" si="8"/>
        <v>0.64</v>
      </c>
      <c r="DO46" s="2">
        <f t="shared" si="9"/>
        <v>2.9999999999999995E-2</v>
      </c>
      <c r="DP46" s="2" t="s">
        <v>175</v>
      </c>
      <c r="DQ46" s="2" t="s">
        <v>3</v>
      </c>
      <c r="DR46" s="2">
        <f t="shared" si="10"/>
        <v>30</v>
      </c>
      <c r="DS46" s="2">
        <f t="shared" si="11"/>
        <v>0.64</v>
      </c>
      <c r="DT46" s="15">
        <f t="shared" si="12"/>
        <v>192</v>
      </c>
      <c r="DU46" s="2"/>
      <c r="DV46" s="2">
        <f t="shared" si="13"/>
        <v>0</v>
      </c>
      <c r="DW46" s="2"/>
      <c r="DX46" s="2"/>
      <c r="DY46" s="2"/>
      <c r="DZ46" s="2" t="s">
        <v>3</v>
      </c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 t="s">
        <v>3</v>
      </c>
      <c r="FR46" s="2" t="s">
        <v>37</v>
      </c>
      <c r="FS46" s="2" t="s">
        <v>114</v>
      </c>
      <c r="FT46" s="2" t="s">
        <v>114</v>
      </c>
      <c r="FU46" s="2"/>
      <c r="FV46" s="2" t="s">
        <v>3</v>
      </c>
    </row>
    <row r="47" spans="1:178" ht="15.75" customHeight="1" x14ac:dyDescent="0.2">
      <c r="A47" s="14" t="s">
        <v>96</v>
      </c>
      <c r="B47" s="2" t="s">
        <v>164</v>
      </c>
      <c r="C47" s="16" t="s">
        <v>249</v>
      </c>
      <c r="D47" s="2" t="s">
        <v>120</v>
      </c>
      <c r="E47" s="2"/>
      <c r="F47" s="2"/>
      <c r="G47" s="2" t="s">
        <v>179</v>
      </c>
      <c r="H47" s="2" t="s">
        <v>250</v>
      </c>
      <c r="I47" s="2"/>
      <c r="J47" s="2" t="s">
        <v>181</v>
      </c>
      <c r="K47" s="2">
        <v>0</v>
      </c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>
        <f>9.6+0.052</f>
        <v>9.6519999999999992</v>
      </c>
      <c r="AG47" s="19">
        <f>(0*30.7+0.45*0.136)/(30.7+0.136)</f>
        <v>1.9846932157218835E-3</v>
      </c>
      <c r="AH47" s="2"/>
      <c r="AI47" s="2"/>
      <c r="AJ47" s="2"/>
      <c r="AK47" s="2"/>
      <c r="AL47" s="2"/>
      <c r="AM47" s="2"/>
      <c r="AN47" s="4">
        <f>(0.68*9.6+9.19*0.052)/AF47</f>
        <v>0.72584749274761717</v>
      </c>
      <c r="AO47" s="19">
        <f>(0.01*30.7+0.17*0.136)/(30.7+0.136)</f>
        <v>1.0705668698923336E-2</v>
      </c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>
        <f>21.1+0.084</f>
        <v>21.184000000000001</v>
      </c>
      <c r="BB47" s="19">
        <f>(0*30.7+0.45*0.136)/(30.7+0.136)</f>
        <v>1.9846932157218835E-3</v>
      </c>
      <c r="BC47" s="2"/>
      <c r="BD47" s="2"/>
      <c r="BE47" s="2"/>
      <c r="BF47" s="2"/>
      <c r="BG47" s="2"/>
      <c r="BH47" s="2"/>
      <c r="BI47" s="4">
        <f>(0.54*21.1+9.01*0.084)/BA47</f>
        <v>0.57358572507552874</v>
      </c>
      <c r="BJ47" s="19">
        <f>(0.01*30.7+0.17*0.136)/(30.7+0.136)</f>
        <v>1.0705668698923336E-2</v>
      </c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>
        <v>0</v>
      </c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>
        <v>3.427</v>
      </c>
      <c r="CR47" s="2">
        <v>0.26</v>
      </c>
      <c r="CS47" s="2"/>
      <c r="CT47" s="2"/>
      <c r="CU47" s="2"/>
      <c r="CV47" s="2"/>
      <c r="CW47" s="2"/>
      <c r="CX47" s="2"/>
      <c r="CY47" s="2">
        <v>0.72</v>
      </c>
      <c r="CZ47" s="2">
        <v>0.11</v>
      </c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14" t="s">
        <v>81</v>
      </c>
      <c r="DM47" s="2" t="s">
        <v>81</v>
      </c>
      <c r="DN47" s="2">
        <f t="shared" si="8"/>
        <v>0.62124529770398251</v>
      </c>
      <c r="DO47" s="2">
        <f t="shared" si="9"/>
        <v>1.0705668698923336E-2</v>
      </c>
      <c r="DP47" s="2" t="s">
        <v>251</v>
      </c>
      <c r="DQ47" s="2" t="s">
        <v>3</v>
      </c>
      <c r="DR47" s="4">
        <f t="shared" si="10"/>
        <v>30.835999999999999</v>
      </c>
      <c r="DS47" s="4">
        <f t="shared" si="11"/>
        <v>0.62124529770398251</v>
      </c>
      <c r="DT47" s="15">
        <f t="shared" si="12"/>
        <v>191.56720000000004</v>
      </c>
      <c r="DU47" s="2"/>
      <c r="DV47" s="2">
        <f t="shared" si="13"/>
        <v>3.427</v>
      </c>
      <c r="DW47" s="4">
        <f>(BV47*CD47+CQ47*CY47)/DV47</f>
        <v>0.72</v>
      </c>
      <c r="DX47" s="15">
        <f>1000*DV47*DW47/100</f>
        <v>24.674400000000002</v>
      </c>
      <c r="DY47" s="2"/>
      <c r="DZ47" s="2" t="s">
        <v>3</v>
      </c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 t="s">
        <v>3</v>
      </c>
      <c r="FR47" s="2" t="s">
        <v>89</v>
      </c>
      <c r="FS47" s="2" t="s">
        <v>137</v>
      </c>
      <c r="FT47" s="2"/>
      <c r="FU47" s="2"/>
      <c r="FV47" s="2" t="s">
        <v>3</v>
      </c>
    </row>
    <row r="48" spans="1:178" ht="15.75" customHeight="1" x14ac:dyDescent="0.2">
      <c r="A48" s="14" t="s">
        <v>96</v>
      </c>
      <c r="B48" s="2" t="s">
        <v>133</v>
      </c>
      <c r="C48" s="16" t="s">
        <v>252</v>
      </c>
      <c r="D48" s="2" t="s">
        <v>99</v>
      </c>
      <c r="E48" s="2"/>
      <c r="F48" s="2"/>
      <c r="G48" s="2"/>
      <c r="H48" s="2" t="s">
        <v>79</v>
      </c>
      <c r="I48" s="2"/>
      <c r="J48" s="2"/>
      <c r="K48" s="2">
        <v>0</v>
      </c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>
        <v>0</v>
      </c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19">
        <v>4.3749169999999999</v>
      </c>
      <c r="BB48" s="2">
        <v>0.87</v>
      </c>
      <c r="BC48" s="2"/>
      <c r="BD48" s="2"/>
      <c r="BE48" s="2"/>
      <c r="BF48" s="2"/>
      <c r="BG48" s="2"/>
      <c r="BH48" s="2"/>
      <c r="BI48" s="2">
        <v>0.52</v>
      </c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>
        <v>0</v>
      </c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>
        <v>0</v>
      </c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14" t="s">
        <v>81</v>
      </c>
      <c r="DM48" s="2"/>
      <c r="DN48" s="2">
        <f t="shared" si="8"/>
        <v>0.52</v>
      </c>
      <c r="DO48" s="2">
        <f t="shared" si="9"/>
        <v>0</v>
      </c>
      <c r="DP48" s="2" t="s">
        <v>253</v>
      </c>
      <c r="DQ48" s="2" t="s">
        <v>3</v>
      </c>
      <c r="DR48" s="19">
        <f t="shared" si="10"/>
        <v>4.3749169999999999</v>
      </c>
      <c r="DS48" s="2">
        <f t="shared" si="11"/>
        <v>0.52</v>
      </c>
      <c r="DT48" s="15">
        <f t="shared" si="12"/>
        <v>22.749568400000001</v>
      </c>
      <c r="DU48" s="2"/>
      <c r="DV48" s="2">
        <f t="shared" si="13"/>
        <v>0</v>
      </c>
      <c r="DW48" s="2"/>
      <c r="DX48" s="2"/>
      <c r="DY48" s="2"/>
      <c r="DZ48" s="2" t="s">
        <v>3</v>
      </c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 t="s">
        <v>3</v>
      </c>
      <c r="FR48" s="2" t="s">
        <v>89</v>
      </c>
      <c r="FS48" s="2" t="s">
        <v>123</v>
      </c>
      <c r="FT48" s="2"/>
      <c r="FU48" s="2"/>
      <c r="FV48" s="2" t="s">
        <v>3</v>
      </c>
    </row>
    <row r="49" spans="1:178" ht="15.75" customHeight="1" x14ac:dyDescent="0.2">
      <c r="A49" s="14" t="s">
        <v>222</v>
      </c>
      <c r="B49" s="2" t="s">
        <v>85</v>
      </c>
      <c r="C49" s="16" t="s">
        <v>254</v>
      </c>
      <c r="D49" s="2"/>
      <c r="E49" s="2"/>
      <c r="F49" s="2"/>
      <c r="G49" s="2"/>
      <c r="H49" s="2" t="s">
        <v>255</v>
      </c>
      <c r="I49" s="2"/>
      <c r="J49" s="2"/>
      <c r="K49" s="2">
        <v>29.6</v>
      </c>
      <c r="L49" s="4">
        <v>2.9148595329822911E-2</v>
      </c>
      <c r="M49" s="4">
        <v>5.6096699999999999E-2</v>
      </c>
      <c r="N49" s="2"/>
      <c r="O49" s="2"/>
      <c r="P49" s="2"/>
      <c r="Q49" s="2"/>
      <c r="R49" s="2"/>
      <c r="S49" s="4">
        <v>0.11240231217618901</v>
      </c>
      <c r="T49" s="2"/>
      <c r="U49" s="4">
        <v>1.5734069999999998</v>
      </c>
      <c r="V49" s="4">
        <v>1.387221</v>
      </c>
      <c r="W49" s="4">
        <v>0.28328520000000001</v>
      </c>
      <c r="X49" s="2"/>
      <c r="Y49" s="2"/>
      <c r="Z49" s="2"/>
      <c r="AA49" s="2"/>
      <c r="AB49" s="2"/>
      <c r="AC49" s="2"/>
      <c r="AD49" s="2"/>
      <c r="AE49" s="2"/>
      <c r="AF49" s="2">
        <v>8.1999999999999993</v>
      </c>
      <c r="AG49" s="4">
        <v>2.9148595329822911E-2</v>
      </c>
      <c r="AH49" s="4">
        <v>5.4396800000000002E-2</v>
      </c>
      <c r="AI49" s="2"/>
      <c r="AJ49" s="2"/>
      <c r="AK49" s="2"/>
      <c r="AL49" s="2"/>
      <c r="AM49" s="2"/>
      <c r="AN49" s="4">
        <v>0.11240231217618901</v>
      </c>
      <c r="AO49" s="2"/>
      <c r="AP49" s="4">
        <v>1.525728</v>
      </c>
      <c r="AQ49" s="4">
        <v>1.3451840000000002</v>
      </c>
      <c r="AR49" s="4">
        <v>0.27470080000000002</v>
      </c>
      <c r="AS49" s="2"/>
      <c r="AT49" s="2"/>
      <c r="AU49" s="2"/>
      <c r="AV49" s="2"/>
      <c r="AW49" s="2"/>
      <c r="AX49" s="2"/>
      <c r="AY49" s="2"/>
      <c r="AZ49" s="2"/>
      <c r="BA49" s="2">
        <v>8.4</v>
      </c>
      <c r="BB49" s="4">
        <v>2.9148595329822911E-2</v>
      </c>
      <c r="BC49" s="4">
        <v>5.4396800000000002E-2</v>
      </c>
      <c r="BD49" s="2"/>
      <c r="BE49" s="2"/>
      <c r="BF49" s="2"/>
      <c r="BG49" s="2"/>
      <c r="BH49" s="2"/>
      <c r="BI49" s="4">
        <v>0.11240231217618901</v>
      </c>
      <c r="BJ49" s="2"/>
      <c r="BK49" s="4">
        <v>1.525728</v>
      </c>
      <c r="BL49" s="4">
        <v>1.3451840000000002</v>
      </c>
      <c r="BM49" s="4">
        <v>0.27470080000000002</v>
      </c>
      <c r="BN49" s="4"/>
      <c r="BO49" s="4"/>
      <c r="BP49" s="2"/>
      <c r="BQ49" s="2"/>
      <c r="BR49" s="2"/>
      <c r="BS49" s="2"/>
      <c r="BT49" s="2"/>
      <c r="BU49" s="2"/>
      <c r="BV49" s="2">
        <v>0</v>
      </c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>
        <v>0</v>
      </c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14" t="s">
        <v>81</v>
      </c>
      <c r="DM49" s="2"/>
      <c r="DN49" s="2">
        <f t="shared" si="8"/>
        <v>0.11240231217618903</v>
      </c>
      <c r="DO49" s="2">
        <f t="shared" si="9"/>
        <v>0</v>
      </c>
      <c r="DP49" s="2" t="s">
        <v>95</v>
      </c>
      <c r="DQ49" s="2" t="s">
        <v>3</v>
      </c>
      <c r="DR49" s="2">
        <f t="shared" si="10"/>
        <v>46.199999999999996</v>
      </c>
      <c r="DS49" s="4">
        <f t="shared" si="11"/>
        <v>0.11240231217618903</v>
      </c>
      <c r="DT49" s="15">
        <f t="shared" si="12"/>
        <v>51.929868225399325</v>
      </c>
      <c r="DU49" s="2"/>
      <c r="DV49" s="2">
        <f t="shared" si="13"/>
        <v>0</v>
      </c>
      <c r="DW49" s="2"/>
      <c r="DX49" s="2"/>
      <c r="DY49" s="2"/>
      <c r="DZ49" s="2" t="s">
        <v>3</v>
      </c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 t="s">
        <v>3</v>
      </c>
      <c r="FR49" s="2" t="s">
        <v>89</v>
      </c>
      <c r="FS49" s="2" t="s">
        <v>90</v>
      </c>
      <c r="FT49" s="2" t="s">
        <v>91</v>
      </c>
      <c r="FU49" s="2" t="s">
        <v>226</v>
      </c>
      <c r="FV49" s="2" t="s">
        <v>3</v>
      </c>
    </row>
    <row r="50" spans="1:178" ht="15.75" customHeight="1" x14ac:dyDescent="0.2">
      <c r="A50" s="14" t="s">
        <v>96</v>
      </c>
      <c r="B50" s="2" t="s">
        <v>189</v>
      </c>
      <c r="C50" s="16" t="s">
        <v>256</v>
      </c>
      <c r="D50" s="2" t="s">
        <v>99</v>
      </c>
      <c r="E50" s="43">
        <v>57.98471</v>
      </c>
      <c r="F50" s="43">
        <v>-136.43427</v>
      </c>
      <c r="G50" s="2"/>
      <c r="H50" s="2" t="s">
        <v>79</v>
      </c>
      <c r="I50" s="2"/>
      <c r="J50" s="2"/>
      <c r="K50" s="2">
        <v>0</v>
      </c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>
        <v>0</v>
      </c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3">
        <f>22*0.9072</f>
        <v>19.958400000000001</v>
      </c>
      <c r="BB50" s="2">
        <v>0.24</v>
      </c>
      <c r="BC50" s="2"/>
      <c r="BD50" s="2"/>
      <c r="BE50" s="2"/>
      <c r="BF50" s="2"/>
      <c r="BG50" s="2"/>
      <c r="BH50" s="2"/>
      <c r="BI50" s="2">
        <v>0.42</v>
      </c>
      <c r="BJ50" s="2">
        <v>0.02</v>
      </c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>
        <v>0</v>
      </c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>
        <v>0</v>
      </c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14" t="s">
        <v>100</v>
      </c>
      <c r="DM50" s="2" t="s">
        <v>100</v>
      </c>
      <c r="DN50" s="2">
        <f t="shared" si="8"/>
        <v>0.42</v>
      </c>
      <c r="DO50" s="2">
        <f t="shared" si="9"/>
        <v>0.02</v>
      </c>
      <c r="DP50" s="2" t="s">
        <v>257</v>
      </c>
      <c r="DQ50" s="2" t="s">
        <v>3</v>
      </c>
      <c r="DR50" s="4">
        <f t="shared" si="10"/>
        <v>19.958400000000001</v>
      </c>
      <c r="DS50" s="2">
        <f t="shared" si="11"/>
        <v>0.42</v>
      </c>
      <c r="DT50" s="15">
        <f t="shared" si="12"/>
        <v>83.825280000000006</v>
      </c>
      <c r="DU50" s="2"/>
      <c r="DV50" s="2">
        <f t="shared" si="13"/>
        <v>0</v>
      </c>
      <c r="DW50" s="2"/>
      <c r="DX50" s="2"/>
      <c r="DY50" s="2"/>
      <c r="DZ50" s="2" t="s">
        <v>3</v>
      </c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 t="s">
        <v>3</v>
      </c>
      <c r="FR50" s="2" t="s">
        <v>89</v>
      </c>
      <c r="FS50" s="2" t="s">
        <v>123</v>
      </c>
      <c r="FT50" s="2" t="s">
        <v>258</v>
      </c>
      <c r="FU50" s="2"/>
      <c r="FV50" s="2" t="s">
        <v>3</v>
      </c>
    </row>
    <row r="51" spans="1:178" ht="15.75" customHeight="1" x14ac:dyDescent="0.2">
      <c r="A51" s="14" t="s">
        <v>96</v>
      </c>
      <c r="B51" s="2" t="s">
        <v>236</v>
      </c>
      <c r="C51" s="16" t="s">
        <v>259</v>
      </c>
      <c r="D51" s="2"/>
      <c r="E51" s="2"/>
      <c r="F51" s="2"/>
      <c r="G51" s="2"/>
      <c r="H51" s="2" t="s">
        <v>260</v>
      </c>
      <c r="I51" s="2"/>
      <c r="J51" s="2"/>
      <c r="K51" s="2">
        <v>0</v>
      </c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>
        <v>40.17</v>
      </c>
      <c r="AG51" s="2">
        <v>0.18</v>
      </c>
      <c r="AH51" s="4">
        <v>0.4</v>
      </c>
      <c r="AI51" s="2"/>
      <c r="AJ51" s="2"/>
      <c r="AK51" s="2"/>
      <c r="AL51" s="2"/>
      <c r="AM51" s="2"/>
      <c r="AN51" s="2">
        <v>0.22</v>
      </c>
      <c r="AO51" s="2"/>
      <c r="AP51" s="2">
        <v>1.86</v>
      </c>
      <c r="AQ51" s="2">
        <v>1.42</v>
      </c>
      <c r="AR51" s="2">
        <v>0.13</v>
      </c>
      <c r="AS51" s="2"/>
      <c r="AT51" s="2"/>
      <c r="AU51" s="2"/>
      <c r="AV51" s="2"/>
      <c r="AW51" s="2"/>
      <c r="AX51" s="2"/>
      <c r="AY51" s="2"/>
      <c r="AZ51" s="2"/>
      <c r="BA51" s="2">
        <v>41.61</v>
      </c>
      <c r="BB51" s="2">
        <v>0.17</v>
      </c>
      <c r="BC51" s="2">
        <v>0.37</v>
      </c>
      <c r="BD51" s="2"/>
      <c r="BE51" s="2"/>
      <c r="BF51" s="2"/>
      <c r="BG51" s="2"/>
      <c r="BH51" s="2"/>
      <c r="BI51" s="2">
        <v>0.21</v>
      </c>
      <c r="BJ51" s="2"/>
      <c r="BK51" s="2">
        <v>1.74</v>
      </c>
      <c r="BL51" s="2">
        <v>1.23</v>
      </c>
      <c r="BM51" s="2">
        <v>0.13</v>
      </c>
      <c r="BN51" s="2"/>
      <c r="BO51" s="2"/>
      <c r="BP51" s="2"/>
      <c r="BQ51" s="2"/>
      <c r="BR51" s="2"/>
      <c r="BS51" s="2"/>
      <c r="BT51" s="2"/>
      <c r="BU51" s="2"/>
      <c r="BV51" s="2">
        <v>0</v>
      </c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>
        <v>0</v>
      </c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14" t="s">
        <v>81</v>
      </c>
      <c r="DM51" s="2"/>
      <c r="DN51" s="2">
        <f t="shared" si="8"/>
        <v>0.21491195891415993</v>
      </c>
      <c r="DO51" s="2">
        <f t="shared" si="9"/>
        <v>0</v>
      </c>
      <c r="DP51" s="2" t="s">
        <v>261</v>
      </c>
      <c r="DQ51" s="2" t="s">
        <v>3</v>
      </c>
      <c r="DR51" s="2">
        <f t="shared" si="10"/>
        <v>81.78</v>
      </c>
      <c r="DS51" s="4">
        <f t="shared" si="11"/>
        <v>0.21491195891415993</v>
      </c>
      <c r="DT51" s="15">
        <f t="shared" si="12"/>
        <v>175.755</v>
      </c>
      <c r="DU51" s="2"/>
      <c r="DV51" s="2">
        <f t="shared" si="13"/>
        <v>0</v>
      </c>
      <c r="DW51" s="2"/>
      <c r="DX51" s="2"/>
      <c r="DY51" s="2"/>
      <c r="DZ51" s="2" t="s">
        <v>3</v>
      </c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 t="s">
        <v>3</v>
      </c>
      <c r="FR51" s="2" t="s">
        <v>89</v>
      </c>
      <c r="FS51" s="2" t="s">
        <v>90</v>
      </c>
      <c r="FT51" s="2" t="s">
        <v>91</v>
      </c>
      <c r="FU51" s="2"/>
      <c r="FV51" s="2" t="s">
        <v>3</v>
      </c>
    </row>
    <row r="52" spans="1:178" ht="15.75" customHeight="1" x14ac:dyDescent="0.2">
      <c r="A52" s="14" t="s">
        <v>262</v>
      </c>
      <c r="B52" s="2" t="s">
        <v>85</v>
      </c>
      <c r="C52" s="16" t="s">
        <v>263</v>
      </c>
      <c r="D52" s="2"/>
      <c r="E52" s="2"/>
      <c r="F52" s="2"/>
      <c r="G52" s="2"/>
      <c r="H52" s="2" t="s">
        <v>264</v>
      </c>
      <c r="I52" s="2"/>
      <c r="J52" s="2"/>
      <c r="K52" s="2">
        <v>291.42857142857144</v>
      </c>
      <c r="L52" s="4">
        <v>5.9558823529411761E-2</v>
      </c>
      <c r="M52" s="4">
        <v>0.17692612745098038</v>
      </c>
      <c r="N52" s="2"/>
      <c r="O52" s="2"/>
      <c r="P52" s="2"/>
      <c r="Q52" s="2"/>
      <c r="R52" s="2"/>
      <c r="S52" s="4">
        <v>0.17955882352941177</v>
      </c>
      <c r="T52" s="2"/>
      <c r="U52" s="4">
        <v>2.7451910294117643</v>
      </c>
      <c r="V52" s="4">
        <v>2.5891063725490189</v>
      </c>
      <c r="W52" s="4">
        <v>0.41016749999999996</v>
      </c>
      <c r="X52" s="2"/>
      <c r="Y52" s="2"/>
      <c r="Z52" s="2"/>
      <c r="AA52" s="2"/>
      <c r="AB52" s="2"/>
      <c r="AC52" s="2"/>
      <c r="AD52" s="2"/>
      <c r="AE52" s="2"/>
      <c r="AF52" s="2">
        <v>140</v>
      </c>
      <c r="AG52" s="4">
        <v>6.0233236151603503E-2</v>
      </c>
      <c r="AH52" s="4">
        <v>0.18316626822157431</v>
      </c>
      <c r="AI52" s="2"/>
      <c r="AJ52" s="2"/>
      <c r="AK52" s="2"/>
      <c r="AL52" s="2"/>
      <c r="AM52" s="2"/>
      <c r="AN52" s="4">
        <v>0.1802332361516035</v>
      </c>
      <c r="AO52" s="2"/>
      <c r="AP52" s="4">
        <v>2.7966261516034985</v>
      </c>
      <c r="AQ52" s="4">
        <v>2.5976309037900878</v>
      </c>
      <c r="AR52" s="4">
        <v>0.41020005830903788</v>
      </c>
      <c r="AS52" s="2"/>
      <c r="AT52" s="2"/>
      <c r="AU52" s="2"/>
      <c r="AV52" s="2"/>
      <c r="AW52" s="2"/>
      <c r="AX52" s="2"/>
      <c r="AY52" s="2"/>
      <c r="AZ52" s="2"/>
      <c r="BA52" s="2">
        <v>380.40816326530614</v>
      </c>
      <c r="BB52" s="4">
        <v>6.6223175965665237E-2</v>
      </c>
      <c r="BC52" s="4">
        <v>0.2241422746781116</v>
      </c>
      <c r="BD52" s="2"/>
      <c r="BE52" s="2"/>
      <c r="BF52" s="2"/>
      <c r="BG52" s="2"/>
      <c r="BH52" s="2"/>
      <c r="BI52" s="4">
        <v>0.18622317596566523</v>
      </c>
      <c r="BJ52" s="2"/>
      <c r="BK52" s="4">
        <v>2.935989141630901</v>
      </c>
      <c r="BL52" s="4">
        <v>2.2917212875536479</v>
      </c>
      <c r="BM52" s="4">
        <v>0.34732313304721024</v>
      </c>
      <c r="BN52" s="4"/>
      <c r="BO52" s="4"/>
      <c r="BP52" s="2"/>
      <c r="BQ52" s="2"/>
      <c r="BR52" s="2"/>
      <c r="BS52" s="2"/>
      <c r="BT52" s="2"/>
      <c r="BU52" s="2"/>
      <c r="BV52" s="2">
        <v>0</v>
      </c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>
        <v>0</v>
      </c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14" t="s">
        <v>81</v>
      </c>
      <c r="DM52" s="2"/>
      <c r="DN52" s="2">
        <f t="shared" si="8"/>
        <v>0.18279788838612368</v>
      </c>
      <c r="DO52" s="2">
        <f t="shared" si="9"/>
        <v>0</v>
      </c>
      <c r="DP52" s="2" t="s">
        <v>95</v>
      </c>
      <c r="DQ52" s="2" t="s">
        <v>3</v>
      </c>
      <c r="DR52" s="15">
        <f t="shared" si="10"/>
        <v>811.83673469387759</v>
      </c>
      <c r="DS52" s="4">
        <f t="shared" si="11"/>
        <v>0.18279788838612368</v>
      </c>
      <c r="DT52" s="15">
        <f t="shared" si="12"/>
        <v>1484.0204081632653</v>
      </c>
      <c r="DU52" s="2"/>
      <c r="DV52" s="2">
        <f t="shared" si="13"/>
        <v>0</v>
      </c>
      <c r="DW52" s="2"/>
      <c r="DX52" s="2"/>
      <c r="DY52" s="2"/>
      <c r="DZ52" s="2" t="s">
        <v>3</v>
      </c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 t="s">
        <v>3</v>
      </c>
      <c r="FR52" s="2" t="s">
        <v>89</v>
      </c>
      <c r="FS52" s="2" t="s">
        <v>90</v>
      </c>
      <c r="FT52" s="2" t="s">
        <v>162</v>
      </c>
      <c r="FU52" s="2" t="s">
        <v>226</v>
      </c>
      <c r="FV52" s="2" t="s">
        <v>3</v>
      </c>
    </row>
    <row r="53" spans="1:178" ht="15.75" customHeight="1" x14ac:dyDescent="0.2">
      <c r="A53" s="14" t="s">
        <v>96</v>
      </c>
      <c r="B53" s="2" t="s">
        <v>85</v>
      </c>
      <c r="C53" s="16" t="s">
        <v>265</v>
      </c>
      <c r="D53" s="2" t="s">
        <v>99</v>
      </c>
      <c r="E53" s="2"/>
      <c r="F53" s="2"/>
      <c r="G53" s="2"/>
      <c r="H53" s="2" t="s">
        <v>79</v>
      </c>
      <c r="I53" s="2"/>
      <c r="J53" s="2"/>
      <c r="K53" s="2">
        <v>0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>
        <v>0</v>
      </c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>
        <f>11.9+2.27+2.28+2.35+1.5</f>
        <v>20.3</v>
      </c>
      <c r="BB53" s="2"/>
      <c r="BC53" s="2"/>
      <c r="BD53" s="2"/>
      <c r="BE53" s="2"/>
      <c r="BF53" s="2"/>
      <c r="BG53" s="2"/>
      <c r="BH53" s="2"/>
      <c r="BI53" s="4">
        <f>(0.32*11.9+0.6*2.27+0.45*2.28+0.37*2.35+0.72*1.5)/BA53</f>
        <v>0.40125615763546796</v>
      </c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>
        <v>0</v>
      </c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>
        <v>0</v>
      </c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14" t="s">
        <v>81</v>
      </c>
      <c r="DM53" s="2"/>
      <c r="DN53" s="2">
        <f t="shared" si="8"/>
        <v>0.40125615763546796</v>
      </c>
      <c r="DO53" s="2">
        <f t="shared" si="9"/>
        <v>0</v>
      </c>
      <c r="DP53" s="2" t="s">
        <v>266</v>
      </c>
      <c r="DQ53" s="2" t="s">
        <v>3</v>
      </c>
      <c r="DR53" s="2">
        <f t="shared" si="10"/>
        <v>20.3</v>
      </c>
      <c r="DS53" s="4">
        <f t="shared" si="11"/>
        <v>0.40125615763546796</v>
      </c>
      <c r="DT53" s="15">
        <f t="shared" si="12"/>
        <v>81.454999999999998</v>
      </c>
      <c r="DU53" s="2"/>
      <c r="DV53" s="2">
        <f t="shared" si="13"/>
        <v>0</v>
      </c>
      <c r="DW53" s="2"/>
      <c r="DX53" s="2"/>
      <c r="DY53" s="2"/>
      <c r="DZ53" s="2" t="s">
        <v>3</v>
      </c>
      <c r="EA53" s="2" t="s">
        <v>85</v>
      </c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 t="s">
        <v>85</v>
      </c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 t="s">
        <v>85</v>
      </c>
      <c r="FQ53" s="2" t="s">
        <v>3</v>
      </c>
      <c r="FR53" s="2" t="s">
        <v>89</v>
      </c>
      <c r="FS53" s="2" t="s">
        <v>137</v>
      </c>
      <c r="FT53" s="2"/>
      <c r="FU53" s="2" t="s">
        <v>130</v>
      </c>
      <c r="FV53" s="2" t="s">
        <v>3</v>
      </c>
    </row>
    <row r="54" spans="1:178" ht="15.75" customHeight="1" x14ac:dyDescent="0.2">
      <c r="A54" s="14" t="s">
        <v>262</v>
      </c>
      <c r="B54" s="2" t="s">
        <v>85</v>
      </c>
      <c r="C54" s="16" t="s">
        <v>267</v>
      </c>
      <c r="D54" s="2"/>
      <c r="E54" s="2"/>
      <c r="F54" s="2"/>
      <c r="G54" s="2"/>
      <c r="H54" s="2" t="s">
        <v>268</v>
      </c>
      <c r="I54" s="2"/>
      <c r="J54" s="2"/>
      <c r="K54" s="2">
        <v>91.08</v>
      </c>
      <c r="L54" s="4">
        <v>6.0033267457180503E-2</v>
      </c>
      <c r="M54" s="4">
        <v>0.16056313303525299</v>
      </c>
      <c r="N54" s="2"/>
      <c r="O54" s="2"/>
      <c r="P54" s="2"/>
      <c r="Q54" s="2"/>
      <c r="R54" s="2"/>
      <c r="S54" s="4">
        <v>0.16629018445322793</v>
      </c>
      <c r="T54" s="2"/>
      <c r="U54" s="4">
        <v>2.3312439617612477</v>
      </c>
      <c r="V54" s="4">
        <v>1.2606898130769222</v>
      </c>
      <c r="W54" s="4">
        <v>0.25682076163744433</v>
      </c>
      <c r="X54" s="2"/>
      <c r="Y54" s="2"/>
      <c r="Z54" s="15">
        <v>8.5053562510443523</v>
      </c>
      <c r="AA54" s="2"/>
      <c r="AB54" s="2"/>
      <c r="AC54" s="2"/>
      <c r="AD54" s="2"/>
      <c r="AE54" s="2"/>
      <c r="AF54" s="2">
        <v>175.98999999999998</v>
      </c>
      <c r="AG54" s="4">
        <v>0.11083436558895393</v>
      </c>
      <c r="AH54" s="4">
        <v>0.15323857521325859</v>
      </c>
      <c r="AI54" s="2"/>
      <c r="AJ54" s="2"/>
      <c r="AK54" s="2"/>
      <c r="AL54" s="2"/>
      <c r="AM54" s="2"/>
      <c r="AN54" s="4">
        <v>0.1621258594238309</v>
      </c>
      <c r="AO54" s="2"/>
      <c r="AP54" s="4">
        <v>2.280886143572213</v>
      </c>
      <c r="AQ54" s="4">
        <v>1.1638219094139775</v>
      </c>
      <c r="AR54" s="4">
        <v>0.24162571721453835</v>
      </c>
      <c r="AS54" s="2"/>
      <c r="AT54" s="2"/>
      <c r="AU54" s="15">
        <v>10.222953972676045</v>
      </c>
      <c r="AV54" s="2"/>
      <c r="AW54" s="2"/>
      <c r="AX54" s="2"/>
      <c r="AY54" s="2"/>
      <c r="AZ54" s="2"/>
      <c r="BA54" s="2">
        <v>455.51</v>
      </c>
      <c r="BB54" s="4">
        <v>5.2055278698601576E-2</v>
      </c>
      <c r="BC54" s="4">
        <v>3.8135265601436145E-2</v>
      </c>
      <c r="BD54" s="2"/>
      <c r="BE54" s="2"/>
      <c r="BF54" s="2"/>
      <c r="BG54" s="2"/>
      <c r="BH54" s="2"/>
      <c r="BI54" s="4">
        <v>0.15235641369014952</v>
      </c>
      <c r="BJ54" s="2"/>
      <c r="BK54" s="4">
        <v>1.5250470312246296</v>
      </c>
      <c r="BL54" s="4">
        <v>0.81914405107175481</v>
      </c>
      <c r="BM54" s="4">
        <v>0.22222579144896226</v>
      </c>
      <c r="BN54" s="4"/>
      <c r="BO54" s="4"/>
      <c r="BP54" s="15">
        <v>11.13528783952847</v>
      </c>
      <c r="BQ54" s="2"/>
      <c r="BR54" s="2"/>
      <c r="BS54" s="2"/>
      <c r="BT54" s="2"/>
      <c r="BU54" s="2"/>
      <c r="BV54" s="2">
        <v>144.51999999999998</v>
      </c>
      <c r="BW54" s="4">
        <v>2.5338915029061722E-2</v>
      </c>
      <c r="BX54" s="4">
        <v>7.0567549982532174E-2</v>
      </c>
      <c r="BY54" s="2"/>
      <c r="BZ54" s="2"/>
      <c r="CA54" s="2"/>
      <c r="CB54" s="2"/>
      <c r="CC54" s="2"/>
      <c r="CD54" s="4">
        <v>0.10517264046498756</v>
      </c>
      <c r="CE54" s="2"/>
      <c r="CF54" s="4">
        <v>1.7151653053722211</v>
      </c>
      <c r="CG54" s="4">
        <v>0.88951044966242276</v>
      </c>
      <c r="CH54" s="4">
        <v>0.23992002393383474</v>
      </c>
      <c r="CI54" s="4"/>
      <c r="CJ54" s="4"/>
      <c r="CK54" s="15">
        <v>11.741847295069661</v>
      </c>
      <c r="CL54" s="2"/>
      <c r="CM54" s="2"/>
      <c r="CN54" s="2"/>
      <c r="CO54" s="2"/>
      <c r="CP54" s="2"/>
      <c r="CQ54" s="2">
        <v>13.7</v>
      </c>
      <c r="CR54" s="4">
        <v>8.9999999999999993E-3</v>
      </c>
      <c r="CS54" s="4">
        <v>2.6972729927007302E-2</v>
      </c>
      <c r="CT54" s="2"/>
      <c r="CU54" s="2"/>
      <c r="CV54" s="2"/>
      <c r="CW54" s="2"/>
      <c r="CX54" s="2"/>
      <c r="CY54" s="4">
        <v>8.2325547445255484E-2</v>
      </c>
      <c r="CZ54" s="2"/>
      <c r="DA54" s="4">
        <v>1.7457691094890513</v>
      </c>
      <c r="DB54" s="4">
        <v>0.90375497810218985</v>
      </c>
      <c r="DC54" s="4">
        <v>0.28376590948905106</v>
      </c>
      <c r="DD54" s="4"/>
      <c r="DE54" s="4"/>
      <c r="DF54" s="15">
        <v>14.814313835815117</v>
      </c>
      <c r="DG54" s="2"/>
      <c r="DH54" s="2"/>
      <c r="DI54" s="2"/>
      <c r="DJ54" s="2"/>
      <c r="DK54" s="2"/>
      <c r="DL54" s="14" t="s">
        <v>81</v>
      </c>
      <c r="DM54" s="2"/>
      <c r="DN54" s="2">
        <f t="shared" si="8"/>
        <v>0.15649216695729196</v>
      </c>
      <c r="DO54" s="2">
        <f t="shared" si="9"/>
        <v>0</v>
      </c>
      <c r="DP54" s="2" t="s">
        <v>211</v>
      </c>
      <c r="DQ54" s="2" t="s">
        <v>3</v>
      </c>
      <c r="DR54" s="15">
        <f t="shared" si="10"/>
        <v>722.57999999999993</v>
      </c>
      <c r="DS54" s="4">
        <f t="shared" si="11"/>
        <v>0.15649216695729196</v>
      </c>
      <c r="DT54" s="15">
        <f t="shared" si="12"/>
        <v>1130.7810999999999</v>
      </c>
      <c r="DU54" s="2"/>
      <c r="DV54" s="2">
        <f t="shared" si="13"/>
        <v>158.21999999999997</v>
      </c>
      <c r="DW54" s="4">
        <f>(BV54*CD54+CQ54*CY54)/DV54</f>
        <v>0.10319434963974215</v>
      </c>
      <c r="DX54" s="15">
        <f>1000*DV54*DW54/100</f>
        <v>163.2741</v>
      </c>
      <c r="DY54" s="2"/>
      <c r="DZ54" s="2" t="s">
        <v>3</v>
      </c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 t="s">
        <v>3</v>
      </c>
      <c r="FR54" s="2" t="s">
        <v>89</v>
      </c>
      <c r="FS54" s="2" t="s">
        <v>90</v>
      </c>
      <c r="FT54" s="2" t="s">
        <v>162</v>
      </c>
      <c r="FU54" s="2" t="s">
        <v>226</v>
      </c>
      <c r="FV54" s="2" t="s">
        <v>3</v>
      </c>
    </row>
    <row r="55" spans="1:178" ht="15.75" customHeight="1" x14ac:dyDescent="0.2">
      <c r="A55" s="12" t="s">
        <v>74</v>
      </c>
      <c r="B55" s="2" t="s">
        <v>75</v>
      </c>
      <c r="C55" s="13" t="s">
        <v>269</v>
      </c>
      <c r="D55" s="2" t="s">
        <v>99</v>
      </c>
      <c r="E55" s="2"/>
      <c r="F55" s="2"/>
      <c r="G55" s="2" t="s">
        <v>78</v>
      </c>
      <c r="H55" s="2" t="s">
        <v>270</v>
      </c>
      <c r="I55" s="2"/>
      <c r="J55" s="2" t="s">
        <v>141</v>
      </c>
      <c r="K55" s="2">
        <v>0</v>
      </c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19">
        <v>4.5858509999999999</v>
      </c>
      <c r="AG55" s="2"/>
      <c r="AH55" s="2"/>
      <c r="AI55" s="2"/>
      <c r="AJ55" s="2"/>
      <c r="AK55" s="2"/>
      <c r="AL55" s="2"/>
      <c r="AM55" s="2"/>
      <c r="AN55" s="2">
        <v>1.05</v>
      </c>
      <c r="AO55" s="2">
        <v>0.04</v>
      </c>
      <c r="AP55" s="2"/>
      <c r="AQ55" s="2"/>
      <c r="AR55" s="2"/>
      <c r="AS55" s="2"/>
      <c r="AT55" s="2"/>
      <c r="AU55" s="2"/>
      <c r="AV55" s="2">
        <v>18.329999999999998</v>
      </c>
      <c r="AW55" s="2"/>
      <c r="AX55" s="2"/>
      <c r="AY55" s="2"/>
      <c r="AZ55" s="2"/>
      <c r="BA55" s="19">
        <f>1.033062+0.07425+0.124875</f>
        <v>1.2321869999999999</v>
      </c>
      <c r="BB55" s="2"/>
      <c r="BC55" s="2"/>
      <c r="BD55" s="2"/>
      <c r="BE55" s="2"/>
      <c r="BF55" s="2"/>
      <c r="BG55" s="2"/>
      <c r="BH55" s="2"/>
      <c r="BI55" s="4">
        <f>(1.1*1.033062+1.12*0.07425+1.01*0.124875)/BA55</f>
        <v>1.092084196635738</v>
      </c>
      <c r="BJ55" s="2"/>
      <c r="BK55" s="2"/>
      <c r="BL55" s="2"/>
      <c r="BM55" s="2"/>
      <c r="BN55" s="2"/>
      <c r="BO55" s="2"/>
      <c r="BP55" s="2"/>
      <c r="BQ55" s="4">
        <f>(24.99*1.033062+20.25*0.07425+18.88*0.124875)/BA55</f>
        <v>24.085160677721806</v>
      </c>
      <c r="BR55" s="2"/>
      <c r="BS55" s="2"/>
      <c r="BT55" s="2"/>
      <c r="BU55" s="2"/>
      <c r="BV55" s="2">
        <v>0</v>
      </c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>
        <v>0</v>
      </c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14" t="s">
        <v>81</v>
      </c>
      <c r="DM55" s="2" t="s">
        <v>81</v>
      </c>
      <c r="DN55" s="2">
        <f t="shared" si="8"/>
        <v>1.0589129015657857</v>
      </c>
      <c r="DO55" s="2">
        <f t="shared" si="9"/>
        <v>3.1528504970232234E-2</v>
      </c>
      <c r="DP55" s="2" t="s">
        <v>271</v>
      </c>
      <c r="DQ55" s="2" t="s">
        <v>3</v>
      </c>
      <c r="DR55" s="19">
        <f t="shared" si="10"/>
        <v>5.8180379999999996</v>
      </c>
      <c r="DS55" s="4">
        <f t="shared" si="11"/>
        <v>1.0589129015657857</v>
      </c>
      <c r="DT55" s="15">
        <f t="shared" si="12"/>
        <v>61.607955000000004</v>
      </c>
      <c r="DU55" s="2"/>
      <c r="DV55" s="2">
        <f t="shared" si="13"/>
        <v>0</v>
      </c>
      <c r="DW55" s="2"/>
      <c r="DX55" s="2"/>
      <c r="DY55" s="2"/>
      <c r="DZ55" s="2" t="s">
        <v>3</v>
      </c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 t="s">
        <v>3</v>
      </c>
      <c r="FR55" s="2" t="s">
        <v>37</v>
      </c>
      <c r="FS55" s="2" t="s">
        <v>106</v>
      </c>
      <c r="FT55" s="2"/>
      <c r="FU55" s="2"/>
      <c r="FV55" s="2" t="s">
        <v>3</v>
      </c>
    </row>
    <row r="56" spans="1:178" ht="15.75" customHeight="1" x14ac:dyDescent="0.2">
      <c r="A56" s="25" t="s">
        <v>272</v>
      </c>
      <c r="B56" s="2" t="s">
        <v>273</v>
      </c>
      <c r="C56" s="16" t="s">
        <v>274</v>
      </c>
      <c r="D56" s="2" t="s">
        <v>109</v>
      </c>
      <c r="E56" s="2"/>
      <c r="F56" s="2"/>
      <c r="G56" s="2"/>
      <c r="H56" s="2" t="s">
        <v>275</v>
      </c>
      <c r="I56" s="2"/>
      <c r="J56" s="2"/>
      <c r="K56" s="2">
        <v>0</v>
      </c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>
        <v>0</v>
      </c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>
        <f>(18.2/1000)/(BJ56/100)</f>
        <v>1.82</v>
      </c>
      <c r="BB56" s="2"/>
      <c r="BC56" s="2">
        <v>3.5</v>
      </c>
      <c r="BD56" s="2"/>
      <c r="BE56" s="2"/>
      <c r="BF56" s="2"/>
      <c r="BG56" s="2"/>
      <c r="BH56" s="2"/>
      <c r="BI56" s="2">
        <v>1</v>
      </c>
      <c r="BJ56" s="2">
        <v>1</v>
      </c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>
        <v>0</v>
      </c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>
        <f>(0.6/1000)/(CZ56/100)</f>
        <v>5.9999999999999991E-2</v>
      </c>
      <c r="CR56" s="2"/>
      <c r="CS56" s="2">
        <v>3.5</v>
      </c>
      <c r="CT56" s="2"/>
      <c r="CU56" s="2"/>
      <c r="CV56" s="2"/>
      <c r="CW56" s="2"/>
      <c r="CX56" s="2"/>
      <c r="CY56" s="2">
        <v>1</v>
      </c>
      <c r="CZ56" s="2">
        <v>1</v>
      </c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14" t="s">
        <v>100</v>
      </c>
      <c r="DM56" s="2" t="s">
        <v>100</v>
      </c>
      <c r="DN56" s="2">
        <f t="shared" si="8"/>
        <v>1</v>
      </c>
      <c r="DO56" s="2">
        <f t="shared" si="9"/>
        <v>1</v>
      </c>
      <c r="DP56" s="2" t="s">
        <v>211</v>
      </c>
      <c r="DQ56" s="2" t="s">
        <v>3</v>
      </c>
      <c r="DR56" s="2">
        <f t="shared" si="10"/>
        <v>1.82</v>
      </c>
      <c r="DS56" s="2">
        <f t="shared" si="11"/>
        <v>1</v>
      </c>
      <c r="DT56" s="15">
        <f t="shared" si="12"/>
        <v>18.2</v>
      </c>
      <c r="DU56" s="2"/>
      <c r="DV56" s="2">
        <f t="shared" si="13"/>
        <v>5.9999999999999991E-2</v>
      </c>
      <c r="DW56" s="2">
        <f>(BV56*CD56+CQ56*CY56)/DV56</f>
        <v>1</v>
      </c>
      <c r="DX56" s="15">
        <f>1000*DV56*DW56/100</f>
        <v>0.6</v>
      </c>
      <c r="DY56" s="2"/>
      <c r="DZ56" s="2" t="s">
        <v>3</v>
      </c>
      <c r="EA56" s="2" t="s">
        <v>273</v>
      </c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 t="s">
        <v>273</v>
      </c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 t="s">
        <v>273</v>
      </c>
      <c r="FQ56" s="2" t="s">
        <v>3</v>
      </c>
      <c r="FR56" s="2" t="s">
        <v>89</v>
      </c>
      <c r="FS56" s="2" t="s">
        <v>123</v>
      </c>
      <c r="FT56" s="2"/>
      <c r="FU56" s="2"/>
      <c r="FV56" s="2" t="s">
        <v>3</v>
      </c>
    </row>
    <row r="57" spans="1:178" ht="15.75" customHeight="1" x14ac:dyDescent="0.2">
      <c r="A57" s="20" t="s">
        <v>163</v>
      </c>
      <c r="B57" s="2" t="s">
        <v>164</v>
      </c>
      <c r="C57" s="16" t="s">
        <v>276</v>
      </c>
      <c r="D57" s="2" t="s">
        <v>120</v>
      </c>
      <c r="E57" s="2"/>
      <c r="F57" s="2"/>
      <c r="G57" s="2" t="s">
        <v>78</v>
      </c>
      <c r="H57" s="2" t="s">
        <v>166</v>
      </c>
      <c r="I57" s="2"/>
      <c r="J57" s="2" t="s">
        <v>167</v>
      </c>
      <c r="K57" s="2">
        <v>10.1</v>
      </c>
      <c r="L57" s="2">
        <v>0.49</v>
      </c>
      <c r="M57" s="2"/>
      <c r="N57" s="2">
        <v>10.5</v>
      </c>
      <c r="O57" s="2"/>
      <c r="P57" s="2"/>
      <c r="Q57" s="2">
        <v>3.32</v>
      </c>
      <c r="R57" s="2">
        <v>0.54</v>
      </c>
      <c r="S57" s="4">
        <v>0.1</v>
      </c>
      <c r="T57" s="2">
        <v>0.12</v>
      </c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>
        <v>22.7</v>
      </c>
      <c r="AG57" s="2">
        <v>0.38</v>
      </c>
      <c r="AH57" s="2"/>
      <c r="AI57" s="2">
        <v>13.8</v>
      </c>
      <c r="AJ57" s="2"/>
      <c r="AK57" s="2"/>
      <c r="AL57" s="2">
        <v>3.47</v>
      </c>
      <c r="AM57" s="2">
        <v>0.71</v>
      </c>
      <c r="AN57" s="2">
        <v>0.09</v>
      </c>
      <c r="AO57" s="2">
        <v>0.11</v>
      </c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>
        <v>26.7</v>
      </c>
      <c r="BB57" s="2">
        <v>0.65</v>
      </c>
      <c r="BC57" s="2"/>
      <c r="BD57" s="2">
        <v>14.3</v>
      </c>
      <c r="BE57" s="2"/>
      <c r="BF57" s="2"/>
      <c r="BG57" s="4">
        <v>2.7</v>
      </c>
      <c r="BH57" s="2"/>
      <c r="BI57" s="2">
        <v>0.09</v>
      </c>
      <c r="BJ57" s="2">
        <v>0.09</v>
      </c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>
        <v>0</v>
      </c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>
        <v>0</v>
      </c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14" t="s">
        <v>81</v>
      </c>
      <c r="DM57" s="2" t="s">
        <v>81</v>
      </c>
      <c r="DN57" s="2">
        <f t="shared" si="8"/>
        <v>9.1697478991596637E-2</v>
      </c>
      <c r="DO57" s="2">
        <f t="shared" si="9"/>
        <v>0.10272268907563026</v>
      </c>
      <c r="DP57" s="2" t="s">
        <v>277</v>
      </c>
      <c r="DQ57" s="2" t="s">
        <v>3</v>
      </c>
      <c r="DR57" s="2">
        <f t="shared" si="10"/>
        <v>59.5</v>
      </c>
      <c r="DS57" s="19">
        <f t="shared" si="11"/>
        <v>9.1697478991596637E-2</v>
      </c>
      <c r="DT57" s="15">
        <f t="shared" si="12"/>
        <v>54.56</v>
      </c>
      <c r="DU57" s="2"/>
      <c r="DV57" s="2">
        <f t="shared" si="13"/>
        <v>0</v>
      </c>
      <c r="DW57" s="2"/>
      <c r="DX57" s="2"/>
      <c r="DY57" s="2"/>
      <c r="DZ57" s="2" t="s">
        <v>3</v>
      </c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 t="s">
        <v>3</v>
      </c>
      <c r="FR57" s="2" t="s">
        <v>89</v>
      </c>
      <c r="FS57" s="2" t="s">
        <v>169</v>
      </c>
      <c r="FT57" s="2"/>
      <c r="FU57" s="2"/>
      <c r="FV57" s="2" t="s">
        <v>3</v>
      </c>
    </row>
    <row r="58" spans="1:178" ht="15.75" customHeight="1" x14ac:dyDescent="0.2">
      <c r="A58" s="14" t="s">
        <v>96</v>
      </c>
      <c r="B58" s="2" t="s">
        <v>278</v>
      </c>
      <c r="C58" s="16" t="s">
        <v>279</v>
      </c>
      <c r="D58" s="2" t="s">
        <v>99</v>
      </c>
      <c r="E58" s="2"/>
      <c r="F58" s="2"/>
      <c r="G58" s="2"/>
      <c r="H58" s="2" t="s">
        <v>79</v>
      </c>
      <c r="I58" s="2"/>
      <c r="J58" s="2"/>
      <c r="K58" s="2">
        <v>0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>
        <v>0</v>
      </c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>
        <v>9.15</v>
      </c>
      <c r="BB58" s="2">
        <v>0.09</v>
      </c>
      <c r="BC58" s="2"/>
      <c r="BD58" s="2"/>
      <c r="BE58" s="2"/>
      <c r="BF58" s="2"/>
      <c r="BG58" s="2"/>
      <c r="BH58" s="2"/>
      <c r="BI58" s="2">
        <v>0.36</v>
      </c>
      <c r="BJ58" s="2">
        <v>0.01</v>
      </c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>
        <v>0</v>
      </c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>
        <v>0</v>
      </c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14" t="s">
        <v>100</v>
      </c>
      <c r="DM58" s="2" t="s">
        <v>100</v>
      </c>
      <c r="DN58" s="2">
        <f t="shared" si="8"/>
        <v>0.36</v>
      </c>
      <c r="DO58" s="2">
        <f t="shared" si="9"/>
        <v>0.01</v>
      </c>
      <c r="DP58" s="2" t="s">
        <v>280</v>
      </c>
      <c r="DQ58" s="2" t="s">
        <v>3</v>
      </c>
      <c r="DR58" s="2">
        <f t="shared" si="10"/>
        <v>9.15</v>
      </c>
      <c r="DS58" s="2">
        <f t="shared" si="11"/>
        <v>0.36</v>
      </c>
      <c r="DT58" s="15">
        <f t="shared" si="12"/>
        <v>32.94</v>
      </c>
      <c r="DU58" s="2"/>
      <c r="DV58" s="2">
        <f t="shared" si="13"/>
        <v>0</v>
      </c>
      <c r="DW58" s="2"/>
      <c r="DX58" s="2"/>
      <c r="DY58" s="2"/>
      <c r="DZ58" s="2" t="s">
        <v>3</v>
      </c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 t="s">
        <v>3</v>
      </c>
      <c r="FR58" s="2" t="s">
        <v>89</v>
      </c>
      <c r="FS58" s="2" t="s">
        <v>123</v>
      </c>
      <c r="FT58" s="2"/>
      <c r="FU58" s="2"/>
      <c r="FV58" s="2" t="s">
        <v>3</v>
      </c>
    </row>
    <row r="59" spans="1:178" ht="15.75" customHeight="1" x14ac:dyDescent="0.2">
      <c r="A59" s="14" t="s">
        <v>96</v>
      </c>
      <c r="B59" s="2" t="s">
        <v>133</v>
      </c>
      <c r="C59" s="16" t="s">
        <v>281</v>
      </c>
      <c r="D59" s="2" t="s">
        <v>99</v>
      </c>
      <c r="E59" s="2"/>
      <c r="F59" s="2"/>
      <c r="G59" s="2"/>
      <c r="H59" s="2" t="s">
        <v>79</v>
      </c>
      <c r="I59" s="2"/>
      <c r="J59" s="2"/>
      <c r="K59" s="2">
        <f>0.751+0.616</f>
        <v>1.367</v>
      </c>
      <c r="L59" s="2">
        <v>0.11</v>
      </c>
      <c r="M59" s="2">
        <v>2.5000000000000001E-2</v>
      </c>
      <c r="N59" s="2"/>
      <c r="O59" s="2"/>
      <c r="P59" s="2"/>
      <c r="Q59" s="2"/>
      <c r="R59" s="2"/>
      <c r="S59" s="4">
        <f>(1.37*0.751+1.43*0.616)/K59</f>
        <v>1.3970373079736651</v>
      </c>
      <c r="T59" s="2">
        <v>2.3E-2</v>
      </c>
      <c r="U59" s="2">
        <v>0.153</v>
      </c>
      <c r="V59" s="2">
        <v>0.36299999999999999</v>
      </c>
      <c r="W59" s="2"/>
      <c r="X59" s="2"/>
      <c r="Y59" s="2"/>
      <c r="Z59" s="2"/>
      <c r="AA59" s="2"/>
      <c r="AB59" s="2"/>
      <c r="AC59" s="2"/>
      <c r="AD59" s="2"/>
      <c r="AE59" s="2"/>
      <c r="AF59" s="2">
        <f>2.845+1.994</f>
        <v>4.8390000000000004</v>
      </c>
      <c r="AG59" s="2">
        <v>0.11</v>
      </c>
      <c r="AH59" s="2">
        <v>2.5000000000000001E-2</v>
      </c>
      <c r="AI59" s="2"/>
      <c r="AJ59" s="2"/>
      <c r="AK59" s="2"/>
      <c r="AL59" s="2"/>
      <c r="AM59" s="2"/>
      <c r="AN59" s="4">
        <f>(1.37*2.845+1.44*1.994)/AF59</f>
        <v>1.3988448026451745</v>
      </c>
      <c r="AO59" s="2">
        <v>2.3E-2</v>
      </c>
      <c r="AP59" s="2">
        <v>0.153</v>
      </c>
      <c r="AQ59" s="2">
        <v>0.36299999999999999</v>
      </c>
      <c r="AR59" s="2"/>
      <c r="AS59" s="2"/>
      <c r="AT59" s="2"/>
      <c r="AU59" s="2"/>
      <c r="AV59" s="2"/>
      <c r="AW59" s="2"/>
      <c r="AX59" s="2"/>
      <c r="AY59" s="2"/>
      <c r="AZ59" s="2"/>
      <c r="BA59" s="2">
        <v>5.0430000000000001</v>
      </c>
      <c r="BB59" s="2">
        <v>0.11</v>
      </c>
      <c r="BC59" s="2">
        <v>2.5000000000000001E-2</v>
      </c>
      <c r="BD59" s="2"/>
      <c r="BE59" s="2"/>
      <c r="BF59" s="2"/>
      <c r="BG59" s="2"/>
      <c r="BH59" s="2"/>
      <c r="BI59" s="2">
        <v>1.41</v>
      </c>
      <c r="BJ59" s="2">
        <v>2.3E-2</v>
      </c>
      <c r="BK59" s="2">
        <v>0.153</v>
      </c>
      <c r="BL59" s="2">
        <v>0.36299999999999999</v>
      </c>
      <c r="BM59" s="2"/>
      <c r="BN59" s="2"/>
      <c r="BO59" s="2"/>
      <c r="BP59" s="2"/>
      <c r="BQ59" s="2"/>
      <c r="BR59" s="2"/>
      <c r="BS59" s="2"/>
      <c r="BT59" s="2"/>
      <c r="BU59" s="2"/>
      <c r="BV59" s="2">
        <v>0.61599999999999999</v>
      </c>
      <c r="BW59" s="2">
        <v>0.11</v>
      </c>
      <c r="BX59" s="2">
        <v>2.5000000000000001E-2</v>
      </c>
      <c r="BY59" s="2"/>
      <c r="BZ59" s="2"/>
      <c r="CA59" s="2"/>
      <c r="CB59" s="2"/>
      <c r="CC59" s="2"/>
      <c r="CD59" s="2">
        <v>1.43</v>
      </c>
      <c r="CE59" s="2">
        <v>2.3E-2</v>
      </c>
      <c r="CF59" s="2">
        <v>0.153</v>
      </c>
      <c r="CG59" s="2">
        <v>0.36299999999999999</v>
      </c>
      <c r="CH59" s="2"/>
      <c r="CI59" s="2"/>
      <c r="CJ59" s="2"/>
      <c r="CK59" s="2"/>
      <c r="CL59" s="2"/>
      <c r="CM59" s="2"/>
      <c r="CN59" s="2"/>
      <c r="CO59" s="2"/>
      <c r="CP59" s="2"/>
      <c r="CQ59" s="2">
        <v>1.994</v>
      </c>
      <c r="CR59" s="2">
        <v>0.11</v>
      </c>
      <c r="CS59" s="2">
        <v>2.5000000000000001E-2</v>
      </c>
      <c r="CT59" s="2"/>
      <c r="CU59" s="2"/>
      <c r="CV59" s="2"/>
      <c r="CW59" s="2"/>
      <c r="CX59" s="2"/>
      <c r="CY59" s="2">
        <v>1.44</v>
      </c>
      <c r="CZ59" s="2">
        <v>2.3E-2</v>
      </c>
      <c r="DA59" s="2">
        <v>0.153</v>
      </c>
      <c r="DB59" s="2">
        <v>0.36299999999999999</v>
      </c>
      <c r="DC59" s="2"/>
      <c r="DD59" s="2"/>
      <c r="DE59" s="2"/>
      <c r="DF59" s="2"/>
      <c r="DG59" s="2"/>
      <c r="DH59" s="2"/>
      <c r="DI59" s="2"/>
      <c r="DJ59" s="2"/>
      <c r="DK59" s="2"/>
      <c r="DL59" s="14" t="s">
        <v>81</v>
      </c>
      <c r="DM59" s="2" t="s">
        <v>81</v>
      </c>
      <c r="DN59" s="2">
        <f t="shared" si="8"/>
        <v>1.4036261000977865</v>
      </c>
      <c r="DO59" s="2">
        <f t="shared" si="9"/>
        <v>2.2999999999999996E-2</v>
      </c>
      <c r="DP59" s="2" t="s">
        <v>282</v>
      </c>
      <c r="DQ59" s="2" t="s">
        <v>3</v>
      </c>
      <c r="DR59" s="4">
        <f t="shared" si="10"/>
        <v>11.249000000000001</v>
      </c>
      <c r="DS59" s="4">
        <f t="shared" si="11"/>
        <v>1.4036261000977865</v>
      </c>
      <c r="DT59" s="15">
        <f t="shared" si="12"/>
        <v>157.8939</v>
      </c>
      <c r="DU59" s="2"/>
      <c r="DV59" s="2">
        <f t="shared" si="13"/>
        <v>2.61</v>
      </c>
      <c r="DW59" s="4">
        <f>(BV59*CD59+CQ59*CY59)/DV59</f>
        <v>1.4376398467432949</v>
      </c>
      <c r="DX59" s="15">
        <f>1000*DV59*DW59/100</f>
        <v>37.522399999999998</v>
      </c>
      <c r="DY59" s="2"/>
      <c r="DZ59" s="2" t="s">
        <v>3</v>
      </c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 t="s">
        <v>3</v>
      </c>
      <c r="FR59" s="2" t="s">
        <v>89</v>
      </c>
      <c r="FS59" s="2" t="s">
        <v>283</v>
      </c>
      <c r="FT59" s="2" t="s">
        <v>284</v>
      </c>
      <c r="FU59" s="2"/>
      <c r="FV59" s="2" t="s">
        <v>3</v>
      </c>
    </row>
    <row r="60" spans="1:178" ht="15.75" customHeight="1" x14ac:dyDescent="0.2">
      <c r="A60" s="14" t="s">
        <v>96</v>
      </c>
      <c r="B60" s="2" t="s">
        <v>133</v>
      </c>
      <c r="C60" s="21" t="s">
        <v>285</v>
      </c>
      <c r="D60" s="2" t="s">
        <v>99</v>
      </c>
      <c r="E60" s="2"/>
      <c r="F60" s="2"/>
      <c r="G60" s="2"/>
      <c r="H60" s="2" t="s">
        <v>286</v>
      </c>
      <c r="I60" s="2"/>
      <c r="J60" s="2"/>
      <c r="K60" s="2">
        <v>0</v>
      </c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15">
        <f>271.934</f>
        <v>271.93400000000003</v>
      </c>
      <c r="AG60" s="19">
        <v>4.1599999999999996E-3</v>
      </c>
      <c r="AH60" s="2"/>
      <c r="AI60" s="2"/>
      <c r="AJ60" s="19">
        <f>0.00109/1.179</f>
        <v>9.2451229855810006E-4</v>
      </c>
      <c r="AK60" s="19">
        <f>0.0027*(95.94/(95.94+3*16.001))</f>
        <v>1.7995873366540927E-3</v>
      </c>
      <c r="AL60" s="2"/>
      <c r="AM60" s="19">
        <v>1.7479999999999999E-2</v>
      </c>
      <c r="AN60" s="19">
        <v>7.0299999999999998E-3</v>
      </c>
      <c r="AO60" s="19">
        <v>1.65E-3</v>
      </c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3">
        <f>4440.112+496.968</f>
        <v>4937.08</v>
      </c>
      <c r="BB60" s="19">
        <f>(0.00402*4440.112+0.00472*496.968)/BA60</f>
        <v>4.0904622165328494E-3</v>
      </c>
      <c r="BC60" s="2"/>
      <c r="BD60" s="2"/>
      <c r="BE60" s="19">
        <f>((0.00107*4440.112+0.00118*496.968)/BA60)/1.179</f>
        <v>9.1694031724053472E-4</v>
      </c>
      <c r="BF60" s="19">
        <f>((0.0023*4440.112+0.00259*496.968)/BA60)*(95.94/(95.94+3*16.001))</f>
        <v>1.5524383368586063E-3</v>
      </c>
      <c r="BG60" s="2"/>
      <c r="BH60" s="19">
        <f>(0.01696*4440.112+0.01847*496.968)/BA60</f>
        <v>1.711199706709229E-2</v>
      </c>
      <c r="BI60" s="19">
        <f>(0.00674*4440.112+0.00713*496.968)/BA60</f>
        <v>6.7792575206397305E-3</v>
      </c>
      <c r="BJ60" s="19">
        <f>(0.00153*4440.112+0.00152*496.968)/BA60</f>
        <v>1.5289933969066735E-3</v>
      </c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>
        <v>0</v>
      </c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>
        <v>0</v>
      </c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14" t="s">
        <v>81</v>
      </c>
      <c r="DM60" s="2" t="s">
        <v>81</v>
      </c>
      <c r="DN60" s="2">
        <f t="shared" si="8"/>
        <v>6.792347407781972E-3</v>
      </c>
      <c r="DO60" s="2">
        <f t="shared" si="9"/>
        <v>1.5353104867831032E-3</v>
      </c>
      <c r="DP60" s="2" t="s">
        <v>287</v>
      </c>
      <c r="DQ60" s="2" t="s">
        <v>3</v>
      </c>
      <c r="DR60" s="3">
        <f t="shared" si="10"/>
        <v>5209.0140000000001</v>
      </c>
      <c r="DS60" s="26">
        <f t="shared" si="11"/>
        <v>6.792347407781972E-3</v>
      </c>
      <c r="DT60" s="15">
        <f t="shared" si="12"/>
        <v>353.81432740000002</v>
      </c>
      <c r="DU60" s="2"/>
      <c r="DV60" s="2">
        <f t="shared" si="13"/>
        <v>0</v>
      </c>
      <c r="DW60" s="2"/>
      <c r="DX60" s="2"/>
      <c r="DY60" s="2"/>
      <c r="DZ60" s="2" t="s">
        <v>3</v>
      </c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 t="s">
        <v>3</v>
      </c>
      <c r="FR60" s="2" t="s">
        <v>183</v>
      </c>
      <c r="FS60" s="2" t="s">
        <v>288</v>
      </c>
      <c r="FT60" s="2" t="s">
        <v>289</v>
      </c>
      <c r="FU60" s="2" t="s">
        <v>290</v>
      </c>
      <c r="FV60" s="2" t="s">
        <v>3</v>
      </c>
    </row>
    <row r="61" spans="1:178" ht="15.75" customHeight="1" x14ac:dyDescent="0.2">
      <c r="A61" s="12" t="s">
        <v>74</v>
      </c>
      <c r="B61" s="2" t="s">
        <v>198</v>
      </c>
      <c r="C61" s="13" t="s">
        <v>291</v>
      </c>
      <c r="D61" s="2" t="s">
        <v>99</v>
      </c>
      <c r="E61" s="2"/>
      <c r="F61" s="2"/>
      <c r="G61" s="2" t="s">
        <v>78</v>
      </c>
      <c r="H61" s="2" t="s">
        <v>79</v>
      </c>
      <c r="I61" s="2"/>
      <c r="J61" s="2" t="s">
        <v>292</v>
      </c>
      <c r="K61" s="2">
        <v>0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>
        <v>0</v>
      </c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>
        <v>194.6</v>
      </c>
      <c r="BB61" s="2"/>
      <c r="BC61" s="2"/>
      <c r="BD61" s="2"/>
      <c r="BE61" s="2"/>
      <c r="BF61" s="2"/>
      <c r="BG61" s="2"/>
      <c r="BH61" s="2"/>
      <c r="BI61" s="2">
        <v>1.1000000000000001</v>
      </c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>
        <v>0</v>
      </c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>
        <v>0</v>
      </c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14" t="s">
        <v>100</v>
      </c>
      <c r="DM61" s="2"/>
      <c r="DN61" s="2">
        <f t="shared" si="8"/>
        <v>1.1000000000000001</v>
      </c>
      <c r="DO61" s="2">
        <f t="shared" si="9"/>
        <v>0</v>
      </c>
      <c r="DP61" s="2" t="s">
        <v>113</v>
      </c>
      <c r="DQ61" s="2" t="s">
        <v>3</v>
      </c>
      <c r="DR61" s="2">
        <f t="shared" si="10"/>
        <v>194.6</v>
      </c>
      <c r="DS61" s="4">
        <f t="shared" si="11"/>
        <v>1.1000000000000001</v>
      </c>
      <c r="DT61" s="18">
        <f t="shared" si="12"/>
        <v>2140.6000000000004</v>
      </c>
      <c r="DU61" s="2"/>
      <c r="DV61" s="2">
        <f t="shared" si="13"/>
        <v>0</v>
      </c>
      <c r="DW61" s="2"/>
      <c r="DX61" s="2"/>
      <c r="DY61" s="2"/>
      <c r="DZ61" s="2" t="s">
        <v>3</v>
      </c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 t="s">
        <v>3</v>
      </c>
      <c r="FR61" s="2" t="s">
        <v>37</v>
      </c>
      <c r="FS61" s="2" t="s">
        <v>106</v>
      </c>
      <c r="FT61" s="2" t="s">
        <v>106</v>
      </c>
      <c r="FU61" s="2"/>
      <c r="FV61" s="2" t="s">
        <v>3</v>
      </c>
    </row>
    <row r="62" spans="1:178" ht="15.75" customHeight="1" x14ac:dyDescent="0.2">
      <c r="A62" s="12" t="s">
        <v>74</v>
      </c>
      <c r="B62" s="2" t="s">
        <v>97</v>
      </c>
      <c r="C62" s="13" t="s">
        <v>293</v>
      </c>
      <c r="D62" s="2" t="s">
        <v>120</v>
      </c>
      <c r="E62" s="2"/>
      <c r="F62" s="2"/>
      <c r="G62" s="2"/>
      <c r="H62" s="2" t="s">
        <v>294</v>
      </c>
      <c r="I62" s="2"/>
      <c r="J62" s="2"/>
      <c r="K62" s="2">
        <v>0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>
        <v>0</v>
      </c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4">
        <f>71.4-1.0315</f>
        <v>70.368500000000012</v>
      </c>
      <c r="BB62" s="2"/>
      <c r="BC62" s="2"/>
      <c r="BD62" s="2"/>
      <c r="BE62" s="2"/>
      <c r="BF62" s="2"/>
      <c r="BG62" s="2"/>
      <c r="BH62" s="2"/>
      <c r="BI62" s="4">
        <f>(0.86*71.4-1.04*1.0315)/(71.4-1.0315)</f>
        <v>0.85736146144936998</v>
      </c>
      <c r="BJ62" s="2">
        <v>0.1</v>
      </c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>
        <v>0</v>
      </c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>
        <v>0</v>
      </c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14" t="s">
        <v>100</v>
      </c>
      <c r="DM62" s="2" t="s">
        <v>100</v>
      </c>
      <c r="DN62" s="2">
        <f t="shared" si="8"/>
        <v>0.85736146144936998</v>
      </c>
      <c r="DO62" s="2">
        <f t="shared" si="9"/>
        <v>0.1</v>
      </c>
      <c r="DP62" s="2" t="s">
        <v>295</v>
      </c>
      <c r="DQ62" s="2" t="s">
        <v>3</v>
      </c>
      <c r="DR62" s="4">
        <f t="shared" si="10"/>
        <v>70.368500000000012</v>
      </c>
      <c r="DS62" s="4">
        <f t="shared" si="11"/>
        <v>0.85736146144936998</v>
      </c>
      <c r="DT62" s="15">
        <f t="shared" si="12"/>
        <v>603.31240000000003</v>
      </c>
      <c r="DU62" s="2"/>
      <c r="DV62" s="2">
        <f t="shared" si="13"/>
        <v>0</v>
      </c>
      <c r="DW62" s="2"/>
      <c r="DX62" s="2"/>
      <c r="DY62" s="2"/>
      <c r="DZ62" s="2" t="s">
        <v>3</v>
      </c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 t="s">
        <v>3</v>
      </c>
      <c r="FR62" s="2" t="s">
        <v>37</v>
      </c>
      <c r="FS62" s="2" t="s">
        <v>229</v>
      </c>
      <c r="FT62" s="2"/>
      <c r="FU62" s="2"/>
      <c r="FV62" s="2" t="s">
        <v>3</v>
      </c>
    </row>
    <row r="63" spans="1:178" ht="15.75" customHeight="1" x14ac:dyDescent="0.2">
      <c r="A63" s="14" t="s">
        <v>96</v>
      </c>
      <c r="B63" s="2" t="s">
        <v>164</v>
      </c>
      <c r="C63" s="16" t="s">
        <v>296</v>
      </c>
      <c r="D63" s="2" t="s">
        <v>99</v>
      </c>
      <c r="E63" s="2"/>
      <c r="F63" s="2"/>
      <c r="G63" s="2" t="s">
        <v>179</v>
      </c>
      <c r="H63" s="2" t="s">
        <v>297</v>
      </c>
      <c r="I63" s="2"/>
      <c r="J63" s="2" t="s">
        <v>181</v>
      </c>
      <c r="K63" s="2">
        <v>0</v>
      </c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>
        <v>0</v>
      </c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>
        <v>0.1</v>
      </c>
      <c r="BB63" s="2"/>
      <c r="BC63" s="2"/>
      <c r="BD63" s="2"/>
      <c r="BE63" s="2"/>
      <c r="BF63" s="2"/>
      <c r="BG63" s="2"/>
      <c r="BH63" s="2"/>
      <c r="BI63" s="2">
        <v>1.4</v>
      </c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>
        <v>0</v>
      </c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>
        <v>0</v>
      </c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14" t="s">
        <v>81</v>
      </c>
      <c r="DM63" s="2"/>
      <c r="DN63" s="2">
        <f t="shared" si="8"/>
        <v>1.3999999999999997</v>
      </c>
      <c r="DO63" s="2">
        <f t="shared" si="9"/>
        <v>0</v>
      </c>
      <c r="DP63" s="2" t="s">
        <v>175</v>
      </c>
      <c r="DQ63" s="2" t="s">
        <v>3</v>
      </c>
      <c r="DR63" s="2">
        <f t="shared" si="10"/>
        <v>0.1</v>
      </c>
      <c r="DS63" s="2">
        <f t="shared" si="11"/>
        <v>1.3999999999999997</v>
      </c>
      <c r="DT63" s="15">
        <f t="shared" si="12"/>
        <v>1.3999999999999997</v>
      </c>
      <c r="DU63" s="2"/>
      <c r="DV63" s="2">
        <f t="shared" si="13"/>
        <v>0</v>
      </c>
      <c r="DW63" s="2"/>
      <c r="DX63" s="2"/>
      <c r="DY63" s="2"/>
      <c r="DZ63" s="2" t="s">
        <v>3</v>
      </c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 t="s">
        <v>3</v>
      </c>
      <c r="FR63" s="2" t="s">
        <v>89</v>
      </c>
      <c r="FS63" s="2" t="s">
        <v>90</v>
      </c>
      <c r="FT63" s="2"/>
      <c r="FU63" s="2"/>
      <c r="FV63" s="2" t="s">
        <v>3</v>
      </c>
    </row>
    <row r="64" spans="1:178" ht="15.75" customHeight="1" x14ac:dyDescent="0.2">
      <c r="A64" s="14" t="s">
        <v>96</v>
      </c>
      <c r="B64" s="2" t="s">
        <v>115</v>
      </c>
      <c r="C64" s="16" t="s">
        <v>298</v>
      </c>
      <c r="D64" s="2" t="s">
        <v>99</v>
      </c>
      <c r="E64" s="2"/>
      <c r="F64" s="2"/>
      <c r="G64" s="2"/>
      <c r="H64" s="2" t="s">
        <v>79</v>
      </c>
      <c r="I64" s="2"/>
      <c r="J64" s="2"/>
      <c r="K64" s="2">
        <v>0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>
        <v>0</v>
      </c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>
        <v>200</v>
      </c>
      <c r="BB64" s="2">
        <v>0.13</v>
      </c>
      <c r="BC64" s="2"/>
      <c r="BD64" s="2"/>
      <c r="BE64" s="2"/>
      <c r="BF64" s="2"/>
      <c r="BG64" s="2"/>
      <c r="BH64" s="2"/>
      <c r="BI64" s="4">
        <v>0.2</v>
      </c>
      <c r="BJ64" s="2">
        <v>1.6E-2</v>
      </c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>
        <v>0</v>
      </c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>
        <v>0</v>
      </c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14" t="s">
        <v>100</v>
      </c>
      <c r="DM64" s="2" t="s">
        <v>100</v>
      </c>
      <c r="DN64" s="2">
        <f t="shared" si="8"/>
        <v>0.2</v>
      </c>
      <c r="DO64" s="2">
        <f t="shared" si="9"/>
        <v>1.6E-2</v>
      </c>
      <c r="DP64" s="2" t="s">
        <v>299</v>
      </c>
      <c r="DQ64" s="2" t="s">
        <v>3</v>
      </c>
      <c r="DR64" s="2">
        <f t="shared" si="10"/>
        <v>200</v>
      </c>
      <c r="DS64" s="2">
        <f t="shared" si="11"/>
        <v>0.2</v>
      </c>
      <c r="DT64" s="15">
        <f t="shared" si="12"/>
        <v>400</v>
      </c>
      <c r="DU64" s="2"/>
      <c r="DV64" s="2">
        <f t="shared" si="13"/>
        <v>0</v>
      </c>
      <c r="DW64" s="2"/>
      <c r="DX64" s="2"/>
      <c r="DY64" s="2"/>
      <c r="DZ64" s="2" t="s">
        <v>3</v>
      </c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 t="s">
        <v>3</v>
      </c>
      <c r="FR64" s="2" t="s">
        <v>89</v>
      </c>
      <c r="FS64" s="2" t="s">
        <v>90</v>
      </c>
      <c r="FT64" s="2"/>
      <c r="FU64" s="2"/>
      <c r="FV64" s="2" t="s">
        <v>3</v>
      </c>
    </row>
    <row r="65" spans="1:178" ht="15.75" customHeight="1" x14ac:dyDescent="0.2">
      <c r="A65" s="12" t="s">
        <v>74</v>
      </c>
      <c r="B65" s="2" t="s">
        <v>75</v>
      </c>
      <c r="C65" s="13" t="s">
        <v>300</v>
      </c>
      <c r="D65" s="2" t="s">
        <v>109</v>
      </c>
      <c r="E65" s="2"/>
      <c r="F65" s="2"/>
      <c r="G65" s="2" t="s">
        <v>78</v>
      </c>
      <c r="H65" s="2" t="s">
        <v>301</v>
      </c>
      <c r="I65" s="2"/>
      <c r="J65" s="2" t="s">
        <v>141</v>
      </c>
      <c r="K65" s="2">
        <v>32.774999999999999</v>
      </c>
      <c r="L65" s="2"/>
      <c r="M65" s="2"/>
      <c r="N65" s="2"/>
      <c r="O65" s="2"/>
      <c r="P65" s="2"/>
      <c r="Q65" s="2"/>
      <c r="R65" s="2"/>
      <c r="S65" s="2">
        <v>1.1000000000000001</v>
      </c>
      <c r="T65" s="2"/>
      <c r="U65" s="2"/>
      <c r="V65" s="2"/>
      <c r="W65" s="2"/>
      <c r="X65" s="2"/>
      <c r="Y65" s="2"/>
      <c r="Z65" s="2"/>
      <c r="AA65" s="2">
        <v>35.200000000000003</v>
      </c>
      <c r="AB65" s="2"/>
      <c r="AC65" s="2"/>
      <c r="AD65" s="2"/>
      <c r="AE65" s="2"/>
      <c r="AF65" s="2">
        <v>21.385000000000002</v>
      </c>
      <c r="AG65" s="2"/>
      <c r="AH65" s="2"/>
      <c r="AI65" s="2"/>
      <c r="AJ65" s="2"/>
      <c r="AK65" s="2"/>
      <c r="AL65" s="2"/>
      <c r="AM65" s="2"/>
      <c r="AN65" s="2">
        <v>1.2</v>
      </c>
      <c r="AO65" s="2"/>
      <c r="AP65" s="2"/>
      <c r="AQ65" s="2"/>
      <c r="AR65" s="2"/>
      <c r="AS65" s="2"/>
      <c r="AT65" s="2"/>
      <c r="AU65" s="2"/>
      <c r="AV65" s="2">
        <v>25.7</v>
      </c>
      <c r="AW65" s="2"/>
      <c r="AX65" s="2"/>
      <c r="AY65" s="2"/>
      <c r="AZ65" s="2"/>
      <c r="BA65" s="2">
        <v>0</v>
      </c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4">
        <v>25.081603000000001</v>
      </c>
      <c r="BW65" s="2"/>
      <c r="BX65" s="2"/>
      <c r="BY65" s="2"/>
      <c r="BZ65" s="2"/>
      <c r="CA65" s="2"/>
      <c r="CB65" s="2"/>
      <c r="CC65" s="2"/>
      <c r="CD65" s="2">
        <v>1.17</v>
      </c>
      <c r="CE65" s="2"/>
      <c r="CF65" s="2"/>
      <c r="CG65" s="2"/>
      <c r="CH65" s="2"/>
      <c r="CI65" s="2"/>
      <c r="CJ65" s="2"/>
      <c r="CK65" s="2"/>
      <c r="CL65" s="2">
        <v>35.46</v>
      </c>
      <c r="CM65" s="2"/>
      <c r="CN65" s="2"/>
      <c r="CO65" s="2"/>
      <c r="CP65" s="2"/>
      <c r="CQ65" s="4">
        <v>11.261068</v>
      </c>
      <c r="CR65" s="2"/>
      <c r="CS65" s="2"/>
      <c r="CT65" s="2"/>
      <c r="CU65" s="2"/>
      <c r="CV65" s="2"/>
      <c r="CW65" s="2"/>
      <c r="CX65" s="2"/>
      <c r="CY65" s="2">
        <v>1.34</v>
      </c>
      <c r="CZ65" s="2"/>
      <c r="DA65" s="2"/>
      <c r="DB65" s="2"/>
      <c r="DC65" s="2"/>
      <c r="DD65" s="2"/>
      <c r="DE65" s="2"/>
      <c r="DF65" s="2"/>
      <c r="DG65" s="2">
        <v>23.37</v>
      </c>
      <c r="DH65" s="2"/>
      <c r="DI65" s="2"/>
      <c r="DJ65" s="2"/>
      <c r="DK65" s="2"/>
      <c r="DL65" s="14" t="s">
        <v>81</v>
      </c>
      <c r="DM65" s="2"/>
      <c r="DN65" s="2">
        <f t="shared" si="8"/>
        <v>1.1394848596750371</v>
      </c>
      <c r="DO65" s="2">
        <f t="shared" si="9"/>
        <v>0</v>
      </c>
      <c r="DP65" s="2" t="s">
        <v>302</v>
      </c>
      <c r="DQ65" s="2" t="s">
        <v>3</v>
      </c>
      <c r="DR65" s="2">
        <f t="shared" si="10"/>
        <v>54.16</v>
      </c>
      <c r="DS65" s="4">
        <f t="shared" si="11"/>
        <v>1.1394848596750371</v>
      </c>
      <c r="DT65" s="15">
        <f t="shared" si="12"/>
        <v>617.1450000000001</v>
      </c>
      <c r="DU65" s="2"/>
      <c r="DV65" s="4">
        <f t="shared" si="13"/>
        <v>36.342671000000003</v>
      </c>
      <c r="DW65" s="4">
        <f t="shared" ref="DW65:DW66" si="18">(BV65*CD65+CQ65*CY65)/DV65</f>
        <v>1.2226758630371444</v>
      </c>
      <c r="DX65" s="15">
        <f t="shared" ref="DX65:DX66" si="19">1000*DV65*DW65/100</f>
        <v>444.35306629999997</v>
      </c>
      <c r="DY65" s="2"/>
      <c r="DZ65" s="2" t="s">
        <v>3</v>
      </c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 t="s">
        <v>3</v>
      </c>
      <c r="FR65" s="2" t="s">
        <v>37</v>
      </c>
      <c r="FS65" s="2" t="s">
        <v>114</v>
      </c>
      <c r="FT65" s="2" t="s">
        <v>114</v>
      </c>
      <c r="FU65" s="2"/>
      <c r="FV65" s="2" t="s">
        <v>3</v>
      </c>
    </row>
    <row r="66" spans="1:178" ht="15.75" customHeight="1" x14ac:dyDescent="0.2">
      <c r="A66" s="12" t="s">
        <v>74</v>
      </c>
      <c r="B66" s="2" t="s">
        <v>75</v>
      </c>
      <c r="C66" s="13" t="s">
        <v>303</v>
      </c>
      <c r="D66" s="2" t="s">
        <v>109</v>
      </c>
      <c r="E66" s="2"/>
      <c r="F66" s="2"/>
      <c r="G66" s="2" t="s">
        <v>78</v>
      </c>
      <c r="H66" s="2" t="s">
        <v>304</v>
      </c>
      <c r="I66" s="2"/>
      <c r="J66" s="2" t="s">
        <v>141</v>
      </c>
      <c r="K66" s="2">
        <v>0</v>
      </c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4">
        <f>18.818+12.879</f>
        <v>31.697000000000003</v>
      </c>
      <c r="AG66" s="2"/>
      <c r="AH66" s="2"/>
      <c r="AI66" s="2"/>
      <c r="AJ66" s="2"/>
      <c r="AK66" s="2"/>
      <c r="AL66" s="2"/>
      <c r="AM66" s="2"/>
      <c r="AN66" s="4">
        <f>(1.36*18.818+1.21*12.879)/AF66</f>
        <v>1.2990525917279239</v>
      </c>
      <c r="AO66" s="2"/>
      <c r="AP66" s="2"/>
      <c r="AQ66" s="2"/>
      <c r="AR66" s="2"/>
      <c r="AS66" s="2"/>
      <c r="AT66" s="2"/>
      <c r="AU66" s="2"/>
      <c r="AV66" s="4">
        <f>(12.85*18.818+34.25*12.879)/AF66</f>
        <v>21.545163580149541</v>
      </c>
      <c r="AW66" s="2"/>
      <c r="AX66" s="2"/>
      <c r="AY66" s="2"/>
      <c r="AZ66" s="4">
        <f>100*((28.96+19.851)-(18.818+12.879))/(28.96+19.851)</f>
        <v>35.061768863575828</v>
      </c>
      <c r="BA66" s="4">
        <f>1.916+0.567</f>
        <v>2.4829999999999997</v>
      </c>
      <c r="BB66" s="2"/>
      <c r="BC66" s="2"/>
      <c r="BD66" s="2"/>
      <c r="BE66" s="2"/>
      <c r="BF66" s="2"/>
      <c r="BG66" s="2"/>
      <c r="BH66" s="2"/>
      <c r="BI66" s="4">
        <f>(1.2*1.916+1.14*0.567)/BA66</f>
        <v>1.1862988320579944</v>
      </c>
      <c r="BJ66" s="2"/>
      <c r="BK66" s="2"/>
      <c r="BL66" s="2"/>
      <c r="BM66" s="2"/>
      <c r="BN66" s="2"/>
      <c r="BO66" s="2"/>
      <c r="BP66" s="2"/>
      <c r="BQ66" s="4">
        <f>(13.73*1.916+30.99*0.567)/BA66</f>
        <v>17.671369311316955</v>
      </c>
      <c r="BR66" s="2"/>
      <c r="BS66" s="2"/>
      <c r="BT66" s="2"/>
      <c r="BU66" s="4">
        <f>100*((2.947+0.873)-(1.916+0.567))/(2.947+0.873)</f>
        <v>35.000000000000014</v>
      </c>
      <c r="BV66" s="2">
        <v>0</v>
      </c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4">
        <f>12.82+12.395</f>
        <v>25.215</v>
      </c>
      <c r="CR66" s="2"/>
      <c r="CS66" s="2"/>
      <c r="CT66" s="2"/>
      <c r="CU66" s="2"/>
      <c r="CV66" s="2"/>
      <c r="CW66" s="2"/>
      <c r="CX66" s="2"/>
      <c r="CY66" s="4">
        <f>(1.49*12.82+1.19*12.395)/CQ66</f>
        <v>1.3425282569898869</v>
      </c>
      <c r="CZ66" s="2"/>
      <c r="DA66" s="2"/>
      <c r="DB66" s="2"/>
      <c r="DC66" s="2"/>
      <c r="DD66" s="2"/>
      <c r="DE66" s="2"/>
      <c r="DF66" s="2"/>
      <c r="DG66" s="4">
        <f>(17.21*12.82+27.42*12.395)/CQ66</f>
        <v>22.228954987110846</v>
      </c>
      <c r="DH66" s="2"/>
      <c r="DI66" s="2"/>
      <c r="DJ66" s="2"/>
      <c r="DK66" s="4">
        <f>100*((19.723+19.07)-(12.82+12.395))/(19.723+19.07)</f>
        <v>35.001160003093339</v>
      </c>
      <c r="DL66" s="14" t="s">
        <v>81</v>
      </c>
      <c r="DM66" s="2"/>
      <c r="DN66" s="2">
        <f t="shared" si="8"/>
        <v>1.2908616149795202</v>
      </c>
      <c r="DO66" s="2">
        <f t="shared" si="9"/>
        <v>0</v>
      </c>
      <c r="DP66" s="2" t="s">
        <v>211</v>
      </c>
      <c r="DQ66" s="2" t="s">
        <v>3</v>
      </c>
      <c r="DR66" s="4">
        <f t="shared" si="10"/>
        <v>34.18</v>
      </c>
      <c r="DS66" s="4">
        <f t="shared" si="11"/>
        <v>1.2908616149795202</v>
      </c>
      <c r="DT66" s="15">
        <f t="shared" si="12"/>
        <v>441.2165</v>
      </c>
      <c r="DU66" s="2"/>
      <c r="DV66" s="4">
        <f t="shared" si="13"/>
        <v>25.215</v>
      </c>
      <c r="DW66" s="4">
        <f t="shared" si="18"/>
        <v>1.3425282569898869</v>
      </c>
      <c r="DX66" s="15">
        <f t="shared" si="19"/>
        <v>338.51849999999996</v>
      </c>
      <c r="DY66" s="2"/>
      <c r="DZ66" s="2" t="s">
        <v>3</v>
      </c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 t="s">
        <v>3</v>
      </c>
      <c r="FR66" s="2" t="s">
        <v>37</v>
      </c>
      <c r="FS66" s="2" t="s">
        <v>114</v>
      </c>
      <c r="FT66" s="2" t="s">
        <v>114</v>
      </c>
      <c r="FU66" s="2"/>
      <c r="FV66" s="2" t="s">
        <v>3</v>
      </c>
    </row>
    <row r="67" spans="1:178" ht="15.75" customHeight="1" x14ac:dyDescent="0.2">
      <c r="A67" s="12" t="s">
        <v>74</v>
      </c>
      <c r="B67" s="2" t="s">
        <v>305</v>
      </c>
      <c r="C67" s="13" t="s">
        <v>306</v>
      </c>
      <c r="D67" s="2" t="s">
        <v>99</v>
      </c>
      <c r="E67" s="2"/>
      <c r="F67" s="2"/>
      <c r="G67" s="2"/>
      <c r="H67" s="2" t="s">
        <v>307</v>
      </c>
      <c r="I67" s="2"/>
      <c r="J67" s="2"/>
      <c r="K67" s="2">
        <v>0</v>
      </c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>
        <v>0</v>
      </c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>
        <v>44.8</v>
      </c>
      <c r="BB67" s="2"/>
      <c r="BC67" s="2"/>
      <c r="BD67" s="2"/>
      <c r="BE67" s="2"/>
      <c r="BF67" s="2"/>
      <c r="BG67" s="2"/>
      <c r="BH67" s="2"/>
      <c r="BI67" s="2">
        <v>1.1100000000000001</v>
      </c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>
        <v>0</v>
      </c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>
        <v>0</v>
      </c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14" t="s">
        <v>100</v>
      </c>
      <c r="DM67" s="2"/>
      <c r="DN67" s="2">
        <f t="shared" si="8"/>
        <v>1.1100000000000001</v>
      </c>
      <c r="DO67" s="2">
        <f t="shared" si="9"/>
        <v>0</v>
      </c>
      <c r="DP67" s="2" t="s">
        <v>113</v>
      </c>
      <c r="DQ67" s="2" t="s">
        <v>3</v>
      </c>
      <c r="DR67" s="2">
        <f t="shared" si="10"/>
        <v>44.8</v>
      </c>
      <c r="DS67" s="2">
        <f t="shared" si="11"/>
        <v>1.1100000000000001</v>
      </c>
      <c r="DT67" s="15">
        <f t="shared" si="12"/>
        <v>497.28000000000009</v>
      </c>
      <c r="DU67" s="2"/>
      <c r="DV67" s="2">
        <f t="shared" si="13"/>
        <v>0</v>
      </c>
      <c r="DW67" s="2"/>
      <c r="DX67" s="2"/>
      <c r="DY67" s="2"/>
      <c r="DZ67" s="2" t="s">
        <v>3</v>
      </c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7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 t="s">
        <v>3</v>
      </c>
      <c r="FR67" s="2" t="s">
        <v>37</v>
      </c>
      <c r="FS67" s="2" t="s">
        <v>235</v>
      </c>
      <c r="FT67" s="2" t="s">
        <v>235</v>
      </c>
      <c r="FU67" s="2"/>
      <c r="FV67" s="2" t="s">
        <v>3</v>
      </c>
    </row>
    <row r="68" spans="1:178" ht="15.75" customHeight="1" x14ac:dyDescent="0.2">
      <c r="A68" s="14" t="s">
        <v>74</v>
      </c>
      <c r="B68" s="2" t="s">
        <v>164</v>
      </c>
      <c r="C68" s="13" t="s">
        <v>308</v>
      </c>
      <c r="D68" s="2" t="s">
        <v>99</v>
      </c>
      <c r="E68" s="2"/>
      <c r="F68" s="2"/>
      <c r="G68" s="2" t="s">
        <v>78</v>
      </c>
      <c r="H68" s="2" t="s">
        <v>309</v>
      </c>
      <c r="I68" s="2"/>
      <c r="J68" s="2" t="s">
        <v>242</v>
      </c>
      <c r="K68" s="2">
        <v>0</v>
      </c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>
        <v>0</v>
      </c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>
        <v>4.6500000000000004</v>
      </c>
      <c r="BB68" s="2"/>
      <c r="BC68" s="2"/>
      <c r="BD68" s="2"/>
      <c r="BE68" s="2"/>
      <c r="BF68" s="2"/>
      <c r="BG68" s="2"/>
      <c r="BH68" s="2"/>
      <c r="BI68" s="2">
        <v>0.98</v>
      </c>
      <c r="BJ68" s="2">
        <v>6.9000000000000006E-2</v>
      </c>
      <c r="BK68" s="2"/>
      <c r="BL68" s="2"/>
      <c r="BM68" s="2"/>
      <c r="BN68" s="2"/>
      <c r="BO68" s="2"/>
      <c r="BP68" s="2"/>
      <c r="BQ68" s="2">
        <v>18.5</v>
      </c>
      <c r="BR68" s="2"/>
      <c r="BS68" s="2"/>
      <c r="BT68" s="2"/>
      <c r="BU68" s="2"/>
      <c r="BV68" s="2">
        <v>0</v>
      </c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>
        <v>0</v>
      </c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14" t="s">
        <v>81</v>
      </c>
      <c r="DM68" s="2" t="s">
        <v>81</v>
      </c>
      <c r="DN68" s="2">
        <f t="shared" si="8"/>
        <v>0.98</v>
      </c>
      <c r="DO68" s="2">
        <f t="shared" si="9"/>
        <v>6.9000000000000006E-2</v>
      </c>
      <c r="DP68" s="2" t="s">
        <v>175</v>
      </c>
      <c r="DQ68" s="2" t="s">
        <v>3</v>
      </c>
      <c r="DR68" s="2">
        <f t="shared" si="10"/>
        <v>4.6500000000000004</v>
      </c>
      <c r="DS68" s="2">
        <f t="shared" si="11"/>
        <v>0.98</v>
      </c>
      <c r="DT68" s="15">
        <f t="shared" si="12"/>
        <v>45.57</v>
      </c>
      <c r="DU68" s="2"/>
      <c r="DV68" s="2">
        <f t="shared" si="13"/>
        <v>0</v>
      </c>
      <c r="DW68" s="2"/>
      <c r="DX68" s="2"/>
      <c r="DY68" s="2"/>
      <c r="DZ68" s="2" t="s">
        <v>3</v>
      </c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 t="s">
        <v>3</v>
      </c>
      <c r="FR68" s="2" t="s">
        <v>37</v>
      </c>
      <c r="FS68" s="2" t="s">
        <v>114</v>
      </c>
      <c r="FT68" s="2" t="s">
        <v>114</v>
      </c>
      <c r="FU68" s="2"/>
      <c r="FV68" s="2" t="s">
        <v>3</v>
      </c>
    </row>
    <row r="69" spans="1:178" ht="15.75" customHeight="1" x14ac:dyDescent="0.2">
      <c r="A69" s="14" t="s">
        <v>96</v>
      </c>
      <c r="B69" s="2" t="s">
        <v>133</v>
      </c>
      <c r="C69" s="16" t="s">
        <v>310</v>
      </c>
      <c r="D69" s="2" t="s">
        <v>99</v>
      </c>
      <c r="E69" s="2"/>
      <c r="F69" s="2"/>
      <c r="G69" s="2"/>
      <c r="H69" s="2" t="s">
        <v>311</v>
      </c>
      <c r="I69" s="2"/>
      <c r="J69" s="2"/>
      <c r="K69" s="2">
        <v>0</v>
      </c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>
        <v>0</v>
      </c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19">
        <v>0.390235</v>
      </c>
      <c r="BB69" s="2"/>
      <c r="BC69" s="2"/>
      <c r="BD69" s="2"/>
      <c r="BE69" s="2"/>
      <c r="BF69" s="2"/>
      <c r="BG69" s="2"/>
      <c r="BH69" s="2"/>
      <c r="BI69" s="2">
        <v>1.35</v>
      </c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>
        <v>0</v>
      </c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>
        <v>0</v>
      </c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14" t="s">
        <v>100</v>
      </c>
      <c r="DM69" s="2"/>
      <c r="DN69" s="2">
        <f t="shared" si="8"/>
        <v>1.35</v>
      </c>
      <c r="DO69" s="2">
        <f t="shared" si="9"/>
        <v>0</v>
      </c>
      <c r="DP69" s="2" t="s">
        <v>312</v>
      </c>
      <c r="DQ69" s="2" t="s">
        <v>3</v>
      </c>
      <c r="DR69" s="19">
        <f t="shared" si="10"/>
        <v>0.390235</v>
      </c>
      <c r="DS69" s="2">
        <f t="shared" si="11"/>
        <v>1.35</v>
      </c>
      <c r="DT69" s="15">
        <f t="shared" si="12"/>
        <v>5.2681725000000004</v>
      </c>
      <c r="DU69" s="2"/>
      <c r="DV69" s="2">
        <f t="shared" si="13"/>
        <v>0</v>
      </c>
      <c r="DW69" s="2"/>
      <c r="DX69" s="2"/>
      <c r="DY69" s="2"/>
      <c r="DZ69" s="2" t="s">
        <v>3</v>
      </c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 t="s">
        <v>3</v>
      </c>
      <c r="FR69" s="2" t="s">
        <v>89</v>
      </c>
      <c r="FS69" s="2" t="s">
        <v>123</v>
      </c>
      <c r="FT69" s="2"/>
      <c r="FU69" s="2"/>
      <c r="FV69" s="2" t="s">
        <v>3</v>
      </c>
    </row>
    <row r="70" spans="1:178" ht="15.75" customHeight="1" x14ac:dyDescent="0.2">
      <c r="A70" s="14" t="s">
        <v>96</v>
      </c>
      <c r="B70" s="2" t="s">
        <v>164</v>
      </c>
      <c r="C70" s="16" t="s">
        <v>313</v>
      </c>
      <c r="D70" s="2" t="s">
        <v>120</v>
      </c>
      <c r="E70" s="2"/>
      <c r="F70" s="2"/>
      <c r="G70" s="2" t="s">
        <v>179</v>
      </c>
      <c r="H70" s="2" t="s">
        <v>314</v>
      </c>
      <c r="I70" s="2"/>
      <c r="J70" s="2" t="s">
        <v>181</v>
      </c>
      <c r="K70" s="2">
        <v>0</v>
      </c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>
        <f>0.382+0.091+0.103</f>
        <v>0.57599999999999996</v>
      </c>
      <c r="AG70" s="15">
        <f>(0.5*0.382+0.4*0.091+0.4*0.103)/AF70</f>
        <v>0.46631944444444451</v>
      </c>
      <c r="AH70" s="2"/>
      <c r="AI70" s="2"/>
      <c r="AJ70" s="2"/>
      <c r="AK70" s="2"/>
      <c r="AL70" s="2"/>
      <c r="AM70" s="2"/>
      <c r="AN70" s="15">
        <f>(1.4*0.382+1.7*0.091+1.1*0.103)/AF70</f>
        <v>1.39375</v>
      </c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>
        <f>0.021+0.004</f>
        <v>2.5000000000000001E-2</v>
      </c>
      <c r="BB70" s="15">
        <f>(0.4*0.021+0.5*0.004)/BA70</f>
        <v>0.41600000000000004</v>
      </c>
      <c r="BC70" s="2"/>
      <c r="BD70" s="2"/>
      <c r="BE70" s="2"/>
      <c r="BF70" s="2"/>
      <c r="BG70" s="2"/>
      <c r="BH70" s="2"/>
      <c r="BI70" s="15">
        <f>(1.6*0.021+1.4*0.004)/BA70</f>
        <v>1.5680000000000001</v>
      </c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>
        <v>0</v>
      </c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>
        <v>0</v>
      </c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14" t="s">
        <v>81</v>
      </c>
      <c r="DM70" s="2"/>
      <c r="DN70" s="2">
        <f t="shared" si="8"/>
        <v>1.4009983361064893</v>
      </c>
      <c r="DO70" s="2">
        <f t="shared" si="9"/>
        <v>0</v>
      </c>
      <c r="DP70" s="2" t="s">
        <v>175</v>
      </c>
      <c r="DQ70" s="2" t="s">
        <v>3</v>
      </c>
      <c r="DR70" s="2">
        <f t="shared" si="10"/>
        <v>0.60099999999999998</v>
      </c>
      <c r="DS70" s="4">
        <f t="shared" si="11"/>
        <v>1.4009983361064893</v>
      </c>
      <c r="DT70" s="15">
        <f t="shared" si="12"/>
        <v>8.42</v>
      </c>
      <c r="DU70" s="2"/>
      <c r="DV70" s="2">
        <f t="shared" si="13"/>
        <v>0</v>
      </c>
      <c r="DW70" s="2"/>
      <c r="DX70" s="2"/>
      <c r="DY70" s="2"/>
      <c r="DZ70" s="2" t="s">
        <v>3</v>
      </c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 t="s">
        <v>3</v>
      </c>
      <c r="FR70" s="2" t="s">
        <v>89</v>
      </c>
      <c r="FS70" s="2" t="s">
        <v>137</v>
      </c>
      <c r="FT70" s="2"/>
      <c r="FU70" s="2"/>
      <c r="FV70" s="2" t="s">
        <v>3</v>
      </c>
    </row>
    <row r="71" spans="1:178" ht="15.75" customHeight="1" x14ac:dyDescent="0.2">
      <c r="A71" s="12" t="s">
        <v>74</v>
      </c>
      <c r="B71" s="2" t="s">
        <v>75</v>
      </c>
      <c r="C71" s="13" t="s">
        <v>315</v>
      </c>
      <c r="D71" s="2" t="s">
        <v>99</v>
      </c>
      <c r="E71" s="2"/>
      <c r="F71" s="2"/>
      <c r="G71" s="2" t="s">
        <v>78</v>
      </c>
      <c r="H71" s="2" t="s">
        <v>316</v>
      </c>
      <c r="I71" s="2"/>
      <c r="J71" s="2" t="s">
        <v>141</v>
      </c>
      <c r="K71" s="2">
        <v>0</v>
      </c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>
        <v>0</v>
      </c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15">
        <v>21</v>
      </c>
      <c r="BB71" s="2"/>
      <c r="BC71" s="2"/>
      <c r="BD71" s="2"/>
      <c r="BE71" s="2"/>
      <c r="BF71" s="2"/>
      <c r="BG71" s="2"/>
      <c r="BH71" s="2"/>
      <c r="BI71" s="4">
        <v>1.1000000000000001</v>
      </c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>
        <v>0</v>
      </c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>
        <v>0</v>
      </c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14" t="s">
        <v>100</v>
      </c>
      <c r="DM71" s="2"/>
      <c r="DN71" s="2">
        <f t="shared" si="8"/>
        <v>1.1000000000000001</v>
      </c>
      <c r="DO71" s="2">
        <f t="shared" si="9"/>
        <v>0</v>
      </c>
      <c r="DP71" s="2" t="s">
        <v>317</v>
      </c>
      <c r="DQ71" s="2" t="s">
        <v>3</v>
      </c>
      <c r="DR71" s="15">
        <f t="shared" si="10"/>
        <v>21</v>
      </c>
      <c r="DS71" s="4">
        <f t="shared" si="11"/>
        <v>1.1000000000000001</v>
      </c>
      <c r="DT71" s="15">
        <f t="shared" si="12"/>
        <v>231.00000000000003</v>
      </c>
      <c r="DU71" s="2"/>
      <c r="DV71" s="2">
        <f t="shared" si="13"/>
        <v>0</v>
      </c>
      <c r="DW71" s="2"/>
      <c r="DX71" s="2"/>
      <c r="DY71" s="2"/>
      <c r="DZ71" s="2" t="s">
        <v>3</v>
      </c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 t="s">
        <v>3</v>
      </c>
      <c r="FR71" s="2" t="s">
        <v>37</v>
      </c>
      <c r="FS71" s="2" t="s">
        <v>151</v>
      </c>
      <c r="FT71" s="2"/>
      <c r="FU71" s="2"/>
      <c r="FV71" s="2" t="s">
        <v>3</v>
      </c>
    </row>
    <row r="72" spans="1:178" ht="15.75" customHeight="1" x14ac:dyDescent="0.2">
      <c r="A72" s="12" t="s">
        <v>74</v>
      </c>
      <c r="B72" s="2" t="s">
        <v>75</v>
      </c>
      <c r="C72" s="13" t="s">
        <v>318</v>
      </c>
      <c r="D72" s="2" t="s">
        <v>109</v>
      </c>
      <c r="E72" s="2"/>
      <c r="F72" s="2"/>
      <c r="G72" s="2" t="s">
        <v>78</v>
      </c>
      <c r="H72" s="2" t="s">
        <v>319</v>
      </c>
      <c r="I72" s="2"/>
      <c r="J72" s="2" t="s">
        <v>141</v>
      </c>
      <c r="K72" s="2">
        <v>0</v>
      </c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>
        <v>9.8970000000000002</v>
      </c>
      <c r="AG72" s="2"/>
      <c r="AH72" s="2"/>
      <c r="AI72" s="2"/>
      <c r="AJ72" s="2"/>
      <c r="AK72" s="2"/>
      <c r="AL72" s="2"/>
      <c r="AM72" s="2"/>
      <c r="AN72" s="2">
        <v>1.02</v>
      </c>
      <c r="AO72" s="2"/>
      <c r="AP72" s="2"/>
      <c r="AQ72" s="2"/>
      <c r="AR72" s="2"/>
      <c r="AS72" s="2"/>
      <c r="AT72" s="2"/>
      <c r="AU72" s="2"/>
      <c r="AV72" s="15">
        <f>100*3.5/9.897</f>
        <v>35.364251793472768</v>
      </c>
      <c r="AW72" s="2"/>
      <c r="AX72" s="2"/>
      <c r="AY72" s="2"/>
      <c r="AZ72" s="2"/>
      <c r="BA72" s="2">
        <v>0</v>
      </c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>
        <v>0</v>
      </c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>
        <v>0</v>
      </c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14" t="s">
        <v>81</v>
      </c>
      <c r="DM72" s="2"/>
      <c r="DN72" s="2">
        <f t="shared" si="8"/>
        <v>1.02</v>
      </c>
      <c r="DO72" s="2">
        <f t="shared" si="9"/>
        <v>0</v>
      </c>
      <c r="DP72" s="2" t="s">
        <v>320</v>
      </c>
      <c r="DQ72" s="2" t="s">
        <v>3</v>
      </c>
      <c r="DR72" s="2">
        <f t="shared" si="10"/>
        <v>9.8970000000000002</v>
      </c>
      <c r="DS72" s="4">
        <f t="shared" si="11"/>
        <v>1.02</v>
      </c>
      <c r="DT72" s="15">
        <f t="shared" si="12"/>
        <v>100.94940000000001</v>
      </c>
      <c r="DU72" s="2"/>
      <c r="DV72" s="2">
        <f t="shared" si="13"/>
        <v>0</v>
      </c>
      <c r="DW72" s="2"/>
      <c r="DX72" s="2"/>
      <c r="DY72" s="2"/>
      <c r="DZ72" s="2" t="s">
        <v>3</v>
      </c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 t="s">
        <v>3</v>
      </c>
      <c r="FR72" s="2" t="s">
        <v>37</v>
      </c>
      <c r="FS72" s="2" t="s">
        <v>151</v>
      </c>
      <c r="FT72" s="2" t="s">
        <v>151</v>
      </c>
      <c r="FU72" s="2"/>
      <c r="FV72" s="2" t="s">
        <v>3</v>
      </c>
    </row>
    <row r="73" spans="1:178" ht="15.75" customHeight="1" x14ac:dyDescent="0.2">
      <c r="A73" s="14" t="s">
        <v>96</v>
      </c>
      <c r="B73" s="2" t="s">
        <v>133</v>
      </c>
      <c r="C73" s="16" t="s">
        <v>321</v>
      </c>
      <c r="D73" s="2" t="s">
        <v>99</v>
      </c>
      <c r="E73" s="2"/>
      <c r="F73" s="2"/>
      <c r="G73" s="2"/>
      <c r="H73" s="2" t="s">
        <v>79</v>
      </c>
      <c r="I73" s="2"/>
      <c r="J73" s="2"/>
      <c r="K73" s="2">
        <v>0</v>
      </c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>
        <v>0</v>
      </c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>
        <v>2</v>
      </c>
      <c r="BB73" s="2">
        <v>0.75</v>
      </c>
      <c r="BC73" s="2"/>
      <c r="BD73" s="2"/>
      <c r="BE73" s="2"/>
      <c r="BF73" s="2"/>
      <c r="BG73" s="2"/>
      <c r="BH73" s="2"/>
      <c r="BI73" s="2">
        <v>0.33</v>
      </c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>
        <v>0</v>
      </c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>
        <v>0</v>
      </c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14" t="s">
        <v>100</v>
      </c>
      <c r="DM73" s="2"/>
      <c r="DN73" s="2">
        <f t="shared" si="8"/>
        <v>0.33</v>
      </c>
      <c r="DO73" s="2">
        <f t="shared" si="9"/>
        <v>0</v>
      </c>
      <c r="DP73" s="2" t="s">
        <v>322</v>
      </c>
      <c r="DQ73" s="2" t="s">
        <v>3</v>
      </c>
      <c r="DR73" s="2">
        <f t="shared" si="10"/>
        <v>2</v>
      </c>
      <c r="DS73" s="2">
        <f t="shared" si="11"/>
        <v>0.33</v>
      </c>
      <c r="DT73" s="15">
        <f t="shared" si="12"/>
        <v>6.6</v>
      </c>
      <c r="DU73" s="2"/>
      <c r="DV73" s="2">
        <f t="shared" si="13"/>
        <v>0</v>
      </c>
      <c r="DW73" s="2"/>
      <c r="DX73" s="2"/>
      <c r="DY73" s="2"/>
      <c r="DZ73" s="2" t="s">
        <v>3</v>
      </c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 t="s">
        <v>3</v>
      </c>
      <c r="FR73" s="2" t="s">
        <v>89</v>
      </c>
      <c r="FS73" s="2" t="s">
        <v>90</v>
      </c>
      <c r="FT73" s="2"/>
      <c r="FU73" s="2"/>
      <c r="FV73" s="2" t="s">
        <v>3</v>
      </c>
    </row>
    <row r="74" spans="1:178" ht="15.75" customHeight="1" x14ac:dyDescent="0.2">
      <c r="A74" s="14" t="s">
        <v>74</v>
      </c>
      <c r="B74" s="2" t="s">
        <v>164</v>
      </c>
      <c r="C74" s="13" t="s">
        <v>323</v>
      </c>
      <c r="D74" s="2" t="s">
        <v>99</v>
      </c>
      <c r="E74" s="2"/>
      <c r="F74" s="2"/>
      <c r="G74" s="2" t="s">
        <v>78</v>
      </c>
      <c r="H74" s="2" t="s">
        <v>324</v>
      </c>
      <c r="I74" s="2"/>
      <c r="J74" s="2" t="s">
        <v>80</v>
      </c>
      <c r="K74" s="2">
        <v>0</v>
      </c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>
        <v>55.518000000000001</v>
      </c>
      <c r="AG74" s="2"/>
      <c r="AH74" s="2"/>
      <c r="AI74" s="2"/>
      <c r="AJ74" s="2"/>
      <c r="AK74" s="2"/>
      <c r="AL74" s="2"/>
      <c r="AM74" s="2"/>
      <c r="AN74" s="2">
        <v>0.71699999999999997</v>
      </c>
      <c r="AO74" s="2">
        <v>0.04</v>
      </c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>
        <v>0</v>
      </c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>
        <v>3.7570000000000001</v>
      </c>
      <c r="BW74" s="2"/>
      <c r="BX74" s="2"/>
      <c r="BY74" s="2"/>
      <c r="BZ74" s="2"/>
      <c r="CA74" s="2"/>
      <c r="CB74" s="2"/>
      <c r="CC74" s="2"/>
      <c r="CD74" s="2">
        <v>0.65</v>
      </c>
      <c r="CE74" s="2">
        <v>0.04</v>
      </c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>
        <v>0</v>
      </c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14" t="s">
        <v>81</v>
      </c>
      <c r="DM74" s="2" t="s">
        <v>81</v>
      </c>
      <c r="DN74" s="2">
        <f t="shared" si="8"/>
        <v>0.71699999999999986</v>
      </c>
      <c r="DO74" s="2">
        <f t="shared" si="9"/>
        <v>0.04</v>
      </c>
      <c r="DP74" s="2" t="s">
        <v>175</v>
      </c>
      <c r="DQ74" s="2" t="s">
        <v>3</v>
      </c>
      <c r="DR74" s="4">
        <f t="shared" si="10"/>
        <v>55.518000000000001</v>
      </c>
      <c r="DS74" s="4">
        <f t="shared" si="11"/>
        <v>0.71699999999999986</v>
      </c>
      <c r="DT74" s="15">
        <f t="shared" si="12"/>
        <v>398.06405999999993</v>
      </c>
      <c r="DU74" s="2"/>
      <c r="DV74" s="2">
        <f t="shared" si="13"/>
        <v>3.7570000000000001</v>
      </c>
      <c r="DW74" s="4">
        <f t="shared" ref="DW74:DW75" si="20">(BV74*CD74+CQ74*CY74)/DV74</f>
        <v>0.65</v>
      </c>
      <c r="DX74" s="15">
        <f t="shared" ref="DX74:DX75" si="21">1000*DV74*DW74/100</f>
        <v>24.420500000000001</v>
      </c>
      <c r="DY74" s="2"/>
      <c r="DZ74" s="2" t="s">
        <v>3</v>
      </c>
      <c r="EA74" s="2" t="s">
        <v>325</v>
      </c>
      <c r="EB74" s="2">
        <f>0.04/1000</f>
        <v>4.0000000000000003E-5</v>
      </c>
      <c r="EC74" s="2" t="s">
        <v>176</v>
      </c>
      <c r="ED74" s="2" t="s">
        <v>176</v>
      </c>
      <c r="EE74" s="2" t="s">
        <v>176</v>
      </c>
      <c r="EF74" s="2" t="s">
        <v>176</v>
      </c>
      <c r="EG74" s="2" t="s">
        <v>176</v>
      </c>
      <c r="EH74" s="2"/>
      <c r="EI74" s="2"/>
      <c r="EJ74" s="2"/>
      <c r="EK74" s="2"/>
      <c r="EL74" s="2"/>
      <c r="EM74" s="2" t="s">
        <v>325</v>
      </c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 t="s">
        <v>325</v>
      </c>
      <c r="FQ74" s="2" t="s">
        <v>3</v>
      </c>
      <c r="FR74" s="2" t="s">
        <v>37</v>
      </c>
      <c r="FS74" s="2" t="s">
        <v>114</v>
      </c>
      <c r="FT74" s="2" t="s">
        <v>114</v>
      </c>
      <c r="FU74" s="2"/>
      <c r="FV74" s="2" t="s">
        <v>3</v>
      </c>
    </row>
    <row r="75" spans="1:178" ht="15.75" customHeight="1" x14ac:dyDescent="0.2">
      <c r="A75" s="12" t="s">
        <v>74</v>
      </c>
      <c r="B75" s="2" t="s">
        <v>326</v>
      </c>
      <c r="C75" s="13" t="s">
        <v>327</v>
      </c>
      <c r="D75" s="2" t="s">
        <v>109</v>
      </c>
      <c r="E75" s="2"/>
      <c r="F75" s="2"/>
      <c r="G75" s="2"/>
      <c r="H75" s="2" t="s">
        <v>328</v>
      </c>
      <c r="I75" s="2"/>
      <c r="J75" s="2" t="s">
        <v>111</v>
      </c>
      <c r="K75" s="2">
        <f>39+10+17</f>
        <v>66</v>
      </c>
      <c r="L75" s="2"/>
      <c r="M75" s="2"/>
      <c r="N75" s="2"/>
      <c r="O75" s="2"/>
      <c r="P75" s="2"/>
      <c r="Q75" s="2"/>
      <c r="R75" s="2"/>
      <c r="S75" s="15">
        <f>(1.2*39+1.1*10+0.2*17)/K75</f>
        <v>0.92727272727272725</v>
      </c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>
        <f>146+37</f>
        <v>183</v>
      </c>
      <c r="AG75" s="2"/>
      <c r="AH75" s="2"/>
      <c r="AI75" s="2"/>
      <c r="AJ75" s="2"/>
      <c r="AK75" s="2"/>
      <c r="AL75" s="2"/>
      <c r="AM75" s="2"/>
      <c r="AN75" s="2">
        <f>(0.9*146+0.9*37)/AF75</f>
        <v>0.90000000000000013</v>
      </c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>
        <v>17</v>
      </c>
      <c r="BB75" s="2"/>
      <c r="BC75" s="2"/>
      <c r="BD75" s="2"/>
      <c r="BE75" s="2"/>
      <c r="BF75" s="2"/>
      <c r="BG75" s="2"/>
      <c r="BH75" s="2"/>
      <c r="BI75" s="2">
        <v>0.2</v>
      </c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>
        <f>14+8.3</f>
        <v>22.3</v>
      </c>
      <c r="BW75" s="2"/>
      <c r="BX75" s="2"/>
      <c r="BY75" s="2"/>
      <c r="BZ75" s="2"/>
      <c r="CA75" s="2"/>
      <c r="CB75" s="2"/>
      <c r="CC75" s="2"/>
      <c r="CD75" s="15">
        <f>(1.3*14+1.2*8.3)/BV75</f>
        <v>1.2627802690582959</v>
      </c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>
        <f>3.9+11</f>
        <v>14.9</v>
      </c>
      <c r="CR75" s="2"/>
      <c r="CS75" s="2"/>
      <c r="CT75" s="2"/>
      <c r="CU75" s="2"/>
      <c r="CV75" s="2"/>
      <c r="CW75" s="2"/>
      <c r="CX75" s="2"/>
      <c r="CY75" s="2">
        <f>(1.2*3.9+1.2*11)/CQ75</f>
        <v>1.2</v>
      </c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14" t="s">
        <v>81</v>
      </c>
      <c r="DM75" s="2"/>
      <c r="DN75" s="2">
        <f t="shared" si="8"/>
        <v>0.86203007518796992</v>
      </c>
      <c r="DO75" s="2">
        <f t="shared" si="9"/>
        <v>0</v>
      </c>
      <c r="DP75" s="2" t="s">
        <v>211</v>
      </c>
      <c r="DQ75" s="2" t="s">
        <v>3</v>
      </c>
      <c r="DR75" s="2">
        <f t="shared" si="10"/>
        <v>266</v>
      </c>
      <c r="DS75" s="4">
        <f t="shared" si="11"/>
        <v>0.86203007518796992</v>
      </c>
      <c r="DT75" s="18">
        <f t="shared" si="12"/>
        <v>2293</v>
      </c>
      <c r="DU75" s="2"/>
      <c r="DV75" s="2">
        <f t="shared" si="13"/>
        <v>37.200000000000003</v>
      </c>
      <c r="DW75" s="4">
        <f t="shared" si="20"/>
        <v>1.2376344086021505</v>
      </c>
      <c r="DX75" s="15">
        <f t="shared" si="21"/>
        <v>460.4</v>
      </c>
      <c r="DY75" s="2"/>
      <c r="DZ75" s="2" t="s">
        <v>3</v>
      </c>
      <c r="EA75" s="2" t="s">
        <v>326</v>
      </c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 t="s">
        <v>326</v>
      </c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 t="s">
        <v>326</v>
      </c>
      <c r="FQ75" s="2" t="s">
        <v>3</v>
      </c>
      <c r="FR75" s="2" t="s">
        <v>37</v>
      </c>
      <c r="FS75" s="2" t="s">
        <v>329</v>
      </c>
      <c r="FT75" s="2" t="s">
        <v>329</v>
      </c>
      <c r="FU75" s="2"/>
      <c r="FV75" s="2" t="s">
        <v>3</v>
      </c>
    </row>
    <row r="76" spans="1:178" ht="15.75" customHeight="1" x14ac:dyDescent="0.2">
      <c r="A76" s="12" t="s">
        <v>74</v>
      </c>
      <c r="B76" s="2" t="s">
        <v>97</v>
      </c>
      <c r="C76" s="13" t="s">
        <v>330</v>
      </c>
      <c r="D76" s="2" t="s">
        <v>99</v>
      </c>
      <c r="E76" s="2"/>
      <c r="F76" s="2"/>
      <c r="G76" s="2"/>
      <c r="H76" s="2" t="s">
        <v>79</v>
      </c>
      <c r="I76" s="2"/>
      <c r="J76" s="2"/>
      <c r="K76" s="2">
        <v>0</v>
      </c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>
        <v>0</v>
      </c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>
        <v>45</v>
      </c>
      <c r="BB76" s="2"/>
      <c r="BC76" s="2"/>
      <c r="BD76" s="2"/>
      <c r="BE76" s="2"/>
      <c r="BF76" s="2"/>
      <c r="BG76" s="2"/>
      <c r="BH76" s="2"/>
      <c r="BI76" s="2">
        <v>1.6</v>
      </c>
      <c r="BJ76" s="2">
        <v>2.4E-2</v>
      </c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>
        <v>0</v>
      </c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>
        <v>0</v>
      </c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14" t="s">
        <v>100</v>
      </c>
      <c r="DM76" s="2" t="s">
        <v>100</v>
      </c>
      <c r="DN76" s="2">
        <f t="shared" si="8"/>
        <v>1.6</v>
      </c>
      <c r="DO76" s="2">
        <f t="shared" si="9"/>
        <v>2.4E-2</v>
      </c>
      <c r="DP76" s="2" t="s">
        <v>113</v>
      </c>
      <c r="DQ76" s="2" t="s">
        <v>3</v>
      </c>
      <c r="DR76" s="2">
        <f t="shared" si="10"/>
        <v>45</v>
      </c>
      <c r="DS76" s="2">
        <f t="shared" si="11"/>
        <v>1.6</v>
      </c>
      <c r="DT76" s="15">
        <f t="shared" si="12"/>
        <v>720</v>
      </c>
      <c r="DU76" s="2"/>
      <c r="DV76" s="2">
        <f t="shared" si="13"/>
        <v>0</v>
      </c>
      <c r="DW76" s="2"/>
      <c r="DX76" s="2"/>
      <c r="DY76" s="2"/>
      <c r="DZ76" s="2" t="s">
        <v>3</v>
      </c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 t="s">
        <v>3</v>
      </c>
      <c r="FR76" s="2" t="s">
        <v>37</v>
      </c>
      <c r="FS76" s="2" t="s">
        <v>229</v>
      </c>
      <c r="FT76" s="2"/>
      <c r="FU76" s="2"/>
      <c r="FV76" s="2" t="s">
        <v>3</v>
      </c>
    </row>
    <row r="77" spans="1:178" ht="15.75" customHeight="1" x14ac:dyDescent="0.2">
      <c r="A77" s="14" t="s">
        <v>96</v>
      </c>
      <c r="B77" s="2" t="s">
        <v>97</v>
      </c>
      <c r="C77" s="16" t="s">
        <v>331</v>
      </c>
      <c r="D77" s="2" t="s">
        <v>99</v>
      </c>
      <c r="E77" s="2"/>
      <c r="F77" s="2"/>
      <c r="G77" s="2"/>
      <c r="H77" s="2" t="s">
        <v>79</v>
      </c>
      <c r="I77" s="2"/>
      <c r="J77" s="2"/>
      <c r="K77" s="2">
        <v>0</v>
      </c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>
        <v>0</v>
      </c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>
        <v>143</v>
      </c>
      <c r="BB77" s="2">
        <v>0.22</v>
      </c>
      <c r="BC77" s="2"/>
      <c r="BD77" s="2"/>
      <c r="BE77" s="2"/>
      <c r="BF77" s="2"/>
      <c r="BG77" s="2"/>
      <c r="BH77" s="2"/>
      <c r="BI77" s="2">
        <v>0.28999999999999998</v>
      </c>
      <c r="BJ77" s="2">
        <v>1.4999999999999999E-2</v>
      </c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>
        <v>0</v>
      </c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>
        <v>0</v>
      </c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14" t="s">
        <v>81</v>
      </c>
      <c r="DM77" s="2" t="s">
        <v>81</v>
      </c>
      <c r="DN77" s="2">
        <f t="shared" si="8"/>
        <v>0.28999999999999998</v>
      </c>
      <c r="DO77" s="2">
        <f t="shared" si="9"/>
        <v>1.4999999999999999E-2</v>
      </c>
      <c r="DP77" s="2" t="s">
        <v>280</v>
      </c>
      <c r="DQ77" s="2" t="s">
        <v>3</v>
      </c>
      <c r="DR77" s="2">
        <f t="shared" si="10"/>
        <v>143</v>
      </c>
      <c r="DS77" s="2">
        <f t="shared" si="11"/>
        <v>0.28999999999999998</v>
      </c>
      <c r="DT77" s="15">
        <f t="shared" si="12"/>
        <v>414.7</v>
      </c>
      <c r="DU77" s="2"/>
      <c r="DV77" s="2">
        <f t="shared" si="13"/>
        <v>0</v>
      </c>
      <c r="DW77" s="2"/>
      <c r="DX77" s="2"/>
      <c r="DY77" s="2"/>
      <c r="DZ77" s="2" t="s">
        <v>3</v>
      </c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 t="s">
        <v>3</v>
      </c>
      <c r="FR77" s="2" t="s">
        <v>89</v>
      </c>
      <c r="FS77" s="2" t="s">
        <v>90</v>
      </c>
      <c r="FT77" s="2"/>
      <c r="FU77" s="2"/>
      <c r="FV77" s="2" t="s">
        <v>3</v>
      </c>
    </row>
    <row r="78" spans="1:178" ht="15.75" customHeight="1" x14ac:dyDescent="0.2">
      <c r="A78" s="14" t="s">
        <v>262</v>
      </c>
      <c r="B78" s="2" t="s">
        <v>85</v>
      </c>
      <c r="C78" s="16" t="s">
        <v>332</v>
      </c>
      <c r="D78" s="2"/>
      <c r="E78" s="2"/>
      <c r="F78" s="2"/>
      <c r="G78" s="2"/>
      <c r="H78" s="2" t="s">
        <v>333</v>
      </c>
      <c r="I78" s="2"/>
      <c r="J78" s="2"/>
      <c r="K78" s="2">
        <v>0</v>
      </c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>
        <v>0</v>
      </c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>
        <v>259.81</v>
      </c>
      <c r="BB78" s="4">
        <v>5.0645766568285941E-2</v>
      </c>
      <c r="BC78" s="4">
        <v>0.19818310861591162</v>
      </c>
      <c r="BD78" s="2"/>
      <c r="BE78" s="2"/>
      <c r="BF78" s="2"/>
      <c r="BG78" s="2"/>
      <c r="BH78" s="2"/>
      <c r="BI78" s="4">
        <v>0.14062229501023565</v>
      </c>
      <c r="BJ78" s="2"/>
      <c r="BK78" s="4">
        <v>3.0461057584196145</v>
      </c>
      <c r="BL78" s="4">
        <v>2.2666371761402568</v>
      </c>
      <c r="BM78" s="4">
        <v>0.40588912613171169</v>
      </c>
      <c r="BN78" s="4"/>
      <c r="BO78" s="4"/>
      <c r="BP78" s="2"/>
      <c r="BQ78" s="2"/>
      <c r="BR78" s="2"/>
      <c r="BS78" s="2"/>
      <c r="BT78" s="2"/>
      <c r="BU78" s="2"/>
      <c r="BV78" s="2">
        <v>0</v>
      </c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>
        <v>0</v>
      </c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14" t="s">
        <v>81</v>
      </c>
      <c r="DM78" s="2"/>
      <c r="DN78" s="2">
        <f t="shared" si="8"/>
        <v>0.14062229501023565</v>
      </c>
      <c r="DO78" s="2">
        <f t="shared" si="9"/>
        <v>0</v>
      </c>
      <c r="DP78" s="2" t="s">
        <v>334</v>
      </c>
      <c r="DQ78" s="2" t="s">
        <v>3</v>
      </c>
      <c r="DR78" s="15">
        <f t="shared" si="10"/>
        <v>259.81</v>
      </c>
      <c r="DS78" s="4">
        <f t="shared" si="11"/>
        <v>0.14062229501023565</v>
      </c>
      <c r="DT78" s="15">
        <f t="shared" si="12"/>
        <v>365.35078466609326</v>
      </c>
      <c r="DU78" s="2"/>
      <c r="DV78" s="2">
        <f t="shared" si="13"/>
        <v>0</v>
      </c>
      <c r="DW78" s="2"/>
      <c r="DX78" s="2"/>
      <c r="DY78" s="2"/>
      <c r="DZ78" s="2" t="s">
        <v>3</v>
      </c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 t="s">
        <v>3</v>
      </c>
      <c r="FR78" s="2" t="s">
        <v>89</v>
      </c>
      <c r="FS78" s="2" t="s">
        <v>90</v>
      </c>
      <c r="FT78" s="2" t="s">
        <v>91</v>
      </c>
      <c r="FU78" s="2" t="s">
        <v>226</v>
      </c>
      <c r="FV78" s="2" t="s">
        <v>3</v>
      </c>
    </row>
    <row r="79" spans="1:178" ht="15.75" customHeight="1" x14ac:dyDescent="0.2">
      <c r="A79" s="12" t="s">
        <v>74</v>
      </c>
      <c r="B79" s="2" t="s">
        <v>335</v>
      </c>
      <c r="C79" s="13" t="s">
        <v>336</v>
      </c>
      <c r="D79" s="2" t="s">
        <v>99</v>
      </c>
      <c r="E79" s="2"/>
      <c r="F79" s="2"/>
      <c r="G79" s="2"/>
      <c r="H79" s="2" t="s">
        <v>337</v>
      </c>
      <c r="I79" s="2"/>
      <c r="J79" s="2"/>
      <c r="K79" s="2">
        <v>0</v>
      </c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>
        <v>4.67</v>
      </c>
      <c r="AG79" s="2"/>
      <c r="AH79" s="2"/>
      <c r="AI79" s="2"/>
      <c r="AJ79" s="2"/>
      <c r="AK79" s="2"/>
      <c r="AL79" s="2"/>
      <c r="AM79" s="2"/>
      <c r="AN79" s="2">
        <v>0.39</v>
      </c>
      <c r="AO79" s="2">
        <v>0.03</v>
      </c>
      <c r="AP79" s="2"/>
      <c r="AQ79" s="2"/>
      <c r="AR79" s="2"/>
      <c r="AS79" s="2"/>
      <c r="AT79" s="2"/>
      <c r="AU79" s="2">
        <v>0.56999999999999995</v>
      </c>
      <c r="AV79" s="2"/>
      <c r="AW79" s="2"/>
      <c r="AX79" s="2"/>
      <c r="AY79" s="2"/>
      <c r="AZ79" s="2"/>
      <c r="BA79" s="2">
        <v>3.883</v>
      </c>
      <c r="BB79" s="2"/>
      <c r="BC79" s="2"/>
      <c r="BD79" s="2"/>
      <c r="BE79" s="2"/>
      <c r="BF79" s="2"/>
      <c r="BG79" s="2"/>
      <c r="BH79" s="2"/>
      <c r="BI79" s="2">
        <v>0.33</v>
      </c>
      <c r="BJ79" s="2">
        <v>0.03</v>
      </c>
      <c r="BK79" s="2"/>
      <c r="BL79" s="2"/>
      <c r="BM79" s="2"/>
      <c r="BN79" s="2"/>
      <c r="BO79" s="2"/>
      <c r="BP79" s="2">
        <v>0.47</v>
      </c>
      <c r="BQ79" s="2"/>
      <c r="BR79" s="2"/>
      <c r="BS79" s="2"/>
      <c r="BT79" s="2"/>
      <c r="BU79" s="2"/>
      <c r="BV79" s="2">
        <v>0</v>
      </c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>
        <v>0</v>
      </c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14" t="s">
        <v>81</v>
      </c>
      <c r="DM79" s="2" t="s">
        <v>81</v>
      </c>
      <c r="DN79" s="2">
        <f t="shared" si="8"/>
        <v>0.36276043493511045</v>
      </c>
      <c r="DO79" s="2">
        <f t="shared" si="9"/>
        <v>2.9999999999999995E-2</v>
      </c>
      <c r="DP79" s="2" t="s">
        <v>338</v>
      </c>
      <c r="DQ79" s="2" t="s">
        <v>3</v>
      </c>
      <c r="DR79" s="2">
        <f t="shared" si="10"/>
        <v>8.5530000000000008</v>
      </c>
      <c r="DS79" s="4">
        <f t="shared" si="11"/>
        <v>0.36276043493511045</v>
      </c>
      <c r="DT79" s="15">
        <f t="shared" si="12"/>
        <v>31.026899999999998</v>
      </c>
      <c r="DU79" s="2"/>
      <c r="DV79" s="2">
        <f t="shared" si="13"/>
        <v>0</v>
      </c>
      <c r="DW79" s="2"/>
      <c r="DX79" s="2"/>
      <c r="DY79" s="2"/>
      <c r="DZ79" s="2" t="s">
        <v>3</v>
      </c>
      <c r="EA79" s="2" t="s">
        <v>335</v>
      </c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 t="s">
        <v>335</v>
      </c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 t="s">
        <v>335</v>
      </c>
      <c r="FQ79" s="2" t="s">
        <v>3</v>
      </c>
      <c r="FR79" s="2" t="s">
        <v>37</v>
      </c>
      <c r="FS79" s="2" t="s">
        <v>219</v>
      </c>
      <c r="FT79" s="2" t="s">
        <v>219</v>
      </c>
      <c r="FU79" s="2"/>
      <c r="FV79" s="2" t="s">
        <v>3</v>
      </c>
    </row>
    <row r="80" spans="1:178" ht="15.75" customHeight="1" x14ac:dyDescent="0.2">
      <c r="A80" s="14" t="s">
        <v>96</v>
      </c>
      <c r="B80" s="2" t="s">
        <v>236</v>
      </c>
      <c r="C80" s="16" t="s">
        <v>339</v>
      </c>
      <c r="D80" s="2"/>
      <c r="E80" s="2"/>
      <c r="F80" s="2"/>
      <c r="G80" s="2"/>
      <c r="H80" s="2" t="s">
        <v>260</v>
      </c>
      <c r="I80" s="2"/>
      <c r="J80" s="2"/>
      <c r="K80" s="2">
        <v>0</v>
      </c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>
        <v>0</v>
      </c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>
        <v>9.5399999999999991</v>
      </c>
      <c r="BB80" s="2">
        <v>0.13</v>
      </c>
      <c r="BC80" s="2">
        <v>0.32</v>
      </c>
      <c r="BD80" s="2"/>
      <c r="BE80" s="2"/>
      <c r="BF80" s="2"/>
      <c r="BG80" s="2"/>
      <c r="BH80" s="2"/>
      <c r="BI80" s="2">
        <v>0.15</v>
      </c>
      <c r="BJ80" s="2"/>
      <c r="BK80" s="2">
        <v>1.92</v>
      </c>
      <c r="BL80" s="2">
        <v>1.28</v>
      </c>
      <c r="BM80" s="2">
        <v>0.15</v>
      </c>
      <c r="BN80" s="2"/>
      <c r="BO80" s="2"/>
      <c r="BP80" s="2"/>
      <c r="BQ80" s="2"/>
      <c r="BR80" s="2"/>
      <c r="BS80" s="2"/>
      <c r="BT80" s="2"/>
      <c r="BU80" s="2"/>
      <c r="BV80" s="2">
        <v>0</v>
      </c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>
        <v>0</v>
      </c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14" t="s">
        <v>81</v>
      </c>
      <c r="DM80" s="2"/>
      <c r="DN80" s="2">
        <f t="shared" si="8"/>
        <v>0.15</v>
      </c>
      <c r="DO80" s="2">
        <f t="shared" si="9"/>
        <v>0</v>
      </c>
      <c r="DP80" s="2" t="s">
        <v>261</v>
      </c>
      <c r="DQ80" s="2" t="s">
        <v>3</v>
      </c>
      <c r="DR80" s="2">
        <f t="shared" si="10"/>
        <v>9.5399999999999991</v>
      </c>
      <c r="DS80" s="2">
        <f t="shared" si="11"/>
        <v>0.15</v>
      </c>
      <c r="DT80" s="15">
        <f t="shared" si="12"/>
        <v>14.31</v>
      </c>
      <c r="DU80" s="2"/>
      <c r="DV80" s="2">
        <f t="shared" si="13"/>
        <v>0</v>
      </c>
      <c r="DW80" s="2"/>
      <c r="DX80" s="2"/>
      <c r="DY80" s="2"/>
      <c r="DZ80" s="2" t="s">
        <v>3</v>
      </c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 t="s">
        <v>3</v>
      </c>
      <c r="FR80" s="2" t="s">
        <v>89</v>
      </c>
      <c r="FS80" s="2" t="s">
        <v>90</v>
      </c>
      <c r="FT80" s="2" t="s">
        <v>91</v>
      </c>
      <c r="FU80" s="2"/>
      <c r="FV80" s="2" t="s">
        <v>3</v>
      </c>
    </row>
    <row r="81" spans="1:178" ht="15.75" customHeight="1" x14ac:dyDescent="0.2">
      <c r="A81" s="12" t="s">
        <v>74</v>
      </c>
      <c r="B81" s="2" t="s">
        <v>340</v>
      </c>
      <c r="C81" s="13" t="s">
        <v>341</v>
      </c>
      <c r="D81" s="2" t="s">
        <v>120</v>
      </c>
      <c r="E81" s="2"/>
      <c r="F81" s="2"/>
      <c r="G81" s="2"/>
      <c r="H81" s="2" t="s">
        <v>79</v>
      </c>
      <c r="I81" s="2"/>
      <c r="J81" s="2"/>
      <c r="K81" s="2">
        <v>0</v>
      </c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>
        <v>0</v>
      </c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>
        <f>0.1175/(1.175/100)</f>
        <v>10</v>
      </c>
      <c r="BB81" s="2"/>
      <c r="BC81" s="2"/>
      <c r="BD81" s="2"/>
      <c r="BE81" s="2"/>
      <c r="BF81" s="2"/>
      <c r="BG81" s="2"/>
      <c r="BH81" s="2"/>
      <c r="BI81" s="2">
        <v>1.175</v>
      </c>
      <c r="BJ81" s="2">
        <v>0.06</v>
      </c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>
        <v>0</v>
      </c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>
        <v>0</v>
      </c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14" t="s">
        <v>100</v>
      </c>
      <c r="DM81" s="2" t="s">
        <v>100</v>
      </c>
      <c r="DN81" s="2">
        <f t="shared" si="8"/>
        <v>1.175</v>
      </c>
      <c r="DO81" s="2">
        <f t="shared" si="9"/>
        <v>0.06</v>
      </c>
      <c r="DP81" s="2" t="s">
        <v>187</v>
      </c>
      <c r="DQ81" s="2" t="s">
        <v>3</v>
      </c>
      <c r="DR81" s="2">
        <f t="shared" si="10"/>
        <v>10</v>
      </c>
      <c r="DS81" s="4">
        <f t="shared" si="11"/>
        <v>1.175</v>
      </c>
      <c r="DT81" s="15">
        <f t="shared" si="12"/>
        <v>117.5</v>
      </c>
      <c r="DU81" s="2"/>
      <c r="DV81" s="2">
        <f t="shared" si="13"/>
        <v>0</v>
      </c>
      <c r="DW81" s="2"/>
      <c r="DX81" s="2"/>
      <c r="DY81" s="2"/>
      <c r="DZ81" s="2" t="s">
        <v>3</v>
      </c>
      <c r="EA81" s="2" t="s">
        <v>340</v>
      </c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 t="s">
        <v>340</v>
      </c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 t="s">
        <v>340</v>
      </c>
      <c r="FQ81" s="2" t="s">
        <v>3</v>
      </c>
      <c r="FR81" s="2" t="s">
        <v>37</v>
      </c>
      <c r="FS81" s="2" t="s">
        <v>342</v>
      </c>
      <c r="FT81" s="2" t="s">
        <v>342</v>
      </c>
      <c r="FU81" s="2"/>
      <c r="FV81" s="2" t="s">
        <v>3</v>
      </c>
    </row>
    <row r="82" spans="1:178" ht="15.75" customHeight="1" x14ac:dyDescent="0.2">
      <c r="A82" s="14" t="s">
        <v>343</v>
      </c>
      <c r="B82" s="2" t="s">
        <v>344</v>
      </c>
      <c r="C82" s="21" t="s">
        <v>345</v>
      </c>
      <c r="D82" s="2" t="s">
        <v>99</v>
      </c>
      <c r="E82" s="2"/>
      <c r="F82" s="2"/>
      <c r="G82" s="2" t="s">
        <v>346</v>
      </c>
      <c r="H82" s="2" t="s">
        <v>347</v>
      </c>
      <c r="I82" s="2"/>
      <c r="J82" s="2" t="s">
        <v>348</v>
      </c>
      <c r="K82" s="2">
        <f>0.8*4</f>
        <v>3.2</v>
      </c>
      <c r="L82" s="2">
        <v>1.1599999999999999</v>
      </c>
      <c r="M82" s="2"/>
      <c r="N82" s="2"/>
      <c r="O82" s="2"/>
      <c r="P82" s="2"/>
      <c r="Q82" s="2"/>
      <c r="R82" s="2"/>
      <c r="S82" s="4">
        <v>1.4</v>
      </c>
      <c r="T82" s="2">
        <v>0.13</v>
      </c>
      <c r="U82" s="2"/>
      <c r="V82" s="2"/>
      <c r="W82" s="2"/>
      <c r="X82" s="2"/>
      <c r="Y82" s="2"/>
      <c r="Z82" s="2"/>
      <c r="AA82" s="2"/>
      <c r="AB82" s="2"/>
      <c r="AC82" s="2"/>
      <c r="AD82" s="2">
        <v>31.9</v>
      </c>
      <c r="AE82" s="2"/>
      <c r="AF82" s="2">
        <f>0.8*33</f>
        <v>26.400000000000002</v>
      </c>
      <c r="AG82" s="2">
        <v>1.1499999999999999</v>
      </c>
      <c r="AH82" s="2"/>
      <c r="AI82" s="2"/>
      <c r="AJ82" s="2"/>
      <c r="AK82" s="2"/>
      <c r="AL82" s="2"/>
      <c r="AM82" s="2"/>
      <c r="AN82" s="2">
        <v>1.35</v>
      </c>
      <c r="AO82" s="2">
        <v>0.13</v>
      </c>
      <c r="AP82" s="2"/>
      <c r="AQ82" s="2"/>
      <c r="AR82" s="2"/>
      <c r="AS82" s="2"/>
      <c r="AT82" s="2"/>
      <c r="AU82" s="2"/>
      <c r="AV82" s="2"/>
      <c r="AW82" s="2"/>
      <c r="AX82" s="2"/>
      <c r="AY82" s="2">
        <v>31.1</v>
      </c>
      <c r="AZ82" s="2"/>
      <c r="BA82" s="2">
        <f>0.8*855</f>
        <v>684</v>
      </c>
      <c r="BB82" s="2">
        <v>1.08</v>
      </c>
      <c r="BC82" s="2"/>
      <c r="BD82" s="2"/>
      <c r="BE82" s="2"/>
      <c r="BF82" s="2"/>
      <c r="BG82" s="2"/>
      <c r="BH82" s="2"/>
      <c r="BI82" s="4">
        <v>1.3</v>
      </c>
      <c r="BJ82" s="2">
        <v>0.18</v>
      </c>
      <c r="BK82" s="2"/>
      <c r="BL82" s="2"/>
      <c r="BM82" s="2"/>
      <c r="BN82" s="2"/>
      <c r="BO82" s="2"/>
      <c r="BP82" s="2"/>
      <c r="BQ82" s="2"/>
      <c r="BR82" s="2"/>
      <c r="BS82" s="2"/>
      <c r="BT82" s="2">
        <v>31.1</v>
      </c>
      <c r="BU82" s="2"/>
      <c r="BV82" s="2">
        <v>0</v>
      </c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>
        <v>0</v>
      </c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14" t="s">
        <v>81</v>
      </c>
      <c r="DM82" s="2" t="s">
        <v>81</v>
      </c>
      <c r="DN82" s="2">
        <f t="shared" si="8"/>
        <v>1.3022982062780268</v>
      </c>
      <c r="DO82" s="2">
        <f t="shared" si="9"/>
        <v>0.17792600896860986</v>
      </c>
      <c r="DP82" s="2" t="s">
        <v>349</v>
      </c>
      <c r="DQ82" s="2" t="s">
        <v>3</v>
      </c>
      <c r="DR82" s="2">
        <f t="shared" si="10"/>
        <v>713.6</v>
      </c>
      <c r="DS82" s="4">
        <f t="shared" si="11"/>
        <v>1.3022982062780268</v>
      </c>
      <c r="DT82" s="18">
        <f t="shared" si="12"/>
        <v>9293.2000000000007</v>
      </c>
      <c r="DU82" s="2"/>
      <c r="DV82" s="2">
        <f t="shared" si="13"/>
        <v>0</v>
      </c>
      <c r="DW82" s="2"/>
      <c r="DX82" s="2"/>
      <c r="DY82" s="2"/>
      <c r="DZ82" s="2" t="s">
        <v>3</v>
      </c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 t="s">
        <v>3</v>
      </c>
      <c r="FR82" s="2" t="s">
        <v>183</v>
      </c>
      <c r="FS82" s="2" t="s">
        <v>350</v>
      </c>
      <c r="FT82" s="2"/>
      <c r="FU82" s="2"/>
      <c r="FV82" s="2" t="s">
        <v>3</v>
      </c>
    </row>
    <row r="83" spans="1:178" ht="15.75" customHeight="1" x14ac:dyDescent="0.2">
      <c r="A83" s="14" t="s">
        <v>343</v>
      </c>
      <c r="B83" s="2" t="s">
        <v>344</v>
      </c>
      <c r="C83" s="21" t="s">
        <v>351</v>
      </c>
      <c r="D83" s="2" t="s">
        <v>99</v>
      </c>
      <c r="E83" s="2"/>
      <c r="F83" s="2"/>
      <c r="G83" s="2" t="s">
        <v>346</v>
      </c>
      <c r="H83" s="2" t="s">
        <v>352</v>
      </c>
      <c r="I83" s="2"/>
      <c r="J83" s="2" t="s">
        <v>348</v>
      </c>
      <c r="K83" s="2">
        <v>0</v>
      </c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>
        <v>0</v>
      </c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>
        <v>188.4</v>
      </c>
      <c r="BB83" s="2">
        <v>1.02</v>
      </c>
      <c r="BC83" s="2"/>
      <c r="BD83" s="2"/>
      <c r="BE83" s="2"/>
      <c r="BF83" s="2"/>
      <c r="BG83" s="2"/>
      <c r="BH83" s="2"/>
      <c r="BI83" s="2">
        <v>1.19</v>
      </c>
      <c r="BJ83" s="2">
        <v>0.22</v>
      </c>
      <c r="BK83" s="2"/>
      <c r="BL83" s="2"/>
      <c r="BM83" s="2"/>
      <c r="BN83" s="2"/>
      <c r="BO83" s="2"/>
      <c r="BP83" s="2"/>
      <c r="BQ83" s="2"/>
      <c r="BR83" s="2"/>
      <c r="BS83" s="2"/>
      <c r="BT83" s="2">
        <v>27.7</v>
      </c>
      <c r="BU83" s="2"/>
      <c r="BV83" s="2">
        <v>0</v>
      </c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>
        <v>0</v>
      </c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14" t="s">
        <v>100</v>
      </c>
      <c r="DM83" s="2" t="s">
        <v>100</v>
      </c>
      <c r="DN83" s="2">
        <f t="shared" si="8"/>
        <v>1.19</v>
      </c>
      <c r="DO83" s="2">
        <f t="shared" si="9"/>
        <v>0.22</v>
      </c>
      <c r="DP83" s="2" t="s">
        <v>353</v>
      </c>
      <c r="DQ83" s="2" t="s">
        <v>3</v>
      </c>
      <c r="DR83" s="2">
        <f t="shared" si="10"/>
        <v>188.4</v>
      </c>
      <c r="DS83" s="4">
        <f t="shared" si="11"/>
        <v>1.19</v>
      </c>
      <c r="DT83" s="18">
        <f t="shared" si="12"/>
        <v>2241.96</v>
      </c>
      <c r="DU83" s="2"/>
      <c r="DV83" s="2">
        <f t="shared" si="13"/>
        <v>0</v>
      </c>
      <c r="DW83" s="2"/>
      <c r="DX83" s="2"/>
      <c r="DY83" s="2"/>
      <c r="DZ83" s="2" t="s">
        <v>3</v>
      </c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 t="s">
        <v>3</v>
      </c>
      <c r="FR83" s="2" t="s">
        <v>183</v>
      </c>
      <c r="FS83" s="2" t="s">
        <v>350</v>
      </c>
      <c r="FT83" s="2"/>
      <c r="FU83" s="2"/>
      <c r="FV83" s="2" t="s">
        <v>3</v>
      </c>
    </row>
    <row r="84" spans="1:178" ht="15.75" customHeight="1" x14ac:dyDescent="0.2">
      <c r="A84" s="14" t="s">
        <v>343</v>
      </c>
      <c r="B84" s="2" t="s">
        <v>344</v>
      </c>
      <c r="C84" s="21" t="s">
        <v>354</v>
      </c>
      <c r="D84" s="2" t="s">
        <v>99</v>
      </c>
      <c r="E84" s="2"/>
      <c r="F84" s="2"/>
      <c r="G84" s="2" t="s">
        <v>346</v>
      </c>
      <c r="H84" s="2" t="s">
        <v>355</v>
      </c>
      <c r="I84" s="2"/>
      <c r="J84" s="2" t="s">
        <v>348</v>
      </c>
      <c r="K84" s="15">
        <f>0.56*2.6</f>
        <v>1.4560000000000002</v>
      </c>
      <c r="L84" s="2">
        <v>1.05</v>
      </c>
      <c r="M84" s="2"/>
      <c r="N84" s="2"/>
      <c r="O84" s="2"/>
      <c r="P84" s="2"/>
      <c r="Q84" s="2"/>
      <c r="R84" s="2"/>
      <c r="S84" s="2">
        <v>1.33</v>
      </c>
      <c r="T84" s="2">
        <v>0.23</v>
      </c>
      <c r="U84" s="2"/>
      <c r="V84" s="2"/>
      <c r="W84" s="2"/>
      <c r="X84" s="2"/>
      <c r="Y84" s="2"/>
      <c r="Z84" s="2"/>
      <c r="AA84" s="2"/>
      <c r="AB84" s="2"/>
      <c r="AC84" s="2"/>
      <c r="AD84" s="2">
        <v>27.57</v>
      </c>
      <c r="AE84" s="2"/>
      <c r="AF84" s="15">
        <f>0.56*68.1</f>
        <v>38.136000000000003</v>
      </c>
      <c r="AG84" s="2">
        <v>1.18</v>
      </c>
      <c r="AH84" s="2"/>
      <c r="AI84" s="2"/>
      <c r="AJ84" s="2"/>
      <c r="AK84" s="2"/>
      <c r="AL84" s="2"/>
      <c r="AM84" s="2"/>
      <c r="AN84" s="2">
        <v>1.35</v>
      </c>
      <c r="AO84" s="2">
        <v>0.21</v>
      </c>
      <c r="AP84" s="2"/>
      <c r="AQ84" s="2"/>
      <c r="AR84" s="2"/>
      <c r="AS84" s="2"/>
      <c r="AT84" s="2"/>
      <c r="AU84" s="2"/>
      <c r="AV84" s="2"/>
      <c r="AW84" s="2"/>
      <c r="AX84" s="2"/>
      <c r="AY84" s="2">
        <v>30.32</v>
      </c>
      <c r="AZ84" s="2"/>
      <c r="BA84" s="15">
        <f>0.56*685.3</f>
        <v>383.76800000000003</v>
      </c>
      <c r="BB84" s="2">
        <v>1.1399999999999999</v>
      </c>
      <c r="BC84" s="2"/>
      <c r="BD84" s="2"/>
      <c r="BE84" s="2"/>
      <c r="BF84" s="2"/>
      <c r="BG84" s="2"/>
      <c r="BH84" s="2"/>
      <c r="BI84" s="2">
        <v>1.29</v>
      </c>
      <c r="BJ84" s="4">
        <v>0.2</v>
      </c>
      <c r="BK84" s="2"/>
      <c r="BL84" s="2"/>
      <c r="BM84" s="2"/>
      <c r="BN84" s="2"/>
      <c r="BO84" s="2"/>
      <c r="BP84" s="2"/>
      <c r="BQ84" s="2"/>
      <c r="BR84" s="2"/>
      <c r="BS84" s="2"/>
      <c r="BT84" s="2">
        <v>29.05</v>
      </c>
      <c r="BU84" s="2"/>
      <c r="BV84" s="2">
        <v>0</v>
      </c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>
        <v>0</v>
      </c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14" t="s">
        <v>81</v>
      </c>
      <c r="DM84" s="2" t="s">
        <v>81</v>
      </c>
      <c r="DN84" s="2">
        <f t="shared" si="8"/>
        <v>1.2955423280423282</v>
      </c>
      <c r="DO84" s="2">
        <f t="shared" si="9"/>
        <v>0.20100396825396827</v>
      </c>
      <c r="DP84" s="2" t="s">
        <v>356</v>
      </c>
      <c r="DQ84" s="2" t="s">
        <v>3</v>
      </c>
      <c r="DR84" s="15">
        <f t="shared" si="10"/>
        <v>423.36</v>
      </c>
      <c r="DS84" s="4">
        <f t="shared" si="11"/>
        <v>1.2955423280423282</v>
      </c>
      <c r="DT84" s="18">
        <f t="shared" si="12"/>
        <v>5484.8080000000009</v>
      </c>
      <c r="DU84" s="2"/>
      <c r="DV84" s="2">
        <f t="shared" si="13"/>
        <v>0</v>
      </c>
      <c r="DW84" s="2"/>
      <c r="DX84" s="2"/>
      <c r="DY84" s="2"/>
      <c r="DZ84" s="2" t="s">
        <v>3</v>
      </c>
      <c r="EA84" s="2" t="s">
        <v>344</v>
      </c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 t="s">
        <v>344</v>
      </c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 t="s">
        <v>344</v>
      </c>
      <c r="FQ84" s="2" t="s">
        <v>3</v>
      </c>
      <c r="FR84" s="2" t="s">
        <v>183</v>
      </c>
      <c r="FS84" s="2" t="s">
        <v>350</v>
      </c>
      <c r="FT84" s="2"/>
      <c r="FU84" s="2"/>
      <c r="FV84" s="2" t="s">
        <v>3</v>
      </c>
    </row>
    <row r="85" spans="1:178" ht="15.75" customHeight="1" x14ac:dyDescent="0.2">
      <c r="A85" s="14" t="s">
        <v>343</v>
      </c>
      <c r="B85" s="2" t="s">
        <v>344</v>
      </c>
      <c r="C85" s="21" t="s">
        <v>357</v>
      </c>
      <c r="D85" s="2" t="s">
        <v>99</v>
      </c>
      <c r="E85" s="2"/>
      <c r="F85" s="2"/>
      <c r="G85" s="2" t="s">
        <v>346</v>
      </c>
      <c r="H85" s="2" t="s">
        <v>358</v>
      </c>
      <c r="I85" s="2"/>
      <c r="J85" s="2" t="s">
        <v>348</v>
      </c>
      <c r="K85" s="2">
        <v>0</v>
      </c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>
        <v>0</v>
      </c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>
        <v>448</v>
      </c>
      <c r="BB85" s="2">
        <v>1.1000000000000001</v>
      </c>
      <c r="BC85" s="2"/>
      <c r="BD85" s="2"/>
      <c r="BE85" s="2"/>
      <c r="BF85" s="2"/>
      <c r="BG85" s="2"/>
      <c r="BH85" s="2"/>
      <c r="BI85" s="4">
        <v>1.39</v>
      </c>
      <c r="BJ85" s="4">
        <v>0.23</v>
      </c>
      <c r="BK85" s="2"/>
      <c r="BL85" s="2"/>
      <c r="BM85" s="2"/>
      <c r="BN85" s="2"/>
      <c r="BO85" s="2"/>
      <c r="BP85" s="2"/>
      <c r="BQ85" s="2"/>
      <c r="BR85" s="2"/>
      <c r="BS85" s="2"/>
      <c r="BT85" s="2">
        <v>29.3</v>
      </c>
      <c r="BU85" s="2"/>
      <c r="BV85" s="2">
        <v>0</v>
      </c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>
        <v>0</v>
      </c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14" t="s">
        <v>100</v>
      </c>
      <c r="DM85" s="2" t="s">
        <v>100</v>
      </c>
      <c r="DN85" s="2">
        <f t="shared" si="8"/>
        <v>1.39</v>
      </c>
      <c r="DO85" s="2">
        <f t="shared" si="9"/>
        <v>0.23</v>
      </c>
      <c r="DP85" s="2" t="s">
        <v>359</v>
      </c>
      <c r="DQ85" s="2" t="s">
        <v>3</v>
      </c>
      <c r="DR85" s="2">
        <f t="shared" si="10"/>
        <v>448</v>
      </c>
      <c r="DS85" s="4">
        <f t="shared" si="11"/>
        <v>1.39</v>
      </c>
      <c r="DT85" s="18">
        <f t="shared" si="12"/>
        <v>6227.2</v>
      </c>
      <c r="DU85" s="2"/>
      <c r="DV85" s="2">
        <f t="shared" si="13"/>
        <v>0</v>
      </c>
      <c r="DW85" s="2"/>
      <c r="DX85" s="2"/>
      <c r="DY85" s="2"/>
      <c r="DZ85" s="2" t="s">
        <v>3</v>
      </c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 t="s">
        <v>3</v>
      </c>
      <c r="FR85" s="2" t="s">
        <v>183</v>
      </c>
      <c r="FS85" s="2" t="s">
        <v>350</v>
      </c>
      <c r="FT85" s="2"/>
      <c r="FU85" s="2"/>
      <c r="FV85" s="2" t="s">
        <v>3</v>
      </c>
    </row>
    <row r="86" spans="1:178" ht="15.75" customHeight="1" x14ac:dyDescent="0.2">
      <c r="A86" s="14" t="s">
        <v>343</v>
      </c>
      <c r="B86" s="2" t="s">
        <v>344</v>
      </c>
      <c r="C86" s="21" t="s">
        <v>360</v>
      </c>
      <c r="D86" s="2" t="s">
        <v>99</v>
      </c>
      <c r="E86" s="2"/>
      <c r="F86" s="2"/>
      <c r="G86" s="2" t="s">
        <v>346</v>
      </c>
      <c r="H86" s="2" t="s">
        <v>361</v>
      </c>
      <c r="I86" s="2"/>
      <c r="J86" s="2" t="s">
        <v>348</v>
      </c>
      <c r="K86" s="2">
        <v>0</v>
      </c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>
        <v>0</v>
      </c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>
        <v>33.700000000000003</v>
      </c>
      <c r="BB86" s="4">
        <f>100*0.435/BA86</f>
        <v>1.29080118694362</v>
      </c>
      <c r="BC86" s="2"/>
      <c r="BD86" s="2"/>
      <c r="BE86" s="2"/>
      <c r="BF86" s="2"/>
      <c r="BG86" s="2"/>
      <c r="BH86" s="2"/>
      <c r="BI86" s="4">
        <f>100*0.443/BA86</f>
        <v>1.3145400593471808</v>
      </c>
      <c r="BJ86" s="4">
        <f>100*0.053/BA86</f>
        <v>0.15727002967359049</v>
      </c>
      <c r="BK86" s="2"/>
      <c r="BL86" s="2"/>
      <c r="BM86" s="2"/>
      <c r="BN86" s="2"/>
      <c r="BO86" s="2"/>
      <c r="BP86" s="2"/>
      <c r="BQ86" s="2"/>
      <c r="BR86" s="2"/>
      <c r="BS86" s="2"/>
      <c r="BT86" s="15">
        <f>100*11/BA86</f>
        <v>32.640949554896139</v>
      </c>
      <c r="BU86" s="2"/>
      <c r="BV86" s="2">
        <v>0</v>
      </c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>
        <v>0</v>
      </c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14" t="s">
        <v>100</v>
      </c>
      <c r="DM86" s="2" t="s">
        <v>100</v>
      </c>
      <c r="DN86" s="2">
        <f t="shared" si="8"/>
        <v>1.3145400593471808</v>
      </c>
      <c r="DO86" s="2">
        <f t="shared" si="9"/>
        <v>0.15727002967359049</v>
      </c>
      <c r="DP86" s="2" t="s">
        <v>362</v>
      </c>
      <c r="DQ86" s="2" t="s">
        <v>3</v>
      </c>
      <c r="DR86" s="2">
        <f t="shared" si="10"/>
        <v>33.700000000000003</v>
      </c>
      <c r="DS86" s="4">
        <f t="shared" si="11"/>
        <v>1.3145400593471808</v>
      </c>
      <c r="DT86" s="15">
        <f t="shared" si="12"/>
        <v>442.99999999999994</v>
      </c>
      <c r="DU86" s="2"/>
      <c r="DV86" s="2">
        <f t="shared" si="13"/>
        <v>0</v>
      </c>
      <c r="DW86" s="2"/>
      <c r="DX86" s="2"/>
      <c r="DY86" s="2"/>
      <c r="DZ86" s="2" t="s">
        <v>3</v>
      </c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 t="s">
        <v>3</v>
      </c>
      <c r="FR86" s="2" t="s">
        <v>183</v>
      </c>
      <c r="FS86" s="2" t="s">
        <v>350</v>
      </c>
      <c r="FT86" s="2"/>
      <c r="FU86" s="2"/>
      <c r="FV86" s="2" t="s">
        <v>3</v>
      </c>
    </row>
    <row r="87" spans="1:178" ht="15.75" customHeight="1" x14ac:dyDescent="0.2">
      <c r="A87" s="14" t="s">
        <v>74</v>
      </c>
      <c r="B87" s="2" t="s">
        <v>164</v>
      </c>
      <c r="C87" s="13" t="s">
        <v>363</v>
      </c>
      <c r="D87" s="2" t="s">
        <v>99</v>
      </c>
      <c r="E87" s="2"/>
      <c r="F87" s="2"/>
      <c r="G87" s="2" t="s">
        <v>78</v>
      </c>
      <c r="H87" s="2" t="s">
        <v>364</v>
      </c>
      <c r="I87" s="2"/>
      <c r="J87" s="2" t="s">
        <v>80</v>
      </c>
      <c r="K87" s="2">
        <v>0</v>
      </c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>
        <v>0</v>
      </c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>
        <v>33.299999999999997</v>
      </c>
      <c r="BB87" s="2"/>
      <c r="BC87" s="2"/>
      <c r="BD87" s="2"/>
      <c r="BE87" s="2"/>
      <c r="BF87" s="2"/>
      <c r="BG87" s="2"/>
      <c r="BH87" s="2"/>
      <c r="BI87" s="2">
        <v>0.81</v>
      </c>
      <c r="BJ87" s="2">
        <v>7.0000000000000007E-2</v>
      </c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>
        <v>0</v>
      </c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>
        <v>0</v>
      </c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14" t="s">
        <v>81</v>
      </c>
      <c r="DM87" s="2" t="s">
        <v>81</v>
      </c>
      <c r="DN87" s="2">
        <f t="shared" si="8"/>
        <v>0.81</v>
      </c>
      <c r="DO87" s="2">
        <f t="shared" si="9"/>
        <v>7.0000000000000007E-2</v>
      </c>
      <c r="DP87" s="2" t="s">
        <v>211</v>
      </c>
      <c r="DQ87" s="2" t="s">
        <v>3</v>
      </c>
      <c r="DR87" s="2">
        <f t="shared" si="10"/>
        <v>33.299999999999997</v>
      </c>
      <c r="DS87" s="2">
        <f t="shared" si="11"/>
        <v>0.81</v>
      </c>
      <c r="DT87" s="15">
        <f t="shared" si="12"/>
        <v>269.73</v>
      </c>
      <c r="DU87" s="2"/>
      <c r="DV87" s="2">
        <f t="shared" si="13"/>
        <v>0</v>
      </c>
      <c r="DW87" s="2"/>
      <c r="DX87" s="2"/>
      <c r="DY87" s="2"/>
      <c r="DZ87" s="2" t="s">
        <v>3</v>
      </c>
      <c r="EA87" s="2" t="s">
        <v>365</v>
      </c>
      <c r="EB87" s="2" t="s">
        <v>176</v>
      </c>
      <c r="EC87" s="2">
        <v>0.06</v>
      </c>
      <c r="ED87" s="2" t="s">
        <v>176</v>
      </c>
      <c r="EE87" s="2" t="s">
        <v>176</v>
      </c>
      <c r="EF87" s="2" t="s">
        <v>176</v>
      </c>
      <c r="EG87" s="2" t="s">
        <v>176</v>
      </c>
      <c r="EH87" s="2"/>
      <c r="EI87" s="2"/>
      <c r="EJ87" s="2">
        <v>1</v>
      </c>
      <c r="EK87" s="2">
        <v>1</v>
      </c>
      <c r="EL87" s="2"/>
      <c r="EM87" s="2" t="s">
        <v>365</v>
      </c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 t="s">
        <v>365</v>
      </c>
      <c r="FQ87" s="2" t="s">
        <v>3</v>
      </c>
      <c r="FR87" s="2" t="s">
        <v>37</v>
      </c>
      <c r="FS87" s="2" t="s">
        <v>114</v>
      </c>
      <c r="FT87" s="2" t="s">
        <v>114</v>
      </c>
      <c r="FU87" s="2"/>
      <c r="FV87" s="2" t="s">
        <v>3</v>
      </c>
    </row>
    <row r="88" spans="1:178" ht="15.75" customHeight="1" x14ac:dyDescent="0.2">
      <c r="A88" s="14" t="s">
        <v>96</v>
      </c>
      <c r="B88" s="2" t="s">
        <v>164</v>
      </c>
      <c r="C88" s="16" t="s">
        <v>366</v>
      </c>
      <c r="D88" s="2" t="s">
        <v>120</v>
      </c>
      <c r="E88" s="2"/>
      <c r="F88" s="2"/>
      <c r="G88" s="2" t="s">
        <v>179</v>
      </c>
      <c r="H88" s="2" t="s">
        <v>367</v>
      </c>
      <c r="I88" s="2"/>
      <c r="J88" s="2" t="s">
        <v>181</v>
      </c>
      <c r="K88" s="2">
        <v>0.87</v>
      </c>
      <c r="L88" s="2"/>
      <c r="M88" s="2"/>
      <c r="N88" s="2"/>
      <c r="O88" s="2"/>
      <c r="P88" s="2"/>
      <c r="Q88" s="2"/>
      <c r="R88" s="2"/>
      <c r="S88" s="2">
        <v>3.4</v>
      </c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>
        <f>3.9+1.2</f>
        <v>5.0999999999999996</v>
      </c>
      <c r="AG88" s="2"/>
      <c r="AH88" s="2"/>
      <c r="AI88" s="2"/>
      <c r="AJ88" s="2"/>
      <c r="AK88" s="2"/>
      <c r="AL88" s="2"/>
      <c r="AM88" s="2"/>
      <c r="AN88" s="15">
        <f>(0.96*3.9+3.6*1.2)/AF88</f>
        <v>1.5811764705882354</v>
      </c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>
        <f>3+0.52</f>
        <v>3.52</v>
      </c>
      <c r="BB88" s="2"/>
      <c r="BC88" s="2"/>
      <c r="BD88" s="2"/>
      <c r="BE88" s="2"/>
      <c r="BF88" s="2"/>
      <c r="BG88" s="2"/>
      <c r="BH88" s="2"/>
      <c r="BI88" s="15">
        <f>(0.99*3+3.5*0.52)/BA88</f>
        <v>1.3607954545454546</v>
      </c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>
        <v>0</v>
      </c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>
        <v>0.55000000000000004</v>
      </c>
      <c r="CR88" s="2"/>
      <c r="CS88" s="2"/>
      <c r="CT88" s="2"/>
      <c r="CU88" s="2"/>
      <c r="CV88" s="2"/>
      <c r="CW88" s="2"/>
      <c r="CX88" s="2"/>
      <c r="CY88" s="15">
        <v>2</v>
      </c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14" t="s">
        <v>81</v>
      </c>
      <c r="DM88" s="2"/>
      <c r="DN88" s="2">
        <f t="shared" si="8"/>
        <v>1.6661749209694416</v>
      </c>
      <c r="DO88" s="2">
        <f t="shared" si="9"/>
        <v>0</v>
      </c>
      <c r="DP88" s="2" t="s">
        <v>211</v>
      </c>
      <c r="DQ88" s="2" t="s">
        <v>3</v>
      </c>
      <c r="DR88" s="2">
        <f t="shared" si="10"/>
        <v>9.49</v>
      </c>
      <c r="DS88" s="4">
        <f t="shared" si="11"/>
        <v>1.6661749209694416</v>
      </c>
      <c r="DT88" s="15">
        <f t="shared" si="12"/>
        <v>158.12</v>
      </c>
      <c r="DU88" s="2"/>
      <c r="DV88" s="2">
        <f t="shared" si="13"/>
        <v>0.55000000000000004</v>
      </c>
      <c r="DW88" s="4">
        <f>(BV88*CD88+CQ88*CY88)/DV88</f>
        <v>2</v>
      </c>
      <c r="DX88" s="15">
        <f>1000*DV88*DW88/100</f>
        <v>11</v>
      </c>
      <c r="DY88" s="2"/>
      <c r="DZ88" s="2" t="s">
        <v>3</v>
      </c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 t="s">
        <v>3</v>
      </c>
      <c r="FR88" s="2" t="s">
        <v>89</v>
      </c>
      <c r="FS88" s="2" t="s">
        <v>137</v>
      </c>
      <c r="FT88" s="2"/>
      <c r="FU88" s="2"/>
      <c r="FV88" s="2" t="s">
        <v>3</v>
      </c>
    </row>
    <row r="89" spans="1:178" ht="15.75" customHeight="1" x14ac:dyDescent="0.2">
      <c r="A89" s="14" t="s">
        <v>74</v>
      </c>
      <c r="B89" s="2" t="s">
        <v>164</v>
      </c>
      <c r="C89" s="13" t="s">
        <v>368</v>
      </c>
      <c r="D89" s="2" t="s">
        <v>99</v>
      </c>
      <c r="E89" s="2"/>
      <c r="F89" s="2"/>
      <c r="G89" s="2" t="s">
        <v>78</v>
      </c>
      <c r="H89" s="2" t="s">
        <v>369</v>
      </c>
      <c r="I89" s="2"/>
      <c r="J89" s="2" t="s">
        <v>242</v>
      </c>
      <c r="K89" s="2">
        <v>0</v>
      </c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>
        <v>0</v>
      </c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>
        <v>7.5</v>
      </c>
      <c r="BB89" s="2"/>
      <c r="BC89" s="2"/>
      <c r="BD89" s="2"/>
      <c r="BE89" s="2"/>
      <c r="BF89" s="2"/>
      <c r="BG89" s="2"/>
      <c r="BH89" s="2"/>
      <c r="BI89" s="2">
        <v>0.8</v>
      </c>
      <c r="BJ89" s="2">
        <v>0.09</v>
      </c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>
        <v>0</v>
      </c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>
        <v>0</v>
      </c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14" t="s">
        <v>81</v>
      </c>
      <c r="DM89" s="2" t="s">
        <v>81</v>
      </c>
      <c r="DN89" s="2">
        <f t="shared" si="8"/>
        <v>0.8</v>
      </c>
      <c r="DO89" s="2">
        <f t="shared" si="9"/>
        <v>0.09</v>
      </c>
      <c r="DP89" s="2" t="s">
        <v>175</v>
      </c>
      <c r="DQ89" s="2" t="s">
        <v>3</v>
      </c>
      <c r="DR89" s="2">
        <f t="shared" si="10"/>
        <v>7.5</v>
      </c>
      <c r="DS89" s="2">
        <f t="shared" si="11"/>
        <v>0.8</v>
      </c>
      <c r="DT89" s="15">
        <f t="shared" si="12"/>
        <v>60</v>
      </c>
      <c r="DU89" s="2"/>
      <c r="DV89" s="2">
        <f t="shared" si="13"/>
        <v>0</v>
      </c>
      <c r="DW89" s="2"/>
      <c r="DX89" s="2"/>
      <c r="DY89" s="2"/>
      <c r="DZ89" s="2" t="s">
        <v>3</v>
      </c>
      <c r="EA89" s="2" t="s">
        <v>370</v>
      </c>
      <c r="EB89" s="15">
        <v>20.899000000000001</v>
      </c>
      <c r="EC89" s="2" t="s">
        <v>176</v>
      </c>
      <c r="ED89" s="15">
        <v>20.899000000000001</v>
      </c>
      <c r="EE89" s="2" t="s">
        <v>176</v>
      </c>
      <c r="EF89" s="3">
        <v>163.54599999999996</v>
      </c>
      <c r="EG89" s="2" t="s">
        <v>176</v>
      </c>
      <c r="EH89" s="3">
        <v>163.54599999999996</v>
      </c>
      <c r="EI89" s="2"/>
      <c r="EJ89" s="2"/>
      <c r="EK89" s="2"/>
      <c r="EL89" s="2"/>
      <c r="EM89" s="2" t="s">
        <v>370</v>
      </c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 t="s">
        <v>370</v>
      </c>
      <c r="FQ89" s="2" t="s">
        <v>3</v>
      </c>
      <c r="FR89" s="2" t="s">
        <v>37</v>
      </c>
      <c r="FS89" s="2" t="s">
        <v>114</v>
      </c>
      <c r="FT89" s="2"/>
      <c r="FU89" s="2"/>
      <c r="FV89" s="2" t="s">
        <v>3</v>
      </c>
    </row>
    <row r="90" spans="1:178" ht="15.75" customHeight="1" x14ac:dyDescent="0.2">
      <c r="A90" s="14" t="s">
        <v>74</v>
      </c>
      <c r="B90" s="2" t="s">
        <v>164</v>
      </c>
      <c r="C90" s="13" t="s">
        <v>371</v>
      </c>
      <c r="D90" s="2" t="s">
        <v>99</v>
      </c>
      <c r="E90" s="2"/>
      <c r="F90" s="2"/>
      <c r="G90" s="2" t="s">
        <v>78</v>
      </c>
      <c r="H90" s="2" t="s">
        <v>372</v>
      </c>
      <c r="I90" s="2"/>
      <c r="J90" s="2" t="s">
        <v>242</v>
      </c>
      <c r="K90" s="2">
        <v>0</v>
      </c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>
        <v>2.2000000000000002</v>
      </c>
      <c r="AG90" s="2"/>
      <c r="AH90" s="2"/>
      <c r="AI90" s="2"/>
      <c r="AJ90" s="2"/>
      <c r="AK90" s="2"/>
      <c r="AL90" s="2"/>
      <c r="AM90" s="2"/>
      <c r="AN90" s="2">
        <v>0.97</v>
      </c>
      <c r="AO90" s="2">
        <v>0.04</v>
      </c>
      <c r="AP90" s="2"/>
      <c r="AQ90" s="2"/>
      <c r="AR90" s="2"/>
      <c r="AS90" s="2"/>
      <c r="AT90" s="2"/>
      <c r="AU90" s="2"/>
      <c r="AV90" s="2">
        <v>19</v>
      </c>
      <c r="AW90" s="2"/>
      <c r="AX90" s="2"/>
      <c r="AY90" s="2"/>
      <c r="AZ90" s="2"/>
      <c r="BA90" s="2">
        <v>18.8</v>
      </c>
      <c r="BB90" s="2"/>
      <c r="BC90" s="2"/>
      <c r="BD90" s="2"/>
      <c r="BE90" s="2"/>
      <c r="BF90" s="2"/>
      <c r="BG90" s="2"/>
      <c r="BH90" s="2"/>
      <c r="BI90" s="2">
        <v>0.84</v>
      </c>
      <c r="BJ90" s="2">
        <v>0.06</v>
      </c>
      <c r="BK90" s="2"/>
      <c r="BL90" s="2"/>
      <c r="BM90" s="2"/>
      <c r="BN90" s="2"/>
      <c r="BO90" s="2"/>
      <c r="BP90" s="2"/>
      <c r="BQ90" s="2">
        <v>23</v>
      </c>
      <c r="BR90" s="2"/>
      <c r="BS90" s="2"/>
      <c r="BT90" s="2"/>
      <c r="BU90" s="2"/>
      <c r="BV90" s="2">
        <v>0</v>
      </c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>
        <v>0</v>
      </c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14" t="s">
        <v>81</v>
      </c>
      <c r="DM90" s="2" t="s">
        <v>81</v>
      </c>
      <c r="DN90" s="2">
        <f t="shared" si="8"/>
        <v>0.8536190476190475</v>
      </c>
      <c r="DO90" s="2">
        <f t="shared" si="9"/>
        <v>5.7904761904761903E-2</v>
      </c>
      <c r="DP90" s="2" t="s">
        <v>211</v>
      </c>
      <c r="DQ90" s="2" t="s">
        <v>3</v>
      </c>
      <c r="DR90" s="2">
        <f t="shared" si="10"/>
        <v>21</v>
      </c>
      <c r="DS90" s="4">
        <f t="shared" si="11"/>
        <v>0.8536190476190475</v>
      </c>
      <c r="DT90" s="15">
        <f t="shared" si="12"/>
        <v>179.25999999999996</v>
      </c>
      <c r="DU90" s="2"/>
      <c r="DV90" s="2">
        <f t="shared" si="13"/>
        <v>0</v>
      </c>
      <c r="DW90" s="2"/>
      <c r="DX90" s="2"/>
      <c r="DY90" s="2"/>
      <c r="DZ90" s="2" t="s">
        <v>3</v>
      </c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 t="s">
        <v>3</v>
      </c>
      <c r="FR90" s="2" t="s">
        <v>37</v>
      </c>
      <c r="FS90" s="2" t="s">
        <v>373</v>
      </c>
      <c r="FT90" s="2" t="s">
        <v>373</v>
      </c>
      <c r="FU90" s="2"/>
      <c r="FV90" s="2" t="s">
        <v>3</v>
      </c>
    </row>
    <row r="91" spans="1:178" ht="15.75" customHeight="1" x14ac:dyDescent="0.2">
      <c r="A91" s="14" t="s">
        <v>96</v>
      </c>
      <c r="B91" s="2" t="s">
        <v>164</v>
      </c>
      <c r="C91" s="16" t="s">
        <v>374</v>
      </c>
      <c r="D91" s="2" t="s">
        <v>99</v>
      </c>
      <c r="E91" s="2"/>
      <c r="F91" s="2"/>
      <c r="G91" s="2" t="s">
        <v>179</v>
      </c>
      <c r="H91" s="2" t="s">
        <v>375</v>
      </c>
      <c r="I91" s="2"/>
      <c r="J91" s="2" t="s">
        <v>181</v>
      </c>
      <c r="K91" s="2">
        <v>0</v>
      </c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>
        <v>0</v>
      </c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>
        <v>0.57299999999999995</v>
      </c>
      <c r="BB91" s="2">
        <v>1.19</v>
      </c>
      <c r="BC91" s="2"/>
      <c r="BD91" s="2"/>
      <c r="BE91" s="2"/>
      <c r="BF91" s="2"/>
      <c r="BG91" s="2"/>
      <c r="BH91" s="2"/>
      <c r="BI91" s="2">
        <v>1.63</v>
      </c>
      <c r="BJ91" s="2">
        <v>8.2000000000000003E-2</v>
      </c>
      <c r="BK91" s="2">
        <v>0.85</v>
      </c>
      <c r="BL91" s="2">
        <v>1.49</v>
      </c>
      <c r="BM91" s="2"/>
      <c r="BN91" s="2"/>
      <c r="BO91" s="2"/>
      <c r="BP91" s="2"/>
      <c r="BQ91" s="2"/>
      <c r="BR91" s="2"/>
      <c r="BS91" s="2"/>
      <c r="BT91" s="2"/>
      <c r="BU91" s="2"/>
      <c r="BV91" s="2">
        <v>0</v>
      </c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>
        <v>0</v>
      </c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14" t="s">
        <v>81</v>
      </c>
      <c r="DM91" s="2" t="s">
        <v>81</v>
      </c>
      <c r="DN91" s="2">
        <f t="shared" si="8"/>
        <v>1.63</v>
      </c>
      <c r="DO91" s="2">
        <f t="shared" si="9"/>
        <v>8.2000000000000003E-2</v>
      </c>
      <c r="DP91" s="2" t="s">
        <v>211</v>
      </c>
      <c r="DQ91" s="2" t="s">
        <v>3</v>
      </c>
      <c r="DR91" s="2">
        <f t="shared" si="10"/>
        <v>0.57299999999999995</v>
      </c>
      <c r="DS91" s="2">
        <f t="shared" si="11"/>
        <v>1.63</v>
      </c>
      <c r="DT91" s="15">
        <f t="shared" si="12"/>
        <v>9.3398999999999983</v>
      </c>
      <c r="DU91" s="2"/>
      <c r="DV91" s="2">
        <f t="shared" si="13"/>
        <v>0</v>
      </c>
      <c r="DW91" s="2"/>
      <c r="DX91" s="2"/>
      <c r="DY91" s="2"/>
      <c r="DZ91" s="2" t="s">
        <v>3</v>
      </c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 t="s">
        <v>3</v>
      </c>
      <c r="FR91" s="2" t="s">
        <v>89</v>
      </c>
      <c r="FS91" s="2" t="s">
        <v>137</v>
      </c>
      <c r="FT91" s="2"/>
      <c r="FU91" s="2"/>
      <c r="FV91" s="2" t="s">
        <v>3</v>
      </c>
    </row>
    <row r="92" spans="1:178" ht="15.75" customHeight="1" x14ac:dyDescent="0.2">
      <c r="A92" s="14" t="s">
        <v>96</v>
      </c>
      <c r="B92" s="2" t="s">
        <v>164</v>
      </c>
      <c r="C92" s="16" t="s">
        <v>376</v>
      </c>
      <c r="D92" s="2" t="s">
        <v>99</v>
      </c>
      <c r="E92" s="2"/>
      <c r="F92" s="2"/>
      <c r="G92" s="2" t="s">
        <v>179</v>
      </c>
      <c r="H92" s="2" t="s">
        <v>377</v>
      </c>
      <c r="I92" s="2"/>
      <c r="J92" s="2" t="s">
        <v>181</v>
      </c>
      <c r="K92" s="2">
        <v>0</v>
      </c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>
        <v>0</v>
      </c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>
        <v>0.47799999999999998</v>
      </c>
      <c r="BB92" s="2"/>
      <c r="BC92" s="2"/>
      <c r="BD92" s="2"/>
      <c r="BE92" s="2"/>
      <c r="BF92" s="2"/>
      <c r="BG92" s="2"/>
      <c r="BH92" s="2"/>
      <c r="BI92" s="2">
        <v>0.9</v>
      </c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>
        <v>0</v>
      </c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>
        <v>0</v>
      </c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14" t="s">
        <v>81</v>
      </c>
      <c r="DM92" s="2"/>
      <c r="DN92" s="2">
        <f t="shared" si="8"/>
        <v>0.9</v>
      </c>
      <c r="DO92" s="2">
        <f t="shared" si="9"/>
        <v>0</v>
      </c>
      <c r="DP92" s="2" t="s">
        <v>175</v>
      </c>
      <c r="DQ92" s="2" t="s">
        <v>3</v>
      </c>
      <c r="DR92" s="2">
        <f t="shared" si="10"/>
        <v>0.47799999999999998</v>
      </c>
      <c r="DS92" s="2">
        <f t="shared" si="11"/>
        <v>0.9</v>
      </c>
      <c r="DT92" s="15">
        <f t="shared" si="12"/>
        <v>4.3019999999999996</v>
      </c>
      <c r="DU92" s="2"/>
      <c r="DV92" s="2">
        <f t="shared" si="13"/>
        <v>0</v>
      </c>
      <c r="DW92" s="2"/>
      <c r="DX92" s="2"/>
      <c r="DY92" s="2"/>
      <c r="DZ92" s="2" t="s">
        <v>3</v>
      </c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 t="s">
        <v>3</v>
      </c>
      <c r="FR92" s="2" t="s">
        <v>89</v>
      </c>
      <c r="FS92" s="2" t="s">
        <v>378</v>
      </c>
      <c r="FT92" s="2"/>
      <c r="FU92" s="2"/>
      <c r="FV92" s="2" t="s">
        <v>3</v>
      </c>
    </row>
    <row r="93" spans="1:178" ht="15.75" customHeight="1" x14ac:dyDescent="0.2">
      <c r="A93" s="14" t="s">
        <v>96</v>
      </c>
      <c r="B93" s="2" t="s">
        <v>164</v>
      </c>
      <c r="C93" s="16" t="s">
        <v>379</v>
      </c>
      <c r="D93" s="2" t="s">
        <v>99</v>
      </c>
      <c r="E93" s="2"/>
      <c r="F93" s="2"/>
      <c r="G93" s="2" t="s">
        <v>179</v>
      </c>
      <c r="H93" s="2" t="s">
        <v>380</v>
      </c>
      <c r="I93" s="2"/>
      <c r="J93" s="2" t="s">
        <v>181</v>
      </c>
      <c r="K93" s="2">
        <v>0</v>
      </c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>
        <v>0</v>
      </c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>
        <v>0.22500000000000001</v>
      </c>
      <c r="BB93" s="2">
        <v>0.24</v>
      </c>
      <c r="BC93" s="2"/>
      <c r="BD93" s="2"/>
      <c r="BE93" s="2"/>
      <c r="BF93" s="2"/>
      <c r="BG93" s="2"/>
      <c r="BH93" s="2"/>
      <c r="BI93" s="2">
        <v>0.65</v>
      </c>
      <c r="BJ93" s="2">
        <v>0.03</v>
      </c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>
        <v>0</v>
      </c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>
        <v>0</v>
      </c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14" t="s">
        <v>81</v>
      </c>
      <c r="DM93" s="2" t="s">
        <v>81</v>
      </c>
      <c r="DN93" s="2">
        <f t="shared" si="8"/>
        <v>0.65</v>
      </c>
      <c r="DO93" s="2">
        <f t="shared" si="9"/>
        <v>0.03</v>
      </c>
      <c r="DP93" s="2" t="s">
        <v>175</v>
      </c>
      <c r="DQ93" s="2" t="s">
        <v>3</v>
      </c>
      <c r="DR93" s="2">
        <f t="shared" si="10"/>
        <v>0.22500000000000001</v>
      </c>
      <c r="DS93" s="2">
        <f t="shared" si="11"/>
        <v>0.65</v>
      </c>
      <c r="DT93" s="15">
        <f t="shared" si="12"/>
        <v>1.4624999999999999</v>
      </c>
      <c r="DU93" s="2"/>
      <c r="DV93" s="2">
        <f t="shared" si="13"/>
        <v>0</v>
      </c>
      <c r="DW93" s="2"/>
      <c r="DX93" s="2"/>
      <c r="DY93" s="2"/>
      <c r="DZ93" s="2" t="s">
        <v>3</v>
      </c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 t="s">
        <v>3</v>
      </c>
      <c r="FR93" s="2" t="s">
        <v>89</v>
      </c>
      <c r="FS93" s="2" t="s">
        <v>378</v>
      </c>
      <c r="FT93" s="2"/>
      <c r="FU93" s="2"/>
      <c r="FV93" s="2" t="s">
        <v>3</v>
      </c>
    </row>
    <row r="94" spans="1:178" ht="15.75" customHeight="1" x14ac:dyDescent="0.2">
      <c r="A94" s="14" t="s">
        <v>74</v>
      </c>
      <c r="B94" s="2" t="s">
        <v>164</v>
      </c>
      <c r="C94" s="13" t="s">
        <v>381</v>
      </c>
      <c r="D94" s="2" t="s">
        <v>99</v>
      </c>
      <c r="E94" s="2"/>
      <c r="F94" s="2"/>
      <c r="G94" s="2" t="s">
        <v>78</v>
      </c>
      <c r="H94" s="2" t="s">
        <v>369</v>
      </c>
      <c r="I94" s="2"/>
      <c r="J94" s="2" t="s">
        <v>80</v>
      </c>
      <c r="K94" s="2">
        <v>0</v>
      </c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>
        <v>0</v>
      </c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>
        <v>5.7</v>
      </c>
      <c r="BB94" s="2"/>
      <c r="BC94" s="2"/>
      <c r="BD94" s="2"/>
      <c r="BE94" s="2"/>
      <c r="BF94" s="2"/>
      <c r="BG94" s="2"/>
      <c r="BH94" s="2"/>
      <c r="BI94" s="15">
        <v>1</v>
      </c>
      <c r="BJ94" s="2">
        <v>0.08</v>
      </c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>
        <v>0</v>
      </c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>
        <v>0</v>
      </c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14" t="s">
        <v>81</v>
      </c>
      <c r="DM94" s="2" t="s">
        <v>81</v>
      </c>
      <c r="DN94" s="2">
        <f t="shared" si="8"/>
        <v>1</v>
      </c>
      <c r="DO94" s="2">
        <f t="shared" si="9"/>
        <v>0.08</v>
      </c>
      <c r="DP94" s="2" t="s">
        <v>382</v>
      </c>
      <c r="DQ94" s="2" t="s">
        <v>3</v>
      </c>
      <c r="DR94" s="2">
        <f t="shared" si="10"/>
        <v>5.7</v>
      </c>
      <c r="DS94" s="2">
        <f t="shared" si="11"/>
        <v>1</v>
      </c>
      <c r="DT94" s="15">
        <f t="shared" si="12"/>
        <v>57</v>
      </c>
      <c r="DU94" s="2"/>
      <c r="DV94" s="2">
        <f t="shared" si="13"/>
        <v>0</v>
      </c>
      <c r="DW94" s="2"/>
      <c r="DX94" s="2"/>
      <c r="DY94" s="2"/>
      <c r="DZ94" s="2" t="s">
        <v>3</v>
      </c>
      <c r="EA94" s="2" t="s">
        <v>344</v>
      </c>
      <c r="EB94" s="2" t="s">
        <v>176</v>
      </c>
      <c r="EC94" s="2" t="s">
        <v>176</v>
      </c>
      <c r="ED94" s="2" t="s">
        <v>176</v>
      </c>
      <c r="EE94" s="2" t="s">
        <v>176</v>
      </c>
      <c r="EF94" s="3">
        <v>3696.0000000000005</v>
      </c>
      <c r="EG94" s="2" t="s">
        <v>176</v>
      </c>
      <c r="EH94" s="3">
        <v>3696.0000000000005</v>
      </c>
      <c r="EI94" s="2"/>
      <c r="EJ94" s="3">
        <f>SUM(EP94,EX94,FB94)</f>
        <v>1727.4862930900001</v>
      </c>
      <c r="EK94" s="2"/>
      <c r="EL94" s="3">
        <f>FD94</f>
        <v>1727.4862930900001</v>
      </c>
      <c r="EM94" s="2" t="s">
        <v>344</v>
      </c>
      <c r="EN94" s="2" t="s">
        <v>176</v>
      </c>
      <c r="EO94" s="2" t="s">
        <v>176</v>
      </c>
      <c r="EP94" s="2" t="s">
        <v>176</v>
      </c>
      <c r="EQ94" s="2" t="s">
        <v>176</v>
      </c>
      <c r="ER94" s="2" t="s">
        <v>176</v>
      </c>
      <c r="ES94" s="2" t="s">
        <v>176</v>
      </c>
      <c r="ET94" s="2" t="s">
        <v>176</v>
      </c>
      <c r="EU94" s="2" t="s">
        <v>176</v>
      </c>
      <c r="EV94" s="3">
        <f>SUM(DR449:DR453)</f>
        <v>213.57550700000002</v>
      </c>
      <c r="EW94" s="4">
        <f>100*(EX94/1000)/EV94</f>
        <v>0.80884101241534223</v>
      </c>
      <c r="EX94" s="3">
        <f>SUM(DT449:DT453)</f>
        <v>1727.4862930900001</v>
      </c>
      <c r="EY94" s="2">
        <f>COUNT(DT449:DT453)</f>
        <v>5</v>
      </c>
      <c r="EZ94" s="2" t="s">
        <v>176</v>
      </c>
      <c r="FA94" s="2" t="s">
        <v>176</v>
      </c>
      <c r="FB94" s="2" t="s">
        <v>176</v>
      </c>
      <c r="FC94" s="2" t="s">
        <v>176</v>
      </c>
      <c r="FD94" s="3">
        <f>SUM(EP94,ET94,EX94,FB94)</f>
        <v>1727.4862930900001</v>
      </c>
      <c r="FE94" s="2" t="s">
        <v>176</v>
      </c>
      <c r="FF94" s="2" t="s">
        <v>176</v>
      </c>
      <c r="FG94" s="2" t="s">
        <v>176</v>
      </c>
      <c r="FH94" s="2" t="s">
        <v>176</v>
      </c>
      <c r="FI94" s="2" t="s">
        <v>176</v>
      </c>
      <c r="FJ94" s="2" t="s">
        <v>176</v>
      </c>
      <c r="FK94" s="2" t="s">
        <v>176</v>
      </c>
      <c r="FL94" s="2" t="s">
        <v>176</v>
      </c>
      <c r="FM94" s="2" t="s">
        <v>176</v>
      </c>
      <c r="FN94" s="2" t="s">
        <v>176</v>
      </c>
      <c r="FO94" s="2" t="s">
        <v>176</v>
      </c>
      <c r="FP94" s="2" t="s">
        <v>344</v>
      </c>
      <c r="FQ94" s="2" t="s">
        <v>3</v>
      </c>
      <c r="FR94" s="2" t="s">
        <v>37</v>
      </c>
      <c r="FS94" s="2" t="s">
        <v>383</v>
      </c>
      <c r="FT94" s="2" t="s">
        <v>383</v>
      </c>
      <c r="FU94" s="2"/>
      <c r="FV94" s="2" t="s">
        <v>3</v>
      </c>
    </row>
    <row r="95" spans="1:178" ht="15.75" customHeight="1" x14ac:dyDescent="0.2">
      <c r="A95" s="14" t="s">
        <v>96</v>
      </c>
      <c r="B95" s="2" t="s">
        <v>164</v>
      </c>
      <c r="C95" s="16" t="s">
        <v>384</v>
      </c>
      <c r="D95" s="2" t="s">
        <v>120</v>
      </c>
      <c r="E95" s="2"/>
      <c r="F95" s="2"/>
      <c r="G95" s="2" t="s">
        <v>179</v>
      </c>
      <c r="H95" s="2" t="s">
        <v>385</v>
      </c>
      <c r="I95" s="2"/>
      <c r="J95" s="2" t="s">
        <v>181</v>
      </c>
      <c r="K95" s="2">
        <v>0</v>
      </c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19">
        <f>0.1809+0.195</f>
        <v>0.37590000000000001</v>
      </c>
      <c r="AG95" s="2"/>
      <c r="AH95" s="2"/>
      <c r="AI95" s="2"/>
      <c r="AJ95" s="2"/>
      <c r="AK95" s="2"/>
      <c r="AL95" s="2"/>
      <c r="AM95" s="2"/>
      <c r="AN95" s="15">
        <f>(2.8*0.1809+2*0.195)/AF95</f>
        <v>2.3849960095770149</v>
      </c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>
        <v>0</v>
      </c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>
        <v>0</v>
      </c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>
        <v>0</v>
      </c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14" t="s">
        <v>81</v>
      </c>
      <c r="DM95" s="2"/>
      <c r="DN95" s="2">
        <f t="shared" si="8"/>
        <v>2.3849960095770149</v>
      </c>
      <c r="DO95" s="2">
        <f t="shared" si="9"/>
        <v>0</v>
      </c>
      <c r="DP95" s="2" t="s">
        <v>211</v>
      </c>
      <c r="DQ95" s="2" t="s">
        <v>3</v>
      </c>
      <c r="DR95" s="19">
        <f t="shared" si="10"/>
        <v>0.37590000000000001</v>
      </c>
      <c r="DS95" s="4">
        <f t="shared" si="11"/>
        <v>2.3849960095770149</v>
      </c>
      <c r="DT95" s="15">
        <f t="shared" si="12"/>
        <v>8.9651999999999994</v>
      </c>
      <c r="DU95" s="2"/>
      <c r="DV95" s="2">
        <f t="shared" si="13"/>
        <v>0</v>
      </c>
      <c r="DW95" s="2"/>
      <c r="DX95" s="2"/>
      <c r="DY95" s="2"/>
      <c r="DZ95" s="2" t="s">
        <v>3</v>
      </c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 t="s">
        <v>3</v>
      </c>
      <c r="FR95" s="2" t="s">
        <v>89</v>
      </c>
      <c r="FS95" s="2" t="s">
        <v>137</v>
      </c>
      <c r="FT95" s="2"/>
      <c r="FU95" s="2"/>
      <c r="FV95" s="2" t="s">
        <v>3</v>
      </c>
    </row>
    <row r="96" spans="1:178" ht="15.75" customHeight="1" x14ac:dyDescent="0.2">
      <c r="A96" s="14" t="s">
        <v>96</v>
      </c>
      <c r="B96" s="2" t="s">
        <v>164</v>
      </c>
      <c r="C96" s="16" t="s">
        <v>386</v>
      </c>
      <c r="D96" s="2" t="s">
        <v>120</v>
      </c>
      <c r="E96" s="2"/>
      <c r="F96" s="2"/>
      <c r="G96" s="2" t="s">
        <v>179</v>
      </c>
      <c r="H96" s="2" t="s">
        <v>385</v>
      </c>
      <c r="I96" s="2"/>
      <c r="J96" s="2" t="s">
        <v>181</v>
      </c>
      <c r="K96" s="2">
        <v>0</v>
      </c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19">
        <f>0.479914+1.704548+4.016949+3.128943+0.14583</f>
        <v>9.4761839999999999</v>
      </c>
      <c r="AG96" s="2"/>
      <c r="AH96" s="2"/>
      <c r="AI96" s="2"/>
      <c r="AJ96" s="2"/>
      <c r="AK96" s="2"/>
      <c r="AL96" s="2"/>
      <c r="AM96" s="2"/>
      <c r="AN96" s="15">
        <f>(2.6*0.479914+2.7*1.704548+2.1*4.016949+2.6*3.128943+6.1*0.14583)/AF96</f>
        <v>2.4598998605345783</v>
      </c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19">
        <f>0.026922+0.329443+0.219641+0.225248+0.1249</f>
        <v>0.92615400000000003</v>
      </c>
      <c r="BB96" s="2"/>
      <c r="BC96" s="2"/>
      <c r="BD96" s="2"/>
      <c r="BE96" s="2"/>
      <c r="BF96" s="2"/>
      <c r="BG96" s="2"/>
      <c r="BH96" s="2"/>
      <c r="BI96" s="15">
        <f>(1.9*0.026922+2.5*0.329443+2*0.219641+2.7*0.225248+11.2*0.1249)/BA96</f>
        <v>3.5858948943696185</v>
      </c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>
        <v>0</v>
      </c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>
        <v>0</v>
      </c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14" t="s">
        <v>81</v>
      </c>
      <c r="DM96" s="2"/>
      <c r="DN96" s="2">
        <f t="shared" si="8"/>
        <v>2.5601508622388542</v>
      </c>
      <c r="DO96" s="2">
        <f t="shared" si="9"/>
        <v>0</v>
      </c>
      <c r="DP96" s="2" t="s">
        <v>211</v>
      </c>
      <c r="DQ96" s="2" t="s">
        <v>3</v>
      </c>
      <c r="DR96" s="4">
        <f t="shared" si="10"/>
        <v>10.402338</v>
      </c>
      <c r="DS96" s="4">
        <f t="shared" si="11"/>
        <v>2.5601508622388542</v>
      </c>
      <c r="DT96" s="15">
        <f t="shared" si="12"/>
        <v>266.31554599999998</v>
      </c>
      <c r="DU96" s="2"/>
      <c r="DV96" s="2">
        <f t="shared" si="13"/>
        <v>0</v>
      </c>
      <c r="DW96" s="2"/>
      <c r="DX96" s="2"/>
      <c r="DY96" s="2"/>
      <c r="DZ96" s="2" t="s">
        <v>3</v>
      </c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 t="s">
        <v>3</v>
      </c>
      <c r="FR96" s="2" t="s">
        <v>89</v>
      </c>
      <c r="FS96" s="2" t="s">
        <v>137</v>
      </c>
      <c r="FT96" s="2"/>
      <c r="FU96" s="2"/>
      <c r="FV96" s="2" t="s">
        <v>3</v>
      </c>
    </row>
    <row r="97" spans="1:178" ht="15.75" customHeight="1" x14ac:dyDescent="0.2">
      <c r="A97" s="14" t="s">
        <v>96</v>
      </c>
      <c r="B97" s="2" t="s">
        <v>133</v>
      </c>
      <c r="C97" s="16" t="s">
        <v>387</v>
      </c>
      <c r="D97" s="2" t="s">
        <v>99</v>
      </c>
      <c r="E97" s="2"/>
      <c r="F97" s="2"/>
      <c r="G97" s="2"/>
      <c r="H97" s="2" t="s">
        <v>388</v>
      </c>
      <c r="I97" s="2"/>
      <c r="J97" s="2"/>
      <c r="K97" s="15">
        <f>59.490559+145.379632</f>
        <v>204.87019099999998</v>
      </c>
      <c r="L97" s="2"/>
      <c r="M97" s="2"/>
      <c r="N97" s="2"/>
      <c r="O97" s="2"/>
      <c r="P97" s="2"/>
      <c r="Q97" s="2"/>
      <c r="R97" s="2"/>
      <c r="S97" s="4">
        <f>(0.31*59.490559+0.21*145.379632)/K97</f>
        <v>0.23903817227368132</v>
      </c>
      <c r="T97" s="19">
        <f>(0.013*59.490559+0.013*145.379632)/K97</f>
        <v>1.3000000000000001E-2</v>
      </c>
      <c r="U97" s="19">
        <f>(0.01*59.490559+0*145.379632)/K97</f>
        <v>2.9038172273681342E-3</v>
      </c>
      <c r="V97" s="19">
        <f>(0.026*59.490559+0*145.379632)/K97</f>
        <v>7.5499247911571489E-3</v>
      </c>
      <c r="W97" s="2"/>
      <c r="X97" s="2"/>
      <c r="Y97" s="2"/>
      <c r="Z97" s="2"/>
      <c r="AA97" s="4">
        <f>(6.37*59.490559+6.91*145.379632)/K97</f>
        <v>6.7531938697221205</v>
      </c>
      <c r="AB97" s="2"/>
      <c r="AC97" s="2"/>
      <c r="AD97" s="2"/>
      <c r="AE97" s="2"/>
      <c r="AF97" s="15">
        <f>203.350316+192.169547</f>
        <v>395.51986299999999</v>
      </c>
      <c r="AG97" s="2"/>
      <c r="AH97" s="2"/>
      <c r="AI97" s="2"/>
      <c r="AJ97" s="2"/>
      <c r="AK97" s="2"/>
      <c r="AL97" s="2"/>
      <c r="AM97" s="2"/>
      <c r="AN97" s="4">
        <f>(0.31*203.350316+0.21*192.169547)/AF97</f>
        <v>0.26141342699140246</v>
      </c>
      <c r="AO97" s="19">
        <f>(0.013*203.350316+0.013*192.169547)/AF97</f>
        <v>1.2999999999999999E-2</v>
      </c>
      <c r="AP97" s="19">
        <f>(0.011*203.350316+0*192.169547)/AF97</f>
        <v>5.6554769690542695E-3</v>
      </c>
      <c r="AQ97" s="19">
        <f>(0.028*203.350316+0*192.169547)/AF97</f>
        <v>1.4395759557592687E-2</v>
      </c>
      <c r="AR97" s="2"/>
      <c r="AS97" s="2"/>
      <c r="AT97" s="2"/>
      <c r="AU97" s="2"/>
      <c r="AV97" s="4">
        <f>(6.32*203.350316+6.86*192.169547)/AF97</f>
        <v>6.5823674942464274</v>
      </c>
      <c r="AW97" s="2"/>
      <c r="AX97" s="2"/>
      <c r="AY97" s="2"/>
      <c r="AZ97" s="2"/>
      <c r="BA97" s="15">
        <f>66.385504+244.110758</f>
        <v>310.496262</v>
      </c>
      <c r="BB97" s="2"/>
      <c r="BC97" s="2"/>
      <c r="BD97" s="2"/>
      <c r="BE97" s="2"/>
      <c r="BF97" s="2"/>
      <c r="BG97" s="2"/>
      <c r="BH97" s="2"/>
      <c r="BI97" s="4">
        <f>(0.29*66.385504+0.21*244.110758)/BA97</f>
        <v>0.22710436153334432</v>
      </c>
      <c r="BJ97" s="19">
        <f>(0.013*66.385504+0.013*244.110758)/BA97</f>
        <v>1.2999999999999998E-2</v>
      </c>
      <c r="BK97" s="19">
        <f>(0.014*66.385504+0*244.110758)/BA97</f>
        <v>2.9932632683352563E-3</v>
      </c>
      <c r="BL97" s="19">
        <f>(0.029*66.385504+0*244.110758)/BA97</f>
        <v>6.2003310558373164E-3</v>
      </c>
      <c r="BM97" s="2"/>
      <c r="BN97" s="2"/>
      <c r="BO97" s="2"/>
      <c r="BP97" s="2"/>
      <c r="BQ97" s="4">
        <f>(6.46*66.385504+6.75*244.110758)/BA97</f>
        <v>6.6879966894416274</v>
      </c>
      <c r="BR97" s="2"/>
      <c r="BS97" s="2"/>
      <c r="BT97" s="2"/>
      <c r="BU97" s="2"/>
      <c r="BV97" s="2">
        <v>0</v>
      </c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>
        <v>0</v>
      </c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14" t="s">
        <v>81</v>
      </c>
      <c r="DM97" s="2" t="s">
        <v>81</v>
      </c>
      <c r="DN97" s="2">
        <f t="shared" si="8"/>
        <v>0.24468591773202134</v>
      </c>
      <c r="DO97" s="2">
        <f t="shared" si="9"/>
        <v>1.2999999999999999E-2</v>
      </c>
      <c r="DP97" s="2" t="s">
        <v>389</v>
      </c>
      <c r="DQ97" s="2" t="s">
        <v>3</v>
      </c>
      <c r="DR97" s="15">
        <f t="shared" si="10"/>
        <v>910.88631599999997</v>
      </c>
      <c r="DS97" s="4">
        <f t="shared" si="11"/>
        <v>0.24468591773202134</v>
      </c>
      <c r="DT97" s="18">
        <f t="shared" si="12"/>
        <v>2228.8105417999996</v>
      </c>
      <c r="DU97" s="2"/>
      <c r="DV97" s="2">
        <f t="shared" si="13"/>
        <v>0</v>
      </c>
      <c r="DW97" s="2"/>
      <c r="DX97" s="2"/>
      <c r="DY97" s="2"/>
      <c r="DZ97" s="2" t="s">
        <v>3</v>
      </c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 t="s">
        <v>3</v>
      </c>
      <c r="FR97" s="2" t="s">
        <v>89</v>
      </c>
      <c r="FS97" s="2" t="s">
        <v>137</v>
      </c>
      <c r="FT97" s="2"/>
      <c r="FU97" s="2"/>
      <c r="FV97" s="2" t="s">
        <v>3</v>
      </c>
    </row>
    <row r="98" spans="1:178" ht="15.75" customHeight="1" x14ac:dyDescent="0.2">
      <c r="A98" s="14" t="s">
        <v>96</v>
      </c>
      <c r="B98" s="2" t="s">
        <v>189</v>
      </c>
      <c r="C98" s="16" t="s">
        <v>390</v>
      </c>
      <c r="D98" s="2" t="s">
        <v>99</v>
      </c>
      <c r="E98" s="44"/>
      <c r="F98" s="44"/>
      <c r="G98" s="2"/>
      <c r="H98" s="2" t="s">
        <v>79</v>
      </c>
      <c r="I98" s="2"/>
      <c r="J98" s="2"/>
      <c r="K98" s="2">
        <v>0</v>
      </c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>
        <v>0</v>
      </c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4">
        <f>0.4*0.9072</f>
        <v>0.36288000000000004</v>
      </c>
      <c r="BB98" s="2">
        <v>0.16</v>
      </c>
      <c r="BC98" s="2"/>
      <c r="BD98" s="2"/>
      <c r="BE98" s="2"/>
      <c r="BF98" s="2"/>
      <c r="BG98" s="2"/>
      <c r="BH98" s="2"/>
      <c r="BI98" s="2">
        <v>0.23</v>
      </c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>
        <v>0</v>
      </c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>
        <v>0</v>
      </c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14" t="s">
        <v>100</v>
      </c>
      <c r="DM98" s="2"/>
      <c r="DN98" s="2">
        <f t="shared" si="8"/>
        <v>0.22999999999999998</v>
      </c>
      <c r="DO98" s="2">
        <f t="shared" si="9"/>
        <v>0</v>
      </c>
      <c r="DP98" s="2" t="s">
        <v>221</v>
      </c>
      <c r="DQ98" s="2" t="s">
        <v>3</v>
      </c>
      <c r="DR98" s="19">
        <f t="shared" si="10"/>
        <v>0.36288000000000004</v>
      </c>
      <c r="DS98" s="2">
        <f t="shared" si="11"/>
        <v>0.22999999999999998</v>
      </c>
      <c r="DT98" s="15">
        <f t="shared" si="12"/>
        <v>0.83462400000000003</v>
      </c>
      <c r="DU98" s="2"/>
      <c r="DV98" s="2">
        <f t="shared" si="13"/>
        <v>0</v>
      </c>
      <c r="DW98" s="2"/>
      <c r="DX98" s="2"/>
      <c r="DY98" s="2"/>
      <c r="DZ98" s="2" t="s">
        <v>3</v>
      </c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 t="s">
        <v>3</v>
      </c>
      <c r="FR98" s="2" t="s">
        <v>89</v>
      </c>
      <c r="FS98" s="2" t="s">
        <v>91</v>
      </c>
      <c r="FT98" s="2"/>
      <c r="FU98" s="2"/>
      <c r="FV98" s="2" t="s">
        <v>3</v>
      </c>
    </row>
    <row r="99" spans="1:178" ht="15.75" customHeight="1" x14ac:dyDescent="0.2">
      <c r="A99" s="14" t="s">
        <v>84</v>
      </c>
      <c r="B99" s="2" t="s">
        <v>85</v>
      </c>
      <c r="C99" s="16" t="s">
        <v>391</v>
      </c>
      <c r="D99" s="2"/>
      <c r="E99" s="2"/>
      <c r="F99" s="2"/>
      <c r="G99" s="2"/>
      <c r="H99" s="2" t="s">
        <v>392</v>
      </c>
      <c r="I99" s="2"/>
      <c r="J99" s="2"/>
      <c r="K99" s="4">
        <v>5.5811739999999999</v>
      </c>
      <c r="L99" s="4">
        <v>1.5542233663308669E-2</v>
      </c>
      <c r="M99" s="2">
        <v>0.03</v>
      </c>
      <c r="N99" s="2"/>
      <c r="O99" s="2"/>
      <c r="P99" s="2"/>
      <c r="Q99" s="2"/>
      <c r="R99" s="2"/>
      <c r="S99" s="4">
        <v>0.11240231217618901</v>
      </c>
      <c r="T99" s="2"/>
      <c r="U99" s="2">
        <v>2.48</v>
      </c>
      <c r="V99" s="2">
        <v>1.04</v>
      </c>
      <c r="W99" s="2">
        <v>0.41</v>
      </c>
      <c r="X99" s="2"/>
      <c r="Y99" s="2"/>
      <c r="Z99" s="2"/>
      <c r="AA99" s="2"/>
      <c r="AB99" s="2"/>
      <c r="AC99" s="2"/>
      <c r="AD99" s="2"/>
      <c r="AE99" s="2"/>
      <c r="AF99" s="4">
        <v>28.550511</v>
      </c>
      <c r="AG99" s="4">
        <v>1.5542233663308669E-2</v>
      </c>
      <c r="AH99" s="2">
        <v>0.02</v>
      </c>
      <c r="AI99" s="2"/>
      <c r="AJ99" s="2"/>
      <c r="AK99" s="2"/>
      <c r="AL99" s="2"/>
      <c r="AM99" s="2"/>
      <c r="AN99" s="4">
        <v>0.11240231217618901</v>
      </c>
      <c r="AO99" s="2"/>
      <c r="AP99" s="2">
        <v>2.5499999999999998</v>
      </c>
      <c r="AQ99" s="2">
        <v>1.05</v>
      </c>
      <c r="AR99" s="2">
        <v>0.42</v>
      </c>
      <c r="AS99" s="2"/>
      <c r="AT99" s="2"/>
      <c r="AU99" s="2"/>
      <c r="AV99" s="2"/>
      <c r="AW99" s="2"/>
      <c r="AX99" s="2"/>
      <c r="AY99" s="2"/>
      <c r="AZ99" s="2"/>
      <c r="BA99" s="4">
        <v>22.069275000000001</v>
      </c>
      <c r="BB99" s="4">
        <v>1.5542233663308669E-2</v>
      </c>
      <c r="BC99" s="2">
        <v>0.03</v>
      </c>
      <c r="BD99" s="2"/>
      <c r="BE99" s="2"/>
      <c r="BF99" s="2"/>
      <c r="BG99" s="2"/>
      <c r="BH99" s="2"/>
      <c r="BI99" s="4">
        <v>0.11240231217618901</v>
      </c>
      <c r="BJ99" s="2"/>
      <c r="BK99" s="2">
        <v>2.56</v>
      </c>
      <c r="BL99" s="2">
        <v>1.06</v>
      </c>
      <c r="BM99" s="2">
        <v>0.43</v>
      </c>
      <c r="BN99" s="2"/>
      <c r="BO99" s="2"/>
      <c r="BP99" s="2"/>
      <c r="BQ99" s="2"/>
      <c r="BR99" s="2"/>
      <c r="BS99" s="2"/>
      <c r="BT99" s="2"/>
      <c r="BU99" s="2"/>
      <c r="BV99" s="2">
        <v>1.96</v>
      </c>
      <c r="BW99" s="4">
        <v>1.5542233663308669E-2</v>
      </c>
      <c r="BX99" s="2">
        <v>0.03</v>
      </c>
      <c r="BY99" s="2"/>
      <c r="BZ99" s="2"/>
      <c r="CA99" s="2"/>
      <c r="CB99" s="2"/>
      <c r="CC99" s="2"/>
      <c r="CD99" s="4">
        <v>0.11240231217618901</v>
      </c>
      <c r="CE99" s="2"/>
      <c r="CF99" s="2">
        <v>2.58</v>
      </c>
      <c r="CG99" s="2">
        <v>1.08</v>
      </c>
      <c r="CH99" s="2">
        <v>0.43</v>
      </c>
      <c r="CI99" s="2"/>
      <c r="CJ99" s="2"/>
      <c r="CK99" s="2"/>
      <c r="CL99" s="2"/>
      <c r="CM99" s="2"/>
      <c r="CN99" s="2"/>
      <c r="CO99" s="2"/>
      <c r="CP99" s="2"/>
      <c r="CQ99" s="4">
        <v>22.164999999999999</v>
      </c>
      <c r="CR99" s="4">
        <v>1.5542233663308669E-2</v>
      </c>
      <c r="CS99" s="2">
        <v>0.03</v>
      </c>
      <c r="CT99" s="2"/>
      <c r="CU99" s="2"/>
      <c r="CV99" s="2"/>
      <c r="CW99" s="2"/>
      <c r="CX99" s="2"/>
      <c r="CY99" s="4">
        <v>0.11240231217618901</v>
      </c>
      <c r="CZ99" s="2"/>
      <c r="DA99" s="2">
        <v>2.54</v>
      </c>
      <c r="DB99" s="2">
        <v>1.05</v>
      </c>
      <c r="DC99" s="2">
        <v>0.42</v>
      </c>
      <c r="DD99" s="2"/>
      <c r="DE99" s="2"/>
      <c r="DF99" s="2"/>
      <c r="DG99" s="2"/>
      <c r="DH99" s="2"/>
      <c r="DI99" s="2"/>
      <c r="DJ99" s="2"/>
      <c r="DK99" s="2"/>
      <c r="DL99" s="14" t="s">
        <v>81</v>
      </c>
      <c r="DM99" s="2"/>
      <c r="DN99" s="2">
        <f t="shared" si="8"/>
        <v>0.11240231217618903</v>
      </c>
      <c r="DO99" s="2">
        <f t="shared" si="9"/>
        <v>0</v>
      </c>
      <c r="DP99" s="2" t="s">
        <v>150</v>
      </c>
      <c r="DQ99" s="2" t="s">
        <v>3</v>
      </c>
      <c r="DR99" s="4">
        <f t="shared" si="10"/>
        <v>56.200959999999995</v>
      </c>
      <c r="DS99" s="4">
        <f t="shared" si="11"/>
        <v>0.11240231217618903</v>
      </c>
      <c r="DT99" s="15">
        <f t="shared" si="12"/>
        <v>63.17117850521511</v>
      </c>
      <c r="DU99" s="2"/>
      <c r="DV99" s="4">
        <f t="shared" si="13"/>
        <v>24.125</v>
      </c>
      <c r="DW99" s="4">
        <f>(BV99*CD99+CQ99*CY99)/DV99</f>
        <v>0.11240231217618901</v>
      </c>
      <c r="DX99" s="15">
        <f>1000*DV99*DW99/100</f>
        <v>27.1170578125056</v>
      </c>
      <c r="DY99" s="2"/>
      <c r="DZ99" s="2" t="s">
        <v>3</v>
      </c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 t="s">
        <v>3</v>
      </c>
      <c r="FR99" s="2" t="s">
        <v>89</v>
      </c>
      <c r="FS99" s="2" t="s">
        <v>90</v>
      </c>
      <c r="FT99" s="2" t="s">
        <v>91</v>
      </c>
      <c r="FU99" s="2" t="s">
        <v>92</v>
      </c>
      <c r="FV99" s="2" t="s">
        <v>3</v>
      </c>
    </row>
    <row r="100" spans="1:178" ht="15.75" customHeight="1" x14ac:dyDescent="0.2">
      <c r="A100" s="12" t="s">
        <v>74</v>
      </c>
      <c r="B100" s="2" t="s">
        <v>393</v>
      </c>
      <c r="C100" s="13" t="s">
        <v>394</v>
      </c>
      <c r="D100" s="2" t="s">
        <v>99</v>
      </c>
      <c r="E100" s="2"/>
      <c r="F100" s="2"/>
      <c r="G100" s="2"/>
      <c r="H100" s="2" t="s">
        <v>395</v>
      </c>
      <c r="I100" s="2"/>
      <c r="J100" s="2"/>
      <c r="K100" s="2">
        <v>0</v>
      </c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15">
        <v>3</v>
      </c>
      <c r="AG100" s="2"/>
      <c r="AH100" s="2"/>
      <c r="AI100" s="2"/>
      <c r="AJ100" s="2"/>
      <c r="AK100" s="2"/>
      <c r="AL100" s="2"/>
      <c r="AM100" s="2"/>
      <c r="AN100" s="2">
        <v>1.49</v>
      </c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>
        <v>3.2</v>
      </c>
      <c r="BB100" s="2"/>
      <c r="BC100" s="2"/>
      <c r="BD100" s="2"/>
      <c r="BE100" s="2"/>
      <c r="BF100" s="2"/>
      <c r="BG100" s="2"/>
      <c r="BH100" s="2"/>
      <c r="BI100" s="2">
        <v>1.5</v>
      </c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>
        <v>0</v>
      </c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>
        <v>0</v>
      </c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14" t="s">
        <v>81</v>
      </c>
      <c r="DM100" s="2"/>
      <c r="DN100" s="2">
        <f t="shared" si="8"/>
        <v>1.4951612903225806</v>
      </c>
      <c r="DO100" s="2">
        <f t="shared" si="9"/>
        <v>0</v>
      </c>
      <c r="DP100" s="2" t="s">
        <v>211</v>
      </c>
      <c r="DQ100" s="2" t="s">
        <v>3</v>
      </c>
      <c r="DR100" s="15">
        <f t="shared" si="10"/>
        <v>6.2</v>
      </c>
      <c r="DS100" s="4">
        <f t="shared" si="11"/>
        <v>1.4951612903225806</v>
      </c>
      <c r="DT100" s="15">
        <f t="shared" si="12"/>
        <v>92.7</v>
      </c>
      <c r="DU100" s="2"/>
      <c r="DV100" s="2">
        <f t="shared" si="13"/>
        <v>0</v>
      </c>
      <c r="DW100" s="2"/>
      <c r="DX100" s="2"/>
      <c r="DY100" s="2"/>
      <c r="DZ100" s="2" t="s">
        <v>3</v>
      </c>
      <c r="EA100" s="2" t="s">
        <v>393</v>
      </c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 t="s">
        <v>393</v>
      </c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 t="s">
        <v>393</v>
      </c>
      <c r="FQ100" s="2" t="s">
        <v>3</v>
      </c>
      <c r="FR100" s="2" t="s">
        <v>37</v>
      </c>
      <c r="FS100" s="2" t="s">
        <v>396</v>
      </c>
      <c r="FT100" s="2" t="s">
        <v>396</v>
      </c>
      <c r="FU100" s="2"/>
      <c r="FV100" s="2" t="s">
        <v>3</v>
      </c>
    </row>
    <row r="101" spans="1:178" ht="15.75" customHeight="1" x14ac:dyDescent="0.2">
      <c r="A101" s="12" t="s">
        <v>74</v>
      </c>
      <c r="B101" s="2" t="s">
        <v>198</v>
      </c>
      <c r="C101" s="13" t="s">
        <v>397</v>
      </c>
      <c r="D101" s="2" t="s">
        <v>99</v>
      </c>
      <c r="E101" s="2"/>
      <c r="F101" s="2"/>
      <c r="G101" s="2" t="s">
        <v>78</v>
      </c>
      <c r="H101" s="2" t="s">
        <v>79</v>
      </c>
      <c r="I101" s="2"/>
      <c r="J101" s="2" t="s">
        <v>292</v>
      </c>
      <c r="K101" s="2">
        <v>0</v>
      </c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>
        <v>0</v>
      </c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>
        <v>13</v>
      </c>
      <c r="BB101" s="2"/>
      <c r="BC101" s="2"/>
      <c r="BD101" s="2"/>
      <c r="BE101" s="2"/>
      <c r="BF101" s="2"/>
      <c r="BG101" s="2"/>
      <c r="BH101" s="2"/>
      <c r="BI101" s="2">
        <v>1.31</v>
      </c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>
        <v>0</v>
      </c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>
        <v>0</v>
      </c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14" t="s">
        <v>100</v>
      </c>
      <c r="DM101" s="2"/>
      <c r="DN101" s="2">
        <f t="shared" si="8"/>
        <v>1.31</v>
      </c>
      <c r="DO101" s="2">
        <f t="shared" si="9"/>
        <v>0</v>
      </c>
      <c r="DP101" s="2" t="s">
        <v>113</v>
      </c>
      <c r="DQ101" s="2" t="s">
        <v>3</v>
      </c>
      <c r="DR101" s="2">
        <f t="shared" si="10"/>
        <v>13</v>
      </c>
      <c r="DS101" s="4">
        <f t="shared" si="11"/>
        <v>1.31</v>
      </c>
      <c r="DT101" s="15">
        <f t="shared" si="12"/>
        <v>170.3</v>
      </c>
      <c r="DU101" s="2"/>
      <c r="DV101" s="2">
        <f t="shared" si="13"/>
        <v>0</v>
      </c>
      <c r="DW101" s="2"/>
      <c r="DX101" s="2"/>
      <c r="DY101" s="2"/>
      <c r="DZ101" s="2" t="s">
        <v>3</v>
      </c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 t="s">
        <v>3</v>
      </c>
      <c r="FR101" s="2" t="s">
        <v>37</v>
      </c>
      <c r="FS101" s="2" t="s">
        <v>235</v>
      </c>
      <c r="FT101" s="2"/>
      <c r="FU101" s="2"/>
      <c r="FV101" s="2" t="s">
        <v>3</v>
      </c>
    </row>
    <row r="102" spans="1:178" ht="15.75" customHeight="1" x14ac:dyDescent="0.2">
      <c r="A102" s="14" t="s">
        <v>96</v>
      </c>
      <c r="B102" s="2" t="s">
        <v>278</v>
      </c>
      <c r="C102" s="16" t="s">
        <v>398</v>
      </c>
      <c r="D102" s="2" t="s">
        <v>99</v>
      </c>
      <c r="E102" s="2"/>
      <c r="F102" s="2"/>
      <c r="G102" s="2"/>
      <c r="H102" s="2" t="s">
        <v>79</v>
      </c>
      <c r="I102" s="2"/>
      <c r="J102" s="2"/>
      <c r="K102" s="2">
        <v>0</v>
      </c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>
        <v>4.625</v>
      </c>
      <c r="AG102" s="2">
        <v>0.12</v>
      </c>
      <c r="AH102" s="2"/>
      <c r="AI102" s="2"/>
      <c r="AJ102" s="2"/>
      <c r="AK102" s="2"/>
      <c r="AL102" s="2"/>
      <c r="AM102" s="2"/>
      <c r="AN102" s="2">
        <v>0.28999999999999998</v>
      </c>
      <c r="AO102" s="2">
        <v>0.02</v>
      </c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>
        <v>5.4379999999999997</v>
      </c>
      <c r="BB102" s="2">
        <v>0.11</v>
      </c>
      <c r="BC102" s="2"/>
      <c r="BD102" s="2"/>
      <c r="BE102" s="2"/>
      <c r="BF102" s="2"/>
      <c r="BG102" s="2"/>
      <c r="BH102" s="2"/>
      <c r="BI102" s="2">
        <v>0.25</v>
      </c>
      <c r="BJ102" s="2">
        <v>0.02</v>
      </c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>
        <v>0</v>
      </c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>
        <v>0</v>
      </c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14" t="s">
        <v>81</v>
      </c>
      <c r="DM102" s="2" t="s">
        <v>81</v>
      </c>
      <c r="DN102" s="2">
        <f t="shared" si="8"/>
        <v>0.26838417966809103</v>
      </c>
      <c r="DO102" s="2">
        <f t="shared" si="9"/>
        <v>0.02</v>
      </c>
      <c r="DP102" s="2" t="s">
        <v>399</v>
      </c>
      <c r="DQ102" s="2" t="s">
        <v>3</v>
      </c>
      <c r="DR102" s="4">
        <f t="shared" si="10"/>
        <v>10.062999999999999</v>
      </c>
      <c r="DS102" s="4">
        <f t="shared" si="11"/>
        <v>0.26838417966809103</v>
      </c>
      <c r="DT102" s="15">
        <f t="shared" si="12"/>
        <v>27.007499999999997</v>
      </c>
      <c r="DU102" s="2"/>
      <c r="DV102" s="2">
        <f t="shared" si="13"/>
        <v>0</v>
      </c>
      <c r="DW102" s="2"/>
      <c r="DX102" s="2"/>
      <c r="DY102" s="2"/>
      <c r="DZ102" s="2" t="s">
        <v>3</v>
      </c>
      <c r="EA102" s="2" t="s">
        <v>278</v>
      </c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 t="s">
        <v>278</v>
      </c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 t="s">
        <v>278</v>
      </c>
      <c r="FQ102" s="2" t="s">
        <v>3</v>
      </c>
      <c r="FR102" s="2" t="s">
        <v>89</v>
      </c>
      <c r="FS102" s="2" t="s">
        <v>123</v>
      </c>
      <c r="FT102" s="2"/>
      <c r="FU102" s="2"/>
      <c r="FV102" s="2" t="s">
        <v>3</v>
      </c>
    </row>
    <row r="103" spans="1:178" ht="15.75" customHeight="1" x14ac:dyDescent="0.2">
      <c r="A103" s="14" t="s">
        <v>96</v>
      </c>
      <c r="B103" s="2" t="s">
        <v>133</v>
      </c>
      <c r="C103" s="21" t="s">
        <v>400</v>
      </c>
      <c r="D103" s="2" t="s">
        <v>99</v>
      </c>
      <c r="E103" s="2"/>
      <c r="F103" s="2"/>
      <c r="G103" s="2"/>
      <c r="H103" s="2" t="s">
        <v>401</v>
      </c>
      <c r="I103" s="2"/>
      <c r="J103" s="2"/>
      <c r="K103" s="2">
        <v>0</v>
      </c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3">
        <v>1906.63</v>
      </c>
      <c r="AG103" s="2"/>
      <c r="AH103" s="2"/>
      <c r="AI103" s="2"/>
      <c r="AJ103" s="2"/>
      <c r="AK103" s="2"/>
      <c r="AL103" s="2"/>
      <c r="AM103" s="2"/>
      <c r="AN103" s="2">
        <v>0.121</v>
      </c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15">
        <v>504.88</v>
      </c>
      <c r="BB103" s="2"/>
      <c r="BC103" s="2"/>
      <c r="BD103" s="2"/>
      <c r="BE103" s="2"/>
      <c r="BF103" s="2"/>
      <c r="BG103" s="2"/>
      <c r="BH103" s="2"/>
      <c r="BI103" s="2">
        <v>9.7000000000000003E-2</v>
      </c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>
        <v>0</v>
      </c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>
        <v>0</v>
      </c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14" t="s">
        <v>81</v>
      </c>
      <c r="DM103" s="2"/>
      <c r="DN103" s="2">
        <f t="shared" si="8"/>
        <v>0.11597529763509169</v>
      </c>
      <c r="DO103" s="2">
        <f t="shared" si="9"/>
        <v>0</v>
      </c>
      <c r="DP103" s="2" t="s">
        <v>402</v>
      </c>
      <c r="DQ103" s="2" t="s">
        <v>3</v>
      </c>
      <c r="DR103" s="3">
        <f t="shared" si="10"/>
        <v>2411.5100000000002</v>
      </c>
      <c r="DS103" s="4">
        <f t="shared" si="11"/>
        <v>0.11597529763509169</v>
      </c>
      <c r="DT103" s="18">
        <f t="shared" si="12"/>
        <v>2796.7558999999997</v>
      </c>
      <c r="DU103" s="2"/>
      <c r="DV103" s="2">
        <f t="shared" si="13"/>
        <v>0</v>
      </c>
      <c r="DW103" s="2"/>
      <c r="DX103" s="2"/>
      <c r="DY103" s="2"/>
      <c r="DZ103" s="2" t="s">
        <v>3</v>
      </c>
      <c r="EA103" s="2" t="s">
        <v>133</v>
      </c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 t="s">
        <v>133</v>
      </c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 t="s">
        <v>133</v>
      </c>
      <c r="FQ103" s="2" t="s">
        <v>3</v>
      </c>
      <c r="FR103" s="2" t="s">
        <v>183</v>
      </c>
      <c r="FS103" s="2" t="s">
        <v>403</v>
      </c>
      <c r="FT103" s="2" t="s">
        <v>404</v>
      </c>
      <c r="FU103" s="2" t="s">
        <v>405</v>
      </c>
      <c r="FV103" s="2" t="s">
        <v>3</v>
      </c>
    </row>
    <row r="104" spans="1:178" ht="15.75" customHeight="1" x14ac:dyDescent="0.2">
      <c r="A104" s="14" t="s">
        <v>96</v>
      </c>
      <c r="B104" s="2" t="s">
        <v>133</v>
      </c>
      <c r="C104" s="16" t="s">
        <v>406</v>
      </c>
      <c r="D104" s="2" t="s">
        <v>99</v>
      </c>
      <c r="E104" s="2"/>
      <c r="F104" s="2"/>
      <c r="G104" s="2"/>
      <c r="H104" s="2" t="s">
        <v>129</v>
      </c>
      <c r="I104" s="2"/>
      <c r="J104" s="2"/>
      <c r="K104" s="2">
        <v>0</v>
      </c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>
        <v>0.57499999999999996</v>
      </c>
      <c r="AG104" s="2">
        <v>0.56999999999999995</v>
      </c>
      <c r="AH104" s="2">
        <v>0.94</v>
      </c>
      <c r="AI104" s="2"/>
      <c r="AJ104" s="2"/>
      <c r="AK104" s="2"/>
      <c r="AL104" s="2"/>
      <c r="AM104" s="2"/>
      <c r="AN104" s="4">
        <v>0.4</v>
      </c>
      <c r="AO104" s="2">
        <v>0.01</v>
      </c>
      <c r="AP104" s="4">
        <v>3.1</v>
      </c>
      <c r="AQ104" s="2">
        <v>2.23</v>
      </c>
      <c r="AR104" s="2"/>
      <c r="AS104" s="2"/>
      <c r="AT104" s="2"/>
      <c r="AU104" s="2"/>
      <c r="AV104" s="2"/>
      <c r="AW104" s="2"/>
      <c r="AX104" s="2"/>
      <c r="AY104" s="2"/>
      <c r="AZ104" s="2"/>
      <c r="BA104" s="2">
        <v>0.38200000000000001</v>
      </c>
      <c r="BB104" s="2">
        <v>0.61</v>
      </c>
      <c r="BC104" s="2">
        <v>1.32</v>
      </c>
      <c r="BD104" s="2"/>
      <c r="BE104" s="2"/>
      <c r="BF104" s="2"/>
      <c r="BG104" s="2"/>
      <c r="BH104" s="2"/>
      <c r="BI104" s="2">
        <v>0.51</v>
      </c>
      <c r="BJ104" s="2">
        <v>0.02</v>
      </c>
      <c r="BK104" s="2">
        <v>3.66</v>
      </c>
      <c r="BL104" s="2">
        <v>4.49</v>
      </c>
      <c r="BM104" s="2"/>
      <c r="BN104" s="2"/>
      <c r="BO104" s="2"/>
      <c r="BP104" s="2"/>
      <c r="BQ104" s="2"/>
      <c r="BR104" s="2"/>
      <c r="BS104" s="2"/>
      <c r="BT104" s="2"/>
      <c r="BU104" s="2"/>
      <c r="BV104" s="2">
        <v>0</v>
      </c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>
        <v>0</v>
      </c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14" t="s">
        <v>81</v>
      </c>
      <c r="DM104" s="2" t="s">
        <v>81</v>
      </c>
      <c r="DN104" s="2">
        <f t="shared" si="8"/>
        <v>0.4439080459770115</v>
      </c>
      <c r="DO104" s="2">
        <f t="shared" si="9"/>
        <v>1.3991640543364681E-2</v>
      </c>
      <c r="DP104" s="2" t="s">
        <v>407</v>
      </c>
      <c r="DQ104" s="2" t="s">
        <v>3</v>
      </c>
      <c r="DR104" s="2">
        <f t="shared" si="10"/>
        <v>0.95699999999999996</v>
      </c>
      <c r="DS104" s="4">
        <f t="shared" si="11"/>
        <v>0.4439080459770115</v>
      </c>
      <c r="DT104" s="15">
        <f t="shared" si="12"/>
        <v>4.2481999999999998</v>
      </c>
      <c r="DU104" s="2"/>
      <c r="DV104" s="2">
        <f t="shared" si="13"/>
        <v>0</v>
      </c>
      <c r="DW104" s="2"/>
      <c r="DX104" s="2"/>
      <c r="DY104" s="2"/>
      <c r="DZ104" s="2" t="s">
        <v>3</v>
      </c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 t="s">
        <v>3</v>
      </c>
      <c r="FR104" s="2" t="s">
        <v>89</v>
      </c>
      <c r="FS104" s="2" t="s">
        <v>408</v>
      </c>
      <c r="FT104" s="2" t="s">
        <v>409</v>
      </c>
      <c r="FU104" s="2"/>
      <c r="FV104" s="2" t="s">
        <v>3</v>
      </c>
    </row>
    <row r="105" spans="1:178" ht="15.75" customHeight="1" x14ac:dyDescent="0.2">
      <c r="A105" s="14" t="s">
        <v>262</v>
      </c>
      <c r="B105" s="2" t="s">
        <v>85</v>
      </c>
      <c r="C105" s="16" t="s">
        <v>410</v>
      </c>
      <c r="D105" s="2"/>
      <c r="E105" s="2"/>
      <c r="F105" s="2"/>
      <c r="G105" s="2"/>
      <c r="H105" s="2" t="s">
        <v>145</v>
      </c>
      <c r="I105" s="2"/>
      <c r="J105" s="2"/>
      <c r="K105" s="2">
        <v>152.69999999999999</v>
      </c>
      <c r="L105" s="4">
        <v>3.9823182711198425E-2</v>
      </c>
      <c r="M105" s="4">
        <v>0.13637410609037329</v>
      </c>
      <c r="N105" s="2"/>
      <c r="O105" s="2"/>
      <c r="P105" s="2"/>
      <c r="Q105" s="2"/>
      <c r="R105" s="2"/>
      <c r="S105" s="4">
        <v>0.14337917485265225</v>
      </c>
      <c r="T105" s="2"/>
      <c r="U105" s="4">
        <v>2.3226248722986247</v>
      </c>
      <c r="V105" s="4">
        <v>1.4219295088408643</v>
      </c>
      <c r="W105" s="4">
        <v>0.2932561886051081</v>
      </c>
      <c r="X105" s="2"/>
      <c r="Y105" s="2"/>
      <c r="Z105" s="2"/>
      <c r="AA105" s="2"/>
      <c r="AB105" s="2"/>
      <c r="AC105" s="2"/>
      <c r="AD105" s="2"/>
      <c r="AE105" s="2"/>
      <c r="AF105" s="2">
        <v>214.3</v>
      </c>
      <c r="AG105" s="4">
        <v>4.0387307512832475E-2</v>
      </c>
      <c r="AH105" s="4">
        <v>0.13281717218852077</v>
      </c>
      <c r="AI105" s="2"/>
      <c r="AJ105" s="2"/>
      <c r="AK105" s="2"/>
      <c r="AL105" s="2"/>
      <c r="AM105" s="2"/>
      <c r="AN105" s="4">
        <v>0.14419972001866541</v>
      </c>
      <c r="AO105" s="2"/>
      <c r="AP105" s="4">
        <v>2.2868516472235183</v>
      </c>
      <c r="AQ105" s="4">
        <v>1.4019297246850206</v>
      </c>
      <c r="AR105" s="4">
        <v>0.29033799346710215</v>
      </c>
      <c r="AS105" s="2"/>
      <c r="AT105" s="2"/>
      <c r="AU105" s="2"/>
      <c r="AV105" s="2"/>
      <c r="AW105" s="2"/>
      <c r="AX105" s="2"/>
      <c r="AY105" s="2"/>
      <c r="AZ105" s="2"/>
      <c r="BA105" s="2">
        <v>200.5</v>
      </c>
      <c r="BB105" s="4">
        <v>5.0817955112219454E-2</v>
      </c>
      <c r="BC105" s="4">
        <v>0.16373889276807979</v>
      </c>
      <c r="BD105" s="2"/>
      <c r="BE105" s="2"/>
      <c r="BF105" s="2"/>
      <c r="BG105" s="2"/>
      <c r="BH105" s="2"/>
      <c r="BI105" s="4">
        <v>0.1593715710723192</v>
      </c>
      <c r="BJ105" s="2"/>
      <c r="BK105" s="4">
        <v>2.3884704339152116</v>
      </c>
      <c r="BL105" s="4">
        <v>1.4315725586034911</v>
      </c>
      <c r="BM105" s="4">
        <v>0.27577921197007477</v>
      </c>
      <c r="BN105" s="4"/>
      <c r="BO105" s="4"/>
      <c r="BP105" s="2"/>
      <c r="BQ105" s="2"/>
      <c r="BR105" s="2"/>
      <c r="BS105" s="2"/>
      <c r="BT105" s="2"/>
      <c r="BU105" s="2"/>
      <c r="BV105" s="2">
        <v>0</v>
      </c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>
        <v>0</v>
      </c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14" t="s">
        <v>81</v>
      </c>
      <c r="DM105" s="2"/>
      <c r="DN105" s="2">
        <f t="shared" si="8"/>
        <v>0.14933920704845813</v>
      </c>
      <c r="DO105" s="2">
        <f t="shared" si="9"/>
        <v>0</v>
      </c>
      <c r="DP105" s="2" t="s">
        <v>95</v>
      </c>
      <c r="DQ105" s="2" t="s">
        <v>3</v>
      </c>
      <c r="DR105" s="2">
        <f t="shared" si="10"/>
        <v>567.5</v>
      </c>
      <c r="DS105" s="4">
        <f t="shared" si="11"/>
        <v>0.14933920704845813</v>
      </c>
      <c r="DT105" s="15">
        <f t="shared" si="12"/>
        <v>847.49999999999989</v>
      </c>
      <c r="DU105" s="2"/>
      <c r="DV105" s="2">
        <f t="shared" si="13"/>
        <v>0</v>
      </c>
      <c r="DW105" s="2"/>
      <c r="DX105" s="2"/>
      <c r="DY105" s="2"/>
      <c r="DZ105" s="2" t="s">
        <v>3</v>
      </c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 t="s">
        <v>3</v>
      </c>
      <c r="FR105" s="2" t="s">
        <v>89</v>
      </c>
      <c r="FS105" s="2" t="s">
        <v>90</v>
      </c>
      <c r="FT105" s="2" t="s">
        <v>91</v>
      </c>
      <c r="FU105" s="2" t="s">
        <v>226</v>
      </c>
      <c r="FV105" s="2" t="s">
        <v>3</v>
      </c>
    </row>
    <row r="106" spans="1:178" ht="15.75" customHeight="1" x14ac:dyDescent="0.2">
      <c r="A106" s="12" t="s">
        <v>74</v>
      </c>
      <c r="B106" s="2" t="s">
        <v>411</v>
      </c>
      <c r="C106" s="13" t="s">
        <v>412</v>
      </c>
      <c r="D106" s="2" t="s">
        <v>99</v>
      </c>
      <c r="E106" s="2"/>
      <c r="F106" s="2"/>
      <c r="G106" s="2"/>
      <c r="H106" s="2" t="s">
        <v>79</v>
      </c>
      <c r="I106" s="2"/>
      <c r="J106" s="2"/>
      <c r="K106" s="2">
        <v>0</v>
      </c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>
        <v>0</v>
      </c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15">
        <v>166.31499999999997</v>
      </c>
      <c r="BB106" s="2"/>
      <c r="BC106" s="2"/>
      <c r="BD106" s="2"/>
      <c r="BE106" s="2"/>
      <c r="BF106" s="2"/>
      <c r="BG106" s="2"/>
      <c r="BH106" s="2"/>
      <c r="BI106" s="4">
        <v>0.84490899798575025</v>
      </c>
      <c r="BJ106" s="4">
        <v>5.7316598021826065E-2</v>
      </c>
      <c r="BK106" s="2"/>
      <c r="BL106" s="2"/>
      <c r="BM106" s="2"/>
      <c r="BN106" s="2"/>
      <c r="BO106" s="2"/>
      <c r="BP106" s="15">
        <v>42.397044163184326</v>
      </c>
      <c r="BQ106" s="15">
        <v>9.5176676788022743</v>
      </c>
      <c r="BR106" s="2"/>
      <c r="BS106" s="2"/>
      <c r="BT106" s="2"/>
      <c r="BU106" s="2"/>
      <c r="BV106" s="2">
        <v>0</v>
      </c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>
        <v>0</v>
      </c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14" t="s">
        <v>100</v>
      </c>
      <c r="DM106" s="14" t="s">
        <v>100</v>
      </c>
      <c r="DN106" s="2">
        <f t="shared" si="8"/>
        <v>0.84490899798575025</v>
      </c>
      <c r="DO106" s="2">
        <f t="shared" si="9"/>
        <v>5.7316598021826065E-2</v>
      </c>
      <c r="DP106" s="2" t="s">
        <v>413</v>
      </c>
      <c r="DQ106" s="2" t="s">
        <v>3</v>
      </c>
      <c r="DR106" s="15">
        <f t="shared" si="10"/>
        <v>166.31499999999997</v>
      </c>
      <c r="DS106" s="4">
        <f t="shared" si="11"/>
        <v>0.84490899798575025</v>
      </c>
      <c r="DT106" s="18">
        <f t="shared" si="12"/>
        <v>1405.2104000000004</v>
      </c>
      <c r="DU106" s="2"/>
      <c r="DV106" s="2">
        <f t="shared" si="13"/>
        <v>0</v>
      </c>
      <c r="DW106" s="2"/>
      <c r="DX106" s="2"/>
      <c r="DY106" s="2"/>
      <c r="DZ106" s="2" t="s">
        <v>3</v>
      </c>
      <c r="EA106" s="2" t="s">
        <v>164</v>
      </c>
      <c r="EB106" s="3">
        <v>5819.82</v>
      </c>
      <c r="EC106" s="3">
        <v>1138.69579</v>
      </c>
      <c r="ED106" s="3">
        <v>1201.04093195053</v>
      </c>
      <c r="EE106" s="15">
        <v>435.76100000000002</v>
      </c>
      <c r="EF106" s="3">
        <v>11878.527865353848</v>
      </c>
      <c r="EG106" s="3">
        <v>31529.047370000008</v>
      </c>
      <c r="EH106" s="3">
        <f t="shared" ref="EH106:EI106" si="22">EF106-ED106</f>
        <v>10677.486933403317</v>
      </c>
      <c r="EI106" s="3">
        <f t="shared" si="22"/>
        <v>31093.286370000009</v>
      </c>
      <c r="EJ106" s="3">
        <f>SUM(EP106,EX106,FB106)</f>
        <v>28953.370098437219</v>
      </c>
      <c r="EK106" s="3">
        <f>ET106</f>
        <v>49468.323313736917</v>
      </c>
      <c r="EL106" s="3">
        <f>EB106+EC106+FD106</f>
        <v>85380.209202174141</v>
      </c>
      <c r="EM106" s="2" t="s">
        <v>164</v>
      </c>
      <c r="EN106" s="3">
        <f>SUM(DR195:DR261)</f>
        <v>3410.2765277142867</v>
      </c>
      <c r="EO106" s="4">
        <f>100*(EP106/1000)/EN106</f>
        <v>0.6574701408294622</v>
      </c>
      <c r="EP106" s="3">
        <f>SUM(DT195:DT261)</f>
        <v>22421.549889437218</v>
      </c>
      <c r="EQ106" s="2">
        <f>COUNT(DT195:DT261)</f>
        <v>67</v>
      </c>
      <c r="ER106" s="3">
        <f>SUM(DR113:DR194)</f>
        <v>10972.985771850404</v>
      </c>
      <c r="ES106" s="4">
        <f>100*(ET106/1000)/ER106</f>
        <v>0.45081916938815952</v>
      </c>
      <c r="ET106" s="3">
        <f>SUM(DT113:DT194)</f>
        <v>49468.323313736917</v>
      </c>
      <c r="EU106" s="2">
        <f>COUNT(DT113:DT194)</f>
        <v>82</v>
      </c>
      <c r="EV106" s="15">
        <f>SUM(DR108:DR112,DR265)</f>
        <v>370.41578699999997</v>
      </c>
      <c r="EW106" s="4">
        <f>100*(EX106/1000)/EV106</f>
        <v>1.7143307417942206</v>
      </c>
      <c r="EX106" s="15">
        <f>SUM(DT108:DT112,DT265)</f>
        <v>6350.1517089999998</v>
      </c>
      <c r="EY106" s="2">
        <f>COUNT(DT108:DT112,DT265)</f>
        <v>6</v>
      </c>
      <c r="EZ106" s="15">
        <f>SUM(DR262:DR264)</f>
        <v>23.344999999999999</v>
      </c>
      <c r="FA106" s="4">
        <f>100*(FB106/1000)/EZ106</f>
        <v>0.7781901906189761</v>
      </c>
      <c r="FB106" s="15">
        <f>SUM(DT262:DT264)</f>
        <v>181.66849999999999</v>
      </c>
      <c r="FC106" s="2">
        <f>COUNT(DT262:DT264)</f>
        <v>3</v>
      </c>
      <c r="FD106" s="3">
        <f>SUM(EP106,ET106,EX106,FB106)</f>
        <v>78421.693412174136</v>
      </c>
      <c r="FE106" s="15">
        <f>SUM(DV195:DV261)</f>
        <v>472.74997000000002</v>
      </c>
      <c r="FF106" s="4">
        <f>100*(FG106/1000)/FE106</f>
        <v>0.61222965021133258</v>
      </c>
      <c r="FG106" s="3">
        <f>SUM(DX195:DX261)</f>
        <v>2894.3154877051797</v>
      </c>
      <c r="FH106" s="2">
        <f>COUNT(DX195:DX261)</f>
        <v>11</v>
      </c>
      <c r="FI106" s="15">
        <f>SUM(DV113:DV194)</f>
        <v>1412.5492880000002</v>
      </c>
      <c r="FJ106" s="4">
        <f>100*(FK106/1000)/FI106</f>
        <v>0.49846719197808276</v>
      </c>
      <c r="FK106" s="3">
        <f>SUM(DX113:DX194)</f>
        <v>7041.0947712000016</v>
      </c>
      <c r="FL106" s="2">
        <f>COUNT(DX113:DX194)</f>
        <v>12</v>
      </c>
      <c r="FM106" s="2" t="s">
        <v>176</v>
      </c>
      <c r="FN106" s="2" t="s">
        <v>176</v>
      </c>
      <c r="FO106" s="3">
        <f>SUM(FG106,FK106,FM106,FN106)</f>
        <v>9935.4102589051818</v>
      </c>
      <c r="FP106" s="2" t="s">
        <v>164</v>
      </c>
      <c r="FQ106" s="2" t="s">
        <v>3</v>
      </c>
      <c r="FR106" s="2" t="s">
        <v>37</v>
      </c>
      <c r="FS106" s="2" t="s">
        <v>414</v>
      </c>
      <c r="FT106" s="2" t="s">
        <v>414</v>
      </c>
      <c r="FU106" s="2"/>
      <c r="FV106" s="2" t="s">
        <v>3</v>
      </c>
    </row>
    <row r="107" spans="1:178" ht="15.75" customHeight="1" x14ac:dyDescent="0.2">
      <c r="A107" s="14" t="s">
        <v>96</v>
      </c>
      <c r="B107" s="2" t="s">
        <v>164</v>
      </c>
      <c r="C107" s="16" t="s">
        <v>415</v>
      </c>
      <c r="D107" s="2" t="s">
        <v>109</v>
      </c>
      <c r="E107" s="2"/>
      <c r="F107" s="2"/>
      <c r="G107" s="2" t="s">
        <v>179</v>
      </c>
      <c r="H107" s="2" t="s">
        <v>385</v>
      </c>
      <c r="I107" s="2"/>
      <c r="J107" s="2" t="s">
        <v>181</v>
      </c>
      <c r="K107" s="2">
        <v>0</v>
      </c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19">
        <f>3+4.8+0.0549+0.56</f>
        <v>8.4148999999999994</v>
      </c>
      <c r="AG107" s="2"/>
      <c r="AH107" s="2"/>
      <c r="AI107" s="2"/>
      <c r="AJ107" s="2"/>
      <c r="AK107" s="2"/>
      <c r="AL107" s="2"/>
      <c r="AM107" s="2"/>
      <c r="AN107" s="15">
        <f>(1.5*3+0.7*4.8+3.7*0.0549+0.9*0.56)/AF107</f>
        <v>1.0180905298934033</v>
      </c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19">
        <f>0.1723+1.441</f>
        <v>1.6133000000000002</v>
      </c>
      <c r="BB107" s="2"/>
      <c r="BC107" s="2"/>
      <c r="BD107" s="2"/>
      <c r="BE107" s="2"/>
      <c r="BF107" s="2"/>
      <c r="BG107" s="2"/>
      <c r="BH107" s="2"/>
      <c r="BI107" s="15">
        <f>(1.1*0.1723+0.7*1.441)/BA107</f>
        <v>0.74271989090683677</v>
      </c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>
        <v>0</v>
      </c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>
        <f>2.016+0.093</f>
        <v>2.109</v>
      </c>
      <c r="CR107" s="2"/>
      <c r="CS107" s="2"/>
      <c r="CT107" s="2"/>
      <c r="CU107" s="2"/>
      <c r="CV107" s="2"/>
      <c r="CW107" s="2"/>
      <c r="CX107" s="2"/>
      <c r="CY107" s="15">
        <f>(1.4*2.016+2*0.093)/CQ107</f>
        <v>1.4264580369843527</v>
      </c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14" t="s">
        <v>81</v>
      </c>
      <c r="DM107" s="2"/>
      <c r="DN107" s="2">
        <f t="shared" si="8"/>
        <v>0.97378991244689972</v>
      </c>
      <c r="DO107" s="2">
        <f t="shared" si="9"/>
        <v>0</v>
      </c>
      <c r="DP107" s="2" t="s">
        <v>211</v>
      </c>
      <c r="DQ107" s="2" t="s">
        <v>3</v>
      </c>
      <c r="DR107" s="4">
        <f t="shared" si="10"/>
        <v>10.0282</v>
      </c>
      <c r="DS107" s="4">
        <f t="shared" si="11"/>
        <v>0.97378991244689972</v>
      </c>
      <c r="DT107" s="15">
        <f t="shared" si="12"/>
        <v>97.653600000000012</v>
      </c>
      <c r="DU107" s="2"/>
      <c r="DV107" s="2">
        <f t="shared" si="13"/>
        <v>2.109</v>
      </c>
      <c r="DW107" s="4">
        <f>(BV107*CD107+CQ107*CY107)/DV107</f>
        <v>1.4264580369843527</v>
      </c>
      <c r="DX107" s="15">
        <f>1000*DV107*DW107/100</f>
        <v>30.083999999999996</v>
      </c>
      <c r="DY107" s="2"/>
      <c r="DZ107" s="2" t="s">
        <v>3</v>
      </c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 t="s">
        <v>3</v>
      </c>
      <c r="FR107" s="2" t="s">
        <v>89</v>
      </c>
      <c r="FS107" s="2" t="s">
        <v>137</v>
      </c>
      <c r="FT107" s="2"/>
      <c r="FU107" s="2"/>
      <c r="FV107" s="2" t="s">
        <v>3</v>
      </c>
    </row>
    <row r="108" spans="1:178" ht="15.75" customHeight="1" x14ac:dyDescent="0.2">
      <c r="A108" s="14" t="s">
        <v>96</v>
      </c>
      <c r="B108" s="2" t="s">
        <v>416</v>
      </c>
      <c r="C108" s="16" t="s">
        <v>417</v>
      </c>
      <c r="D108" s="2" t="s">
        <v>99</v>
      </c>
      <c r="E108" s="2"/>
      <c r="F108" s="2"/>
      <c r="G108" s="2"/>
      <c r="H108" s="2" t="s">
        <v>79</v>
      </c>
      <c r="I108" s="2"/>
      <c r="J108" s="2"/>
      <c r="K108" s="2">
        <v>0</v>
      </c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>
        <v>0</v>
      </c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>
        <v>4.0999999999999996</v>
      </c>
      <c r="BB108" s="2">
        <v>0.5</v>
      </c>
      <c r="BC108" s="2"/>
      <c r="BD108" s="2"/>
      <c r="BE108" s="2"/>
      <c r="BF108" s="2"/>
      <c r="BG108" s="2"/>
      <c r="BH108" s="2"/>
      <c r="BI108" s="2">
        <v>0.7</v>
      </c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>
        <v>0</v>
      </c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>
        <v>0</v>
      </c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14" t="s">
        <v>81</v>
      </c>
      <c r="DM108" s="2"/>
      <c r="DN108" s="2">
        <f t="shared" si="8"/>
        <v>0.7</v>
      </c>
      <c r="DO108" s="2">
        <f t="shared" si="9"/>
        <v>0</v>
      </c>
      <c r="DP108" s="2" t="s">
        <v>418</v>
      </c>
      <c r="DQ108" s="2" t="s">
        <v>3</v>
      </c>
      <c r="DR108" s="2">
        <f t="shared" si="10"/>
        <v>4.0999999999999996</v>
      </c>
      <c r="DS108" s="2">
        <f t="shared" si="11"/>
        <v>0.7</v>
      </c>
      <c r="DT108" s="15">
        <f t="shared" si="12"/>
        <v>28.7</v>
      </c>
      <c r="DU108" s="2"/>
      <c r="DV108" s="2">
        <f t="shared" si="13"/>
        <v>0</v>
      </c>
      <c r="DW108" s="2"/>
      <c r="DX108" s="2"/>
      <c r="DY108" s="2"/>
      <c r="DZ108" s="2" t="s">
        <v>3</v>
      </c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 t="s">
        <v>3</v>
      </c>
      <c r="FR108" s="2" t="s">
        <v>89</v>
      </c>
      <c r="FS108" s="2" t="s">
        <v>123</v>
      </c>
      <c r="FT108" s="2"/>
      <c r="FU108" s="2"/>
      <c r="FV108" s="2" t="s">
        <v>3</v>
      </c>
    </row>
    <row r="109" spans="1:178" ht="15.75" customHeight="1" x14ac:dyDescent="0.2">
      <c r="A109" s="12" t="s">
        <v>74</v>
      </c>
      <c r="B109" s="2" t="s">
        <v>75</v>
      </c>
      <c r="C109" s="13" t="s">
        <v>419</v>
      </c>
      <c r="D109" s="2" t="s">
        <v>99</v>
      </c>
      <c r="E109" s="2"/>
      <c r="F109" s="2"/>
      <c r="G109" s="2" t="s">
        <v>78</v>
      </c>
      <c r="H109" s="2" t="s">
        <v>304</v>
      </c>
      <c r="I109" s="2"/>
      <c r="J109" s="2" t="s">
        <v>141</v>
      </c>
      <c r="K109" s="2">
        <v>0</v>
      </c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>
        <f>28.35+39.54</f>
        <v>67.89</v>
      </c>
      <c r="AG109" s="2"/>
      <c r="AH109" s="2"/>
      <c r="AI109" s="2"/>
      <c r="AJ109" s="2"/>
      <c r="AK109" s="2"/>
      <c r="AL109" s="2"/>
      <c r="AM109" s="2"/>
      <c r="AN109" s="4">
        <f>(1.2*28.35+1.23*39.54)/AF109</f>
        <v>1.2174723817940787</v>
      </c>
      <c r="AO109" s="2"/>
      <c r="AP109" s="2"/>
      <c r="AQ109" s="2"/>
      <c r="AR109" s="2"/>
      <c r="AS109" s="2"/>
      <c r="AT109" s="2"/>
      <c r="AU109" s="2"/>
      <c r="AV109" s="4">
        <f>(13.78*28.35+43.32*39.54)/AF109</f>
        <v>30.984471939902779</v>
      </c>
      <c r="AW109" s="2"/>
      <c r="AX109" s="2"/>
      <c r="AY109" s="2"/>
      <c r="AZ109" s="4">
        <f>100*((43.615+60.83)-(28.35+39.54))/(43.615+60.83)</f>
        <v>34.999281918713194</v>
      </c>
      <c r="BA109" s="4">
        <f>16.28+5.72</f>
        <v>22</v>
      </c>
      <c r="BB109" s="2"/>
      <c r="BC109" s="2"/>
      <c r="BD109" s="2"/>
      <c r="BE109" s="2"/>
      <c r="BF109" s="2"/>
      <c r="BG109" s="2"/>
      <c r="BH109" s="2"/>
      <c r="BI109" s="4">
        <f>(1.14*16.28+1.06*5.72)/BA109</f>
        <v>1.1192</v>
      </c>
      <c r="BJ109" s="2"/>
      <c r="BK109" s="2"/>
      <c r="BL109" s="2"/>
      <c r="BM109" s="2"/>
      <c r="BN109" s="2"/>
      <c r="BO109" s="2"/>
      <c r="BP109" s="2"/>
      <c r="BQ109" s="4">
        <f>(13.95*16.28+42.33*5.72)/BA109</f>
        <v>21.328799999999998</v>
      </c>
      <c r="BR109" s="2"/>
      <c r="BS109" s="2"/>
      <c r="BT109" s="2"/>
      <c r="BU109" s="4">
        <f>100*((25.046+8.8)-(16.28+5.72))/(25.046+8.8)</f>
        <v>34.999704544111573</v>
      </c>
      <c r="BV109" s="2">
        <v>0</v>
      </c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4">
        <f>2.819+32.875</f>
        <v>35.694000000000003</v>
      </c>
      <c r="CR109" s="2"/>
      <c r="CS109" s="2"/>
      <c r="CT109" s="2"/>
      <c r="CU109" s="2"/>
      <c r="CV109" s="2"/>
      <c r="CW109" s="2"/>
      <c r="CX109" s="2"/>
      <c r="CY109" s="4">
        <f>(1.85*2.819+1.32*32.875)/CQ109</f>
        <v>1.3618577351935899</v>
      </c>
      <c r="CZ109" s="2"/>
      <c r="DA109" s="2"/>
      <c r="DB109" s="2"/>
      <c r="DC109" s="2"/>
      <c r="DD109" s="2"/>
      <c r="DE109" s="2"/>
      <c r="DF109" s="2"/>
      <c r="DG109" s="4">
        <f>(28.74*2.819+40*32.875)/CQ109</f>
        <v>39.110720569283345</v>
      </c>
      <c r="DH109" s="2"/>
      <c r="DI109" s="2"/>
      <c r="DJ109" s="2"/>
      <c r="DK109" s="4">
        <f>100*((4.337+50.576)-(2.819+32.875))/(4.337+50.576)</f>
        <v>34.998998415675693</v>
      </c>
      <c r="DL109" s="14" t="s">
        <v>81</v>
      </c>
      <c r="DM109" s="2"/>
      <c r="DN109" s="2">
        <f t="shared" si="8"/>
        <v>1.1934208477027479</v>
      </c>
      <c r="DO109" s="2">
        <f t="shared" si="9"/>
        <v>0</v>
      </c>
      <c r="DP109" s="2" t="s">
        <v>211</v>
      </c>
      <c r="DQ109" s="2" t="s">
        <v>3</v>
      </c>
      <c r="DR109" s="4">
        <f t="shared" si="10"/>
        <v>89.89</v>
      </c>
      <c r="DS109" s="4">
        <f t="shared" si="11"/>
        <v>1.1934208477027479</v>
      </c>
      <c r="DT109" s="18">
        <f t="shared" si="12"/>
        <v>1072.7660000000001</v>
      </c>
      <c r="DU109" s="2"/>
      <c r="DV109" s="4">
        <f t="shared" si="13"/>
        <v>35.694000000000003</v>
      </c>
      <c r="DW109" s="4">
        <f>(BV109*CD109+CQ109*CY109)/DV109</f>
        <v>1.3618577351935899</v>
      </c>
      <c r="DX109" s="15">
        <f>1000*DV109*DW109/100</f>
        <v>486.10149999999993</v>
      </c>
      <c r="DY109" s="2"/>
      <c r="DZ109" s="2" t="s">
        <v>3</v>
      </c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 t="s">
        <v>3</v>
      </c>
      <c r="FR109" s="2" t="s">
        <v>37</v>
      </c>
      <c r="FS109" s="2" t="s">
        <v>235</v>
      </c>
      <c r="FT109" s="2" t="s">
        <v>235</v>
      </c>
      <c r="FU109" s="2"/>
      <c r="FV109" s="2" t="s">
        <v>3</v>
      </c>
    </row>
    <row r="110" spans="1:178" ht="15.75" customHeight="1" x14ac:dyDescent="0.2">
      <c r="A110" s="12" t="s">
        <v>74</v>
      </c>
      <c r="B110" s="2" t="s">
        <v>115</v>
      </c>
      <c r="C110" s="13" t="s">
        <v>420</v>
      </c>
      <c r="D110" s="2" t="s">
        <v>99</v>
      </c>
      <c r="E110" s="2"/>
      <c r="F110" s="2"/>
      <c r="G110" s="2"/>
      <c r="H110" s="2" t="s">
        <v>79</v>
      </c>
      <c r="I110" s="2"/>
      <c r="J110" s="2"/>
      <c r="K110" s="2">
        <v>0</v>
      </c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>
        <v>0</v>
      </c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>
        <v>11.103999999999999</v>
      </c>
      <c r="BB110" s="2"/>
      <c r="BC110" s="2"/>
      <c r="BD110" s="2"/>
      <c r="BE110" s="2"/>
      <c r="BF110" s="2"/>
      <c r="BG110" s="2"/>
      <c r="BH110" s="2"/>
      <c r="BI110" s="2">
        <v>1.33</v>
      </c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>
        <v>0</v>
      </c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>
        <v>0</v>
      </c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14" t="s">
        <v>100</v>
      </c>
      <c r="DM110" s="2"/>
      <c r="DN110" s="2">
        <f t="shared" si="8"/>
        <v>1.33</v>
      </c>
      <c r="DO110" s="2">
        <f t="shared" si="9"/>
        <v>0</v>
      </c>
      <c r="DP110" s="2" t="s">
        <v>117</v>
      </c>
      <c r="DQ110" s="2" t="s">
        <v>3</v>
      </c>
      <c r="DR110" s="4">
        <f t="shared" si="10"/>
        <v>11.103999999999999</v>
      </c>
      <c r="DS110" s="2">
        <f t="shared" si="11"/>
        <v>1.33</v>
      </c>
      <c r="DT110" s="15">
        <f t="shared" si="12"/>
        <v>147.68320000000003</v>
      </c>
      <c r="DU110" s="2"/>
      <c r="DV110" s="2">
        <f t="shared" si="13"/>
        <v>0</v>
      </c>
      <c r="DW110" s="2"/>
      <c r="DX110" s="2"/>
      <c r="DY110" s="2"/>
      <c r="DZ110" s="2" t="s">
        <v>3</v>
      </c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 t="s">
        <v>3</v>
      </c>
      <c r="FR110" s="2" t="s">
        <v>37</v>
      </c>
      <c r="FS110" s="2" t="s">
        <v>106</v>
      </c>
      <c r="FT110" s="2"/>
      <c r="FU110" s="2"/>
      <c r="FV110" s="2" t="s">
        <v>3</v>
      </c>
    </row>
    <row r="111" spans="1:178" ht="15.75" customHeight="1" x14ac:dyDescent="0.2">
      <c r="A111" s="12" t="s">
        <v>74</v>
      </c>
      <c r="B111" s="2" t="s">
        <v>421</v>
      </c>
      <c r="C111" s="13" t="s">
        <v>422</v>
      </c>
      <c r="D111" s="2" t="s">
        <v>109</v>
      </c>
      <c r="E111" s="2"/>
      <c r="F111" s="2"/>
      <c r="G111" s="2" t="s">
        <v>78</v>
      </c>
      <c r="H111" s="2" t="s">
        <v>423</v>
      </c>
      <c r="I111" s="2"/>
      <c r="J111" s="2" t="s">
        <v>111</v>
      </c>
      <c r="K111" s="2">
        <v>39.4</v>
      </c>
      <c r="L111" s="2"/>
      <c r="M111" s="2"/>
      <c r="N111" s="2"/>
      <c r="O111" s="2"/>
      <c r="P111" s="2"/>
      <c r="Q111" s="2"/>
      <c r="R111" s="2"/>
      <c r="S111" s="2">
        <v>2.39</v>
      </c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>
        <v>65.7</v>
      </c>
      <c r="AG111" s="2"/>
      <c r="AH111" s="2"/>
      <c r="AI111" s="2"/>
      <c r="AJ111" s="2"/>
      <c r="AK111" s="2"/>
      <c r="AL111" s="2"/>
      <c r="AM111" s="2"/>
      <c r="AN111" s="2">
        <v>2.42</v>
      </c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>
        <v>84.5</v>
      </c>
      <c r="BB111" s="2"/>
      <c r="BC111" s="2"/>
      <c r="BD111" s="2"/>
      <c r="BE111" s="2"/>
      <c r="BF111" s="2"/>
      <c r="BG111" s="2"/>
      <c r="BH111" s="2"/>
      <c r="BI111" s="2">
        <v>2.4300000000000002</v>
      </c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>
        <v>17.100000000000001</v>
      </c>
      <c r="BW111" s="2"/>
      <c r="BX111" s="2"/>
      <c r="BY111" s="2"/>
      <c r="BZ111" s="2"/>
      <c r="CA111" s="2"/>
      <c r="CB111" s="2"/>
      <c r="CC111" s="2"/>
      <c r="CD111" s="2">
        <v>2.61</v>
      </c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>
        <v>19.2</v>
      </c>
      <c r="CR111" s="2"/>
      <c r="CS111" s="2"/>
      <c r="CT111" s="2"/>
      <c r="CU111" s="2"/>
      <c r="CV111" s="2"/>
      <c r="CW111" s="2"/>
      <c r="CX111" s="2"/>
      <c r="CY111" s="2">
        <v>2.46</v>
      </c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14" t="s">
        <v>81</v>
      </c>
      <c r="DM111" s="2"/>
      <c r="DN111" s="2">
        <f t="shared" si="8"/>
        <v>2.4182225738396625</v>
      </c>
      <c r="DO111" s="2">
        <f t="shared" si="9"/>
        <v>0</v>
      </c>
      <c r="DP111" s="2" t="s">
        <v>211</v>
      </c>
      <c r="DQ111" s="2" t="s">
        <v>3</v>
      </c>
      <c r="DR111" s="2">
        <f t="shared" si="10"/>
        <v>189.6</v>
      </c>
      <c r="DS111" s="4">
        <f t="shared" si="11"/>
        <v>2.4182225738396625</v>
      </c>
      <c r="DT111" s="18">
        <f t="shared" si="12"/>
        <v>4584.95</v>
      </c>
      <c r="DU111" s="2"/>
      <c r="DV111" s="2">
        <f t="shared" si="13"/>
        <v>36.299999999999997</v>
      </c>
      <c r="DW111" s="4">
        <f>(BV111*CD111+CQ111*CY111)/DV111</f>
        <v>2.5306611570247934</v>
      </c>
      <c r="DX111" s="15">
        <f>1000*DV111*DW111/100</f>
        <v>918.63</v>
      </c>
      <c r="DY111" s="2"/>
      <c r="DZ111" s="2" t="s">
        <v>3</v>
      </c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 t="s">
        <v>3</v>
      </c>
      <c r="FR111" s="2" t="s">
        <v>37</v>
      </c>
      <c r="FS111" s="2" t="s">
        <v>106</v>
      </c>
      <c r="FT111" s="2" t="s">
        <v>106</v>
      </c>
      <c r="FU111" s="2"/>
      <c r="FV111" s="2" t="s">
        <v>3</v>
      </c>
    </row>
    <row r="112" spans="1:178" ht="15.75" customHeight="1" x14ac:dyDescent="0.2">
      <c r="A112" s="14" t="s">
        <v>96</v>
      </c>
      <c r="B112" s="2" t="s">
        <v>164</v>
      </c>
      <c r="C112" s="16" t="s">
        <v>424</v>
      </c>
      <c r="D112" s="2" t="s">
        <v>99</v>
      </c>
      <c r="E112" s="2"/>
      <c r="F112" s="2"/>
      <c r="G112" s="2" t="s">
        <v>179</v>
      </c>
      <c r="H112" s="2" t="s">
        <v>425</v>
      </c>
      <c r="I112" s="2"/>
      <c r="J112" s="2" t="s">
        <v>181</v>
      </c>
      <c r="K112" s="2">
        <v>0</v>
      </c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>
        <v>0</v>
      </c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19">
        <v>5.721787</v>
      </c>
      <c r="BB112" s="2">
        <v>0.04</v>
      </c>
      <c r="BC112" s="2"/>
      <c r="BD112" s="2"/>
      <c r="BE112" s="2"/>
      <c r="BF112" s="2"/>
      <c r="BG112" s="2"/>
      <c r="BH112" s="2"/>
      <c r="BI112" s="2">
        <v>0.7</v>
      </c>
      <c r="BJ112" s="2"/>
      <c r="BK112" s="2">
        <v>6.0999999999999999E-2</v>
      </c>
      <c r="BL112" s="2">
        <v>8.2000000000000003E-2</v>
      </c>
      <c r="BM112" s="2"/>
      <c r="BN112" s="2"/>
      <c r="BO112" s="2"/>
      <c r="BP112" s="2"/>
      <c r="BQ112" s="2"/>
      <c r="BR112" s="2"/>
      <c r="BS112" s="2"/>
      <c r="BT112" s="2"/>
      <c r="BU112" s="2"/>
      <c r="BV112" s="2">
        <v>0</v>
      </c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>
        <v>0</v>
      </c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14" t="s">
        <v>81</v>
      </c>
      <c r="DM112" s="2"/>
      <c r="DN112" s="2">
        <f t="shared" si="8"/>
        <v>0.70000000000000007</v>
      </c>
      <c r="DO112" s="2">
        <f t="shared" si="9"/>
        <v>0</v>
      </c>
      <c r="DP112" s="2" t="s">
        <v>211</v>
      </c>
      <c r="DQ112" s="2" t="s">
        <v>3</v>
      </c>
      <c r="DR112" s="19">
        <f t="shared" si="10"/>
        <v>5.721787</v>
      </c>
      <c r="DS112" s="2">
        <f t="shared" si="11"/>
        <v>0.70000000000000007</v>
      </c>
      <c r="DT112" s="15">
        <f t="shared" si="12"/>
        <v>40.052509000000008</v>
      </c>
      <c r="DU112" s="2"/>
      <c r="DV112" s="2">
        <f t="shared" si="13"/>
        <v>0</v>
      </c>
      <c r="DW112" s="2"/>
      <c r="DX112" s="2"/>
      <c r="DY112" s="2"/>
      <c r="DZ112" s="2" t="s">
        <v>3</v>
      </c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 t="s">
        <v>3</v>
      </c>
      <c r="FR112" s="2" t="s">
        <v>89</v>
      </c>
      <c r="FS112" s="2" t="s">
        <v>137</v>
      </c>
      <c r="FT112" s="2"/>
      <c r="FU112" s="2"/>
      <c r="FV112" s="2" t="s">
        <v>3</v>
      </c>
    </row>
    <row r="113" spans="1:178" ht="15.75" customHeight="1" x14ac:dyDescent="0.2">
      <c r="A113" s="14" t="s">
        <v>96</v>
      </c>
      <c r="B113" s="2" t="s">
        <v>164</v>
      </c>
      <c r="C113" s="16" t="s">
        <v>426</v>
      </c>
      <c r="D113" s="2" t="s">
        <v>99</v>
      </c>
      <c r="E113" s="2"/>
      <c r="F113" s="2"/>
      <c r="G113" s="2" t="s">
        <v>179</v>
      </c>
      <c r="H113" s="2" t="s">
        <v>425</v>
      </c>
      <c r="I113" s="2"/>
      <c r="J113" s="2" t="s">
        <v>181</v>
      </c>
      <c r="K113" s="2">
        <v>0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>
        <v>1.41</v>
      </c>
      <c r="AG113" s="2">
        <v>0.4</v>
      </c>
      <c r="AH113" s="2"/>
      <c r="AI113" s="2"/>
      <c r="AJ113" s="2"/>
      <c r="AK113" s="2"/>
      <c r="AL113" s="2"/>
      <c r="AM113" s="2"/>
      <c r="AN113" s="2">
        <v>1.7</v>
      </c>
      <c r="AO113" s="2"/>
      <c r="AP113" s="2">
        <v>0.8</v>
      </c>
      <c r="AQ113" s="15">
        <v>1</v>
      </c>
      <c r="AR113" s="2"/>
      <c r="AS113" s="2"/>
      <c r="AT113" s="2"/>
      <c r="AU113" s="2"/>
      <c r="AV113" s="2"/>
      <c r="AW113" s="2"/>
      <c r="AX113" s="2"/>
      <c r="AY113" s="2"/>
      <c r="AZ113" s="2"/>
      <c r="BA113" s="2">
        <v>0.53</v>
      </c>
      <c r="BB113" s="2">
        <v>0.4</v>
      </c>
      <c r="BC113" s="2"/>
      <c r="BD113" s="2"/>
      <c r="BE113" s="2"/>
      <c r="BF113" s="2"/>
      <c r="BG113" s="2"/>
      <c r="BH113" s="2"/>
      <c r="BI113" s="2">
        <v>1.6</v>
      </c>
      <c r="BJ113" s="2"/>
      <c r="BK113" s="2">
        <v>0.9</v>
      </c>
      <c r="BL113" s="2">
        <v>1.3</v>
      </c>
      <c r="BM113" s="2"/>
      <c r="BN113" s="2"/>
      <c r="BO113" s="2"/>
      <c r="BP113" s="2"/>
      <c r="BQ113" s="2"/>
      <c r="BR113" s="2"/>
      <c r="BS113" s="2"/>
      <c r="BT113" s="2"/>
      <c r="BU113" s="2"/>
      <c r="BV113" s="2">
        <v>0</v>
      </c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>
        <v>0</v>
      </c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14" t="s">
        <v>81</v>
      </c>
      <c r="DM113" s="2"/>
      <c r="DN113" s="2">
        <f t="shared" si="8"/>
        <v>1.6726804123711341</v>
      </c>
      <c r="DO113" s="2">
        <f t="shared" si="9"/>
        <v>0</v>
      </c>
      <c r="DP113" s="2" t="s">
        <v>211</v>
      </c>
      <c r="DQ113" s="2" t="s">
        <v>3</v>
      </c>
      <c r="DR113" s="2">
        <f t="shared" si="10"/>
        <v>1.94</v>
      </c>
      <c r="DS113" s="4">
        <f t="shared" si="11"/>
        <v>1.6726804123711341</v>
      </c>
      <c r="DT113" s="15">
        <f t="shared" si="12"/>
        <v>32.450000000000003</v>
      </c>
      <c r="DU113" s="2"/>
      <c r="DV113" s="2">
        <f t="shared" si="13"/>
        <v>0</v>
      </c>
      <c r="DW113" s="2"/>
      <c r="DX113" s="2"/>
      <c r="DY113" s="2"/>
      <c r="DZ113" s="2" t="s">
        <v>3</v>
      </c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 t="s">
        <v>3</v>
      </c>
      <c r="FR113" s="2" t="s">
        <v>89</v>
      </c>
      <c r="FS113" s="2" t="s">
        <v>137</v>
      </c>
      <c r="FT113" s="2"/>
      <c r="FU113" s="2"/>
      <c r="FV113" s="2" t="s">
        <v>3</v>
      </c>
    </row>
    <row r="114" spans="1:178" ht="15.75" customHeight="1" x14ac:dyDescent="0.2">
      <c r="A114" s="14" t="s">
        <v>96</v>
      </c>
      <c r="B114" s="2" t="s">
        <v>133</v>
      </c>
      <c r="C114" s="16" t="s">
        <v>427</v>
      </c>
      <c r="D114" s="2" t="s">
        <v>99</v>
      </c>
      <c r="E114" s="2"/>
      <c r="F114" s="2"/>
      <c r="G114" s="2"/>
      <c r="H114" s="2" t="s">
        <v>428</v>
      </c>
      <c r="I114" s="2"/>
      <c r="J114" s="2"/>
      <c r="K114" s="2">
        <v>372.1</v>
      </c>
      <c r="L114" s="2"/>
      <c r="M114" s="2"/>
      <c r="N114" s="2"/>
      <c r="O114" s="2"/>
      <c r="P114" s="2"/>
      <c r="Q114" s="2"/>
      <c r="R114" s="2"/>
      <c r="S114" s="2">
        <v>0.28000000000000003</v>
      </c>
      <c r="T114" s="19">
        <v>1.12E-2</v>
      </c>
      <c r="U114" s="2">
        <v>1.0999999999999999E-2</v>
      </c>
      <c r="V114" s="2">
        <v>2.4E-2</v>
      </c>
      <c r="W114" s="2"/>
      <c r="X114" s="2"/>
      <c r="Y114" s="2"/>
      <c r="Z114" s="2"/>
      <c r="AA114" s="2"/>
      <c r="AB114" s="2"/>
      <c r="AC114" s="2"/>
      <c r="AD114" s="2"/>
      <c r="AE114" s="2"/>
      <c r="AF114" s="3">
        <v>1293.5</v>
      </c>
      <c r="AG114" s="2"/>
      <c r="AH114" s="2"/>
      <c r="AI114" s="2"/>
      <c r="AJ114" s="2"/>
      <c r="AK114" s="2"/>
      <c r="AL114" s="2"/>
      <c r="AM114" s="2"/>
      <c r="AN114" s="2">
        <v>0.26</v>
      </c>
      <c r="AO114" s="19">
        <v>1.06E-2</v>
      </c>
      <c r="AP114" s="2">
        <v>8.0000000000000002E-3</v>
      </c>
      <c r="AQ114" s="2">
        <v>1.7000000000000001E-2</v>
      </c>
      <c r="AR114" s="2"/>
      <c r="AS114" s="2"/>
      <c r="AT114" s="2"/>
      <c r="AU114" s="2"/>
      <c r="AV114" s="2"/>
      <c r="AW114" s="2"/>
      <c r="AX114" s="2"/>
      <c r="AY114" s="2"/>
      <c r="AZ114" s="2"/>
      <c r="BA114" s="2">
        <v>499.8</v>
      </c>
      <c r="BB114" s="2"/>
      <c r="BC114" s="2"/>
      <c r="BD114" s="2"/>
      <c r="BE114" s="2"/>
      <c r="BF114" s="2"/>
      <c r="BG114" s="2"/>
      <c r="BH114" s="2"/>
      <c r="BI114" s="2">
        <v>0.26</v>
      </c>
      <c r="BJ114" s="19">
        <v>1.01E-2</v>
      </c>
      <c r="BK114" s="2">
        <v>6.0000000000000001E-3</v>
      </c>
      <c r="BL114" s="2">
        <v>1.4E-2</v>
      </c>
      <c r="BM114" s="2"/>
      <c r="BN114" s="2"/>
      <c r="BO114" s="2"/>
      <c r="BP114" s="2"/>
      <c r="BQ114" s="2"/>
      <c r="BR114" s="2"/>
      <c r="BS114" s="2"/>
      <c r="BT114" s="2"/>
      <c r="BU114" s="2"/>
      <c r="BV114" s="2">
        <v>163.13999999999999</v>
      </c>
      <c r="BW114" s="2"/>
      <c r="BX114" s="2"/>
      <c r="BY114" s="2"/>
      <c r="BZ114" s="2"/>
      <c r="CA114" s="2"/>
      <c r="CB114" s="2"/>
      <c r="CC114" s="2"/>
      <c r="CD114" s="2">
        <v>0.33</v>
      </c>
      <c r="CE114" s="19">
        <v>1.14E-2</v>
      </c>
      <c r="CF114" s="2">
        <v>1.2999999999999999E-2</v>
      </c>
      <c r="CG114" s="2">
        <v>3.1E-2</v>
      </c>
      <c r="CH114" s="2"/>
      <c r="CI114" s="2"/>
      <c r="CJ114" s="2"/>
      <c r="CK114" s="2"/>
      <c r="CL114" s="2"/>
      <c r="CM114" s="2"/>
      <c r="CN114" s="2"/>
      <c r="CO114" s="2"/>
      <c r="CP114" s="2"/>
      <c r="CQ114" s="15">
        <v>864.90800000000002</v>
      </c>
      <c r="CR114" s="2"/>
      <c r="CS114" s="2"/>
      <c r="CT114" s="2"/>
      <c r="CU114" s="2"/>
      <c r="CV114" s="2"/>
      <c r="CW114" s="2"/>
      <c r="CX114" s="2"/>
      <c r="CY114" s="2">
        <v>0.26</v>
      </c>
      <c r="CZ114" s="19">
        <v>1.06E-2</v>
      </c>
      <c r="DA114" s="2">
        <v>8.0000000000000002E-3</v>
      </c>
      <c r="DB114" s="2">
        <v>1.7000000000000001E-2</v>
      </c>
      <c r="DC114" s="2"/>
      <c r="DD114" s="2"/>
      <c r="DE114" s="2"/>
      <c r="DF114" s="2"/>
      <c r="DG114" s="2"/>
      <c r="DH114" s="2"/>
      <c r="DI114" s="2"/>
      <c r="DJ114" s="2"/>
      <c r="DK114" s="2"/>
      <c r="DL114" s="14" t="s">
        <v>81</v>
      </c>
      <c r="DM114" s="2" t="s">
        <v>81</v>
      </c>
      <c r="DN114" s="2">
        <f t="shared" si="8"/>
        <v>0.26343677842430957</v>
      </c>
      <c r="DO114" s="2">
        <f t="shared" si="9"/>
        <v>1.0587697423108893E-2</v>
      </c>
      <c r="DP114" s="2" t="s">
        <v>349</v>
      </c>
      <c r="DQ114" s="2" t="s">
        <v>3</v>
      </c>
      <c r="DR114" s="3">
        <f t="shared" si="10"/>
        <v>2165.4</v>
      </c>
      <c r="DS114" s="4">
        <f t="shared" si="11"/>
        <v>0.26343677842430957</v>
      </c>
      <c r="DT114" s="18">
        <f t="shared" si="12"/>
        <v>5704.46</v>
      </c>
      <c r="DU114" s="2"/>
      <c r="DV114" s="3">
        <f t="shared" si="13"/>
        <v>1028.048</v>
      </c>
      <c r="DW114" s="4">
        <f>(BV114*CD114+CQ114*CY114)/DV114</f>
        <v>0.27110823619130625</v>
      </c>
      <c r="DX114" s="18">
        <f>1000*DV114*DW114/100</f>
        <v>2787.1228000000001</v>
      </c>
      <c r="DY114" s="2"/>
      <c r="DZ114" s="2" t="s">
        <v>3</v>
      </c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 t="s">
        <v>3</v>
      </c>
      <c r="FR114" s="2" t="s">
        <v>89</v>
      </c>
      <c r="FS114" s="2" t="s">
        <v>137</v>
      </c>
      <c r="FT114" s="2"/>
      <c r="FU114" s="2"/>
      <c r="FV114" s="2" t="s">
        <v>3</v>
      </c>
    </row>
    <row r="115" spans="1:178" ht="15.75" customHeight="1" x14ac:dyDescent="0.2">
      <c r="A115" s="14" t="s">
        <v>96</v>
      </c>
      <c r="B115" s="2" t="s">
        <v>133</v>
      </c>
      <c r="C115" s="16" t="s">
        <v>429</v>
      </c>
      <c r="D115" s="2" t="s">
        <v>99</v>
      </c>
      <c r="E115" s="2"/>
      <c r="F115" s="2"/>
      <c r="G115" s="2"/>
      <c r="H115" s="2" t="s">
        <v>430</v>
      </c>
      <c r="I115" s="2"/>
      <c r="J115" s="2"/>
      <c r="K115" s="2">
        <v>0</v>
      </c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>
        <v>0</v>
      </c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>
        <v>0.11600000000000001</v>
      </c>
      <c r="BB115" s="2"/>
      <c r="BC115" s="2"/>
      <c r="BD115" s="2"/>
      <c r="BE115" s="2"/>
      <c r="BF115" s="2"/>
      <c r="BG115" s="2"/>
      <c r="BH115" s="2"/>
      <c r="BI115" s="2">
        <v>3.16</v>
      </c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>
        <v>0</v>
      </c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>
        <v>0</v>
      </c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14" t="s">
        <v>81</v>
      </c>
      <c r="DM115" s="2" t="s">
        <v>81</v>
      </c>
      <c r="DN115" s="2">
        <f t="shared" si="8"/>
        <v>3.16</v>
      </c>
      <c r="DO115" s="2">
        <f t="shared" si="9"/>
        <v>0</v>
      </c>
      <c r="DP115" s="2" t="s">
        <v>431</v>
      </c>
      <c r="DQ115" s="2" t="s">
        <v>3</v>
      </c>
      <c r="DR115" s="2">
        <f t="shared" si="10"/>
        <v>0.11600000000000001</v>
      </c>
      <c r="DS115" s="2">
        <f t="shared" si="11"/>
        <v>3.16</v>
      </c>
      <c r="DT115" s="15">
        <f t="shared" si="12"/>
        <v>3.6656</v>
      </c>
      <c r="DU115" s="2"/>
      <c r="DV115" s="2">
        <f t="shared" si="13"/>
        <v>0</v>
      </c>
      <c r="DW115" s="2"/>
      <c r="DX115" s="2"/>
      <c r="DY115" s="2"/>
      <c r="DZ115" s="2" t="s">
        <v>3</v>
      </c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 t="s">
        <v>3</v>
      </c>
      <c r="FR115" s="2" t="s">
        <v>89</v>
      </c>
      <c r="FS115" s="2" t="s">
        <v>137</v>
      </c>
      <c r="FT115" s="2"/>
      <c r="FU115" s="2"/>
      <c r="FV115" s="2" t="s">
        <v>3</v>
      </c>
    </row>
    <row r="116" spans="1:178" ht="15.75" customHeight="1" x14ac:dyDescent="0.2">
      <c r="A116" s="14" t="s">
        <v>96</v>
      </c>
      <c r="B116" s="2" t="s">
        <v>189</v>
      </c>
      <c r="C116" s="16" t="s">
        <v>432</v>
      </c>
      <c r="D116" s="2" t="s">
        <v>99</v>
      </c>
      <c r="E116" s="44"/>
      <c r="F116" s="44"/>
      <c r="G116" s="2"/>
      <c r="H116" s="2" t="s">
        <v>79</v>
      </c>
      <c r="I116" s="22"/>
      <c r="J116" s="2"/>
      <c r="K116" s="2">
        <v>0</v>
      </c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>
        <v>0</v>
      </c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3">
        <f>272*0.9072</f>
        <v>246.75839999999999</v>
      </c>
      <c r="BB116" s="2">
        <v>0.25</v>
      </c>
      <c r="BC116" s="2"/>
      <c r="BD116" s="2"/>
      <c r="BE116" s="2"/>
      <c r="BF116" s="2"/>
      <c r="BG116" s="2"/>
      <c r="BH116" s="2"/>
      <c r="BI116" s="4">
        <f>(1/4.3)*BB116</f>
        <v>5.8139534883720929E-2</v>
      </c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>
        <v>0</v>
      </c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>
        <v>0</v>
      </c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14" t="s">
        <v>100</v>
      </c>
      <c r="DM116" s="2"/>
      <c r="DN116" s="2">
        <f t="shared" si="8"/>
        <v>5.8139534883720929E-2</v>
      </c>
      <c r="DO116" s="2">
        <f t="shared" si="9"/>
        <v>0</v>
      </c>
      <c r="DP116" s="2" t="s">
        <v>191</v>
      </c>
      <c r="DQ116" s="2" t="s">
        <v>3</v>
      </c>
      <c r="DR116" s="15">
        <f t="shared" si="10"/>
        <v>246.75839999999999</v>
      </c>
      <c r="DS116" s="19">
        <f t="shared" si="11"/>
        <v>5.8139534883720929E-2</v>
      </c>
      <c r="DT116" s="15">
        <f t="shared" si="12"/>
        <v>143.46418604651163</v>
      </c>
      <c r="DU116" s="2"/>
      <c r="DV116" s="2">
        <f t="shared" si="13"/>
        <v>0</v>
      </c>
      <c r="DW116" s="2"/>
      <c r="DX116" s="2"/>
      <c r="DY116" s="2"/>
      <c r="DZ116" s="2" t="s">
        <v>3</v>
      </c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 t="s">
        <v>3</v>
      </c>
      <c r="FR116" s="2" t="s">
        <v>89</v>
      </c>
      <c r="FS116" s="2" t="s">
        <v>123</v>
      </c>
      <c r="FT116" s="2" t="s">
        <v>192</v>
      </c>
      <c r="FU116" s="2"/>
      <c r="FV116" s="2" t="s">
        <v>3</v>
      </c>
    </row>
    <row r="117" spans="1:178" ht="15.75" customHeight="1" x14ac:dyDescent="0.2">
      <c r="A117" s="12" t="s">
        <v>74</v>
      </c>
      <c r="B117" s="2" t="s">
        <v>433</v>
      </c>
      <c r="C117" s="13" t="s">
        <v>434</v>
      </c>
      <c r="D117" s="2" t="s">
        <v>99</v>
      </c>
      <c r="E117" s="2"/>
      <c r="F117" s="2"/>
      <c r="G117" s="2"/>
      <c r="H117" s="2" t="s">
        <v>435</v>
      </c>
      <c r="I117" s="2"/>
      <c r="J117" s="2" t="s">
        <v>436</v>
      </c>
      <c r="K117" s="2">
        <v>0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>
        <f>30.5+10.9+4.7+42+13.2</f>
        <v>101.3</v>
      </c>
      <c r="AG117" s="2"/>
      <c r="AH117" s="2"/>
      <c r="AI117" s="2"/>
      <c r="AJ117" s="2"/>
      <c r="AK117" s="2"/>
      <c r="AL117" s="2"/>
      <c r="AM117" s="2"/>
      <c r="AN117" s="4">
        <f>(0.87*30.5+0.97*10.9+1.01*4.7+0.93*42+0.99*13.2)/AF117</f>
        <v>0.92776900296150056</v>
      </c>
      <c r="AO117" s="19">
        <f>(0.035*30.5+0.028*10.9+0.026*4.7+0.027*42+0.019*13.2)/AF117</f>
        <v>2.8427443237907205E-2</v>
      </c>
      <c r="AP117" s="2"/>
      <c r="AQ117" s="2"/>
      <c r="AR117" s="2"/>
      <c r="AS117" s="2"/>
      <c r="AT117" s="2"/>
      <c r="AU117" s="2"/>
      <c r="AV117" s="4">
        <f>((12.95*30.5+14.29*10.9+7.81*4.7+12.33*42+11.31*13.2)/AF117)*(2*55.85/(2*55.85+3*16.001))</f>
        <v>8.6623196517321048</v>
      </c>
      <c r="AW117" s="4">
        <f>(71.96*30.5+52.35*10.9+37.71*4.7+72.3*42+51.61*13.2)/AF117</f>
        <v>65.750088845014815</v>
      </c>
      <c r="AX117" s="2"/>
      <c r="AY117" s="2"/>
      <c r="AZ117" s="2"/>
      <c r="BA117" s="2">
        <f>0.7+0.41+1.62+1.48+0.37+0.84</f>
        <v>5.42</v>
      </c>
      <c r="BB117" s="2"/>
      <c r="BC117" s="2"/>
      <c r="BD117" s="2"/>
      <c r="BE117" s="2"/>
      <c r="BF117" s="2"/>
      <c r="BG117" s="2"/>
      <c r="BH117" s="2"/>
      <c r="BI117" s="4">
        <f>(0.99*0.7+0.91*0.41+0.74*1.62+0.72*1.48+0.66*0.37+1*0.84)/BA117</f>
        <v>0.81452029520295199</v>
      </c>
      <c r="BJ117" s="19">
        <f>(0.027*0.7+0.02*0.41+0.019*1.62+0.031*1.48+0.018*0.37+0.016*0.84)/BA117</f>
        <v>2.285239852398524E-2</v>
      </c>
      <c r="BK117" s="2"/>
      <c r="BL117" s="2"/>
      <c r="BM117" s="2"/>
      <c r="BN117" s="2"/>
      <c r="BO117" s="2"/>
      <c r="BP117" s="2"/>
      <c r="BQ117" s="4">
        <f>((13.29*0.7+12.24*0.41+8.62*1.62+11.96*1.48+12.08*0.37+7.78*0.84)/BA117)*(2*55.85/(2*55.85+3*16.001))</f>
        <v>7.3544489514010944</v>
      </c>
      <c r="BR117" s="4">
        <f>(74.32*0.7+50.25*0.41+39.58*1.62+73.23*1.48+52.21*0.37+36.07*0.84)/BA117</f>
        <v>54.38062730627307</v>
      </c>
      <c r="BS117" s="2"/>
      <c r="BT117" s="2"/>
      <c r="BU117" s="2"/>
      <c r="BV117" s="2">
        <v>0</v>
      </c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>
        <v>0</v>
      </c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14" t="s">
        <v>81</v>
      </c>
      <c r="DM117" s="2" t="s">
        <v>81</v>
      </c>
      <c r="DN117" s="2">
        <f t="shared" si="8"/>
        <v>0.92201742878560722</v>
      </c>
      <c r="DO117" s="2">
        <f t="shared" si="9"/>
        <v>2.8144302848575709E-2</v>
      </c>
      <c r="DP117" s="2" t="s">
        <v>437</v>
      </c>
      <c r="DQ117" s="2" t="s">
        <v>3</v>
      </c>
      <c r="DR117" s="15">
        <f t="shared" si="10"/>
        <v>106.72</v>
      </c>
      <c r="DS117" s="4">
        <f t="shared" si="11"/>
        <v>0.92201742878560722</v>
      </c>
      <c r="DT117" s="15">
        <f t="shared" si="12"/>
        <v>983.97699999999998</v>
      </c>
      <c r="DU117" s="2"/>
      <c r="DV117" s="2">
        <f t="shared" si="13"/>
        <v>0</v>
      </c>
      <c r="DW117" s="2"/>
      <c r="DX117" s="2"/>
      <c r="DY117" s="2"/>
      <c r="DZ117" s="2" t="s">
        <v>3</v>
      </c>
      <c r="EA117" s="2" t="s">
        <v>433</v>
      </c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 t="s">
        <v>433</v>
      </c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 t="s">
        <v>433</v>
      </c>
      <c r="FQ117" s="2" t="s">
        <v>3</v>
      </c>
      <c r="FR117" s="2" t="s">
        <v>37</v>
      </c>
      <c r="FS117" s="2" t="s">
        <v>114</v>
      </c>
      <c r="FT117" s="2" t="s">
        <v>114</v>
      </c>
      <c r="FU117" s="2"/>
      <c r="FV117" s="2" t="s">
        <v>3</v>
      </c>
    </row>
    <row r="118" spans="1:178" ht="15.75" customHeight="1" x14ac:dyDescent="0.2">
      <c r="A118" s="14" t="s">
        <v>96</v>
      </c>
      <c r="B118" s="2" t="s">
        <v>189</v>
      </c>
      <c r="C118" s="16" t="s">
        <v>438</v>
      </c>
      <c r="D118" s="2" t="s">
        <v>99</v>
      </c>
      <c r="E118" s="43">
        <v>46.748519999999999</v>
      </c>
      <c r="F118" s="43">
        <v>-87.881510000000006</v>
      </c>
      <c r="G118" s="2"/>
      <c r="H118" s="2" t="s">
        <v>121</v>
      </c>
      <c r="I118" s="2"/>
      <c r="J118" s="2"/>
      <c r="K118" s="2">
        <v>1.8680000000000001</v>
      </c>
      <c r="L118" s="2">
        <v>2.4</v>
      </c>
      <c r="M118" s="2">
        <v>0.3</v>
      </c>
      <c r="N118" s="2"/>
      <c r="O118" s="2"/>
      <c r="P118" s="2"/>
      <c r="Q118" s="2"/>
      <c r="R118" s="2"/>
      <c r="S118" s="2">
        <v>2.6</v>
      </c>
      <c r="T118" s="2">
        <v>0.1</v>
      </c>
      <c r="U118" s="2">
        <v>0.64</v>
      </c>
      <c r="V118" s="2">
        <v>0.43</v>
      </c>
      <c r="W118" s="2"/>
      <c r="X118" s="2"/>
      <c r="Y118" s="2"/>
      <c r="Z118" s="2"/>
      <c r="AA118" s="2"/>
      <c r="AB118" s="2"/>
      <c r="AC118" s="2"/>
      <c r="AD118" s="2"/>
      <c r="AE118" s="2"/>
      <c r="AF118" s="2">
        <f>0.82+1.293</f>
        <v>2.113</v>
      </c>
      <c r="AG118" s="15">
        <f>(1.8*0.82+4.2*1.293)/AF118</f>
        <v>3.2686228111689539</v>
      </c>
      <c r="AH118" s="15">
        <f>(0.2*0.82+0.5*1.293)/AF118</f>
        <v>0.38357785139611927</v>
      </c>
      <c r="AI118" s="2"/>
      <c r="AJ118" s="2"/>
      <c r="AK118" s="2"/>
      <c r="AL118" s="2"/>
      <c r="AM118" s="2"/>
      <c r="AN118" s="15">
        <f>(2.4*0.82+5.2*1.293)/AF118</f>
        <v>4.1133932796971129</v>
      </c>
      <c r="AO118" s="15">
        <f>(0.1*0.82+0.1*1.293)/AF118</f>
        <v>9.9999999999999992E-2</v>
      </c>
      <c r="AP118" s="2">
        <v>0.64</v>
      </c>
      <c r="AQ118" s="2">
        <v>0.43</v>
      </c>
      <c r="AR118" s="2"/>
      <c r="AS118" s="2"/>
      <c r="AT118" s="2"/>
      <c r="AU118" s="2"/>
      <c r="AV118" s="2"/>
      <c r="AW118" s="2"/>
      <c r="AX118" s="2"/>
      <c r="AY118" s="2"/>
      <c r="AZ118" s="2"/>
      <c r="BA118" s="2">
        <f>0.023+0.29</f>
        <v>0.313</v>
      </c>
      <c r="BB118" s="15">
        <f>(0.9*0.023+1.4*0.29)/BA118</f>
        <v>1.3632587859424918</v>
      </c>
      <c r="BC118" s="15">
        <f>(0.1*0.023+0.2*0.29)/BA118</f>
        <v>0.19265175718849839</v>
      </c>
      <c r="BD118" s="2"/>
      <c r="BE118" s="2"/>
      <c r="BF118" s="2"/>
      <c r="BG118" s="2"/>
      <c r="BH118" s="2"/>
      <c r="BI118" s="15">
        <f>(1*0.023+1.7*0.29)/BA118</f>
        <v>1.6485623003194885</v>
      </c>
      <c r="BJ118" s="2">
        <v>0.1</v>
      </c>
      <c r="BK118" s="2">
        <v>0.64</v>
      </c>
      <c r="BL118" s="2">
        <v>0.43</v>
      </c>
      <c r="BM118" s="2"/>
      <c r="BN118" s="2"/>
      <c r="BO118" s="2"/>
      <c r="BP118" s="2"/>
      <c r="BQ118" s="2"/>
      <c r="BR118" s="2"/>
      <c r="BS118" s="2"/>
      <c r="BT118" s="2"/>
      <c r="BU118" s="2"/>
      <c r="BV118" s="2">
        <v>1.7110000000000001</v>
      </c>
      <c r="BW118" s="2">
        <v>2.1</v>
      </c>
      <c r="BX118" s="2">
        <v>0.2</v>
      </c>
      <c r="BY118" s="2"/>
      <c r="BZ118" s="2"/>
      <c r="CA118" s="2"/>
      <c r="CB118" s="2"/>
      <c r="CC118" s="2"/>
      <c r="CD118" s="2">
        <v>2.1</v>
      </c>
      <c r="CE118" s="2">
        <v>0.1</v>
      </c>
      <c r="CF118" s="2">
        <v>0.64</v>
      </c>
      <c r="CG118" s="2">
        <v>0.43</v>
      </c>
      <c r="CH118" s="2"/>
      <c r="CI118" s="2"/>
      <c r="CJ118" s="2"/>
      <c r="CK118" s="2"/>
      <c r="CL118" s="2"/>
      <c r="CM118" s="2"/>
      <c r="CN118" s="2"/>
      <c r="CO118" s="2"/>
      <c r="CP118" s="2"/>
      <c r="CQ118" s="2">
        <f>0.833+1.544</f>
        <v>2.3769999999999998</v>
      </c>
      <c r="CR118" s="15">
        <f>(1.3*0.833+3*1.544)/CQ118</f>
        <v>2.4042490534286918</v>
      </c>
      <c r="CS118" s="15">
        <f>(0.1*0.833+0.4*1.544)/CQ118</f>
        <v>0.294867480016828</v>
      </c>
      <c r="CT118" s="2"/>
      <c r="CU118" s="2"/>
      <c r="CV118" s="2"/>
      <c r="CW118" s="2"/>
      <c r="CX118" s="2"/>
      <c r="CY118" s="15">
        <f>(1.7*0.833+3.7*1.544)/CQ118</f>
        <v>2.9991165334455201</v>
      </c>
      <c r="CZ118" s="15">
        <f>(0.1*0.833+0.1*1.544)/CQ118</f>
        <v>0.10000000000000002</v>
      </c>
      <c r="DA118" s="2">
        <v>0.64</v>
      </c>
      <c r="DB118" s="2">
        <v>0.43</v>
      </c>
      <c r="DC118" s="2"/>
      <c r="DD118" s="2"/>
      <c r="DE118" s="2"/>
      <c r="DF118" s="2"/>
      <c r="DG118" s="2"/>
      <c r="DH118" s="2"/>
      <c r="DI118" s="2"/>
      <c r="DJ118" s="2"/>
      <c r="DK118" s="2"/>
      <c r="DL118" s="14" t="s">
        <v>81</v>
      </c>
      <c r="DM118" s="2" t="s">
        <v>81</v>
      </c>
      <c r="DN118" s="2">
        <f t="shared" si="8"/>
        <v>3.2753609687936662</v>
      </c>
      <c r="DO118" s="2">
        <f t="shared" si="9"/>
        <v>0.1</v>
      </c>
      <c r="DP118" s="2" t="s">
        <v>95</v>
      </c>
      <c r="DQ118" s="2" t="s">
        <v>3</v>
      </c>
      <c r="DR118" s="2">
        <f t="shared" si="10"/>
        <v>4.2939999999999996</v>
      </c>
      <c r="DS118" s="4">
        <f t="shared" si="11"/>
        <v>3.2753609687936662</v>
      </c>
      <c r="DT118" s="15">
        <f t="shared" si="12"/>
        <v>140.64400000000003</v>
      </c>
      <c r="DU118" s="2"/>
      <c r="DV118" s="2">
        <f t="shared" si="13"/>
        <v>4.0880000000000001</v>
      </c>
      <c r="DW118" s="4">
        <f t="shared" ref="DW118:DW122" si="23">(BV118*CD118+CQ118*CY118)/DV118</f>
        <v>2.6227984344422701</v>
      </c>
      <c r="DX118" s="15">
        <f t="shared" ref="DX118:DX122" si="24">1000*DV118*DW118/100</f>
        <v>107.22</v>
      </c>
      <c r="DY118" s="2"/>
      <c r="DZ118" s="2" t="s">
        <v>3</v>
      </c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 t="s">
        <v>3</v>
      </c>
      <c r="FR118" s="2" t="s">
        <v>89</v>
      </c>
      <c r="FS118" s="2" t="s">
        <v>123</v>
      </c>
      <c r="FT118" s="2"/>
      <c r="FU118" s="2"/>
      <c r="FV118" s="2" t="s">
        <v>3</v>
      </c>
    </row>
    <row r="119" spans="1:178" ht="15.75" customHeight="1" x14ac:dyDescent="0.2">
      <c r="A119" s="14" t="s">
        <v>96</v>
      </c>
      <c r="B119" s="2" t="s">
        <v>133</v>
      </c>
      <c r="C119" s="16" t="s">
        <v>439</v>
      </c>
      <c r="D119" s="2" t="s">
        <v>99</v>
      </c>
      <c r="E119" s="2"/>
      <c r="F119" s="2"/>
      <c r="G119" s="2"/>
      <c r="H119" s="2" t="s">
        <v>440</v>
      </c>
      <c r="I119" s="2"/>
      <c r="J119" s="2"/>
      <c r="K119" s="2">
        <v>5.3460000000000001</v>
      </c>
      <c r="L119" s="2">
        <v>1.07</v>
      </c>
      <c r="M119" s="2"/>
      <c r="N119" s="2"/>
      <c r="O119" s="2"/>
      <c r="P119" s="2"/>
      <c r="Q119" s="2"/>
      <c r="R119" s="2"/>
      <c r="S119" s="2">
        <v>2.08</v>
      </c>
      <c r="T119" s="2"/>
      <c r="U119" s="2">
        <v>1.04</v>
      </c>
      <c r="V119" s="2">
        <v>3.55</v>
      </c>
      <c r="W119" s="2"/>
      <c r="X119" s="2"/>
      <c r="Y119" s="2"/>
      <c r="Z119" s="2"/>
      <c r="AA119" s="2"/>
      <c r="AB119" s="2"/>
      <c r="AC119" s="2"/>
      <c r="AD119" s="2"/>
      <c r="AE119" s="2"/>
      <c r="AF119" s="2">
        <v>5.6429999999999998</v>
      </c>
      <c r="AG119" s="2">
        <v>0.89</v>
      </c>
      <c r="AH119" s="2"/>
      <c r="AI119" s="2"/>
      <c r="AJ119" s="2"/>
      <c r="AK119" s="2"/>
      <c r="AL119" s="2"/>
      <c r="AM119" s="2"/>
      <c r="AN119" s="4">
        <v>1.5</v>
      </c>
      <c r="AO119" s="2"/>
      <c r="AP119" s="2">
        <v>0.94</v>
      </c>
      <c r="AQ119" s="2">
        <v>3.27</v>
      </c>
      <c r="AR119" s="2"/>
      <c r="AS119" s="2"/>
      <c r="AT119" s="2"/>
      <c r="AU119" s="2"/>
      <c r="AV119" s="2"/>
      <c r="AW119" s="2"/>
      <c r="AX119" s="2"/>
      <c r="AY119" s="2"/>
      <c r="AZ119" s="2"/>
      <c r="BA119" s="2">
        <v>8.9659999999999993</v>
      </c>
      <c r="BB119" s="2">
        <v>1.1399999999999999</v>
      </c>
      <c r="BC119" s="2"/>
      <c r="BD119" s="2"/>
      <c r="BE119" s="2"/>
      <c r="BF119" s="2"/>
      <c r="BG119" s="2"/>
      <c r="BH119" s="2"/>
      <c r="BI119" s="4">
        <v>1.1000000000000001</v>
      </c>
      <c r="BJ119" s="2"/>
      <c r="BK119" s="2">
        <v>1.1599999999999999</v>
      </c>
      <c r="BL119" s="2">
        <v>3.49</v>
      </c>
      <c r="BM119" s="2"/>
      <c r="BN119" s="2"/>
      <c r="BO119" s="2"/>
      <c r="BP119" s="2"/>
      <c r="BQ119" s="2"/>
      <c r="BR119" s="2"/>
      <c r="BS119" s="2"/>
      <c r="BT119" s="2"/>
      <c r="BU119" s="2"/>
      <c r="BV119" s="2">
        <v>5.2640000000000002</v>
      </c>
      <c r="BW119" s="2">
        <v>1.04</v>
      </c>
      <c r="BX119" s="2"/>
      <c r="BY119" s="2"/>
      <c r="BZ119" s="2"/>
      <c r="CA119" s="2"/>
      <c r="CB119" s="2"/>
      <c r="CC119" s="2"/>
      <c r="CD119" s="2">
        <v>2.02</v>
      </c>
      <c r="CE119" s="2"/>
      <c r="CF119" s="2">
        <v>1.1000000000000001</v>
      </c>
      <c r="CG119" s="2">
        <v>3.45</v>
      </c>
      <c r="CH119" s="2"/>
      <c r="CI119" s="2"/>
      <c r="CJ119" s="2"/>
      <c r="CK119" s="2"/>
      <c r="CL119" s="2"/>
      <c r="CM119" s="2"/>
      <c r="CN119" s="2"/>
      <c r="CO119" s="2"/>
      <c r="CP119" s="2"/>
      <c r="CQ119" s="2">
        <v>5.867</v>
      </c>
      <c r="CR119" s="2">
        <v>0.72</v>
      </c>
      <c r="CS119" s="2"/>
      <c r="CT119" s="2"/>
      <c r="CU119" s="2"/>
      <c r="CV119" s="2"/>
      <c r="CW119" s="2"/>
      <c r="CX119" s="2"/>
      <c r="CY119" s="2">
        <v>1.38</v>
      </c>
      <c r="CZ119" s="2"/>
      <c r="DA119" s="2">
        <v>0.78</v>
      </c>
      <c r="DB119" s="2">
        <v>2.76</v>
      </c>
      <c r="DC119" s="2"/>
      <c r="DD119" s="2"/>
      <c r="DE119" s="2"/>
      <c r="DF119" s="2"/>
      <c r="DG119" s="2"/>
      <c r="DH119" s="2"/>
      <c r="DI119" s="2"/>
      <c r="DJ119" s="2"/>
      <c r="DK119" s="2"/>
      <c r="DL119" s="14" t="s">
        <v>81</v>
      </c>
      <c r="DM119" s="2"/>
      <c r="DN119" s="2">
        <f t="shared" si="8"/>
        <v>1.4756592332748686</v>
      </c>
      <c r="DO119" s="2">
        <f t="shared" si="9"/>
        <v>0</v>
      </c>
      <c r="DP119" s="2" t="s">
        <v>150</v>
      </c>
      <c r="DQ119" s="2" t="s">
        <v>3</v>
      </c>
      <c r="DR119" s="4">
        <f t="shared" si="10"/>
        <v>19.954999999999998</v>
      </c>
      <c r="DS119" s="4">
        <f t="shared" si="11"/>
        <v>1.4756592332748686</v>
      </c>
      <c r="DT119" s="15">
        <f t="shared" si="12"/>
        <v>294.46780000000001</v>
      </c>
      <c r="DU119" s="2"/>
      <c r="DV119" s="4">
        <f t="shared" si="13"/>
        <v>11.131</v>
      </c>
      <c r="DW119" s="4">
        <f t="shared" si="23"/>
        <v>1.6826646303117418</v>
      </c>
      <c r="DX119" s="15">
        <f t="shared" si="24"/>
        <v>187.29739999999998</v>
      </c>
      <c r="DY119" s="2"/>
      <c r="DZ119" s="2" t="s">
        <v>3</v>
      </c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 t="s">
        <v>3</v>
      </c>
      <c r="FR119" s="2" t="s">
        <v>89</v>
      </c>
      <c r="FS119" s="2" t="s">
        <v>123</v>
      </c>
      <c r="FT119" s="2"/>
      <c r="FU119" s="2"/>
      <c r="FV119" s="2" t="s">
        <v>3</v>
      </c>
    </row>
    <row r="120" spans="1:178" ht="15.75" customHeight="1" x14ac:dyDescent="0.2">
      <c r="A120" s="12" t="s">
        <v>74</v>
      </c>
      <c r="B120" s="2" t="s">
        <v>198</v>
      </c>
      <c r="C120" s="13" t="s">
        <v>441</v>
      </c>
      <c r="D120" s="2" t="s">
        <v>109</v>
      </c>
      <c r="E120" s="2"/>
      <c r="F120" s="2"/>
      <c r="G120" s="2"/>
      <c r="H120" s="2" t="s">
        <v>442</v>
      </c>
      <c r="I120" s="2"/>
      <c r="J120" s="2" t="s">
        <v>242</v>
      </c>
      <c r="K120" s="2">
        <f>13.47+4.15+10.61+9.32</f>
        <v>37.549999999999997</v>
      </c>
      <c r="L120" s="2"/>
      <c r="M120" s="2"/>
      <c r="N120" s="2"/>
      <c r="O120" s="2"/>
      <c r="P120" s="2"/>
      <c r="Q120" s="2"/>
      <c r="R120" s="2"/>
      <c r="S120" s="4">
        <f>(1.57*13.47+1.51*4.15+1.45*10.61+1.32*9.32)/K120</f>
        <v>1.467411451398136</v>
      </c>
      <c r="T120" s="4">
        <f>(0.18*13.47+0.16*4.15+0.18*10.61+0.16*9.32)/K120</f>
        <v>0.1728255659121172</v>
      </c>
      <c r="U120" s="2"/>
      <c r="V120" s="2"/>
      <c r="W120" s="2"/>
      <c r="X120" s="2"/>
      <c r="Y120" s="2"/>
      <c r="Z120" s="2"/>
      <c r="AA120" s="4">
        <f>(40.71*13.47+36.19*4.15+39.75*10.61+41.98*9.32)/K120</f>
        <v>40.25441544607191</v>
      </c>
      <c r="AB120" s="4">
        <f>(9.46*13.47+17.68*4.15+15.63*10.61+12.76*9.32)/K120</f>
        <v>12.930910785619178</v>
      </c>
      <c r="AC120" s="2"/>
      <c r="AD120" s="2"/>
      <c r="AE120" s="2"/>
      <c r="AF120" s="2">
        <f>0.44+1.85+5.21+18.55</f>
        <v>26.05</v>
      </c>
      <c r="AG120" s="2"/>
      <c r="AH120" s="2"/>
      <c r="AI120" s="2"/>
      <c r="AJ120" s="2"/>
      <c r="AK120" s="2"/>
      <c r="AL120" s="2"/>
      <c r="AM120" s="2"/>
      <c r="AN120" s="4">
        <f>(1.56*0.44+1.58*1.85+1.42*5.21+1.33*18.55)/AF120</f>
        <v>1.3696391554702496</v>
      </c>
      <c r="AO120" s="4">
        <f>(0.22*0.44+0.16*1.85+0.16*5.21+0.16*18.55)/AF120</f>
        <v>0.1610134357005758</v>
      </c>
      <c r="AP120" s="2"/>
      <c r="AQ120" s="2"/>
      <c r="AR120" s="2"/>
      <c r="AS120" s="2"/>
      <c r="AT120" s="2"/>
      <c r="AU120" s="2"/>
      <c r="AV120" s="4">
        <f>(37.85*0.44+37.26*1.85+36.36*5.21+42.89*18.55)/AF120</f>
        <v>41.099044145873322</v>
      </c>
      <c r="AW120" s="4">
        <f>(15.11*0.44+16.25*1.85+19.72*5.21+11.66*18.55)/AF120</f>
        <v>13.656241842610363</v>
      </c>
      <c r="AX120" s="2"/>
      <c r="AY120" s="2"/>
      <c r="AZ120" s="2"/>
      <c r="BA120" s="2">
        <f>0.11+2.97+0.03+21.59</f>
        <v>24.7</v>
      </c>
      <c r="BB120" s="2"/>
      <c r="BC120" s="2"/>
      <c r="BD120" s="2"/>
      <c r="BE120" s="2"/>
      <c r="BF120" s="2"/>
      <c r="BG120" s="2"/>
      <c r="BH120" s="2"/>
      <c r="BI120" s="4">
        <f>(1.57*0.11+1.63*2.97+1.35*0.03+1.35*21.59)/BA120</f>
        <v>1.3846477732793523</v>
      </c>
      <c r="BJ120" s="4">
        <f>(0.21*0.11+0.16*2.97+0.15*0.03+0.17*21.59)/BA120</f>
        <v>0.16895141700404859</v>
      </c>
      <c r="BK120" s="2"/>
      <c r="BL120" s="2"/>
      <c r="BM120" s="2"/>
      <c r="BN120" s="2"/>
      <c r="BO120" s="2"/>
      <c r="BP120" s="2"/>
      <c r="BQ120" s="4">
        <f>(39.94*0.11+36.13*2.97+34.94*0.03+42.35*21.59)/BA120</f>
        <v>41.582356275303646</v>
      </c>
      <c r="BR120" s="4">
        <f>(14.15*0.11+19.28*2.97+17.98*0.03+10.8*21.59)/BA120</f>
        <v>11.843299595141703</v>
      </c>
      <c r="BS120" s="2"/>
      <c r="BT120" s="2"/>
      <c r="BU120" s="2"/>
      <c r="BV120" s="2">
        <f>5.16+1.66+3+0.4</f>
        <v>10.220000000000001</v>
      </c>
      <c r="BW120" s="2"/>
      <c r="BX120" s="2"/>
      <c r="BY120" s="2"/>
      <c r="BZ120" s="2"/>
      <c r="CA120" s="2"/>
      <c r="CB120" s="2"/>
      <c r="CC120" s="2"/>
      <c r="CD120" s="4">
        <f>(1.7*5.16+1.79*1.66+1.65*3+1.58*0.4)/BV120</f>
        <v>1.6952446183953034</v>
      </c>
      <c r="CE120" s="4">
        <f>(0.19*5.16+0.13*1.66+0.18*3+0.15*0.4)/BV120</f>
        <v>0.17575342465753427</v>
      </c>
      <c r="CF120" s="2"/>
      <c r="CG120" s="2"/>
      <c r="CH120" s="2"/>
      <c r="CI120" s="2"/>
      <c r="CJ120" s="2"/>
      <c r="CK120" s="2"/>
      <c r="CL120" s="4">
        <f>(39.98*5.16+28.09*1.66+38.09*3+40.38*0.4)/BV120</f>
        <v>37.509608610567511</v>
      </c>
      <c r="CM120" s="4">
        <f>(9.86*5.16+25.7*1.66+17.35*3+14.81*0.4)/BV120</f>
        <v>14.825205479452057</v>
      </c>
      <c r="CN120" s="2"/>
      <c r="CO120" s="2"/>
      <c r="CP120" s="2"/>
      <c r="CQ120" s="2">
        <f>0.03+0.38+1.12+1</f>
        <v>2.5300000000000002</v>
      </c>
      <c r="CR120" s="2"/>
      <c r="CS120" s="2"/>
      <c r="CT120" s="2"/>
      <c r="CU120" s="2"/>
      <c r="CV120" s="2"/>
      <c r="CW120" s="2"/>
      <c r="CX120" s="2"/>
      <c r="CY120" s="4">
        <f>(1.71*0.03+1.76*0.38+1.63*1.12+1.57*1)/CQ120</f>
        <v>1.6267588932806325</v>
      </c>
      <c r="CZ120" s="4">
        <f>(0.26*0.03+0.13*0.38+0.15*1.12+0.16*1)/CQ120</f>
        <v>0.15225296442687744</v>
      </c>
      <c r="DA120" s="2"/>
      <c r="DB120" s="2"/>
      <c r="DC120" s="2"/>
      <c r="DD120" s="2"/>
      <c r="DE120" s="2"/>
      <c r="DF120" s="2"/>
      <c r="DG120" s="4">
        <f>(36.68*0.03+29.61*0.38+33.24*1.12+41.15*1)/CQ120</f>
        <v>35.862055335968371</v>
      </c>
      <c r="DH120" s="4">
        <f>(16.66*0.03+23.87*0.38+23.6*1.12+13.6*1)/CQ120</f>
        <v>19.605691699604744</v>
      </c>
      <c r="DI120" s="2"/>
      <c r="DJ120" s="2"/>
      <c r="DK120" s="2"/>
      <c r="DL120" s="14" t="s">
        <v>81</v>
      </c>
      <c r="DM120" s="2" t="s">
        <v>81</v>
      </c>
      <c r="DN120" s="2">
        <f t="shared" si="8"/>
        <v>1.4154156285390715</v>
      </c>
      <c r="DO120" s="2">
        <f t="shared" si="9"/>
        <v>0.16825707814269536</v>
      </c>
      <c r="DP120" s="2" t="s">
        <v>211</v>
      </c>
      <c r="DQ120" s="2" t="s">
        <v>3</v>
      </c>
      <c r="DR120" s="2">
        <f t="shared" si="10"/>
        <v>88.3</v>
      </c>
      <c r="DS120" s="4">
        <f t="shared" si="11"/>
        <v>1.4154156285390715</v>
      </c>
      <c r="DT120" s="18">
        <f t="shared" si="12"/>
        <v>1249.8120000000001</v>
      </c>
      <c r="DU120" s="2"/>
      <c r="DV120" s="2">
        <f t="shared" si="13"/>
        <v>12.75</v>
      </c>
      <c r="DW120" s="4">
        <f t="shared" si="23"/>
        <v>1.6816549019607845</v>
      </c>
      <c r="DX120" s="15">
        <f t="shared" si="24"/>
        <v>214.41100000000003</v>
      </c>
      <c r="DY120" s="2"/>
      <c r="DZ120" s="2" t="s">
        <v>3</v>
      </c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 t="s">
        <v>3</v>
      </c>
      <c r="FR120" s="2" t="s">
        <v>37</v>
      </c>
      <c r="FS120" s="2" t="s">
        <v>235</v>
      </c>
      <c r="FT120" s="2"/>
      <c r="FU120" s="2"/>
      <c r="FV120" s="2" t="s">
        <v>3</v>
      </c>
    </row>
    <row r="121" spans="1:178" ht="15.75" customHeight="1" x14ac:dyDescent="0.2">
      <c r="A121" s="12" t="s">
        <v>74</v>
      </c>
      <c r="B121" s="2" t="s">
        <v>198</v>
      </c>
      <c r="C121" s="13" t="s">
        <v>443</v>
      </c>
      <c r="D121" s="2" t="s">
        <v>109</v>
      </c>
      <c r="E121" s="2"/>
      <c r="F121" s="2"/>
      <c r="G121" s="2"/>
      <c r="H121" s="2" t="s">
        <v>442</v>
      </c>
      <c r="I121" s="2"/>
      <c r="J121" s="2" t="s">
        <v>111</v>
      </c>
      <c r="K121" s="2">
        <f>14.76+8.91+33.3+25.06</f>
        <v>82.03</v>
      </c>
      <c r="L121" s="2"/>
      <c r="M121" s="2"/>
      <c r="N121" s="2"/>
      <c r="O121" s="2"/>
      <c r="P121" s="2"/>
      <c r="Q121" s="2"/>
      <c r="R121" s="2"/>
      <c r="S121" s="4">
        <f>(2.11*14.76+1.94*8.91+2.07*33.3+1.81*25.06)/K121</f>
        <v>1.9836474460563207</v>
      </c>
      <c r="T121" s="4">
        <f>(0.05*14.76+0.03*8.91+0.03*33.3+0.03*25.06)/K121</f>
        <v>3.3598683408509078E-2</v>
      </c>
      <c r="U121" s="2"/>
      <c r="V121" s="2"/>
      <c r="W121" s="2"/>
      <c r="X121" s="2"/>
      <c r="Y121" s="2"/>
      <c r="Z121" s="2"/>
      <c r="AA121" s="4">
        <f>(15.47*14.76+12.4*8.91+10.74*33.3+11.55*25.06)/K121</f>
        <v>12.018849201511641</v>
      </c>
      <c r="AB121" s="4">
        <f>(37.22*14.76+41.42*8.91+42.06*33.3+41.31*25.06)/K121</f>
        <v>40.890479093014747</v>
      </c>
      <c r="AC121" s="2"/>
      <c r="AD121" s="2"/>
      <c r="AE121" s="2"/>
      <c r="AF121" s="2">
        <f>0.95+6.09+16.49+69.71</f>
        <v>93.24</v>
      </c>
      <c r="AG121" s="2"/>
      <c r="AH121" s="2"/>
      <c r="AI121" s="2"/>
      <c r="AJ121" s="2"/>
      <c r="AK121" s="2"/>
      <c r="AL121" s="2"/>
      <c r="AM121" s="2"/>
      <c r="AN121" s="4">
        <f>(2.04*0.95+1.98*6.09+1.98*16.49+1.81*69.71)/AF121</f>
        <v>1.8535124410124411</v>
      </c>
      <c r="AO121" s="4">
        <f>(0.05*0.95+0.03*6.09+0.03*16.49+0.03*69.71)/AF121</f>
        <v>3.0203775203775204E-2</v>
      </c>
      <c r="AP121" s="2"/>
      <c r="AQ121" s="2"/>
      <c r="AR121" s="2"/>
      <c r="AS121" s="2"/>
      <c r="AT121" s="2"/>
      <c r="AU121" s="2"/>
      <c r="AV121" s="4">
        <f>(14.78*0.95+11.18*6.09+11.19*16.49+11.96*69.71)/AF121</f>
        <v>11.801607679107677</v>
      </c>
      <c r="AW121" s="4">
        <f>(39.84*0.95+41.49*6.09+43.13*16.49+41.09*69.71)/AF121</f>
        <v>41.464175246675246</v>
      </c>
      <c r="AX121" s="2"/>
      <c r="AY121" s="2"/>
      <c r="AZ121" s="2"/>
      <c r="BA121" s="2">
        <f>0.42+14.76+0.16+95.99</f>
        <v>111.33</v>
      </c>
      <c r="BB121" s="2"/>
      <c r="BC121" s="2"/>
      <c r="BD121" s="2"/>
      <c r="BE121" s="2"/>
      <c r="BF121" s="2"/>
      <c r="BG121" s="2"/>
      <c r="BH121" s="2"/>
      <c r="BI121" s="4">
        <f>(2*0.42+1.97*14.76+2.15*0.16+1.82*95.99)/BA121</f>
        <v>1.8410401509027217</v>
      </c>
      <c r="BJ121" s="4">
        <f>(0.05*0.42+0.03*14.76+0.03*0.16+0.04*95.99)/BA121</f>
        <v>3.8697565795383096E-2</v>
      </c>
      <c r="BK121" s="2"/>
      <c r="BL121" s="2"/>
      <c r="BM121" s="2"/>
      <c r="BN121" s="2"/>
      <c r="BO121" s="2"/>
      <c r="BP121" s="2"/>
      <c r="BQ121" s="4">
        <f>(14.33*0.42+11.17*14.76+11.38*0.16+12.67*95.99)/BA121</f>
        <v>12.475540285637294</v>
      </c>
      <c r="BR121" s="4">
        <f>(38.47*0.42+41.89*14.76+42.08*0.16+40.61*95.99)/BA121</f>
        <v>40.773740231743467</v>
      </c>
      <c r="BS121" s="2"/>
      <c r="BT121" s="2"/>
      <c r="BU121" s="2"/>
      <c r="BV121" s="2">
        <f>8.92+6.3+29.92+19.1</f>
        <v>64.240000000000009</v>
      </c>
      <c r="BW121" s="2"/>
      <c r="BX121" s="2"/>
      <c r="BY121" s="2"/>
      <c r="BZ121" s="2"/>
      <c r="CA121" s="2"/>
      <c r="CB121" s="2"/>
      <c r="CC121" s="2"/>
      <c r="CD121" s="4">
        <f>(2.04*8.92+1.88*6.3+2.02*29.92+1.78*19.1)/BV121</f>
        <v>1.9376899128268987</v>
      </c>
      <c r="CE121" s="4">
        <f>(0.05*8.92+0.05*6.3+0.03*29.92+0.03*19.1)/BV121</f>
        <v>3.4738480697384805E-2</v>
      </c>
      <c r="CF121" s="2"/>
      <c r="CG121" s="2"/>
      <c r="CH121" s="2"/>
      <c r="CI121" s="2"/>
      <c r="CJ121" s="2"/>
      <c r="CK121" s="2"/>
      <c r="CL121" s="4">
        <f>(15.69*8.92+14.31*6.3+10.76*29.92+11.41*19.1)/BV121</f>
        <v>11.985958904109589</v>
      </c>
      <c r="CM121" s="4">
        <f>(36.66*8.92+39.68*6.3+42.03*29.92+41.36*19.1)/BV121</f>
        <v>40.854682440846823</v>
      </c>
      <c r="CN121" s="2"/>
      <c r="CO121" s="2"/>
      <c r="CP121" s="2"/>
      <c r="CQ121" s="2">
        <f>0.27+2.23+13.73+54.03</f>
        <v>70.260000000000005</v>
      </c>
      <c r="CR121" s="2"/>
      <c r="CS121" s="2"/>
      <c r="CT121" s="2"/>
      <c r="CU121" s="2"/>
      <c r="CV121" s="2"/>
      <c r="CW121" s="2"/>
      <c r="CX121" s="2"/>
      <c r="CY121" s="4">
        <f>(1.84*0.27+1.86*2.23+1.93*13.73+1.77*54.03)/CQ121</f>
        <v>1.8043922573299174</v>
      </c>
      <c r="CZ121" s="4">
        <f>(0.05*0.27+0.04*2.23+0.03*13.73+0.03*54.03)/CQ121</f>
        <v>3.039424992883575E-2</v>
      </c>
      <c r="DA121" s="2"/>
      <c r="DB121" s="2"/>
      <c r="DC121" s="2"/>
      <c r="DD121" s="2"/>
      <c r="DE121" s="2"/>
      <c r="DF121" s="2"/>
      <c r="DG121" s="4">
        <f>(13.88*0.27+13.04*2.23+11.21*13.73+11.71*54.03)/CQ121</f>
        <v>11.662843723313408</v>
      </c>
      <c r="DH121" s="4">
        <f>(40.99*0.27+40.57*2.23+43.05*13.73+41.25*54.03)/CQ121</f>
        <v>41.579168801594079</v>
      </c>
      <c r="DI121" s="2"/>
      <c r="DJ121" s="2"/>
      <c r="DK121" s="2"/>
      <c r="DL121" s="14" t="s">
        <v>81</v>
      </c>
      <c r="DM121" s="2" t="s">
        <v>81</v>
      </c>
      <c r="DN121" s="2">
        <f t="shared" si="8"/>
        <v>1.8859145150034891</v>
      </c>
      <c r="DO121" s="2">
        <f t="shared" si="9"/>
        <v>3.4474877878576414E-2</v>
      </c>
      <c r="DP121" s="2" t="s">
        <v>211</v>
      </c>
      <c r="DQ121" s="2" t="s">
        <v>3</v>
      </c>
      <c r="DR121" s="2">
        <f t="shared" si="10"/>
        <v>286.59999999999997</v>
      </c>
      <c r="DS121" s="4">
        <f t="shared" si="11"/>
        <v>1.8859145150034891</v>
      </c>
      <c r="DT121" s="18">
        <f t="shared" si="12"/>
        <v>5405.030999999999</v>
      </c>
      <c r="DU121" s="2"/>
      <c r="DV121" s="2">
        <f t="shared" si="13"/>
        <v>134.5</v>
      </c>
      <c r="DW121" s="4">
        <f t="shared" si="23"/>
        <v>1.8680579925650558</v>
      </c>
      <c r="DX121" s="18">
        <f t="shared" si="24"/>
        <v>2512.538</v>
      </c>
      <c r="DY121" s="2"/>
      <c r="DZ121" s="2" t="s">
        <v>3</v>
      </c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 t="s">
        <v>3</v>
      </c>
      <c r="FR121" s="2" t="s">
        <v>37</v>
      </c>
      <c r="FS121" s="2" t="s">
        <v>106</v>
      </c>
      <c r="FT121" s="2"/>
      <c r="FU121" s="2"/>
      <c r="FV121" s="2" t="s">
        <v>3</v>
      </c>
    </row>
    <row r="122" spans="1:178" ht="15.75" customHeight="1" x14ac:dyDescent="0.2">
      <c r="A122" s="14" t="s">
        <v>84</v>
      </c>
      <c r="B122" s="2" t="s">
        <v>85</v>
      </c>
      <c r="C122" s="16" t="s">
        <v>444</v>
      </c>
      <c r="D122" s="2"/>
      <c r="E122" s="2"/>
      <c r="F122" s="2"/>
      <c r="G122" s="2"/>
      <c r="H122" s="2" t="s">
        <v>445</v>
      </c>
      <c r="I122" s="2"/>
      <c r="J122" s="2"/>
      <c r="K122" s="2">
        <v>32.33</v>
      </c>
      <c r="L122" s="2">
        <v>8.9999999999999993E-3</v>
      </c>
      <c r="M122" s="4">
        <v>3.5549999999999998E-2</v>
      </c>
      <c r="N122" s="2"/>
      <c r="O122" s="2"/>
      <c r="P122" s="2"/>
      <c r="Q122" s="2"/>
      <c r="R122" s="2"/>
      <c r="S122" s="2">
        <v>9.7000000000000003E-2</v>
      </c>
      <c r="T122" s="2"/>
      <c r="U122" s="4">
        <v>2.35025</v>
      </c>
      <c r="V122" s="4">
        <v>1.1573499999999999</v>
      </c>
      <c r="W122" s="4">
        <v>0.40289999999999998</v>
      </c>
      <c r="X122" s="2"/>
      <c r="Y122" s="2"/>
      <c r="Z122" s="15">
        <f>29.8*(2*52/(2*52+3*16.001))</f>
        <v>20.389071268330234</v>
      </c>
      <c r="AA122" s="2"/>
      <c r="AB122" s="2"/>
      <c r="AC122" s="2"/>
      <c r="AD122" s="2"/>
      <c r="AE122" s="2"/>
      <c r="AF122" s="2">
        <f>26.37+4.82</f>
        <v>31.19</v>
      </c>
      <c r="AG122" s="19">
        <f>(0.009*26.37+0.042*4.82)/AF122</f>
        <v>1.4099711445976274E-2</v>
      </c>
      <c r="AH122" s="19">
        <f>(0.03375*26.37+0.11*4.82)/AF122</f>
        <v>4.5533424174414874E-2</v>
      </c>
      <c r="AI122" s="2"/>
      <c r="AJ122" s="2"/>
      <c r="AK122" s="2"/>
      <c r="AL122" s="2"/>
      <c r="AM122" s="2"/>
      <c r="AN122" s="19">
        <f>(0.097*26.37+0.104*4.82)/AF122</f>
        <v>9.8081756973388903E-2</v>
      </c>
      <c r="AO122" s="2"/>
      <c r="AP122" s="4">
        <f>(2.23125*26.37+0.58065*4.82)/AF122</f>
        <v>1.976171705674896</v>
      </c>
      <c r="AQ122" s="4">
        <f>(1.09875*26.37+0.32445*4.82)/AF122</f>
        <v>0.97909222507213844</v>
      </c>
      <c r="AR122" s="4">
        <f>(0.3825*26.37+0.0336*4.82)/AF122</f>
        <v>0.32858214171208716</v>
      </c>
      <c r="AS122" s="2"/>
      <c r="AT122" s="2"/>
      <c r="AU122" s="15">
        <f>((29.8*(2*52/(2*52+3*16.001)))*26.37+0*4.82)/AF122</f>
        <v>17.238211264696002</v>
      </c>
      <c r="AV122" s="2"/>
      <c r="AW122" s="2"/>
      <c r="AX122" s="2"/>
      <c r="AY122" s="2"/>
      <c r="AZ122" s="2"/>
      <c r="BA122" s="2">
        <v>88.73</v>
      </c>
      <c r="BB122" s="2">
        <v>8.9999999999999993E-3</v>
      </c>
      <c r="BC122" s="4">
        <v>3.7440000000000001E-2</v>
      </c>
      <c r="BD122" s="2"/>
      <c r="BE122" s="2"/>
      <c r="BF122" s="2"/>
      <c r="BG122" s="2"/>
      <c r="BH122" s="2"/>
      <c r="BI122" s="2">
        <v>9.7000000000000003E-2</v>
      </c>
      <c r="BJ122" s="2"/>
      <c r="BK122" s="4">
        <v>2.4752000000000001</v>
      </c>
      <c r="BL122" s="4">
        <v>1.21888</v>
      </c>
      <c r="BM122" s="4">
        <v>0.42431999999999997</v>
      </c>
      <c r="BN122" s="4"/>
      <c r="BO122" s="4"/>
      <c r="BP122" s="15">
        <f>29.8*(2*52/(2*52+3*16.001))</f>
        <v>20.389071268330234</v>
      </c>
      <c r="BQ122" s="2"/>
      <c r="BR122" s="2"/>
      <c r="BS122" s="2"/>
      <c r="BT122" s="2"/>
      <c r="BU122" s="2"/>
      <c r="BV122" s="2">
        <v>0</v>
      </c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>
        <f>3.77+5.04</f>
        <v>8.81</v>
      </c>
      <c r="CR122" s="19">
        <f>(0.009*3.77+0.042*5.04)/CQ122</f>
        <v>2.7878547105561858E-2</v>
      </c>
      <c r="CS122" s="19">
        <f>(0.02826*3.77+0.09116*5.04)/CQ122</f>
        <v>6.4243654937570935E-2</v>
      </c>
      <c r="CT122" s="2"/>
      <c r="CU122" s="2"/>
      <c r="CV122" s="2"/>
      <c r="CW122" s="2"/>
      <c r="CX122" s="2"/>
      <c r="CY122" s="4">
        <f>(0.097*3.77+0.104*5.04)/CQ122</f>
        <v>0.10100454029511918</v>
      </c>
      <c r="CZ122" s="2"/>
      <c r="DA122" s="4">
        <f>(1.8683*3.77+0.47558*5.04)/CQ122</f>
        <v>1.0715566628830873</v>
      </c>
      <c r="DB122" s="4">
        <f>(0.92002*3.77+0.26574*5.04)/CQ122</f>
        <v>0.54572133938706013</v>
      </c>
      <c r="DC122" s="4">
        <f>(0.32028*3.77+0.02752*5.04)/CQ122</f>
        <v>0.15279868331441546</v>
      </c>
      <c r="DD122" s="4"/>
      <c r="DE122" s="4"/>
      <c r="DF122" s="15">
        <f>((29.8*(2*52/(2*52+3*16.001)))*3.77+0*5.04)/CQ122</f>
        <v>8.7249487720323469</v>
      </c>
      <c r="DG122" s="2"/>
      <c r="DH122" s="2"/>
      <c r="DI122" s="2"/>
      <c r="DJ122" s="2"/>
      <c r="DK122" s="2"/>
      <c r="DL122" s="14" t="s">
        <v>81</v>
      </c>
      <c r="DM122" s="2"/>
      <c r="DN122" s="2">
        <f t="shared" si="8"/>
        <v>9.7221609195402292E-2</v>
      </c>
      <c r="DO122" s="2">
        <f t="shared" si="9"/>
        <v>0</v>
      </c>
      <c r="DP122" s="2" t="s">
        <v>211</v>
      </c>
      <c r="DQ122" s="2" t="s">
        <v>3</v>
      </c>
      <c r="DR122" s="15">
        <f t="shared" si="10"/>
        <v>152.25</v>
      </c>
      <c r="DS122" s="4">
        <f t="shared" si="11"/>
        <v>9.7221609195402292E-2</v>
      </c>
      <c r="DT122" s="15">
        <f t="shared" si="12"/>
        <v>148.01990000000001</v>
      </c>
      <c r="DU122" s="2"/>
      <c r="DV122" s="2">
        <f t="shared" si="13"/>
        <v>8.81</v>
      </c>
      <c r="DW122" s="2">
        <f t="shared" si="23"/>
        <v>0.10100454029511918</v>
      </c>
      <c r="DX122" s="15">
        <f t="shared" si="24"/>
        <v>8.8985000000000003</v>
      </c>
      <c r="DY122" s="2"/>
      <c r="DZ122" s="2" t="s">
        <v>3</v>
      </c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 t="s">
        <v>3</v>
      </c>
      <c r="FR122" s="2" t="s">
        <v>89</v>
      </c>
      <c r="FS122" s="2" t="s">
        <v>90</v>
      </c>
      <c r="FT122" s="2" t="s">
        <v>91</v>
      </c>
      <c r="FU122" s="2" t="s">
        <v>92</v>
      </c>
      <c r="FV122" s="2" t="s">
        <v>3</v>
      </c>
    </row>
    <row r="123" spans="1:178" ht="15.75" customHeight="1" x14ac:dyDescent="0.2">
      <c r="A123" s="14" t="s">
        <v>96</v>
      </c>
      <c r="B123" s="2" t="s">
        <v>133</v>
      </c>
      <c r="C123" s="28" t="s">
        <v>446</v>
      </c>
      <c r="D123" s="20" t="s">
        <v>447</v>
      </c>
      <c r="E123" s="2"/>
      <c r="F123" s="2"/>
      <c r="G123" s="2"/>
      <c r="H123" s="2" t="s">
        <v>79</v>
      </c>
      <c r="I123" s="2"/>
      <c r="J123" s="2"/>
      <c r="K123" s="2">
        <v>0</v>
      </c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>
        <v>0</v>
      </c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4">
        <f>0.91*0.9072</f>
        <v>0.82555200000000006</v>
      </c>
      <c r="BB123" s="2">
        <v>0.27300000000000002</v>
      </c>
      <c r="BC123" s="2"/>
      <c r="BD123" s="2">
        <v>154</v>
      </c>
      <c r="BE123" s="19">
        <f>0.079/1.179</f>
        <v>6.7005937234944871E-2</v>
      </c>
      <c r="BF123" s="2"/>
      <c r="BG123" s="2"/>
      <c r="BH123" s="2"/>
      <c r="BI123" s="19">
        <v>0.05</v>
      </c>
      <c r="BJ123" s="2">
        <v>7.2999999999999995E-2</v>
      </c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>
        <v>0</v>
      </c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>
        <v>0</v>
      </c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14" t="s">
        <v>100</v>
      </c>
      <c r="DM123" s="2" t="s">
        <v>81</v>
      </c>
      <c r="DN123" s="2">
        <f t="shared" si="8"/>
        <v>0.05</v>
      </c>
      <c r="DO123" s="2">
        <f t="shared" si="9"/>
        <v>7.2999999999999995E-2</v>
      </c>
      <c r="DP123" s="2" t="s">
        <v>448</v>
      </c>
      <c r="DQ123" s="2" t="s">
        <v>3</v>
      </c>
      <c r="DR123" s="19">
        <f t="shared" si="10"/>
        <v>0.82555200000000006</v>
      </c>
      <c r="DS123" s="2">
        <f t="shared" si="11"/>
        <v>0.05</v>
      </c>
      <c r="DT123" s="15">
        <f t="shared" si="12"/>
        <v>0.41277600000000009</v>
      </c>
      <c r="DU123" s="2"/>
      <c r="DV123" s="2">
        <f t="shared" si="13"/>
        <v>0</v>
      </c>
      <c r="DW123" s="2"/>
      <c r="DX123" s="2"/>
      <c r="DY123" s="2"/>
      <c r="DZ123" s="2" t="s">
        <v>3</v>
      </c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 t="s">
        <v>3</v>
      </c>
      <c r="FR123" s="2" t="s">
        <v>447</v>
      </c>
      <c r="FS123" s="2" t="s">
        <v>449</v>
      </c>
      <c r="FT123" s="2"/>
      <c r="FU123" s="2"/>
      <c r="FV123" s="2" t="s">
        <v>3</v>
      </c>
    </row>
    <row r="124" spans="1:178" ht="15.75" customHeight="1" x14ac:dyDescent="0.2">
      <c r="A124" s="14" t="s">
        <v>96</v>
      </c>
      <c r="B124" s="2" t="s">
        <v>278</v>
      </c>
      <c r="C124" s="16" t="s">
        <v>450</v>
      </c>
      <c r="D124" s="2" t="s">
        <v>99</v>
      </c>
      <c r="E124" s="2"/>
      <c r="F124" s="2"/>
      <c r="G124" s="2"/>
      <c r="H124" s="2" t="s">
        <v>79</v>
      </c>
      <c r="I124" s="2"/>
      <c r="J124" s="2"/>
      <c r="K124" s="2">
        <v>0</v>
      </c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>
        <v>0</v>
      </c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>
        <v>2.698</v>
      </c>
      <c r="BB124" s="2">
        <v>0.69</v>
      </c>
      <c r="BC124" s="2"/>
      <c r="BD124" s="2"/>
      <c r="BE124" s="2"/>
      <c r="BF124" s="2"/>
      <c r="BG124" s="2"/>
      <c r="BH124" s="2"/>
      <c r="BI124" s="2">
        <v>0.83</v>
      </c>
      <c r="BJ124" s="2">
        <v>0.06</v>
      </c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>
        <v>0</v>
      </c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>
        <v>0</v>
      </c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14" t="s">
        <v>100</v>
      </c>
      <c r="DM124" s="2" t="s">
        <v>100</v>
      </c>
      <c r="DN124" s="2">
        <f t="shared" si="8"/>
        <v>0.83</v>
      </c>
      <c r="DO124" s="2">
        <f t="shared" si="9"/>
        <v>0.06</v>
      </c>
      <c r="DP124" s="2" t="s">
        <v>399</v>
      </c>
      <c r="DQ124" s="2" t="s">
        <v>3</v>
      </c>
      <c r="DR124" s="2">
        <f t="shared" si="10"/>
        <v>2.698</v>
      </c>
      <c r="DS124" s="2">
        <f t="shared" si="11"/>
        <v>0.83</v>
      </c>
      <c r="DT124" s="15">
        <f t="shared" si="12"/>
        <v>22.393399999999996</v>
      </c>
      <c r="DU124" s="2"/>
      <c r="DV124" s="2">
        <f t="shared" si="13"/>
        <v>0</v>
      </c>
      <c r="DW124" s="2"/>
      <c r="DX124" s="2"/>
      <c r="DY124" s="2"/>
      <c r="DZ124" s="2" t="s">
        <v>3</v>
      </c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 t="s">
        <v>3</v>
      </c>
      <c r="FR124" s="2" t="s">
        <v>89</v>
      </c>
      <c r="FS124" s="2" t="s">
        <v>123</v>
      </c>
      <c r="FT124" s="2"/>
      <c r="FU124" s="2"/>
      <c r="FV124" s="2" t="s">
        <v>3</v>
      </c>
    </row>
    <row r="125" spans="1:178" ht="15.75" customHeight="1" x14ac:dyDescent="0.2">
      <c r="A125" s="14" t="s">
        <v>222</v>
      </c>
      <c r="B125" s="2" t="s">
        <v>85</v>
      </c>
      <c r="C125" s="16" t="s">
        <v>451</v>
      </c>
      <c r="D125" s="2"/>
      <c r="E125" s="2"/>
      <c r="F125" s="2"/>
      <c r="G125" s="2"/>
      <c r="H125" s="2" t="s">
        <v>452</v>
      </c>
      <c r="I125" s="2"/>
      <c r="J125" s="2"/>
      <c r="K125" s="2">
        <v>2.8</v>
      </c>
      <c r="L125" s="4">
        <v>2.9148595329822911E-2</v>
      </c>
      <c r="M125" s="4">
        <v>5.6096699999999999E-2</v>
      </c>
      <c r="N125" s="2"/>
      <c r="O125" s="2"/>
      <c r="P125" s="2"/>
      <c r="Q125" s="2"/>
      <c r="R125" s="2"/>
      <c r="S125" s="4">
        <v>0.11240231217618901</v>
      </c>
      <c r="T125" s="2"/>
      <c r="U125" s="4">
        <v>2.4316289999999996</v>
      </c>
      <c r="V125" s="4">
        <v>2.1438869999999999</v>
      </c>
      <c r="W125" s="4">
        <v>0.43780439999999998</v>
      </c>
      <c r="X125" s="2"/>
      <c r="Y125" s="2"/>
      <c r="Z125" s="2"/>
      <c r="AA125" s="2"/>
      <c r="AB125" s="2"/>
      <c r="AC125" s="2"/>
      <c r="AD125" s="2"/>
      <c r="AE125" s="2"/>
      <c r="AF125" s="2">
        <v>0</v>
      </c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>
        <v>0</v>
      </c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>
        <v>0</v>
      </c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>
        <v>0</v>
      </c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14" t="s">
        <v>81</v>
      </c>
      <c r="DM125" s="2"/>
      <c r="DN125" s="2">
        <f t="shared" si="8"/>
        <v>0.11240231217618901</v>
      </c>
      <c r="DO125" s="2">
        <f t="shared" si="9"/>
        <v>0</v>
      </c>
      <c r="DP125" s="2" t="s">
        <v>95</v>
      </c>
      <c r="DQ125" s="2" t="s">
        <v>3</v>
      </c>
      <c r="DR125" s="2">
        <f t="shared" si="10"/>
        <v>2.8</v>
      </c>
      <c r="DS125" s="4">
        <f t="shared" si="11"/>
        <v>0.11240231217618901</v>
      </c>
      <c r="DT125" s="15">
        <f t="shared" si="12"/>
        <v>3.1472647409332923</v>
      </c>
      <c r="DU125" s="2"/>
      <c r="DV125" s="2">
        <f t="shared" si="13"/>
        <v>0</v>
      </c>
      <c r="DW125" s="2"/>
      <c r="DX125" s="2"/>
      <c r="DY125" s="2"/>
      <c r="DZ125" s="2" t="s">
        <v>3</v>
      </c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 t="s">
        <v>3</v>
      </c>
      <c r="FR125" s="2" t="s">
        <v>89</v>
      </c>
      <c r="FS125" s="2" t="s">
        <v>90</v>
      </c>
      <c r="FT125" s="2" t="s">
        <v>91</v>
      </c>
      <c r="FU125" s="2" t="s">
        <v>226</v>
      </c>
      <c r="FV125" s="2" t="s">
        <v>3</v>
      </c>
    </row>
    <row r="126" spans="1:178" ht="15.75" customHeight="1" x14ac:dyDescent="0.2">
      <c r="A126" s="14" t="s">
        <v>222</v>
      </c>
      <c r="B126" s="2" t="s">
        <v>85</v>
      </c>
      <c r="C126" s="16" t="s">
        <v>453</v>
      </c>
      <c r="D126" s="2"/>
      <c r="E126" s="2"/>
      <c r="F126" s="2"/>
      <c r="G126" s="2"/>
      <c r="H126" s="2" t="s">
        <v>454</v>
      </c>
      <c r="I126" s="2"/>
      <c r="J126" s="2"/>
      <c r="K126" s="2">
        <v>0</v>
      </c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>
        <v>2.71</v>
      </c>
      <c r="AG126" s="4">
        <v>2.9148595329822911E-2</v>
      </c>
      <c r="AH126" s="4">
        <v>5.3716840000000002E-2</v>
      </c>
      <c r="AI126" s="2"/>
      <c r="AJ126" s="2"/>
      <c r="AK126" s="2"/>
      <c r="AL126" s="2"/>
      <c r="AM126" s="2"/>
      <c r="AN126" s="4">
        <v>0.11240231217618901</v>
      </c>
      <c r="AO126" s="2"/>
      <c r="AP126" s="4">
        <v>1.5066564</v>
      </c>
      <c r="AQ126" s="4">
        <v>1.3283692</v>
      </c>
      <c r="AR126" s="4">
        <v>0.27126704000000001</v>
      </c>
      <c r="AS126" s="2"/>
      <c r="AT126" s="2"/>
      <c r="AU126" s="2"/>
      <c r="AV126" s="2"/>
      <c r="AW126" s="2"/>
      <c r="AX126" s="2"/>
      <c r="AY126" s="2"/>
      <c r="AZ126" s="2"/>
      <c r="BA126" s="2">
        <v>3.89</v>
      </c>
      <c r="BB126" s="4">
        <v>2.9148595329822911E-2</v>
      </c>
      <c r="BC126" s="19">
        <v>1.492537313432836E-2</v>
      </c>
      <c r="BD126" s="2"/>
      <c r="BE126" s="2"/>
      <c r="BF126" s="2"/>
      <c r="BG126" s="2"/>
      <c r="BH126" s="2"/>
      <c r="BI126" s="4">
        <v>0.11240231217618901</v>
      </c>
      <c r="BJ126" s="2"/>
      <c r="BK126" s="19">
        <v>0.44402985074626866</v>
      </c>
      <c r="BL126" s="19">
        <v>0.44402985074626866</v>
      </c>
      <c r="BM126" s="19">
        <v>9.7014925373134345E-2</v>
      </c>
      <c r="BN126" s="19"/>
      <c r="BO126" s="19"/>
      <c r="BP126" s="2"/>
      <c r="BQ126" s="2"/>
      <c r="BR126" s="2"/>
      <c r="BS126" s="2"/>
      <c r="BT126" s="2"/>
      <c r="BU126" s="2"/>
      <c r="BV126" s="2">
        <v>0</v>
      </c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>
        <v>0</v>
      </c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14" t="s">
        <v>81</v>
      </c>
      <c r="DM126" s="2"/>
      <c r="DN126" s="2">
        <f t="shared" si="8"/>
        <v>0.11240231217618901</v>
      </c>
      <c r="DO126" s="2">
        <f t="shared" si="9"/>
        <v>0</v>
      </c>
      <c r="DP126" s="2" t="s">
        <v>122</v>
      </c>
      <c r="DQ126" s="2" t="s">
        <v>3</v>
      </c>
      <c r="DR126" s="2">
        <f t="shared" si="10"/>
        <v>6.6</v>
      </c>
      <c r="DS126" s="4">
        <f t="shared" si="11"/>
        <v>0.11240231217618901</v>
      </c>
      <c r="DT126" s="15">
        <f t="shared" si="12"/>
        <v>7.4185526036284752</v>
      </c>
      <c r="DU126" s="2"/>
      <c r="DV126" s="2">
        <f t="shared" si="13"/>
        <v>0</v>
      </c>
      <c r="DW126" s="2"/>
      <c r="DX126" s="2"/>
      <c r="DY126" s="2"/>
      <c r="DZ126" s="2" t="s">
        <v>3</v>
      </c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 t="s">
        <v>3</v>
      </c>
      <c r="FR126" s="2" t="s">
        <v>89</v>
      </c>
      <c r="FS126" s="2" t="s">
        <v>90</v>
      </c>
      <c r="FT126" s="2" t="s">
        <v>91</v>
      </c>
      <c r="FU126" s="2" t="s">
        <v>226</v>
      </c>
      <c r="FV126" s="2" t="s">
        <v>3</v>
      </c>
    </row>
    <row r="127" spans="1:178" ht="15.75" customHeight="1" x14ac:dyDescent="0.2">
      <c r="A127" s="12" t="s">
        <v>74</v>
      </c>
      <c r="B127" s="2" t="s">
        <v>107</v>
      </c>
      <c r="C127" s="13" t="s">
        <v>455</v>
      </c>
      <c r="D127" s="2" t="s">
        <v>109</v>
      </c>
      <c r="E127" s="2"/>
      <c r="F127" s="2"/>
      <c r="G127" s="2"/>
      <c r="H127" s="2" t="s">
        <v>110</v>
      </c>
      <c r="I127" s="2"/>
      <c r="J127" s="2" t="s">
        <v>111</v>
      </c>
      <c r="K127" s="2">
        <v>0</v>
      </c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>
        <v>0</v>
      </c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15">
        <f>228.3-13*1.35</f>
        <v>210.75</v>
      </c>
      <c r="BB127" s="2"/>
      <c r="BC127" s="2"/>
      <c r="BD127" s="2"/>
      <c r="BE127" s="2"/>
      <c r="BF127" s="2"/>
      <c r="BG127" s="2"/>
      <c r="BH127" s="2"/>
      <c r="BI127" s="2" t="s">
        <v>456</v>
      </c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>
        <v>0</v>
      </c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>
        <v>0</v>
      </c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14" t="s">
        <v>100</v>
      </c>
      <c r="DM127" s="2"/>
      <c r="DN127" s="2">
        <f t="shared" si="8"/>
        <v>0.83</v>
      </c>
      <c r="DO127" s="2">
        <f t="shared" si="9"/>
        <v>0</v>
      </c>
      <c r="DP127" s="2" t="s">
        <v>113</v>
      </c>
      <c r="DQ127" s="2" t="s">
        <v>3</v>
      </c>
      <c r="DR127" s="15">
        <f t="shared" si="10"/>
        <v>210.75</v>
      </c>
      <c r="DS127" s="2">
        <f t="shared" si="11"/>
        <v>0.83</v>
      </c>
      <c r="DT127" s="18">
        <f t="shared" si="12"/>
        <v>1749.2249999999999</v>
      </c>
      <c r="DU127" s="2"/>
      <c r="DV127" s="2">
        <f t="shared" si="13"/>
        <v>0</v>
      </c>
      <c r="DW127" s="2"/>
      <c r="DX127" s="2"/>
      <c r="DY127" s="2"/>
      <c r="DZ127" s="2" t="s">
        <v>3</v>
      </c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 t="s">
        <v>3</v>
      </c>
      <c r="FR127" s="2" t="s">
        <v>37</v>
      </c>
      <c r="FS127" s="2" t="s">
        <v>114</v>
      </c>
      <c r="FT127" s="2" t="s">
        <v>114</v>
      </c>
      <c r="FU127" s="2"/>
      <c r="FV127" s="2" t="s">
        <v>3</v>
      </c>
    </row>
    <row r="128" spans="1:178" ht="15.75" customHeight="1" x14ac:dyDescent="0.2">
      <c r="A128" s="12" t="s">
        <v>74</v>
      </c>
      <c r="B128" s="2" t="s">
        <v>393</v>
      </c>
      <c r="C128" s="13" t="s">
        <v>457</v>
      </c>
      <c r="D128" s="2" t="s">
        <v>109</v>
      </c>
      <c r="E128" s="2"/>
      <c r="F128" s="2"/>
      <c r="G128" s="2"/>
      <c r="H128" s="2" t="s">
        <v>458</v>
      </c>
      <c r="I128" s="2"/>
      <c r="J128" s="2"/>
      <c r="K128" s="2">
        <v>40.5</v>
      </c>
      <c r="L128" s="2"/>
      <c r="M128" s="2"/>
      <c r="N128" s="2"/>
      <c r="O128" s="2"/>
      <c r="P128" s="2"/>
      <c r="Q128" s="2"/>
      <c r="R128" s="2"/>
      <c r="S128" s="2">
        <v>1.42</v>
      </c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>
        <v>31.1</v>
      </c>
      <c r="AG128" s="2"/>
      <c r="AH128" s="2"/>
      <c r="AI128" s="2"/>
      <c r="AJ128" s="2"/>
      <c r="AK128" s="2"/>
      <c r="AL128" s="2"/>
      <c r="AM128" s="2"/>
      <c r="AN128" s="2">
        <v>1.53</v>
      </c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>
        <v>4.9000000000000004</v>
      </c>
      <c r="BB128" s="2"/>
      <c r="BC128" s="2"/>
      <c r="BD128" s="2"/>
      <c r="BE128" s="2"/>
      <c r="BF128" s="2"/>
      <c r="BG128" s="2"/>
      <c r="BH128" s="2"/>
      <c r="BI128" s="4">
        <v>1.4</v>
      </c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>
        <v>44.9</v>
      </c>
      <c r="BW128" s="2"/>
      <c r="BX128" s="2"/>
      <c r="BY128" s="2"/>
      <c r="BZ128" s="2"/>
      <c r="CA128" s="2"/>
      <c r="CB128" s="2"/>
      <c r="CC128" s="2"/>
      <c r="CD128" s="2">
        <v>1.28</v>
      </c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>
        <v>26.3</v>
      </c>
      <c r="CR128" s="2"/>
      <c r="CS128" s="2"/>
      <c r="CT128" s="2"/>
      <c r="CU128" s="2"/>
      <c r="CV128" s="2"/>
      <c r="CW128" s="2"/>
      <c r="CX128" s="2"/>
      <c r="CY128" s="2">
        <v>1.36</v>
      </c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14" t="s">
        <v>81</v>
      </c>
      <c r="DM128" s="2"/>
      <c r="DN128" s="2">
        <f t="shared" si="8"/>
        <v>1.4634379084967322</v>
      </c>
      <c r="DO128" s="2">
        <f t="shared" si="9"/>
        <v>0</v>
      </c>
      <c r="DP128" s="2" t="s">
        <v>95</v>
      </c>
      <c r="DQ128" s="2" t="s">
        <v>3</v>
      </c>
      <c r="DR128" s="2">
        <f t="shared" si="10"/>
        <v>76.5</v>
      </c>
      <c r="DS128" s="4">
        <f t="shared" si="11"/>
        <v>1.4634379084967322</v>
      </c>
      <c r="DT128" s="18">
        <f t="shared" si="12"/>
        <v>1119.5300000000002</v>
      </c>
      <c r="DU128" s="2"/>
      <c r="DV128" s="2">
        <f t="shared" si="13"/>
        <v>71.2</v>
      </c>
      <c r="DW128" s="4">
        <f>(BV128*CD128+CQ128*CY128)/DV128</f>
        <v>1.309550561797753</v>
      </c>
      <c r="DX128" s="15">
        <f>1000*DV128*DW128/100</f>
        <v>932.40000000000009</v>
      </c>
      <c r="DY128" s="2"/>
      <c r="DZ128" s="2" t="s">
        <v>3</v>
      </c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 t="s">
        <v>3</v>
      </c>
      <c r="FR128" s="2" t="s">
        <v>37</v>
      </c>
      <c r="FS128" s="2" t="s">
        <v>106</v>
      </c>
      <c r="FT128" s="2" t="s">
        <v>106</v>
      </c>
      <c r="FU128" s="2"/>
      <c r="FV128" s="2" t="s">
        <v>3</v>
      </c>
    </row>
    <row r="129" spans="1:178" ht="15.75" customHeight="1" x14ac:dyDescent="0.2">
      <c r="A129" s="14" t="s">
        <v>158</v>
      </c>
      <c r="B129" s="2" t="s">
        <v>97</v>
      </c>
      <c r="C129" s="16" t="s">
        <v>459</v>
      </c>
      <c r="D129" s="2" t="s">
        <v>99</v>
      </c>
      <c r="E129" s="2"/>
      <c r="F129" s="2"/>
      <c r="G129" s="2"/>
      <c r="H129" s="2" t="s">
        <v>79</v>
      </c>
      <c r="I129" s="2"/>
      <c r="J129" s="2"/>
      <c r="K129" s="2">
        <v>0</v>
      </c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>
        <v>0</v>
      </c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>
        <v>260.5</v>
      </c>
      <c r="BB129" s="2">
        <v>0.11</v>
      </c>
      <c r="BC129" s="2">
        <v>7.0999999999999994E-2</v>
      </c>
      <c r="BD129" s="2"/>
      <c r="BE129" s="2"/>
      <c r="BF129" s="2"/>
      <c r="BG129" s="2"/>
      <c r="BH129" s="2"/>
      <c r="BI129" s="2">
        <v>7.0000000000000007E-2</v>
      </c>
      <c r="BJ129" s="2"/>
      <c r="BK129" s="2">
        <f t="shared" ref="BK129:BL129" si="25">(1.371-0.071)*0.5</f>
        <v>0.65</v>
      </c>
      <c r="BL129" s="2">
        <f t="shared" si="25"/>
        <v>0.65</v>
      </c>
      <c r="BM129" s="2"/>
      <c r="BN129" s="2"/>
      <c r="BO129" s="2"/>
      <c r="BP129" s="2"/>
      <c r="BQ129" s="2"/>
      <c r="BR129" s="2"/>
      <c r="BS129" s="2"/>
      <c r="BT129" s="2"/>
      <c r="BU129" s="2"/>
      <c r="BV129" s="2">
        <v>0</v>
      </c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>
        <v>0</v>
      </c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14" t="s">
        <v>81</v>
      </c>
      <c r="DM129" s="2"/>
      <c r="DN129" s="2">
        <f t="shared" si="8"/>
        <v>7.0000000000000007E-2</v>
      </c>
      <c r="DO129" s="2">
        <f t="shared" si="9"/>
        <v>0</v>
      </c>
      <c r="DP129" s="2" t="s">
        <v>101</v>
      </c>
      <c r="DQ129" s="2" t="s">
        <v>3</v>
      </c>
      <c r="DR129" s="2">
        <f t="shared" si="10"/>
        <v>260.5</v>
      </c>
      <c r="DS129" s="2">
        <f t="shared" si="11"/>
        <v>7.0000000000000007E-2</v>
      </c>
      <c r="DT129" s="15">
        <f t="shared" si="12"/>
        <v>182.35</v>
      </c>
      <c r="DU129" s="2"/>
      <c r="DV129" s="2">
        <f t="shared" si="13"/>
        <v>0</v>
      </c>
      <c r="DW129" s="2"/>
      <c r="DX129" s="2"/>
      <c r="DY129" s="2"/>
      <c r="DZ129" s="2" t="s">
        <v>3</v>
      </c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 t="s">
        <v>3</v>
      </c>
      <c r="FR129" s="2" t="s">
        <v>89</v>
      </c>
      <c r="FS129" s="2" t="s">
        <v>90</v>
      </c>
      <c r="FT129" s="2"/>
      <c r="FU129" s="2"/>
      <c r="FV129" s="2" t="s">
        <v>3</v>
      </c>
    </row>
    <row r="130" spans="1:178" ht="15.75" customHeight="1" x14ac:dyDescent="0.2">
      <c r="A130" s="12" t="s">
        <v>74</v>
      </c>
      <c r="B130" s="2" t="s">
        <v>206</v>
      </c>
      <c r="C130" s="13" t="s">
        <v>460</v>
      </c>
      <c r="D130" s="2" t="s">
        <v>109</v>
      </c>
      <c r="E130" s="2"/>
      <c r="F130" s="2"/>
      <c r="G130" s="2"/>
      <c r="H130" s="2" t="s">
        <v>461</v>
      </c>
      <c r="I130" s="2"/>
      <c r="J130" s="2"/>
      <c r="K130" s="2">
        <f>44.32+2.3+8.394</f>
        <v>55.013999999999996</v>
      </c>
      <c r="L130" s="2"/>
      <c r="M130" s="2"/>
      <c r="N130" s="2"/>
      <c r="O130" s="2"/>
      <c r="P130" s="2"/>
      <c r="Q130" s="2"/>
      <c r="R130" s="2"/>
      <c r="S130" s="4">
        <f>(1.12*44.32+1.1*2.3+2.1*8.394)/K130</f>
        <v>1.2686916057730764</v>
      </c>
      <c r="T130" s="19">
        <f>(0.11*44.32+0.093*2.3+0*8.394)/K130</f>
        <v>9.2505544043334428E-2</v>
      </c>
      <c r="U130" s="2"/>
      <c r="V130" s="2"/>
      <c r="W130" s="2"/>
      <c r="X130" s="2"/>
      <c r="Y130" s="2"/>
      <c r="Z130" s="2"/>
      <c r="AA130" s="2">
        <v>44.6</v>
      </c>
      <c r="AB130" s="2">
        <v>5.5</v>
      </c>
      <c r="AC130" s="2"/>
      <c r="AD130" s="2"/>
      <c r="AE130" s="2"/>
      <c r="AF130" s="2">
        <f>28.454+2.206+10.3</f>
        <v>40.96</v>
      </c>
      <c r="AG130" s="2"/>
      <c r="AH130" s="2"/>
      <c r="AI130" s="2"/>
      <c r="AJ130" s="2"/>
      <c r="AK130" s="2"/>
      <c r="AL130" s="2"/>
      <c r="AM130" s="2"/>
      <c r="AN130" s="4">
        <f>(1.87*28.454+1.02*2.206+1.2*10.3)/AF130</f>
        <v>1.6557397460937502</v>
      </c>
      <c r="AO130" s="19">
        <f>(0*28.454+0.098*2.206+0.101*10.3)/AF130</f>
        <v>3.0675976562500006E-2</v>
      </c>
      <c r="AP130" s="2"/>
      <c r="AQ130" s="2"/>
      <c r="AR130" s="2"/>
      <c r="AS130" s="2"/>
      <c r="AT130" s="2"/>
      <c r="AU130" s="2"/>
      <c r="AV130" s="15">
        <v>43</v>
      </c>
      <c r="AW130" s="2">
        <v>7.1</v>
      </c>
      <c r="AX130" s="2"/>
      <c r="AY130" s="2"/>
      <c r="AZ130" s="2"/>
      <c r="BA130" s="2">
        <f>3.9+3.9+14.7+32.8</f>
        <v>55.3</v>
      </c>
      <c r="BB130" s="2"/>
      <c r="BC130" s="2"/>
      <c r="BD130" s="2"/>
      <c r="BE130" s="2"/>
      <c r="BF130" s="2"/>
      <c r="BG130" s="2"/>
      <c r="BH130" s="2"/>
      <c r="BI130" s="4">
        <f>(1.8*3.9+1.8*3.9+1.01*14.7+1.15*32.8)/BA130</f>
        <v>1.2044665461121158</v>
      </c>
      <c r="BJ130" s="19">
        <f>(0*3.9+0*3.9+0.083*14.7+0.095*32.8)/BA130</f>
        <v>7.841048824593129E-2</v>
      </c>
      <c r="BK130" s="2"/>
      <c r="BL130" s="2"/>
      <c r="BM130" s="2"/>
      <c r="BN130" s="2"/>
      <c r="BO130" s="2"/>
      <c r="BP130" s="2"/>
      <c r="BQ130" s="2">
        <v>41.5</v>
      </c>
      <c r="BR130" s="2">
        <v>7.6</v>
      </c>
      <c r="BS130" s="2"/>
      <c r="BT130" s="2"/>
      <c r="BU130" s="2"/>
      <c r="BV130" s="2">
        <v>0</v>
      </c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>
        <v>0</v>
      </c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14" t="s">
        <v>81</v>
      </c>
      <c r="DM130" s="2" t="s">
        <v>81</v>
      </c>
      <c r="DN130" s="2">
        <f t="shared" si="8"/>
        <v>1.3500132210426117</v>
      </c>
      <c r="DO130" s="2">
        <f t="shared" si="9"/>
        <v>7.0611526104948641E-2</v>
      </c>
      <c r="DP130" s="2" t="s">
        <v>462</v>
      </c>
      <c r="DQ130" s="2" t="s">
        <v>3</v>
      </c>
      <c r="DR130" s="15">
        <f t="shared" si="10"/>
        <v>151.274</v>
      </c>
      <c r="DS130" s="4">
        <f t="shared" si="11"/>
        <v>1.3500132210426117</v>
      </c>
      <c r="DT130" s="18">
        <f t="shared" si="12"/>
        <v>2042.2190000000005</v>
      </c>
      <c r="DU130" s="2"/>
      <c r="DV130" s="2">
        <f t="shared" si="13"/>
        <v>0</v>
      </c>
      <c r="DW130" s="2"/>
      <c r="DX130" s="2"/>
      <c r="DY130" s="2"/>
      <c r="DZ130" s="2" t="s">
        <v>3</v>
      </c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 t="s">
        <v>3</v>
      </c>
      <c r="FR130" s="2" t="s">
        <v>37</v>
      </c>
      <c r="FS130" s="2" t="s">
        <v>235</v>
      </c>
      <c r="FT130" s="2" t="s">
        <v>235</v>
      </c>
      <c r="FU130" s="2"/>
      <c r="FV130" s="2" t="s">
        <v>3</v>
      </c>
    </row>
    <row r="131" spans="1:178" ht="15.75" customHeight="1" x14ac:dyDescent="0.2">
      <c r="A131" s="14" t="s">
        <v>96</v>
      </c>
      <c r="B131" s="2" t="s">
        <v>133</v>
      </c>
      <c r="C131" s="16" t="s">
        <v>463</v>
      </c>
      <c r="D131" s="2" t="s">
        <v>99</v>
      </c>
      <c r="E131" s="2"/>
      <c r="F131" s="2"/>
      <c r="G131" s="2"/>
      <c r="H131" s="2" t="s">
        <v>79</v>
      </c>
      <c r="I131" s="2"/>
      <c r="J131" s="2"/>
      <c r="K131" s="2">
        <v>0</v>
      </c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>
        <v>15.8</v>
      </c>
      <c r="AG131" s="2">
        <v>0.99</v>
      </c>
      <c r="AH131" s="2"/>
      <c r="AI131" s="2"/>
      <c r="AJ131" s="2"/>
      <c r="AK131" s="2"/>
      <c r="AL131" s="2"/>
      <c r="AM131" s="2"/>
      <c r="AN131" s="2">
        <v>0.65</v>
      </c>
      <c r="AO131" s="2">
        <v>7.0000000000000007E-2</v>
      </c>
      <c r="AP131" s="2">
        <v>0.25</v>
      </c>
      <c r="AQ131" s="2">
        <v>1.55</v>
      </c>
      <c r="AR131" s="2"/>
      <c r="AS131" s="2"/>
      <c r="AT131" s="2"/>
      <c r="AU131" s="2"/>
      <c r="AV131" s="2"/>
      <c r="AW131" s="2"/>
      <c r="AX131" s="2"/>
      <c r="AY131" s="2"/>
      <c r="AZ131" s="2"/>
      <c r="BA131" s="2">
        <v>30.2</v>
      </c>
      <c r="BB131" s="4">
        <v>1</v>
      </c>
      <c r="BC131" s="2"/>
      <c r="BD131" s="2"/>
      <c r="BE131" s="2"/>
      <c r="BF131" s="2"/>
      <c r="BG131" s="2"/>
      <c r="BH131" s="2"/>
      <c r="BI131" s="2">
        <v>0.67</v>
      </c>
      <c r="BJ131" s="2">
        <v>0.05</v>
      </c>
      <c r="BK131" s="2">
        <v>0.19</v>
      </c>
      <c r="BL131" s="2">
        <v>1.18</v>
      </c>
      <c r="BM131" s="2"/>
      <c r="BN131" s="2"/>
      <c r="BO131" s="2"/>
      <c r="BP131" s="2"/>
      <c r="BQ131" s="2"/>
      <c r="BR131" s="2"/>
      <c r="BS131" s="2"/>
      <c r="BT131" s="2"/>
      <c r="BU131" s="2"/>
      <c r="BV131" s="2">
        <v>0</v>
      </c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>
        <v>0</v>
      </c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14" t="s">
        <v>81</v>
      </c>
      <c r="DM131" s="2" t="s">
        <v>81</v>
      </c>
      <c r="DN131" s="2">
        <f t="shared" si="8"/>
        <v>0.6631304347826088</v>
      </c>
      <c r="DO131" s="2">
        <f t="shared" si="9"/>
        <v>5.6869565217391303E-2</v>
      </c>
      <c r="DP131" s="2" t="s">
        <v>464</v>
      </c>
      <c r="DQ131" s="2" t="s">
        <v>3</v>
      </c>
      <c r="DR131" s="2">
        <f t="shared" si="10"/>
        <v>46</v>
      </c>
      <c r="DS131" s="4">
        <f t="shared" si="11"/>
        <v>0.6631304347826088</v>
      </c>
      <c r="DT131" s="15">
        <f t="shared" si="12"/>
        <v>305.04000000000002</v>
      </c>
      <c r="DU131" s="2"/>
      <c r="DV131" s="2">
        <f t="shared" si="13"/>
        <v>0</v>
      </c>
      <c r="DW131" s="2"/>
      <c r="DX131" s="2"/>
      <c r="DY131" s="2"/>
      <c r="DZ131" s="2" t="s">
        <v>3</v>
      </c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 t="s">
        <v>3</v>
      </c>
      <c r="FR131" s="2" t="s">
        <v>89</v>
      </c>
      <c r="FS131" s="2" t="s">
        <v>123</v>
      </c>
      <c r="FT131" s="2"/>
      <c r="FU131" s="2"/>
      <c r="FV131" s="2" t="s">
        <v>3</v>
      </c>
    </row>
    <row r="132" spans="1:178" ht="15.75" customHeight="1" x14ac:dyDescent="0.2">
      <c r="A132" s="14" t="s">
        <v>96</v>
      </c>
      <c r="B132" s="2" t="s">
        <v>164</v>
      </c>
      <c r="C132" s="16" t="s">
        <v>465</v>
      </c>
      <c r="D132" s="2" t="s">
        <v>99</v>
      </c>
      <c r="E132" s="2"/>
      <c r="F132" s="2"/>
      <c r="G132" s="2" t="s">
        <v>179</v>
      </c>
      <c r="H132" s="2" t="s">
        <v>375</v>
      </c>
      <c r="I132" s="2"/>
      <c r="J132" s="2" t="s">
        <v>181</v>
      </c>
      <c r="K132" s="2">
        <v>0</v>
      </c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>
        <f>1.7+0.24+1.8</f>
        <v>3.74</v>
      </c>
      <c r="AG132" s="2"/>
      <c r="AH132" s="2"/>
      <c r="AI132" s="2"/>
      <c r="AJ132" s="2"/>
      <c r="AK132" s="2"/>
      <c r="AL132" s="2"/>
      <c r="AM132" s="2"/>
      <c r="AN132" s="15">
        <f>(2*1.7+2.9*0.24+1.7*1.8)/AF132</f>
        <v>1.9133689839572192</v>
      </c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>
        <f>0.3+0.02+0.1</f>
        <v>0.42000000000000004</v>
      </c>
      <c r="BB132" s="2"/>
      <c r="BC132" s="2"/>
      <c r="BD132" s="2"/>
      <c r="BE132" s="2"/>
      <c r="BF132" s="2"/>
      <c r="BG132" s="2"/>
      <c r="BH132" s="2"/>
      <c r="BI132" s="15">
        <f>(1.5*0.3+1.9*0.02+1.5*0.1)/BA132</f>
        <v>1.5190476190476188</v>
      </c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>
        <v>0</v>
      </c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>
        <v>0</v>
      </c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14" t="s">
        <v>81</v>
      </c>
      <c r="DM132" s="2"/>
      <c r="DN132" s="2">
        <f t="shared" si="8"/>
        <v>1.8735576923076924</v>
      </c>
      <c r="DO132" s="2">
        <f t="shared" si="9"/>
        <v>0</v>
      </c>
      <c r="DP132" s="2" t="s">
        <v>211</v>
      </c>
      <c r="DQ132" s="2" t="s">
        <v>3</v>
      </c>
      <c r="DR132" s="2">
        <f t="shared" si="10"/>
        <v>4.16</v>
      </c>
      <c r="DS132" s="4">
        <f t="shared" si="11"/>
        <v>1.8735576923076924</v>
      </c>
      <c r="DT132" s="15">
        <f t="shared" si="12"/>
        <v>77.940000000000012</v>
      </c>
      <c r="DU132" s="2"/>
      <c r="DV132" s="2">
        <f t="shared" si="13"/>
        <v>0</v>
      </c>
      <c r="DW132" s="2"/>
      <c r="DX132" s="2"/>
      <c r="DY132" s="2"/>
      <c r="DZ132" s="2" t="s">
        <v>3</v>
      </c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 t="s">
        <v>3</v>
      </c>
      <c r="FR132" s="2" t="s">
        <v>89</v>
      </c>
      <c r="FS132" s="2" t="s">
        <v>137</v>
      </c>
      <c r="FT132" s="2"/>
      <c r="FU132" s="2"/>
      <c r="FV132" s="2" t="s">
        <v>3</v>
      </c>
    </row>
    <row r="133" spans="1:178" ht="15.75" customHeight="1" x14ac:dyDescent="0.2">
      <c r="A133" s="14" t="s">
        <v>96</v>
      </c>
      <c r="B133" s="2" t="s">
        <v>278</v>
      </c>
      <c r="C133" s="16" t="s">
        <v>466</v>
      </c>
      <c r="D133" s="2" t="s">
        <v>99</v>
      </c>
      <c r="E133" s="2"/>
      <c r="F133" s="2"/>
      <c r="G133" s="2"/>
      <c r="H133" s="2" t="s">
        <v>79</v>
      </c>
      <c r="I133" s="2"/>
      <c r="J133" s="2"/>
      <c r="K133" s="2">
        <v>0</v>
      </c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>
        <v>0</v>
      </c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>
        <v>2.6</v>
      </c>
      <c r="BB133" s="2">
        <v>0.47</v>
      </c>
      <c r="BC133" s="2"/>
      <c r="BD133" s="2"/>
      <c r="BE133" s="2"/>
      <c r="BF133" s="2"/>
      <c r="BG133" s="2"/>
      <c r="BH133" s="2"/>
      <c r="BI133" s="2">
        <v>0.75</v>
      </c>
      <c r="BJ133" s="2">
        <v>0.06</v>
      </c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>
        <v>0</v>
      </c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>
        <v>0</v>
      </c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14" t="s">
        <v>100</v>
      </c>
      <c r="DM133" s="2" t="s">
        <v>100</v>
      </c>
      <c r="DN133" s="2">
        <f t="shared" si="8"/>
        <v>0.75</v>
      </c>
      <c r="DO133" s="2">
        <f t="shared" si="9"/>
        <v>0.06</v>
      </c>
      <c r="DP133" s="2" t="s">
        <v>467</v>
      </c>
      <c r="DQ133" s="2" t="s">
        <v>3</v>
      </c>
      <c r="DR133" s="2">
        <f t="shared" si="10"/>
        <v>2.6</v>
      </c>
      <c r="DS133" s="2">
        <f t="shared" si="11"/>
        <v>0.75</v>
      </c>
      <c r="DT133" s="15">
        <f t="shared" si="12"/>
        <v>19.5</v>
      </c>
      <c r="DU133" s="2"/>
      <c r="DV133" s="2">
        <f t="shared" si="13"/>
        <v>0</v>
      </c>
      <c r="DW133" s="2"/>
      <c r="DX133" s="2"/>
      <c r="DY133" s="2"/>
      <c r="DZ133" s="2" t="s">
        <v>3</v>
      </c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 t="s">
        <v>3</v>
      </c>
      <c r="FR133" s="2" t="s">
        <v>89</v>
      </c>
      <c r="FS133" s="2" t="s">
        <v>123</v>
      </c>
      <c r="FT133" s="2"/>
      <c r="FU133" s="2"/>
      <c r="FV133" s="2" t="s">
        <v>3</v>
      </c>
    </row>
    <row r="134" spans="1:178" ht="15.75" customHeight="1" x14ac:dyDescent="0.2">
      <c r="A134" s="14" t="s">
        <v>96</v>
      </c>
      <c r="B134" s="2" t="s">
        <v>164</v>
      </c>
      <c r="C134" s="16" t="s">
        <v>468</v>
      </c>
      <c r="D134" s="2" t="s">
        <v>109</v>
      </c>
      <c r="E134" s="2"/>
      <c r="F134" s="2"/>
      <c r="G134" s="2" t="s">
        <v>179</v>
      </c>
      <c r="H134" s="2" t="s">
        <v>385</v>
      </c>
      <c r="I134" s="2"/>
      <c r="J134" s="2" t="s">
        <v>181</v>
      </c>
      <c r="K134" s="2">
        <v>0</v>
      </c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19">
        <f>0.132279+0.055779+0.162338+0.191535+0.901865+0.075707+0.1972+4.428</f>
        <v>6.1447029999999998</v>
      </c>
      <c r="AG134" s="2"/>
      <c r="AH134" s="2"/>
      <c r="AI134" s="2"/>
      <c r="AJ134" s="2"/>
      <c r="AK134" s="2"/>
      <c r="AL134" s="2"/>
      <c r="AM134" s="2"/>
      <c r="AN134" s="15">
        <f>(4.6*0.132279+5.9*0.055779+4*0.162338+5.5*0.191535+5.6*0.901865+5.2*0.075707+0.8*0.1972+0.8*4.428)/AF134</f>
        <v>1.9178558182551706</v>
      </c>
      <c r="AO134" s="19">
        <f>(0*0.132279+0*0.055779+0*0.162338+0*0.191535+0*0.901865+0*0.075707+0.028*0.1972+0.028*4.428)/(0.132279+0.055779+0.162338+0.191535+0.901865+0.075707+0.1972+4.428)</f>
        <v>2.1075973891659206E-2</v>
      </c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19">
        <f>0.055219+0.02056+0.256977+0.3578</f>
        <v>0.69055599999999995</v>
      </c>
      <c r="BB134" s="2"/>
      <c r="BC134" s="2"/>
      <c r="BD134" s="2"/>
      <c r="BE134" s="2"/>
      <c r="BF134" s="2"/>
      <c r="BG134" s="2"/>
      <c r="BH134" s="2"/>
      <c r="BI134" s="15">
        <f>(3.9*0.055219+4.1*0.02056+2.1*0.256977+1*0.3578)/BA134</f>
        <v>1.7335332688442358</v>
      </c>
      <c r="BJ134" s="19">
        <f>(0*0.132279+0*0.055779+0*0.162338+0*0.191535+0*0.901865+0*0.075707+0.028*0.1972+0.028*4.428)/(0.132279+0.055779+0.162338+0.191535+0.901865+0.075707+0.1972+4.428)</f>
        <v>2.1075973891659206E-2</v>
      </c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>
        <v>0</v>
      </c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19">
        <v>0.74960000000000004</v>
      </c>
      <c r="CR134" s="2"/>
      <c r="CS134" s="2"/>
      <c r="CT134" s="2"/>
      <c r="CU134" s="2"/>
      <c r="CV134" s="2"/>
      <c r="CW134" s="2"/>
      <c r="CX134" s="2"/>
      <c r="CY134" s="2">
        <v>3.9</v>
      </c>
      <c r="CZ134" s="19">
        <f>(0*0.132279+0*0.055779+0*0.162338+0*0.191535+0*0.901865+0*0.075707+0.028*0.1972+0.028*4.428)/(0.132279+0.055779+0.162338+0.191535+0.901865+0.075707+0.1972+4.428)</f>
        <v>2.1075973891659206E-2</v>
      </c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14" t="s">
        <v>81</v>
      </c>
      <c r="DM134" s="2" t="s">
        <v>81</v>
      </c>
      <c r="DN134" s="2">
        <f t="shared" si="8"/>
        <v>1.899233986598021</v>
      </c>
      <c r="DO134" s="2">
        <f t="shared" si="9"/>
        <v>2.1075973891659206E-2</v>
      </c>
      <c r="DP134" s="2" t="s">
        <v>211</v>
      </c>
      <c r="DQ134" s="2" t="s">
        <v>3</v>
      </c>
      <c r="DR134" s="19">
        <f t="shared" si="10"/>
        <v>6.8352589999999998</v>
      </c>
      <c r="DS134" s="4">
        <f t="shared" si="11"/>
        <v>1.899233986598021</v>
      </c>
      <c r="DT134" s="15">
        <f t="shared" si="12"/>
        <v>129.81756200000001</v>
      </c>
      <c r="DU134" s="2"/>
      <c r="DV134" s="19">
        <f t="shared" si="13"/>
        <v>0.74960000000000004</v>
      </c>
      <c r="DW134" s="4">
        <f>(BV134*CD134+CQ134*CY134)/DV134</f>
        <v>3.9</v>
      </c>
      <c r="DX134" s="15">
        <f>1000*DV134*DW134/100</f>
        <v>29.234400000000001</v>
      </c>
      <c r="DY134" s="2"/>
      <c r="DZ134" s="2" t="s">
        <v>3</v>
      </c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 t="s">
        <v>3</v>
      </c>
      <c r="FR134" s="2" t="s">
        <v>89</v>
      </c>
      <c r="FS134" s="2" t="s">
        <v>137</v>
      </c>
      <c r="FT134" s="2"/>
      <c r="FU134" s="2"/>
      <c r="FV134" s="2" t="s">
        <v>3</v>
      </c>
    </row>
    <row r="135" spans="1:178" ht="15.75" customHeight="1" x14ac:dyDescent="0.2">
      <c r="A135" s="14" t="s">
        <v>74</v>
      </c>
      <c r="B135" s="2" t="s">
        <v>469</v>
      </c>
      <c r="C135" s="13" t="s">
        <v>470</v>
      </c>
      <c r="D135" s="2" t="s">
        <v>99</v>
      </c>
      <c r="E135" s="29">
        <f>-4-40/60</f>
        <v>-4.666666666666667</v>
      </c>
      <c r="F135" s="29">
        <f>141+56/60</f>
        <v>141.93333333333334</v>
      </c>
      <c r="G135" s="2" t="s">
        <v>78</v>
      </c>
      <c r="H135" s="2" t="s">
        <v>471</v>
      </c>
      <c r="I135" s="2"/>
      <c r="J135" s="2" t="s">
        <v>292</v>
      </c>
      <c r="K135" s="2">
        <v>0</v>
      </c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>
        <v>0</v>
      </c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30">
        <f>0.21/(BI135/100)</f>
        <v>23.333333333333329</v>
      </c>
      <c r="BB135" s="2"/>
      <c r="BC135" s="2"/>
      <c r="BD135" s="2"/>
      <c r="BE135" s="2"/>
      <c r="BF135" s="2"/>
      <c r="BG135" s="2"/>
      <c r="BH135" s="2"/>
      <c r="BI135" s="20">
        <v>0.9</v>
      </c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>
        <v>0</v>
      </c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>
        <v>0</v>
      </c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14" t="s">
        <v>100</v>
      </c>
      <c r="DM135" s="2"/>
      <c r="DN135" s="2">
        <f t="shared" si="8"/>
        <v>0.9</v>
      </c>
      <c r="DO135" s="2">
        <f t="shared" si="9"/>
        <v>0</v>
      </c>
      <c r="DP135" s="2" t="s">
        <v>472</v>
      </c>
      <c r="DQ135" s="2" t="s">
        <v>3</v>
      </c>
      <c r="DR135" s="15">
        <f t="shared" si="10"/>
        <v>23.333333333333329</v>
      </c>
      <c r="DS135" s="2">
        <f t="shared" si="11"/>
        <v>0.9</v>
      </c>
      <c r="DT135" s="15">
        <f t="shared" si="12"/>
        <v>209.99999999999997</v>
      </c>
      <c r="DU135" s="2"/>
      <c r="DV135" s="2">
        <f t="shared" si="13"/>
        <v>0</v>
      </c>
      <c r="DW135" s="2"/>
      <c r="DX135" s="2"/>
      <c r="DY135" s="2"/>
      <c r="DZ135" s="2" t="s">
        <v>3</v>
      </c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 t="s">
        <v>3</v>
      </c>
      <c r="FR135" s="2" t="s">
        <v>37</v>
      </c>
      <c r="FS135" s="2" t="s">
        <v>235</v>
      </c>
      <c r="FT135" s="2" t="s">
        <v>235</v>
      </c>
      <c r="FU135" s="2"/>
      <c r="FV135" s="2" t="s">
        <v>3</v>
      </c>
    </row>
    <row r="136" spans="1:178" ht="15.75" customHeight="1" x14ac:dyDescent="0.2">
      <c r="A136" s="14" t="s">
        <v>96</v>
      </c>
      <c r="B136" s="2" t="s">
        <v>189</v>
      </c>
      <c r="C136" s="16" t="s">
        <v>473</v>
      </c>
      <c r="D136" s="2" t="s">
        <v>99</v>
      </c>
      <c r="E136" s="44"/>
      <c r="F136" s="44"/>
      <c r="G136" s="2"/>
      <c r="H136" s="2" t="s">
        <v>79</v>
      </c>
      <c r="I136" s="2"/>
      <c r="J136" s="2"/>
      <c r="K136" s="2">
        <v>0</v>
      </c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>
        <v>0</v>
      </c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4">
        <f>0.56*0.9072</f>
        <v>0.50803200000000004</v>
      </c>
      <c r="BB136" s="2">
        <v>0.35</v>
      </c>
      <c r="BC136" s="2"/>
      <c r="BD136" s="2"/>
      <c r="BE136" s="2"/>
      <c r="BF136" s="2"/>
      <c r="BG136" s="2"/>
      <c r="BH136" s="2"/>
      <c r="BI136" s="2">
        <v>0.34</v>
      </c>
      <c r="BJ136" s="2">
        <v>0.15</v>
      </c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>
        <v>0</v>
      </c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>
        <v>0</v>
      </c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14" t="s">
        <v>100</v>
      </c>
      <c r="DM136" s="2" t="s">
        <v>100</v>
      </c>
      <c r="DN136" s="2">
        <f t="shared" si="8"/>
        <v>0.34</v>
      </c>
      <c r="DO136" s="2">
        <f t="shared" si="9"/>
        <v>0.15</v>
      </c>
      <c r="DP136" s="2" t="s">
        <v>257</v>
      </c>
      <c r="DQ136" s="2" t="s">
        <v>3</v>
      </c>
      <c r="DR136" s="19">
        <f t="shared" si="10"/>
        <v>0.50803200000000004</v>
      </c>
      <c r="DS136" s="2">
        <f t="shared" si="11"/>
        <v>0.34</v>
      </c>
      <c r="DT136" s="15">
        <f t="shared" si="12"/>
        <v>1.7273088000000001</v>
      </c>
      <c r="DU136" s="2"/>
      <c r="DV136" s="2">
        <f t="shared" si="13"/>
        <v>0</v>
      </c>
      <c r="DW136" s="2"/>
      <c r="DX136" s="2"/>
      <c r="DY136" s="2"/>
      <c r="DZ136" s="2" t="s">
        <v>3</v>
      </c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 t="s">
        <v>3</v>
      </c>
      <c r="FR136" s="2" t="s">
        <v>89</v>
      </c>
      <c r="FS136" s="2" t="s">
        <v>123</v>
      </c>
      <c r="FT136" s="2" t="s">
        <v>474</v>
      </c>
      <c r="FU136" s="2"/>
      <c r="FV136" s="2" t="s">
        <v>3</v>
      </c>
    </row>
    <row r="137" spans="1:178" ht="15.75" customHeight="1" x14ac:dyDescent="0.2">
      <c r="A137" s="14" t="s">
        <v>96</v>
      </c>
      <c r="B137" s="2" t="s">
        <v>164</v>
      </c>
      <c r="C137" s="16" t="s">
        <v>475</v>
      </c>
      <c r="D137" s="2" t="s">
        <v>99</v>
      </c>
      <c r="E137" s="2"/>
      <c r="F137" s="2"/>
      <c r="G137" s="2" t="s">
        <v>78</v>
      </c>
      <c r="H137" s="2" t="s">
        <v>476</v>
      </c>
      <c r="I137" s="2" t="s">
        <v>477</v>
      </c>
      <c r="J137" s="2" t="s">
        <v>348</v>
      </c>
      <c r="K137" s="2">
        <v>0</v>
      </c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>
        <v>0</v>
      </c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>
        <v>14.3</v>
      </c>
      <c r="BB137" s="19">
        <v>2.1700000000000001E-2</v>
      </c>
      <c r="BC137" s="2"/>
      <c r="BD137" s="2"/>
      <c r="BE137" s="2"/>
      <c r="BF137" s="2"/>
      <c r="BG137" s="2"/>
      <c r="BH137" s="2"/>
      <c r="BI137" s="19">
        <v>6.6600000000000006E-2</v>
      </c>
      <c r="BJ137" s="19">
        <v>2.0799999999999999E-2</v>
      </c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>
        <v>0</v>
      </c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>
        <v>0</v>
      </c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14" t="s">
        <v>81</v>
      </c>
      <c r="DM137" s="2" t="s">
        <v>81</v>
      </c>
      <c r="DN137" s="2">
        <f t="shared" si="8"/>
        <v>6.6600000000000006E-2</v>
      </c>
      <c r="DO137" s="2">
        <f t="shared" si="9"/>
        <v>2.0799999999999999E-2</v>
      </c>
      <c r="DP137" s="2" t="s">
        <v>478</v>
      </c>
      <c r="DQ137" s="2" t="s">
        <v>3</v>
      </c>
      <c r="DR137" s="2">
        <f t="shared" si="10"/>
        <v>14.3</v>
      </c>
      <c r="DS137" s="19">
        <f t="shared" si="11"/>
        <v>6.6600000000000006E-2</v>
      </c>
      <c r="DT137" s="15">
        <f t="shared" si="12"/>
        <v>9.5238000000000014</v>
      </c>
      <c r="DU137" s="2"/>
      <c r="DV137" s="2">
        <f t="shared" si="13"/>
        <v>0</v>
      </c>
      <c r="DW137" s="2"/>
      <c r="DX137" s="2"/>
      <c r="DY137" s="2"/>
      <c r="DZ137" s="2" t="s">
        <v>3</v>
      </c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 t="s">
        <v>3</v>
      </c>
      <c r="FR137" s="2" t="s">
        <v>89</v>
      </c>
      <c r="FS137" s="2" t="s">
        <v>90</v>
      </c>
      <c r="FT137" s="2"/>
      <c r="FU137" s="2" t="s">
        <v>479</v>
      </c>
      <c r="FV137" s="2" t="s">
        <v>3</v>
      </c>
    </row>
    <row r="138" spans="1:178" ht="15.75" customHeight="1" x14ac:dyDescent="0.2">
      <c r="A138" s="14" t="s">
        <v>96</v>
      </c>
      <c r="B138" s="2" t="s">
        <v>189</v>
      </c>
      <c r="C138" s="16" t="s">
        <v>480</v>
      </c>
      <c r="D138" s="2" t="s">
        <v>99</v>
      </c>
      <c r="E138" s="44"/>
      <c r="F138" s="44"/>
      <c r="G138" s="2"/>
      <c r="H138" s="2" t="s">
        <v>79</v>
      </c>
      <c r="I138" s="2"/>
      <c r="J138" s="2"/>
      <c r="K138" s="2">
        <v>0</v>
      </c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>
        <v>0</v>
      </c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15">
        <f>0.8*0.9072</f>
        <v>0.72576000000000007</v>
      </c>
      <c r="BB138" s="2"/>
      <c r="BC138" s="2"/>
      <c r="BD138" s="2"/>
      <c r="BE138" s="2"/>
      <c r="BF138" s="2"/>
      <c r="BG138" s="2"/>
      <c r="BH138" s="2"/>
      <c r="BI138" s="2">
        <v>0.7</v>
      </c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>
        <v>0</v>
      </c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>
        <v>0</v>
      </c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14" t="s">
        <v>100</v>
      </c>
      <c r="DM138" s="2"/>
      <c r="DN138" s="2">
        <f t="shared" si="8"/>
        <v>0.7</v>
      </c>
      <c r="DO138" s="2">
        <f t="shared" si="9"/>
        <v>0</v>
      </c>
      <c r="DP138" s="2" t="s">
        <v>481</v>
      </c>
      <c r="DQ138" s="2" t="s">
        <v>3</v>
      </c>
      <c r="DR138" s="19">
        <f t="shared" si="10"/>
        <v>0.72576000000000007</v>
      </c>
      <c r="DS138" s="2">
        <f t="shared" si="11"/>
        <v>0.7</v>
      </c>
      <c r="DT138" s="15">
        <f t="shared" si="12"/>
        <v>5.0803200000000004</v>
      </c>
      <c r="DU138" s="2"/>
      <c r="DV138" s="2">
        <f t="shared" si="13"/>
        <v>0</v>
      </c>
      <c r="DW138" s="2"/>
      <c r="DX138" s="2"/>
      <c r="DY138" s="2"/>
      <c r="DZ138" s="2" t="s">
        <v>3</v>
      </c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 t="s">
        <v>3</v>
      </c>
      <c r="FR138" s="2" t="s">
        <v>89</v>
      </c>
      <c r="FS138" s="2" t="s">
        <v>123</v>
      </c>
      <c r="FT138" s="2"/>
      <c r="FU138" s="2"/>
      <c r="FV138" s="2" t="s">
        <v>3</v>
      </c>
    </row>
    <row r="139" spans="1:178" ht="15.75" customHeight="1" x14ac:dyDescent="0.2">
      <c r="A139" s="14" t="s">
        <v>262</v>
      </c>
      <c r="B139" s="2" t="s">
        <v>85</v>
      </c>
      <c r="C139" s="16" t="s">
        <v>482</v>
      </c>
      <c r="D139" s="2"/>
      <c r="E139" s="2"/>
      <c r="F139" s="2"/>
      <c r="G139" s="2"/>
      <c r="H139" s="2" t="s">
        <v>483</v>
      </c>
      <c r="I139" s="2"/>
      <c r="J139" s="2"/>
      <c r="K139" s="2">
        <v>67.224999999999994</v>
      </c>
      <c r="L139" s="4">
        <v>5.4018565140117075E-2</v>
      </c>
      <c r="M139" s="4">
        <v>0.1403371335068799</v>
      </c>
      <c r="N139" s="2"/>
      <c r="O139" s="2"/>
      <c r="P139" s="2"/>
      <c r="Q139" s="2"/>
      <c r="R139" s="2"/>
      <c r="S139" s="4">
        <v>0.14504986907307207</v>
      </c>
      <c r="T139" s="2"/>
      <c r="U139" s="4">
        <v>2.2807834912606917</v>
      </c>
      <c r="V139" s="4">
        <v>1.8898124554853106</v>
      </c>
      <c r="W139" s="4">
        <v>0.36908769535143177</v>
      </c>
      <c r="X139" s="2"/>
      <c r="Y139" s="2"/>
      <c r="Z139" s="2"/>
      <c r="AA139" s="2"/>
      <c r="AB139" s="2"/>
      <c r="AC139" s="2"/>
      <c r="AD139" s="2"/>
      <c r="AE139" s="2"/>
      <c r="AF139" s="2">
        <v>137.98500000000001</v>
      </c>
      <c r="AG139" s="4">
        <v>8.38270200529182E-2</v>
      </c>
      <c r="AH139" s="4">
        <v>0.17986810160524694</v>
      </c>
      <c r="AI139" s="2"/>
      <c r="AJ139" s="2"/>
      <c r="AK139" s="2"/>
      <c r="AL139" s="2"/>
      <c r="AM139" s="2"/>
      <c r="AN139" s="4">
        <v>0.18418032380209357</v>
      </c>
      <c r="AO139" s="2"/>
      <c r="AP139" s="4">
        <v>1.7779394861760334</v>
      </c>
      <c r="AQ139" s="4">
        <v>1.0033939921005905</v>
      </c>
      <c r="AR139" s="4">
        <v>0.15246751458491861</v>
      </c>
      <c r="AS139" s="2"/>
      <c r="AT139" s="2"/>
      <c r="AU139" s="2"/>
      <c r="AV139" s="2"/>
      <c r="AW139" s="2"/>
      <c r="AX139" s="2"/>
      <c r="AY139" s="2"/>
      <c r="AZ139" s="2"/>
      <c r="BA139" s="2">
        <v>149.76300000000001</v>
      </c>
      <c r="BB139" s="4">
        <v>6.2464252950091399E-2</v>
      </c>
      <c r="BC139" s="4">
        <v>0.14772145389715749</v>
      </c>
      <c r="BD139" s="2"/>
      <c r="BE139" s="2"/>
      <c r="BF139" s="2"/>
      <c r="BG139" s="2"/>
      <c r="BH139" s="2"/>
      <c r="BI139" s="4">
        <v>0.156136777316737</v>
      </c>
      <c r="BJ139" s="2"/>
      <c r="BK139" s="4">
        <v>2.0666478219586946</v>
      </c>
      <c r="BL139" s="4">
        <v>1.5917558927104825</v>
      </c>
      <c r="BM139" s="4">
        <v>0.30358544086323058</v>
      </c>
      <c r="BN139" s="4"/>
      <c r="BO139" s="4"/>
      <c r="BP139" s="2"/>
      <c r="BQ139" s="2"/>
      <c r="BR139" s="2"/>
      <c r="BS139" s="2"/>
      <c r="BT139" s="2"/>
      <c r="BU139" s="2"/>
      <c r="BV139" s="2">
        <v>0</v>
      </c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>
        <v>0</v>
      </c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14" t="s">
        <v>81</v>
      </c>
      <c r="DM139" s="2"/>
      <c r="DN139" s="2">
        <f t="shared" si="8"/>
        <v>0.16493821110212786</v>
      </c>
      <c r="DO139" s="2">
        <f t="shared" si="9"/>
        <v>0</v>
      </c>
      <c r="DP139" s="2" t="s">
        <v>302</v>
      </c>
      <c r="DQ139" s="2" t="s">
        <v>3</v>
      </c>
      <c r="DR139" s="15">
        <f t="shared" si="10"/>
        <v>354.97300000000001</v>
      </c>
      <c r="DS139" s="4">
        <f t="shared" si="11"/>
        <v>0.16493821110212786</v>
      </c>
      <c r="DT139" s="15">
        <f t="shared" si="12"/>
        <v>585.48611609555633</v>
      </c>
      <c r="DU139" s="2"/>
      <c r="DV139" s="2">
        <f t="shared" si="13"/>
        <v>0</v>
      </c>
      <c r="DW139" s="2"/>
      <c r="DX139" s="2"/>
      <c r="DY139" s="2"/>
      <c r="DZ139" s="2" t="s">
        <v>3</v>
      </c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 t="s">
        <v>3</v>
      </c>
      <c r="FR139" s="2" t="s">
        <v>89</v>
      </c>
      <c r="FS139" s="2" t="s">
        <v>90</v>
      </c>
      <c r="FT139" s="2" t="s">
        <v>91</v>
      </c>
      <c r="FU139" s="2" t="s">
        <v>226</v>
      </c>
      <c r="FV139" s="2" t="s">
        <v>3</v>
      </c>
    </row>
    <row r="140" spans="1:178" ht="15.75" customHeight="1" x14ac:dyDescent="0.2">
      <c r="A140" s="12" t="s">
        <v>74</v>
      </c>
      <c r="B140" s="2" t="s">
        <v>189</v>
      </c>
      <c r="C140" s="13" t="s">
        <v>484</v>
      </c>
      <c r="D140" s="2" t="s">
        <v>99</v>
      </c>
      <c r="E140" s="44"/>
      <c r="F140" s="44"/>
      <c r="G140" s="2"/>
      <c r="H140" s="2" t="s">
        <v>79</v>
      </c>
      <c r="I140" s="2"/>
      <c r="J140" s="2"/>
      <c r="K140" s="2">
        <v>0</v>
      </c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>
        <v>0</v>
      </c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15">
        <f>37.5*0.9072</f>
        <v>34.020000000000003</v>
      </c>
      <c r="BB140" s="2"/>
      <c r="BC140" s="2"/>
      <c r="BD140" s="2"/>
      <c r="BE140" s="2"/>
      <c r="BF140" s="2"/>
      <c r="BG140" s="2"/>
      <c r="BH140" s="2"/>
      <c r="BI140" s="2">
        <v>0.86</v>
      </c>
      <c r="BJ140" s="2">
        <v>0.09</v>
      </c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>
        <v>0</v>
      </c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>
        <v>0</v>
      </c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14" t="s">
        <v>100</v>
      </c>
      <c r="DM140" s="2" t="s">
        <v>100</v>
      </c>
      <c r="DN140" s="2">
        <f t="shared" si="8"/>
        <v>0.86</v>
      </c>
      <c r="DO140" s="2">
        <f t="shared" si="9"/>
        <v>0.09</v>
      </c>
      <c r="DP140" s="2" t="s">
        <v>485</v>
      </c>
      <c r="DQ140" s="2" t="s">
        <v>3</v>
      </c>
      <c r="DR140" s="15">
        <f t="shared" si="10"/>
        <v>34.020000000000003</v>
      </c>
      <c r="DS140" s="2">
        <f t="shared" si="11"/>
        <v>0.86</v>
      </c>
      <c r="DT140" s="15">
        <f t="shared" si="12"/>
        <v>292.572</v>
      </c>
      <c r="DU140" s="2"/>
      <c r="DV140" s="2">
        <f t="shared" si="13"/>
        <v>0</v>
      </c>
      <c r="DW140" s="2"/>
      <c r="DX140" s="2"/>
      <c r="DY140" s="2"/>
      <c r="DZ140" s="2" t="s">
        <v>3</v>
      </c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 t="s">
        <v>3</v>
      </c>
      <c r="FR140" s="2" t="s">
        <v>37</v>
      </c>
      <c r="FS140" s="2" t="s">
        <v>106</v>
      </c>
      <c r="FT140" s="2" t="s">
        <v>106</v>
      </c>
      <c r="FU140" s="2"/>
      <c r="FV140" s="2" t="s">
        <v>3</v>
      </c>
    </row>
    <row r="141" spans="1:178" ht="15.75" customHeight="1" x14ac:dyDescent="0.2">
      <c r="A141" s="12" t="s">
        <v>74</v>
      </c>
      <c r="B141" s="2" t="s">
        <v>198</v>
      </c>
      <c r="C141" s="13" t="s">
        <v>486</v>
      </c>
      <c r="D141" s="2" t="s">
        <v>99</v>
      </c>
      <c r="E141" s="2"/>
      <c r="F141" s="2"/>
      <c r="G141" s="2" t="s">
        <v>78</v>
      </c>
      <c r="H141" s="2" t="s">
        <v>79</v>
      </c>
      <c r="I141" s="2"/>
      <c r="J141" s="2" t="s">
        <v>292</v>
      </c>
      <c r="K141" s="2">
        <v>0</v>
      </c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>
        <v>0</v>
      </c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>
        <v>27</v>
      </c>
      <c r="BB141" s="2"/>
      <c r="BC141" s="2"/>
      <c r="BD141" s="2"/>
      <c r="BE141" s="2"/>
      <c r="BF141" s="2"/>
      <c r="BG141" s="2"/>
      <c r="BH141" s="2"/>
      <c r="BI141" s="2">
        <v>2.2000000000000002</v>
      </c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>
        <v>0</v>
      </c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>
        <v>0</v>
      </c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14" t="s">
        <v>100</v>
      </c>
      <c r="DM141" s="2"/>
      <c r="DN141" s="2">
        <f t="shared" si="8"/>
        <v>2.2000000000000002</v>
      </c>
      <c r="DO141" s="2">
        <f t="shared" si="9"/>
        <v>0</v>
      </c>
      <c r="DP141" s="2" t="s">
        <v>113</v>
      </c>
      <c r="DQ141" s="2" t="s">
        <v>3</v>
      </c>
      <c r="DR141" s="2">
        <f t="shared" si="10"/>
        <v>27</v>
      </c>
      <c r="DS141" s="4">
        <f t="shared" si="11"/>
        <v>2.2000000000000002</v>
      </c>
      <c r="DT141" s="15">
        <f t="shared" si="12"/>
        <v>594.00000000000011</v>
      </c>
      <c r="DU141" s="2"/>
      <c r="DV141" s="2">
        <f t="shared" si="13"/>
        <v>0</v>
      </c>
      <c r="DW141" s="2"/>
      <c r="DX141" s="2"/>
      <c r="DY141" s="2"/>
      <c r="DZ141" s="2" t="s">
        <v>3</v>
      </c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 t="s">
        <v>3</v>
      </c>
      <c r="FR141" s="2" t="s">
        <v>37</v>
      </c>
      <c r="FS141" s="2" t="s">
        <v>235</v>
      </c>
      <c r="FT141" s="2"/>
      <c r="FU141" s="2"/>
      <c r="FV141" s="2" t="s">
        <v>3</v>
      </c>
    </row>
    <row r="142" spans="1:178" ht="15.75" customHeight="1" x14ac:dyDescent="0.2">
      <c r="A142" s="31" t="s">
        <v>487</v>
      </c>
      <c r="B142" s="2" t="s">
        <v>133</v>
      </c>
      <c r="C142" s="16" t="s">
        <v>488</v>
      </c>
      <c r="D142" s="2" t="s">
        <v>99</v>
      </c>
      <c r="E142" s="2"/>
      <c r="F142" s="2"/>
      <c r="G142" s="2"/>
      <c r="H142" s="2" t="s">
        <v>454</v>
      </c>
      <c r="I142" s="2"/>
      <c r="J142" s="2"/>
      <c r="K142" s="2">
        <v>13.97</v>
      </c>
      <c r="L142" s="2">
        <v>0.20799999999999999</v>
      </c>
      <c r="M142" s="2">
        <v>3.7999999999999999E-2</v>
      </c>
      <c r="N142" s="2">
        <v>1.847</v>
      </c>
      <c r="O142" s="2"/>
      <c r="P142" s="2"/>
      <c r="Q142" s="2"/>
      <c r="R142" s="2"/>
      <c r="S142" s="2">
        <v>8.9999999999999993E-3</v>
      </c>
      <c r="T142" s="2">
        <v>7.0000000000000001E-3</v>
      </c>
      <c r="U142" s="2">
        <v>2.5999999999999999E-2</v>
      </c>
      <c r="V142" s="2">
        <v>0.34100000000000003</v>
      </c>
      <c r="W142" s="2"/>
      <c r="X142" s="2"/>
      <c r="Y142" s="2"/>
      <c r="Z142" s="2"/>
      <c r="AA142" s="2"/>
      <c r="AB142" s="2"/>
      <c r="AC142" s="2"/>
      <c r="AD142" s="2"/>
      <c r="AE142" s="2"/>
      <c r="AF142" s="2">
        <v>37.54</v>
      </c>
      <c r="AG142" s="2">
        <v>0.216</v>
      </c>
      <c r="AH142" s="2">
        <v>3.9E-2</v>
      </c>
      <c r="AI142" s="2">
        <v>1.8879999999999999</v>
      </c>
      <c r="AJ142" s="2"/>
      <c r="AK142" s="2"/>
      <c r="AL142" s="2"/>
      <c r="AM142" s="2"/>
      <c r="AN142" s="2">
        <v>0.01</v>
      </c>
      <c r="AO142" s="2">
        <v>7.0000000000000001E-3</v>
      </c>
      <c r="AP142" s="2">
        <v>2.5999999999999999E-2</v>
      </c>
      <c r="AQ142" s="2">
        <v>0.36199999999999999</v>
      </c>
      <c r="AR142" s="2"/>
      <c r="AS142" s="2"/>
      <c r="AT142" s="2"/>
      <c r="AU142" s="2"/>
      <c r="AV142" s="2"/>
      <c r="AW142" s="2"/>
      <c r="AX142" s="2"/>
      <c r="AY142" s="2"/>
      <c r="AZ142" s="2"/>
      <c r="BA142" s="2">
        <v>17.920000000000002</v>
      </c>
      <c r="BB142" s="2">
        <v>0.20300000000000001</v>
      </c>
      <c r="BC142" s="2">
        <v>3.6999999999999998E-2</v>
      </c>
      <c r="BD142" s="2">
        <v>1.62</v>
      </c>
      <c r="BE142" s="2"/>
      <c r="BF142" s="2"/>
      <c r="BG142" s="2"/>
      <c r="BH142" s="2"/>
      <c r="BI142" s="2">
        <v>8.9999999999999993E-3</v>
      </c>
      <c r="BJ142" s="2">
        <v>6.0000000000000001E-3</v>
      </c>
      <c r="BK142" s="2">
        <v>2.5000000000000001E-2</v>
      </c>
      <c r="BL142" s="2">
        <v>0.34899999999999998</v>
      </c>
      <c r="BM142" s="2"/>
      <c r="BN142" s="2"/>
      <c r="BO142" s="2"/>
      <c r="BP142" s="2"/>
      <c r="BQ142" s="2"/>
      <c r="BR142" s="2"/>
      <c r="BS142" s="2"/>
      <c r="BT142" s="2"/>
      <c r="BU142" s="2"/>
      <c r="BV142" s="2">
        <v>0</v>
      </c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>
        <v>0</v>
      </c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14" t="s">
        <v>81</v>
      </c>
      <c r="DM142" s="2" t="s">
        <v>81</v>
      </c>
      <c r="DN142" s="2">
        <f t="shared" si="8"/>
        <v>9.5406884632003447E-3</v>
      </c>
      <c r="DO142" s="2">
        <f t="shared" si="9"/>
        <v>6.7418983148494881E-3</v>
      </c>
      <c r="DP142" s="2" t="s">
        <v>489</v>
      </c>
      <c r="DQ142" s="2" t="s">
        <v>3</v>
      </c>
      <c r="DR142" s="2">
        <f t="shared" si="10"/>
        <v>69.430000000000007</v>
      </c>
      <c r="DS142" s="2">
        <f t="shared" si="11"/>
        <v>9.5406884632003447E-3</v>
      </c>
      <c r="DT142" s="15">
        <f t="shared" si="12"/>
        <v>6.6240999999999994</v>
      </c>
      <c r="DU142" s="2"/>
      <c r="DV142" s="2">
        <f t="shared" si="13"/>
        <v>0</v>
      </c>
      <c r="DW142" s="2"/>
      <c r="DX142" s="2"/>
      <c r="DY142" s="2"/>
      <c r="DZ142" s="2" t="s">
        <v>3</v>
      </c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 t="s">
        <v>3</v>
      </c>
      <c r="FR142" s="2" t="s">
        <v>89</v>
      </c>
      <c r="FS142" s="2" t="s">
        <v>123</v>
      </c>
      <c r="FT142" s="2"/>
      <c r="FU142" s="2"/>
      <c r="FV142" s="2" t="s">
        <v>3</v>
      </c>
    </row>
    <row r="143" spans="1:178" ht="15.75" customHeight="1" x14ac:dyDescent="0.2">
      <c r="A143" s="14" t="s">
        <v>74</v>
      </c>
      <c r="B143" s="2" t="s">
        <v>164</v>
      </c>
      <c r="C143" s="13" t="s">
        <v>490</v>
      </c>
      <c r="D143" s="2" t="s">
        <v>99</v>
      </c>
      <c r="E143" s="2"/>
      <c r="F143" s="2"/>
      <c r="G143" s="2" t="s">
        <v>78</v>
      </c>
      <c r="H143" s="2" t="s">
        <v>369</v>
      </c>
      <c r="I143" s="2"/>
      <c r="J143" s="2" t="s">
        <v>242</v>
      </c>
      <c r="K143" s="2">
        <v>0</v>
      </c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>
        <v>0</v>
      </c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>
        <v>1.3</v>
      </c>
      <c r="BB143" s="2"/>
      <c r="BC143" s="2"/>
      <c r="BD143" s="2"/>
      <c r="BE143" s="2"/>
      <c r="BF143" s="2"/>
      <c r="BG143" s="2"/>
      <c r="BH143" s="2"/>
      <c r="BI143" s="2">
        <v>0.9</v>
      </c>
      <c r="BJ143" s="2">
        <v>7.0000000000000007E-2</v>
      </c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>
        <v>0</v>
      </c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>
        <v>0</v>
      </c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14" t="s">
        <v>81</v>
      </c>
      <c r="DM143" s="2" t="s">
        <v>81</v>
      </c>
      <c r="DN143" s="2">
        <f t="shared" si="8"/>
        <v>0.90000000000000013</v>
      </c>
      <c r="DO143" s="2">
        <f t="shared" si="9"/>
        <v>7.0000000000000007E-2</v>
      </c>
      <c r="DP143" s="2" t="s">
        <v>175</v>
      </c>
      <c r="DQ143" s="2" t="s">
        <v>3</v>
      </c>
      <c r="DR143" s="2">
        <f t="shared" si="10"/>
        <v>1.3</v>
      </c>
      <c r="DS143" s="2">
        <f t="shared" si="11"/>
        <v>0.90000000000000013</v>
      </c>
      <c r="DT143" s="15">
        <f t="shared" si="12"/>
        <v>11.700000000000003</v>
      </c>
      <c r="DU143" s="2"/>
      <c r="DV143" s="2">
        <f t="shared" si="13"/>
        <v>0</v>
      </c>
      <c r="DW143" s="2"/>
      <c r="DX143" s="2"/>
      <c r="DY143" s="2"/>
      <c r="DZ143" s="2" t="s">
        <v>3</v>
      </c>
      <c r="EA143" s="2" t="s">
        <v>340</v>
      </c>
      <c r="EB143" s="2" t="s">
        <v>176</v>
      </c>
      <c r="EC143" s="15">
        <v>117.128</v>
      </c>
      <c r="ED143" s="2" t="s">
        <v>176</v>
      </c>
      <c r="EE143" s="15">
        <v>42.360999999999997</v>
      </c>
      <c r="EF143" s="2" t="s">
        <v>176</v>
      </c>
      <c r="EG143" s="3">
        <v>283.95</v>
      </c>
      <c r="EH143" s="2"/>
      <c r="EI143" s="3">
        <f>EG143-EE143</f>
        <v>241.589</v>
      </c>
      <c r="EJ143" s="2"/>
      <c r="EK143" s="15">
        <f>ET143</f>
        <v>79.533680373831771</v>
      </c>
      <c r="EL143" s="15">
        <f>EC143+FD143</f>
        <v>196.66168037383176</v>
      </c>
      <c r="EM143" s="2" t="s">
        <v>340</v>
      </c>
      <c r="EN143" s="2" t="s">
        <v>176</v>
      </c>
      <c r="EO143" s="2" t="s">
        <v>176</v>
      </c>
      <c r="EP143" s="2" t="s">
        <v>176</v>
      </c>
      <c r="EQ143" s="2" t="s">
        <v>176</v>
      </c>
      <c r="ER143" s="15">
        <f>SUM(DR504:DR505)</f>
        <v>17.116</v>
      </c>
      <c r="ES143" s="4">
        <f>100*(ET143/1000)/ER143</f>
        <v>0.4646744588328568</v>
      </c>
      <c r="ET143" s="3">
        <f>SUM(DT504:DT505)</f>
        <v>79.533680373831771</v>
      </c>
      <c r="EU143" s="2">
        <f>COUNT(DT504:DT505)</f>
        <v>2</v>
      </c>
      <c r="EV143" s="2" t="s">
        <v>176</v>
      </c>
      <c r="EW143" s="2" t="s">
        <v>176</v>
      </c>
      <c r="EX143" s="2" t="s">
        <v>176</v>
      </c>
      <c r="EY143" s="2" t="s">
        <v>176</v>
      </c>
      <c r="EZ143" s="2" t="s">
        <v>176</v>
      </c>
      <c r="FA143" s="2" t="s">
        <v>176</v>
      </c>
      <c r="FB143" s="2" t="s">
        <v>176</v>
      </c>
      <c r="FC143" s="2" t="s">
        <v>176</v>
      </c>
      <c r="FD143" s="3">
        <f>SUM(EP143,ET143,EX143,FB143)</f>
        <v>79.533680373831771</v>
      </c>
      <c r="FE143" s="2" t="s">
        <v>176</v>
      </c>
      <c r="FF143" s="2" t="s">
        <v>176</v>
      </c>
      <c r="FG143" s="2" t="s">
        <v>176</v>
      </c>
      <c r="FH143" s="2" t="s">
        <v>176</v>
      </c>
      <c r="FI143" s="2" t="s">
        <v>176</v>
      </c>
      <c r="FJ143" s="2" t="s">
        <v>176</v>
      </c>
      <c r="FK143" s="2" t="s">
        <v>176</v>
      </c>
      <c r="FL143" s="2" t="s">
        <v>176</v>
      </c>
      <c r="FM143" s="2" t="s">
        <v>176</v>
      </c>
      <c r="FN143" s="2" t="s">
        <v>176</v>
      </c>
      <c r="FO143" s="2" t="s">
        <v>176</v>
      </c>
      <c r="FP143" s="2" t="s">
        <v>340</v>
      </c>
      <c r="FQ143" s="2" t="s">
        <v>3</v>
      </c>
      <c r="FR143" s="2" t="s">
        <v>37</v>
      </c>
      <c r="FS143" s="2" t="s">
        <v>383</v>
      </c>
      <c r="FT143" s="2" t="s">
        <v>383</v>
      </c>
      <c r="FU143" s="2"/>
      <c r="FV143" s="2" t="s">
        <v>3</v>
      </c>
    </row>
    <row r="144" spans="1:178" ht="15.75" customHeight="1" x14ac:dyDescent="0.2">
      <c r="A144" s="12" t="s">
        <v>74</v>
      </c>
      <c r="B144" s="2" t="s">
        <v>491</v>
      </c>
      <c r="C144" s="13" t="s">
        <v>492</v>
      </c>
      <c r="D144" s="2" t="s">
        <v>99</v>
      </c>
      <c r="E144" s="2"/>
      <c r="F144" s="2"/>
      <c r="G144" s="2"/>
      <c r="H144" s="2" t="s">
        <v>493</v>
      </c>
      <c r="I144" s="2"/>
      <c r="J144" s="2"/>
      <c r="K144" s="2">
        <v>0</v>
      </c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>
        <v>0</v>
      </c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>
        <v>44.89</v>
      </c>
      <c r="BB144" s="2"/>
      <c r="BC144" s="2"/>
      <c r="BD144" s="2"/>
      <c r="BE144" s="2"/>
      <c r="BF144" s="2"/>
      <c r="BG144" s="2"/>
      <c r="BH144" s="2"/>
      <c r="BI144" s="2">
        <v>1.28</v>
      </c>
      <c r="BJ144" s="2">
        <v>0.13</v>
      </c>
      <c r="BK144" s="2"/>
      <c r="BL144" s="2"/>
      <c r="BM144" s="2"/>
      <c r="BN144" s="2"/>
      <c r="BO144" s="2"/>
      <c r="BP144" s="2"/>
      <c r="BQ144" s="2">
        <v>41.27</v>
      </c>
      <c r="BR144" s="2"/>
      <c r="BS144" s="2">
        <v>29</v>
      </c>
      <c r="BT144" s="2"/>
      <c r="BU144" s="2"/>
      <c r="BV144" s="2">
        <v>0</v>
      </c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>
        <v>0</v>
      </c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14" t="s">
        <v>81</v>
      </c>
      <c r="DM144" s="2" t="s">
        <v>81</v>
      </c>
      <c r="DN144" s="2">
        <f t="shared" si="8"/>
        <v>1.28</v>
      </c>
      <c r="DO144" s="2">
        <f t="shared" si="9"/>
        <v>0.13</v>
      </c>
      <c r="DP144" s="2" t="s">
        <v>494</v>
      </c>
      <c r="DQ144" s="2" t="s">
        <v>3</v>
      </c>
      <c r="DR144" s="2">
        <f t="shared" si="10"/>
        <v>44.89</v>
      </c>
      <c r="DS144" s="2">
        <f t="shared" si="11"/>
        <v>1.28</v>
      </c>
      <c r="DT144" s="15">
        <f t="shared" si="12"/>
        <v>574.5920000000001</v>
      </c>
      <c r="DU144" s="2"/>
      <c r="DV144" s="2">
        <f t="shared" si="13"/>
        <v>0</v>
      </c>
      <c r="DW144" s="2"/>
      <c r="DX144" s="2"/>
      <c r="DY144" s="2"/>
      <c r="DZ144" s="2" t="s">
        <v>3</v>
      </c>
      <c r="EA144" s="2" t="s">
        <v>491</v>
      </c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 t="s">
        <v>491</v>
      </c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 t="s">
        <v>491</v>
      </c>
      <c r="FQ144" s="2" t="s">
        <v>3</v>
      </c>
      <c r="FR144" s="2" t="s">
        <v>37</v>
      </c>
      <c r="FS144" s="2" t="s">
        <v>151</v>
      </c>
      <c r="FT144" s="2"/>
      <c r="FU144" s="2"/>
      <c r="FV144" s="2" t="s">
        <v>3</v>
      </c>
    </row>
    <row r="145" spans="1:178" ht="15.75" customHeight="1" x14ac:dyDescent="0.2">
      <c r="A145" s="14" t="s">
        <v>96</v>
      </c>
      <c r="B145" s="2" t="s">
        <v>164</v>
      </c>
      <c r="C145" s="16" t="s">
        <v>495</v>
      </c>
      <c r="D145" s="2" t="s">
        <v>99</v>
      </c>
      <c r="E145" s="2"/>
      <c r="F145" s="2"/>
      <c r="G145" s="2" t="s">
        <v>179</v>
      </c>
      <c r="H145" s="2" t="s">
        <v>79</v>
      </c>
      <c r="I145" s="2"/>
      <c r="J145" s="2" t="s">
        <v>181</v>
      </c>
      <c r="K145" s="2">
        <v>0</v>
      </c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>
        <v>0</v>
      </c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>
        <v>0.39</v>
      </c>
      <c r="BB145" s="2"/>
      <c r="BC145" s="2"/>
      <c r="BD145" s="2"/>
      <c r="BE145" s="2"/>
      <c r="BF145" s="2"/>
      <c r="BG145" s="2"/>
      <c r="BH145" s="2"/>
      <c r="BI145" s="2">
        <v>3.78</v>
      </c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>
        <v>0</v>
      </c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>
        <v>0</v>
      </c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14" t="s">
        <v>81</v>
      </c>
      <c r="DM145" s="2"/>
      <c r="DN145" s="2">
        <f t="shared" si="8"/>
        <v>3.78</v>
      </c>
      <c r="DO145" s="2">
        <f t="shared" si="9"/>
        <v>0</v>
      </c>
      <c r="DP145" s="2" t="s">
        <v>175</v>
      </c>
      <c r="DQ145" s="2" t="s">
        <v>3</v>
      </c>
      <c r="DR145" s="2">
        <f t="shared" si="10"/>
        <v>0.39</v>
      </c>
      <c r="DS145" s="2">
        <f t="shared" si="11"/>
        <v>3.78</v>
      </c>
      <c r="DT145" s="15">
        <f t="shared" si="12"/>
        <v>14.741999999999997</v>
      </c>
      <c r="DU145" s="2"/>
      <c r="DV145" s="2">
        <f t="shared" si="13"/>
        <v>0</v>
      </c>
      <c r="DW145" s="2"/>
      <c r="DX145" s="2"/>
      <c r="DY145" s="2"/>
      <c r="DZ145" s="2" t="s">
        <v>3</v>
      </c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 t="s">
        <v>3</v>
      </c>
      <c r="FR145" s="2" t="s">
        <v>89</v>
      </c>
      <c r="FS145" s="2" t="s">
        <v>137</v>
      </c>
      <c r="FT145" s="2"/>
      <c r="FU145" s="2"/>
      <c r="FV145" s="2" t="s">
        <v>3</v>
      </c>
    </row>
    <row r="146" spans="1:178" ht="15.75" customHeight="1" x14ac:dyDescent="0.2">
      <c r="A146" s="14" t="s">
        <v>74</v>
      </c>
      <c r="B146" s="2" t="s">
        <v>164</v>
      </c>
      <c r="C146" s="13" t="s">
        <v>496</v>
      </c>
      <c r="D146" s="2" t="s">
        <v>99</v>
      </c>
      <c r="E146" s="2"/>
      <c r="F146" s="2"/>
      <c r="G146" s="2" t="s">
        <v>78</v>
      </c>
      <c r="H146" s="2" t="s">
        <v>497</v>
      </c>
      <c r="I146" s="2"/>
      <c r="J146" s="2" t="s">
        <v>348</v>
      </c>
      <c r="K146" s="2">
        <v>0</v>
      </c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19">
        <v>29.830577999999999</v>
      </c>
      <c r="AG146" s="2"/>
      <c r="AH146" s="2"/>
      <c r="AI146" s="2"/>
      <c r="AJ146" s="2"/>
      <c r="AK146" s="2"/>
      <c r="AL146" s="2"/>
      <c r="AM146" s="2"/>
      <c r="AN146" s="2">
        <v>0.8</v>
      </c>
      <c r="AO146" s="2">
        <v>7.1999999999999995E-2</v>
      </c>
      <c r="AP146" s="2"/>
      <c r="AQ146" s="2"/>
      <c r="AR146" s="2"/>
      <c r="AS146" s="2"/>
      <c r="AT146" s="2"/>
      <c r="AU146" s="2">
        <v>1.48</v>
      </c>
      <c r="AV146" s="2">
        <v>41</v>
      </c>
      <c r="AW146" s="2">
        <v>10.9</v>
      </c>
      <c r="AX146" s="2"/>
      <c r="AY146" s="2"/>
      <c r="AZ146" s="2"/>
      <c r="BA146" s="19">
        <v>18.627089999999999</v>
      </c>
      <c r="BB146" s="2"/>
      <c r="BC146" s="2"/>
      <c r="BD146" s="2"/>
      <c r="BE146" s="2"/>
      <c r="BF146" s="2"/>
      <c r="BG146" s="2"/>
      <c r="BH146" s="2"/>
      <c r="BI146" s="2">
        <v>0.42</v>
      </c>
      <c r="BJ146" s="2">
        <v>3.5000000000000003E-2</v>
      </c>
      <c r="BK146" s="2"/>
      <c r="BL146" s="2"/>
      <c r="BM146" s="2"/>
      <c r="BN146" s="2"/>
      <c r="BO146" s="2"/>
      <c r="BP146" s="2">
        <v>1.77</v>
      </c>
      <c r="BQ146" s="2">
        <v>41</v>
      </c>
      <c r="BR146" s="2">
        <v>10.9</v>
      </c>
      <c r="BS146" s="2"/>
      <c r="BT146" s="2"/>
      <c r="BU146" s="2"/>
      <c r="BV146" s="2">
        <v>0</v>
      </c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>
        <v>0</v>
      </c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14" t="s">
        <v>81</v>
      </c>
      <c r="DM146" s="2" t="s">
        <v>81</v>
      </c>
      <c r="DN146" s="2">
        <f t="shared" si="8"/>
        <v>0.65392829469218372</v>
      </c>
      <c r="DO146" s="2">
        <f t="shared" si="9"/>
        <v>5.7777228693712622E-2</v>
      </c>
      <c r="DP146" s="2" t="s">
        <v>175</v>
      </c>
      <c r="DQ146" s="2" t="s">
        <v>3</v>
      </c>
      <c r="DR146" s="4">
        <f t="shared" si="10"/>
        <v>48.457667999999998</v>
      </c>
      <c r="DS146" s="4">
        <f t="shared" si="11"/>
        <v>0.65392829469218372</v>
      </c>
      <c r="DT146" s="15">
        <f t="shared" si="12"/>
        <v>316.87840199999999</v>
      </c>
      <c r="DU146" s="2"/>
      <c r="DV146" s="2">
        <f t="shared" si="13"/>
        <v>0</v>
      </c>
      <c r="DW146" s="2"/>
      <c r="DX146" s="2"/>
      <c r="DY146" s="2"/>
      <c r="DZ146" s="2" t="s">
        <v>3</v>
      </c>
      <c r="EA146" s="2" t="s">
        <v>498</v>
      </c>
      <c r="EB146" s="2" t="s">
        <v>176</v>
      </c>
      <c r="EC146" s="2" t="s">
        <v>176</v>
      </c>
      <c r="ED146" s="2" t="s">
        <v>176</v>
      </c>
      <c r="EE146" s="2" t="s">
        <v>176</v>
      </c>
      <c r="EF146" s="2" t="s">
        <v>176</v>
      </c>
      <c r="EG146" s="3">
        <v>1671.7500000000002</v>
      </c>
      <c r="EH146" s="2"/>
      <c r="EI146" s="3">
        <v>1671.7500000000002</v>
      </c>
      <c r="EJ146" s="2"/>
      <c r="EK146" s="15">
        <f>ET146</f>
        <v>654.32360000000006</v>
      </c>
      <c r="EL146" s="15">
        <f>FD146</f>
        <v>654.32360000000006</v>
      </c>
      <c r="EM146" s="2" t="s">
        <v>498</v>
      </c>
      <c r="EN146" s="2" t="s">
        <v>176</v>
      </c>
      <c r="EO146" s="2" t="s">
        <v>176</v>
      </c>
      <c r="EP146" s="2" t="s">
        <v>176</v>
      </c>
      <c r="EQ146" s="2" t="s">
        <v>176</v>
      </c>
      <c r="ER146" s="15">
        <f>SUM(DR608:DR609)</f>
        <v>114.9736</v>
      </c>
      <c r="ES146" s="4">
        <f>100*(ET146/1000)/ER146</f>
        <v>0.56910769080902046</v>
      </c>
      <c r="ET146" s="15">
        <f>SUM(DT608:DT609)</f>
        <v>654.32360000000006</v>
      </c>
      <c r="EU146" s="2">
        <f>COUNT(DT608:DT609)</f>
        <v>2</v>
      </c>
      <c r="EV146" s="2" t="s">
        <v>176</v>
      </c>
      <c r="EW146" s="2" t="s">
        <v>176</v>
      </c>
      <c r="EX146" s="2" t="s">
        <v>176</v>
      </c>
      <c r="EY146" s="2" t="s">
        <v>176</v>
      </c>
      <c r="EZ146" s="2" t="s">
        <v>176</v>
      </c>
      <c r="FA146" s="2" t="s">
        <v>176</v>
      </c>
      <c r="FB146" s="2" t="s">
        <v>176</v>
      </c>
      <c r="FC146" s="2" t="s">
        <v>176</v>
      </c>
      <c r="FD146" s="3">
        <f t="shared" ref="FD146:FD147" si="26">SUM(EP146,ET146,EX146,FB146)</f>
        <v>654.32360000000006</v>
      </c>
      <c r="FE146" s="2" t="s">
        <v>176</v>
      </c>
      <c r="FF146" s="2" t="s">
        <v>176</v>
      </c>
      <c r="FG146" s="2" t="s">
        <v>176</v>
      </c>
      <c r="FH146" s="2" t="s">
        <v>176</v>
      </c>
      <c r="FI146" s="2" t="s">
        <v>176</v>
      </c>
      <c r="FJ146" s="2" t="s">
        <v>176</v>
      </c>
      <c r="FK146" s="2" t="s">
        <v>176</v>
      </c>
      <c r="FL146" s="2" t="s">
        <v>176</v>
      </c>
      <c r="FM146" s="2" t="s">
        <v>176</v>
      </c>
      <c r="FN146" s="2" t="s">
        <v>176</v>
      </c>
      <c r="FO146" s="2" t="s">
        <v>176</v>
      </c>
      <c r="FP146" s="2" t="s">
        <v>498</v>
      </c>
      <c r="FQ146" s="2" t="s">
        <v>3</v>
      </c>
      <c r="FR146" s="2" t="s">
        <v>37</v>
      </c>
      <c r="FS146" s="2" t="s">
        <v>244</v>
      </c>
      <c r="FT146" s="2"/>
      <c r="FU146" s="2"/>
      <c r="FV146" s="2" t="s">
        <v>3</v>
      </c>
    </row>
    <row r="147" spans="1:178" ht="15.75" customHeight="1" x14ac:dyDescent="0.2">
      <c r="A147" s="14" t="s">
        <v>74</v>
      </c>
      <c r="B147" s="2" t="s">
        <v>164</v>
      </c>
      <c r="C147" s="13" t="s">
        <v>499</v>
      </c>
      <c r="D147" s="2" t="s">
        <v>99</v>
      </c>
      <c r="E147" s="2"/>
      <c r="F147" s="2"/>
      <c r="G147" s="2" t="s">
        <v>78</v>
      </c>
      <c r="H147" s="2" t="s">
        <v>79</v>
      </c>
      <c r="I147" s="2"/>
      <c r="J147" s="2" t="s">
        <v>500</v>
      </c>
      <c r="K147" s="2">
        <v>0</v>
      </c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>
        <v>0</v>
      </c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19">
        <v>7.7690999999999996E-2</v>
      </c>
      <c r="BB147" s="2"/>
      <c r="BC147" s="2"/>
      <c r="BD147" s="2"/>
      <c r="BE147" s="2"/>
      <c r="BF147" s="2"/>
      <c r="BG147" s="2"/>
      <c r="BH147" s="2"/>
      <c r="BI147" s="2">
        <v>0.3</v>
      </c>
      <c r="BJ147" s="2">
        <v>0.44600000000000001</v>
      </c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>
        <v>0</v>
      </c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>
        <v>0</v>
      </c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14" t="s">
        <v>100</v>
      </c>
      <c r="DM147" s="2" t="s">
        <v>100</v>
      </c>
      <c r="DN147" s="2">
        <f t="shared" si="8"/>
        <v>0.3</v>
      </c>
      <c r="DO147" s="2">
        <f t="shared" si="9"/>
        <v>0.44600000000000001</v>
      </c>
      <c r="DP147" s="2" t="s">
        <v>501</v>
      </c>
      <c r="DQ147" s="2" t="s">
        <v>3</v>
      </c>
      <c r="DR147" s="19">
        <f t="shared" si="10"/>
        <v>7.7690999999999996E-2</v>
      </c>
      <c r="DS147" s="2">
        <f t="shared" si="11"/>
        <v>0.3</v>
      </c>
      <c r="DT147" s="15">
        <f t="shared" si="12"/>
        <v>0.233073</v>
      </c>
      <c r="DU147" s="2"/>
      <c r="DV147" s="2">
        <f t="shared" si="13"/>
        <v>0</v>
      </c>
      <c r="DW147" s="2"/>
      <c r="DX147" s="2"/>
      <c r="DY147" s="2"/>
      <c r="DZ147" s="2" t="s">
        <v>3</v>
      </c>
      <c r="EA147" s="2" t="s">
        <v>193</v>
      </c>
      <c r="EB147" s="15">
        <v>3.2719999999999998</v>
      </c>
      <c r="EC147" s="2" t="s">
        <v>176</v>
      </c>
      <c r="ED147" s="2" t="s">
        <v>176</v>
      </c>
      <c r="EE147" s="2" t="s">
        <v>176</v>
      </c>
      <c r="EF147" s="3">
        <v>1534.91984</v>
      </c>
      <c r="EG147" s="2" t="s">
        <v>176</v>
      </c>
      <c r="EH147" s="3">
        <v>1534.91984</v>
      </c>
      <c r="EI147" s="2"/>
      <c r="EJ147" s="3">
        <f>SUM(EP147,EX147,FB147)</f>
        <v>0</v>
      </c>
      <c r="EK147" s="2"/>
      <c r="EL147" s="3">
        <f>EB147+FD147</f>
        <v>3.2719999999999998</v>
      </c>
      <c r="EM147" s="2" t="s">
        <v>193</v>
      </c>
      <c r="EN147" s="15">
        <f>SUM(DR680:DR689)</f>
        <v>0</v>
      </c>
      <c r="EO147" s="4" t="e">
        <f>100*(EP147/1000)/EN147</f>
        <v>#DIV/0!</v>
      </c>
      <c r="EP147" s="15">
        <f>SUM(DT680:DT689)</f>
        <v>0</v>
      </c>
      <c r="EQ147" s="2">
        <f>COUNT(DT680:DT689)</f>
        <v>0</v>
      </c>
      <c r="ER147" s="2" t="s">
        <v>176</v>
      </c>
      <c r="ES147" s="2" t="s">
        <v>176</v>
      </c>
      <c r="ET147" s="2" t="s">
        <v>176</v>
      </c>
      <c r="EU147" s="2" t="s">
        <v>176</v>
      </c>
      <c r="EV147" s="3">
        <f>SUM(DR678:DR679)</f>
        <v>0</v>
      </c>
      <c r="EW147" s="19" t="e">
        <f>100*(EX147/1000)/EV147</f>
        <v>#DIV/0!</v>
      </c>
      <c r="EX147" s="3">
        <f>SUM(DT678:DT679)</f>
        <v>0</v>
      </c>
      <c r="EY147" s="2">
        <f>COUNT(DT678:DT679)</f>
        <v>0</v>
      </c>
      <c r="EZ147" s="2" t="s">
        <v>176</v>
      </c>
      <c r="FA147" s="2" t="s">
        <v>176</v>
      </c>
      <c r="FB147" s="2" t="s">
        <v>176</v>
      </c>
      <c r="FC147" s="2" t="s">
        <v>176</v>
      </c>
      <c r="FD147" s="3">
        <f t="shared" si="26"/>
        <v>0</v>
      </c>
      <c r="FE147" s="2" t="s">
        <v>176</v>
      </c>
      <c r="FF147" s="2" t="s">
        <v>176</v>
      </c>
      <c r="FG147" s="2" t="s">
        <v>176</v>
      </c>
      <c r="FH147" s="2" t="s">
        <v>176</v>
      </c>
      <c r="FI147" s="2" t="s">
        <v>176</v>
      </c>
      <c r="FJ147" s="2" t="s">
        <v>176</v>
      </c>
      <c r="FK147" s="2" t="s">
        <v>176</v>
      </c>
      <c r="FL147" s="2" t="s">
        <v>176</v>
      </c>
      <c r="FM147" s="2" t="s">
        <v>176</v>
      </c>
      <c r="FN147" s="2" t="s">
        <v>176</v>
      </c>
      <c r="FO147" s="2" t="s">
        <v>176</v>
      </c>
      <c r="FP147" s="2" t="s">
        <v>193</v>
      </c>
      <c r="FQ147" s="2" t="s">
        <v>3</v>
      </c>
      <c r="FR147" s="2" t="s">
        <v>37</v>
      </c>
      <c r="FS147" s="2" t="s">
        <v>114</v>
      </c>
      <c r="FT147" s="2"/>
      <c r="FU147" s="2"/>
      <c r="FV147" s="2" t="s">
        <v>3</v>
      </c>
    </row>
    <row r="148" spans="1:178" ht="15.75" customHeight="1" x14ac:dyDescent="0.2">
      <c r="A148" s="12" t="s">
        <v>74</v>
      </c>
      <c r="B148" s="2" t="s">
        <v>502</v>
      </c>
      <c r="C148" s="13" t="s">
        <v>503</v>
      </c>
      <c r="D148" s="2" t="s">
        <v>99</v>
      </c>
      <c r="E148" s="2"/>
      <c r="F148" s="2"/>
      <c r="G148" s="2"/>
      <c r="H148" s="2" t="s">
        <v>504</v>
      </c>
      <c r="I148" s="2"/>
      <c r="J148" s="2"/>
      <c r="K148" s="2">
        <v>0</v>
      </c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>
        <v>0</v>
      </c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>
        <v>9.6999999999999993</v>
      </c>
      <c r="BB148" s="2"/>
      <c r="BC148" s="2"/>
      <c r="BD148" s="2"/>
      <c r="BE148" s="2"/>
      <c r="BF148" s="2"/>
      <c r="BG148" s="2"/>
      <c r="BH148" s="2"/>
      <c r="BI148" s="2">
        <v>0.91</v>
      </c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>
        <v>0</v>
      </c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>
        <v>0</v>
      </c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14" t="s">
        <v>100</v>
      </c>
      <c r="DM148" s="2"/>
      <c r="DN148" s="2">
        <f t="shared" si="8"/>
        <v>0.91</v>
      </c>
      <c r="DO148" s="2">
        <f t="shared" si="9"/>
        <v>0</v>
      </c>
      <c r="DP148" s="2" t="s">
        <v>113</v>
      </c>
      <c r="DQ148" s="2" t="s">
        <v>3</v>
      </c>
      <c r="DR148" s="2">
        <f t="shared" si="10"/>
        <v>9.6999999999999993</v>
      </c>
      <c r="DS148" s="2">
        <f t="shared" si="11"/>
        <v>0.91</v>
      </c>
      <c r="DT148" s="15">
        <f t="shared" si="12"/>
        <v>88.27</v>
      </c>
      <c r="DU148" s="2"/>
      <c r="DV148" s="2">
        <f t="shared" si="13"/>
        <v>0</v>
      </c>
      <c r="DW148" s="2"/>
      <c r="DX148" s="2"/>
      <c r="DY148" s="2"/>
      <c r="DZ148" s="2" t="s">
        <v>3</v>
      </c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 t="s">
        <v>3</v>
      </c>
      <c r="FR148" s="2" t="s">
        <v>37</v>
      </c>
      <c r="FS148" s="2" t="s">
        <v>342</v>
      </c>
      <c r="FT148" s="2" t="s">
        <v>342</v>
      </c>
      <c r="FU148" s="2"/>
      <c r="FV148" s="2" t="s">
        <v>3</v>
      </c>
    </row>
    <row r="149" spans="1:178" ht="15.75" customHeight="1" x14ac:dyDescent="0.2">
      <c r="A149" s="12" t="s">
        <v>74</v>
      </c>
      <c r="B149" s="2" t="s">
        <v>421</v>
      </c>
      <c r="C149" s="13" t="s">
        <v>505</v>
      </c>
      <c r="D149" s="2" t="s">
        <v>109</v>
      </c>
      <c r="E149" s="2"/>
      <c r="F149" s="2"/>
      <c r="G149" s="2" t="s">
        <v>78</v>
      </c>
      <c r="H149" s="2" t="s">
        <v>200</v>
      </c>
      <c r="I149" s="2"/>
      <c r="J149" s="2" t="s">
        <v>80</v>
      </c>
      <c r="K149" s="2">
        <v>0</v>
      </c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>
        <v>0</v>
      </c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15">
        <f>122.3-2.561-2.919-3.03-2.62</f>
        <v>111.17</v>
      </c>
      <c r="BB149" s="2"/>
      <c r="BC149" s="2"/>
      <c r="BD149" s="2"/>
      <c r="BE149" s="2"/>
      <c r="BF149" s="2"/>
      <c r="BG149" s="2"/>
      <c r="BH149" s="2"/>
      <c r="BI149" s="4">
        <f>(1.42*122.3-1.41*2.561-1.53*2.919-1.47*3.03-1.46*2.62)/BA149</f>
        <v>1.4150366105963839</v>
      </c>
      <c r="BJ149" s="2">
        <v>0.11</v>
      </c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>
        <v>0</v>
      </c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>
        <v>0</v>
      </c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14" t="s">
        <v>81</v>
      </c>
      <c r="DM149" s="2" t="s">
        <v>81</v>
      </c>
      <c r="DN149" s="2">
        <f t="shared" si="8"/>
        <v>1.4150366105963839</v>
      </c>
      <c r="DO149" s="2">
        <f t="shared" si="9"/>
        <v>0.11</v>
      </c>
      <c r="DP149" s="2" t="s">
        <v>506</v>
      </c>
      <c r="DQ149" s="2" t="s">
        <v>3</v>
      </c>
      <c r="DR149" s="15">
        <f t="shared" si="10"/>
        <v>111.17</v>
      </c>
      <c r="DS149" s="4">
        <f t="shared" si="11"/>
        <v>1.4150366105963839</v>
      </c>
      <c r="DT149" s="18">
        <f t="shared" si="12"/>
        <v>1573.0962</v>
      </c>
      <c r="DU149" s="2"/>
      <c r="DV149" s="2">
        <f t="shared" si="13"/>
        <v>0</v>
      </c>
      <c r="DW149" s="2"/>
      <c r="DX149" s="2"/>
      <c r="DY149" s="2"/>
      <c r="DZ149" s="2" t="s">
        <v>3</v>
      </c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 t="s">
        <v>3</v>
      </c>
      <c r="FR149" s="2" t="s">
        <v>37</v>
      </c>
      <c r="FS149" s="2" t="s">
        <v>151</v>
      </c>
      <c r="FT149" s="2" t="s">
        <v>151</v>
      </c>
      <c r="FU149" s="2"/>
      <c r="FV149" s="2" t="s">
        <v>3</v>
      </c>
    </row>
    <row r="150" spans="1:178" ht="15.75" customHeight="1" x14ac:dyDescent="0.2">
      <c r="A150" s="14" t="s">
        <v>96</v>
      </c>
      <c r="B150" s="2" t="s">
        <v>133</v>
      </c>
      <c r="C150" s="16" t="s">
        <v>507</v>
      </c>
      <c r="D150" s="2" t="s">
        <v>99</v>
      </c>
      <c r="E150" s="2"/>
      <c r="F150" s="2"/>
      <c r="G150" s="2"/>
      <c r="H150" s="2" t="s">
        <v>508</v>
      </c>
      <c r="I150" s="2"/>
      <c r="J150" s="2"/>
      <c r="K150" s="2">
        <v>0</v>
      </c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>
        <v>15.564</v>
      </c>
      <c r="AG150" s="2">
        <v>7.0000000000000007E-2</v>
      </c>
      <c r="AH150" s="2"/>
      <c r="AI150" s="2"/>
      <c r="AJ150" s="2"/>
      <c r="AK150" s="2"/>
      <c r="AL150" s="2"/>
      <c r="AM150" s="2"/>
      <c r="AN150" s="2">
        <v>0.72</v>
      </c>
      <c r="AO150" s="2">
        <v>0.02</v>
      </c>
      <c r="AP150" s="2">
        <v>0.14000000000000001</v>
      </c>
      <c r="AQ150" s="2">
        <v>0.34</v>
      </c>
      <c r="AR150" s="2"/>
      <c r="AS150" s="2"/>
      <c r="AT150" s="2"/>
      <c r="AU150" s="2"/>
      <c r="AV150" s="2"/>
      <c r="AW150" s="2"/>
      <c r="AX150" s="2"/>
      <c r="AY150" s="2"/>
      <c r="AZ150" s="2"/>
      <c r="BA150" s="19">
        <v>2.9994000000000001</v>
      </c>
      <c r="BB150" s="2">
        <v>0.04</v>
      </c>
      <c r="BC150" s="2"/>
      <c r="BD150" s="2"/>
      <c r="BE150" s="2"/>
      <c r="BF150" s="2"/>
      <c r="BG150" s="2"/>
      <c r="BH150" s="2"/>
      <c r="BI150" s="2">
        <v>0.43</v>
      </c>
      <c r="BJ150" s="2">
        <v>0.01</v>
      </c>
      <c r="BK150" s="2">
        <v>0.06</v>
      </c>
      <c r="BL150" s="2">
        <v>0.15</v>
      </c>
      <c r="BM150" s="2"/>
      <c r="BN150" s="2"/>
      <c r="BO150" s="2"/>
      <c r="BP150" s="2"/>
      <c r="BQ150" s="2"/>
      <c r="BR150" s="2"/>
      <c r="BS150" s="2"/>
      <c r="BT150" s="2"/>
      <c r="BU150" s="2"/>
      <c r="BV150" s="2">
        <v>0</v>
      </c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>
        <v>0</v>
      </c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14" t="s">
        <v>81</v>
      </c>
      <c r="DM150" s="2" t="s">
        <v>81</v>
      </c>
      <c r="DN150" s="2">
        <f t="shared" si="8"/>
        <v>0.67314295872523344</v>
      </c>
      <c r="DO150" s="2">
        <f t="shared" si="9"/>
        <v>1.8384239956042533E-2</v>
      </c>
      <c r="DP150" s="2" t="s">
        <v>509</v>
      </c>
      <c r="DQ150" s="2" t="s">
        <v>3</v>
      </c>
      <c r="DR150" s="4">
        <f t="shared" si="10"/>
        <v>18.563400000000001</v>
      </c>
      <c r="DS150" s="4">
        <f t="shared" si="11"/>
        <v>0.67314295872523344</v>
      </c>
      <c r="DT150" s="15">
        <f t="shared" si="12"/>
        <v>124.95822</v>
      </c>
      <c r="DU150" s="2"/>
      <c r="DV150" s="2">
        <f t="shared" si="13"/>
        <v>0</v>
      </c>
      <c r="DW150" s="2"/>
      <c r="DX150" s="2"/>
      <c r="DY150" s="2"/>
      <c r="DZ150" s="2" t="s">
        <v>3</v>
      </c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 t="s">
        <v>3</v>
      </c>
      <c r="FR150" s="2" t="s">
        <v>89</v>
      </c>
      <c r="FS150" s="2" t="s">
        <v>137</v>
      </c>
      <c r="FT150" s="2"/>
      <c r="FU150" s="2"/>
      <c r="FV150" s="2" t="s">
        <v>3</v>
      </c>
    </row>
    <row r="151" spans="1:178" ht="15.75" customHeight="1" x14ac:dyDescent="0.2">
      <c r="A151" s="14" t="s">
        <v>262</v>
      </c>
      <c r="B151" s="2" t="s">
        <v>85</v>
      </c>
      <c r="C151" s="16" t="s">
        <v>510</v>
      </c>
      <c r="D151" s="2"/>
      <c r="E151" s="2"/>
      <c r="F151" s="2"/>
      <c r="G151" s="2"/>
      <c r="H151" s="2" t="s">
        <v>511</v>
      </c>
      <c r="I151" s="2"/>
      <c r="J151" s="2"/>
      <c r="K151" s="2">
        <v>0</v>
      </c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>
        <v>12.2</v>
      </c>
      <c r="AG151" s="4">
        <v>6.0789089661712092E-2</v>
      </c>
      <c r="AH151" s="4">
        <v>6.0000000000000005E-2</v>
      </c>
      <c r="AI151" s="2"/>
      <c r="AJ151" s="2"/>
      <c r="AK151" s="2"/>
      <c r="AL151" s="2"/>
      <c r="AM151" s="2"/>
      <c r="AN151" s="4">
        <v>0.15393774011700964</v>
      </c>
      <c r="AO151" s="2"/>
      <c r="AP151" s="4">
        <v>2.35</v>
      </c>
      <c r="AQ151" s="4">
        <v>1.83</v>
      </c>
      <c r="AR151" s="4">
        <v>0.33999999999999997</v>
      </c>
      <c r="AS151" s="2"/>
      <c r="AT151" s="2"/>
      <c r="AU151" s="2"/>
      <c r="AV151" s="2"/>
      <c r="AW151" s="2"/>
      <c r="AX151" s="2"/>
      <c r="AY151" s="2"/>
      <c r="AZ151" s="2"/>
      <c r="BA151" s="2">
        <v>0</v>
      </c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>
        <v>0</v>
      </c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>
        <v>0</v>
      </c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14" t="s">
        <v>81</v>
      </c>
      <c r="DM151" s="2"/>
      <c r="DN151" s="2">
        <f t="shared" si="8"/>
        <v>0.15393774011700964</v>
      </c>
      <c r="DO151" s="2">
        <f t="shared" si="9"/>
        <v>0</v>
      </c>
      <c r="DP151" s="2" t="s">
        <v>512</v>
      </c>
      <c r="DQ151" s="2" t="s">
        <v>3</v>
      </c>
      <c r="DR151" s="2">
        <f t="shared" si="10"/>
        <v>12.2</v>
      </c>
      <c r="DS151" s="4">
        <f t="shared" si="11"/>
        <v>0.15393774011700964</v>
      </c>
      <c r="DT151" s="15">
        <f t="shared" si="12"/>
        <v>18.780404294275176</v>
      </c>
      <c r="DU151" s="2"/>
      <c r="DV151" s="2">
        <f t="shared" si="13"/>
        <v>0</v>
      </c>
      <c r="DW151" s="2"/>
      <c r="DX151" s="2"/>
      <c r="DY151" s="2"/>
      <c r="DZ151" s="2" t="s">
        <v>3</v>
      </c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 t="s">
        <v>3</v>
      </c>
      <c r="FR151" s="2" t="s">
        <v>89</v>
      </c>
      <c r="FS151" s="2" t="s">
        <v>90</v>
      </c>
      <c r="FT151" s="2" t="s">
        <v>91</v>
      </c>
      <c r="FU151" s="2" t="s">
        <v>226</v>
      </c>
      <c r="FV151" s="2" t="s">
        <v>3</v>
      </c>
    </row>
    <row r="152" spans="1:178" ht="15.75" customHeight="1" x14ac:dyDescent="0.2">
      <c r="A152" s="12" t="s">
        <v>74</v>
      </c>
      <c r="B152" s="2" t="s">
        <v>243</v>
      </c>
      <c r="C152" s="13" t="s">
        <v>513</v>
      </c>
      <c r="D152" s="2" t="s">
        <v>99</v>
      </c>
      <c r="E152" s="2"/>
      <c r="F152" s="2"/>
      <c r="G152" s="2"/>
      <c r="H152" s="2" t="s">
        <v>79</v>
      </c>
      <c r="I152" s="2"/>
      <c r="J152" s="2"/>
      <c r="K152" s="2">
        <v>0</v>
      </c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>
        <v>0</v>
      </c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>
        <v>44.4</v>
      </c>
      <c r="BB152" s="2"/>
      <c r="BC152" s="2"/>
      <c r="BD152" s="2"/>
      <c r="BE152" s="2"/>
      <c r="BF152" s="2"/>
      <c r="BG152" s="2"/>
      <c r="BH152" s="2"/>
      <c r="BI152" s="2" t="s">
        <v>514</v>
      </c>
      <c r="BJ152" s="2">
        <v>0.08</v>
      </c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>
        <v>0</v>
      </c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>
        <v>0</v>
      </c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14" t="s">
        <v>100</v>
      </c>
      <c r="DM152" s="2" t="s">
        <v>100</v>
      </c>
      <c r="DN152" s="2">
        <f t="shared" si="8"/>
        <v>0.89</v>
      </c>
      <c r="DO152" s="2">
        <f t="shared" si="9"/>
        <v>0.08</v>
      </c>
      <c r="DP152" s="2" t="s">
        <v>113</v>
      </c>
      <c r="DQ152" s="2" t="s">
        <v>3</v>
      </c>
      <c r="DR152" s="2">
        <f t="shared" si="10"/>
        <v>44.4</v>
      </c>
      <c r="DS152" s="2">
        <f t="shared" si="11"/>
        <v>0.89</v>
      </c>
      <c r="DT152" s="15">
        <f t="shared" si="12"/>
        <v>395.16</v>
      </c>
      <c r="DU152" s="2"/>
      <c r="DV152" s="2">
        <f t="shared" si="13"/>
        <v>0</v>
      </c>
      <c r="DW152" s="2"/>
      <c r="DX152" s="2"/>
      <c r="DY152" s="2"/>
      <c r="DZ152" s="2" t="s">
        <v>3</v>
      </c>
      <c r="EA152" s="2" t="s">
        <v>243</v>
      </c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 t="s">
        <v>243</v>
      </c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 t="s">
        <v>243</v>
      </c>
      <c r="FQ152" s="2" t="s">
        <v>3</v>
      </c>
      <c r="FR152" s="2" t="s">
        <v>37</v>
      </c>
      <c r="FS152" s="2" t="s">
        <v>235</v>
      </c>
      <c r="FT152" s="2" t="s">
        <v>235</v>
      </c>
      <c r="FU152" s="2"/>
      <c r="FV152" s="2" t="s">
        <v>3</v>
      </c>
    </row>
    <row r="153" spans="1:178" ht="15.75" customHeight="1" x14ac:dyDescent="0.2">
      <c r="A153" s="14" t="s">
        <v>96</v>
      </c>
      <c r="B153" s="2" t="s">
        <v>193</v>
      </c>
      <c r="C153" s="21" t="s">
        <v>515</v>
      </c>
      <c r="D153" s="2" t="s">
        <v>99</v>
      </c>
      <c r="E153" s="2"/>
      <c r="F153" s="2"/>
      <c r="G153" s="2"/>
      <c r="H153" s="2" t="s">
        <v>516</v>
      </c>
      <c r="I153" s="2"/>
      <c r="J153" s="2"/>
      <c r="K153" s="2">
        <v>0</v>
      </c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>
        <v>0</v>
      </c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18">
        <v>2600</v>
      </c>
      <c r="BB153" s="2"/>
      <c r="BC153" s="2"/>
      <c r="BD153" s="2"/>
      <c r="BE153" s="19">
        <f>0.015/1.179</f>
        <v>1.2722646310432569E-2</v>
      </c>
      <c r="BF153" s="2">
        <v>0.02</v>
      </c>
      <c r="BG153" s="2"/>
      <c r="BH153" s="2">
        <v>0.04</v>
      </c>
      <c r="BI153" s="2">
        <v>0.03</v>
      </c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>
        <v>0.26</v>
      </c>
      <c r="BV153" s="2">
        <v>0</v>
      </c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>
        <v>0</v>
      </c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14" t="s">
        <v>81</v>
      </c>
      <c r="DM153" s="2"/>
      <c r="DN153" s="2">
        <f t="shared" si="8"/>
        <v>0.03</v>
      </c>
      <c r="DO153" s="2">
        <f t="shared" si="9"/>
        <v>0</v>
      </c>
      <c r="DP153" s="2" t="s">
        <v>211</v>
      </c>
      <c r="DQ153" s="2" t="s">
        <v>3</v>
      </c>
      <c r="DR153" s="18">
        <f t="shared" si="10"/>
        <v>2600</v>
      </c>
      <c r="DS153" s="2">
        <f t="shared" si="11"/>
        <v>0.03</v>
      </c>
      <c r="DT153" s="15">
        <f t="shared" si="12"/>
        <v>780</v>
      </c>
      <c r="DU153" s="2"/>
      <c r="DV153" s="2">
        <f t="shared" si="13"/>
        <v>0</v>
      </c>
      <c r="DW153" s="2"/>
      <c r="DX153" s="2"/>
      <c r="DY153" s="2"/>
      <c r="DZ153" s="2" t="s">
        <v>3</v>
      </c>
      <c r="EA153" s="2" t="s">
        <v>193</v>
      </c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 t="s">
        <v>193</v>
      </c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 t="s">
        <v>193</v>
      </c>
      <c r="FQ153" s="2" t="s">
        <v>3</v>
      </c>
      <c r="FR153" s="2" t="s">
        <v>183</v>
      </c>
      <c r="FS153" s="2" t="s">
        <v>288</v>
      </c>
      <c r="FT153" s="2" t="s">
        <v>289</v>
      </c>
      <c r="FU153" s="2" t="s">
        <v>290</v>
      </c>
      <c r="FV153" s="2" t="s">
        <v>3</v>
      </c>
    </row>
    <row r="154" spans="1:178" ht="15.75" customHeight="1" x14ac:dyDescent="0.2">
      <c r="A154" s="14" t="s">
        <v>96</v>
      </c>
      <c r="B154" s="2" t="s">
        <v>124</v>
      </c>
      <c r="C154" s="16" t="s">
        <v>517</v>
      </c>
      <c r="D154" s="2" t="s">
        <v>99</v>
      </c>
      <c r="E154" s="2"/>
      <c r="F154" s="2"/>
      <c r="G154" s="2"/>
      <c r="H154" s="2" t="s">
        <v>518</v>
      </c>
      <c r="I154" s="2"/>
      <c r="J154" s="2"/>
      <c r="K154" s="2">
        <v>0</v>
      </c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>
        <v>0</v>
      </c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>
        <v>23.2</v>
      </c>
      <c r="BB154" s="2">
        <v>0.21</v>
      </c>
      <c r="BC154" s="4">
        <v>0.1</v>
      </c>
      <c r="BD154" s="2"/>
      <c r="BE154" s="2"/>
      <c r="BF154" s="2"/>
      <c r="BG154" s="2"/>
      <c r="BH154" s="2"/>
      <c r="BI154" s="2">
        <v>0.14000000000000001</v>
      </c>
      <c r="BJ154" s="19">
        <v>4.3E-3</v>
      </c>
      <c r="BK154" s="2">
        <v>0.12</v>
      </c>
      <c r="BL154" s="2">
        <v>0.31</v>
      </c>
      <c r="BM154" s="2"/>
      <c r="BN154" s="2"/>
      <c r="BO154" s="2"/>
      <c r="BP154" s="2"/>
      <c r="BQ154" s="2"/>
      <c r="BR154" s="2"/>
      <c r="BS154" s="2"/>
      <c r="BT154" s="2"/>
      <c r="BU154" s="2"/>
      <c r="BV154" s="2">
        <v>0</v>
      </c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>
        <v>0</v>
      </c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14" t="s">
        <v>81</v>
      </c>
      <c r="DM154" s="2"/>
      <c r="DN154" s="2">
        <f t="shared" si="8"/>
        <v>0.14000000000000001</v>
      </c>
      <c r="DO154" s="2">
        <f t="shared" si="9"/>
        <v>4.3E-3</v>
      </c>
      <c r="DP154" s="2" t="s">
        <v>519</v>
      </c>
      <c r="DQ154" s="2" t="s">
        <v>3</v>
      </c>
      <c r="DR154" s="2">
        <f t="shared" si="10"/>
        <v>23.2</v>
      </c>
      <c r="DS154" s="2">
        <f t="shared" si="11"/>
        <v>0.14000000000000001</v>
      </c>
      <c r="DT154" s="15">
        <f t="shared" si="12"/>
        <v>32.480000000000004</v>
      </c>
      <c r="DU154" s="2"/>
      <c r="DV154" s="2">
        <f t="shared" si="13"/>
        <v>0</v>
      </c>
      <c r="DW154" s="2"/>
      <c r="DX154" s="2"/>
      <c r="DY154" s="2"/>
      <c r="DZ154" s="2" t="s">
        <v>3</v>
      </c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 t="s">
        <v>3</v>
      </c>
      <c r="FR154" s="2" t="s">
        <v>89</v>
      </c>
      <c r="FS154" s="2" t="s">
        <v>123</v>
      </c>
      <c r="FT154" s="2"/>
      <c r="FU154" s="2"/>
      <c r="FV154" s="2" t="s">
        <v>3</v>
      </c>
    </row>
    <row r="155" spans="1:178" ht="15.75" customHeight="1" x14ac:dyDescent="0.2">
      <c r="A155" s="14" t="s">
        <v>96</v>
      </c>
      <c r="B155" s="2" t="s">
        <v>97</v>
      </c>
      <c r="C155" s="16" t="s">
        <v>520</v>
      </c>
      <c r="D155" s="2" t="s">
        <v>99</v>
      </c>
      <c r="E155" s="2"/>
      <c r="F155" s="2"/>
      <c r="G155" s="2"/>
      <c r="H155" s="2" t="s">
        <v>79</v>
      </c>
      <c r="I155" s="2"/>
      <c r="J155" s="2"/>
      <c r="K155" s="2">
        <v>0</v>
      </c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>
        <v>0</v>
      </c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>
        <v>0.3</v>
      </c>
      <c r="BB155" s="2">
        <v>0.59</v>
      </c>
      <c r="BC155" s="2"/>
      <c r="BD155" s="2"/>
      <c r="BE155" s="2"/>
      <c r="BF155" s="2"/>
      <c r="BG155" s="2"/>
      <c r="BH155" s="2">
        <v>0.7</v>
      </c>
      <c r="BI155" s="2">
        <v>0.49</v>
      </c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>
        <v>0</v>
      </c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>
        <v>0</v>
      </c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14" t="s">
        <v>100</v>
      </c>
      <c r="DM155" s="2"/>
      <c r="DN155" s="2">
        <f t="shared" si="8"/>
        <v>0.49</v>
      </c>
      <c r="DO155" s="2">
        <f t="shared" si="9"/>
        <v>0</v>
      </c>
      <c r="DP155" s="2" t="s">
        <v>521</v>
      </c>
      <c r="DQ155" s="2" t="s">
        <v>3</v>
      </c>
      <c r="DR155" s="2">
        <f t="shared" si="10"/>
        <v>0.3</v>
      </c>
      <c r="DS155" s="2">
        <f t="shared" si="11"/>
        <v>0.49</v>
      </c>
      <c r="DT155" s="15">
        <f t="shared" si="12"/>
        <v>1.47</v>
      </c>
      <c r="DU155" s="2"/>
      <c r="DV155" s="2">
        <f t="shared" si="13"/>
        <v>0</v>
      </c>
      <c r="DW155" s="2"/>
      <c r="DX155" s="2"/>
      <c r="DY155" s="2"/>
      <c r="DZ155" s="2" t="s">
        <v>3</v>
      </c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 t="s">
        <v>3</v>
      </c>
      <c r="FR155" s="2" t="s">
        <v>89</v>
      </c>
      <c r="FS155" s="2" t="s">
        <v>522</v>
      </c>
      <c r="FT155" s="2"/>
      <c r="FU155" s="2"/>
      <c r="FV155" s="2" t="s">
        <v>3</v>
      </c>
    </row>
    <row r="156" spans="1:178" ht="15.75" customHeight="1" x14ac:dyDescent="0.2">
      <c r="A156" s="14" t="s">
        <v>96</v>
      </c>
      <c r="B156" s="24" t="s">
        <v>202</v>
      </c>
      <c r="C156" s="16" t="s">
        <v>523</v>
      </c>
      <c r="D156" s="2"/>
      <c r="E156" s="2"/>
      <c r="F156" s="2"/>
      <c r="G156" s="2"/>
      <c r="H156" s="2" t="s">
        <v>79</v>
      </c>
      <c r="I156" s="2"/>
      <c r="J156" s="2"/>
      <c r="K156" s="2">
        <v>0</v>
      </c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>
        <v>0</v>
      </c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>
        <v>35</v>
      </c>
      <c r="BB156" s="2">
        <v>0.3</v>
      </c>
      <c r="BC156" s="2"/>
      <c r="BD156" s="2"/>
      <c r="BE156" s="2"/>
      <c r="BF156" s="2"/>
      <c r="BG156" s="2"/>
      <c r="BH156" s="2"/>
      <c r="BI156" s="2">
        <v>0.6</v>
      </c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14" t="s">
        <v>100</v>
      </c>
      <c r="DM156" s="2"/>
      <c r="DN156" s="2">
        <f t="shared" si="8"/>
        <v>0.6</v>
      </c>
      <c r="DO156" s="2">
        <f t="shared" si="9"/>
        <v>0</v>
      </c>
      <c r="DP156" s="2" t="s">
        <v>204</v>
      </c>
      <c r="DQ156" s="2" t="s">
        <v>3</v>
      </c>
      <c r="DR156" s="2">
        <f t="shared" si="10"/>
        <v>35</v>
      </c>
      <c r="DS156" s="2">
        <f t="shared" si="11"/>
        <v>0.6</v>
      </c>
      <c r="DT156" s="15">
        <f t="shared" si="12"/>
        <v>210</v>
      </c>
      <c r="DU156" s="2"/>
      <c r="DV156" s="2">
        <f t="shared" si="13"/>
        <v>0</v>
      </c>
      <c r="DW156" s="2"/>
      <c r="DX156" s="2"/>
      <c r="DY156" s="2"/>
      <c r="DZ156" s="2" t="s">
        <v>3</v>
      </c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 t="s">
        <v>3</v>
      </c>
      <c r="FR156" s="2" t="s">
        <v>89</v>
      </c>
      <c r="FS156" s="2" t="s">
        <v>123</v>
      </c>
      <c r="FT156" s="2"/>
      <c r="FU156" s="2"/>
      <c r="FV156" s="2" t="s">
        <v>3</v>
      </c>
    </row>
    <row r="157" spans="1:178" ht="15.75" customHeight="1" x14ac:dyDescent="0.2">
      <c r="A157" s="12" t="s">
        <v>74</v>
      </c>
      <c r="B157" s="2" t="s">
        <v>198</v>
      </c>
      <c r="C157" s="13" t="s">
        <v>524</v>
      </c>
      <c r="D157" s="2" t="s">
        <v>99</v>
      </c>
      <c r="E157" s="2"/>
      <c r="F157" s="2"/>
      <c r="G157" s="2" t="s">
        <v>78</v>
      </c>
      <c r="H157" s="2"/>
      <c r="I157" s="2"/>
      <c r="J157" s="2"/>
      <c r="K157" s="2">
        <f>0.018+0.69</f>
        <v>0.70799999999999996</v>
      </c>
      <c r="L157" s="2"/>
      <c r="M157" s="2"/>
      <c r="N157" s="2"/>
      <c r="O157" s="2"/>
      <c r="P157" s="2"/>
      <c r="Q157" s="2"/>
      <c r="R157" s="2"/>
      <c r="S157" s="15">
        <f>(1.7*0.018+1.8*0.69)/K157</f>
        <v>1.797457627118644</v>
      </c>
      <c r="T157" s="4">
        <f>(0.03*0.018+0.05*0.69)/K157</f>
        <v>4.949152542372881E-2</v>
      </c>
      <c r="U157" s="2"/>
      <c r="V157" s="2"/>
      <c r="W157" s="2"/>
      <c r="X157" s="2"/>
      <c r="Y157" s="2"/>
      <c r="Z157" s="2"/>
      <c r="AA157" s="15">
        <f>(1.7*0.018+1.8*0.69)/K157</f>
        <v>1.797457627118644</v>
      </c>
      <c r="AB157" s="2"/>
      <c r="AC157" s="2"/>
      <c r="AD157" s="2"/>
      <c r="AE157" s="2"/>
      <c r="AF157" s="2">
        <f>5.5+1.2+0.35+6.4+0.89+0.21</f>
        <v>14.55</v>
      </c>
      <c r="AG157" s="2"/>
      <c r="AH157" s="2"/>
      <c r="AI157" s="2"/>
      <c r="AJ157" s="2"/>
      <c r="AK157" s="2"/>
      <c r="AL157" s="2"/>
      <c r="AM157" s="2"/>
      <c r="AN157" s="15">
        <f>(1.9*5.5+1.8*1.2+1.8*0.35+1.8*6.4+1.9*0.89+1.7*0.21)/AF157</f>
        <v>1.8424742268041236</v>
      </c>
      <c r="AO157" s="4">
        <f>(0.04*5.5+0.05*1.2+0.07*0.35+0.08*6.4+0.09*0.89+0.03*0.21)/AF157</f>
        <v>6.2054982817869413E-2</v>
      </c>
      <c r="AP157" s="2"/>
      <c r="AQ157" s="2"/>
      <c r="AR157" s="2"/>
      <c r="AS157" s="2"/>
      <c r="AT157" s="2"/>
      <c r="AU157" s="2"/>
      <c r="AV157" s="15">
        <f>(15*5.5+6.1*1.2+16*0.35+17*6.4+40*0.89+16*0.21)/AF157</f>
        <v>16.713402061855671</v>
      </c>
      <c r="AW157" s="2"/>
      <c r="AX157" s="2"/>
      <c r="AY157" s="2"/>
      <c r="AZ157" s="2"/>
      <c r="BA157" s="2">
        <f>0.3+0.9+17+2.7+0.2+0.6+0.1</f>
        <v>21.8</v>
      </c>
      <c r="BB157" s="2"/>
      <c r="BC157" s="2"/>
      <c r="BD157" s="2"/>
      <c r="BE157" s="2"/>
      <c r="BF157" s="2"/>
      <c r="BG157" s="2"/>
      <c r="BH157" s="2"/>
      <c r="BI157" s="15">
        <f>(2*0.3+1.9*0.9+1.8*17+1.7*2.7+1.9*0.2+2*0.6+1.7*0.1)/BA157</f>
        <v>1.8004587155963305</v>
      </c>
      <c r="BJ157" s="4">
        <f>(0.04*0.3+0.05*0.9+0.05*17+0.08*2.7+0.09*0.2+0.03*0.6+0.04*0.1)/BA157</f>
        <v>5.334862385321102E-2</v>
      </c>
      <c r="BK157" s="2"/>
      <c r="BL157" s="2"/>
      <c r="BM157" s="2"/>
      <c r="BN157" s="2"/>
      <c r="BO157" s="2"/>
      <c r="BP157" s="2"/>
      <c r="BQ157" s="15">
        <f>(17*0.3+12*0.9+17*17+17*2.7+41*0.2+15*0.6+16*0.1)/BA157</f>
        <v>16.954128440366972</v>
      </c>
      <c r="BR157" s="2"/>
      <c r="BS157" s="2"/>
      <c r="BT157" s="2"/>
      <c r="BU157" s="2"/>
      <c r="BV157" s="2">
        <v>0</v>
      </c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>
        <v>0</v>
      </c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14" t="s">
        <v>81</v>
      </c>
      <c r="DM157" s="2" t="s">
        <v>81</v>
      </c>
      <c r="DN157" s="2">
        <f t="shared" si="8"/>
        <v>1.8168978358249233</v>
      </c>
      <c r="DO157" s="2">
        <f t="shared" si="9"/>
        <v>5.6693291596956137E-2</v>
      </c>
      <c r="DP157" s="2" t="s">
        <v>525</v>
      </c>
      <c r="DQ157" s="2" t="s">
        <v>3</v>
      </c>
      <c r="DR157" s="4">
        <f t="shared" si="10"/>
        <v>37.058</v>
      </c>
      <c r="DS157" s="4">
        <f t="shared" si="11"/>
        <v>1.8168978358249233</v>
      </c>
      <c r="DT157" s="15">
        <f t="shared" si="12"/>
        <v>673.30600000000004</v>
      </c>
      <c r="DU157" s="2"/>
      <c r="DV157" s="2">
        <f t="shared" si="13"/>
        <v>0</v>
      </c>
      <c r="DW157" s="2"/>
      <c r="DX157" s="2"/>
      <c r="DY157" s="2"/>
      <c r="DZ157" s="2" t="s">
        <v>3</v>
      </c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 t="s">
        <v>3</v>
      </c>
      <c r="FR157" s="2" t="s">
        <v>37</v>
      </c>
      <c r="FS157" s="2" t="s">
        <v>235</v>
      </c>
      <c r="FT157" s="2"/>
      <c r="FU157" s="2"/>
      <c r="FV157" s="2" t="s">
        <v>3</v>
      </c>
    </row>
    <row r="158" spans="1:178" ht="15.75" customHeight="1" x14ac:dyDescent="0.2">
      <c r="A158" s="14" t="s">
        <v>526</v>
      </c>
      <c r="B158" s="2" t="s">
        <v>189</v>
      </c>
      <c r="C158" s="21" t="s">
        <v>527</v>
      </c>
      <c r="D158" s="2" t="s">
        <v>99</v>
      </c>
      <c r="E158" s="44"/>
      <c r="F158" s="44"/>
      <c r="G158" s="2"/>
      <c r="H158" s="2" t="s">
        <v>79</v>
      </c>
      <c r="I158" s="2"/>
      <c r="J158" s="2"/>
      <c r="K158" s="2">
        <v>0</v>
      </c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>
        <v>0</v>
      </c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>
        <v>3.55</v>
      </c>
      <c r="BB158" s="2">
        <v>0.34</v>
      </c>
      <c r="BC158" s="2"/>
      <c r="BD158" s="2"/>
      <c r="BE158" s="2"/>
      <c r="BF158" s="2"/>
      <c r="BG158" s="2">
        <v>4.5999999999999996</v>
      </c>
      <c r="BH158" s="2">
        <v>1.4</v>
      </c>
      <c r="BI158" s="4">
        <f>1.3*BJ158</f>
        <v>0.10400000000000001</v>
      </c>
      <c r="BJ158" s="2">
        <v>0.08</v>
      </c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>
        <v>0</v>
      </c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>
        <v>0</v>
      </c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14" t="s">
        <v>100</v>
      </c>
      <c r="DM158" s="2" t="s">
        <v>100</v>
      </c>
      <c r="DN158" s="2">
        <f t="shared" si="8"/>
        <v>0.10400000000000001</v>
      </c>
      <c r="DO158" s="2">
        <f t="shared" si="9"/>
        <v>0.08</v>
      </c>
      <c r="DP158" s="2" t="s">
        <v>528</v>
      </c>
      <c r="DQ158" s="2" t="s">
        <v>3</v>
      </c>
      <c r="DR158" s="2">
        <f t="shared" si="10"/>
        <v>3.55</v>
      </c>
      <c r="DS158" s="2">
        <f t="shared" si="11"/>
        <v>0.10400000000000001</v>
      </c>
      <c r="DT158" s="15">
        <f t="shared" si="12"/>
        <v>3.6920000000000006</v>
      </c>
      <c r="DU158" s="2"/>
      <c r="DV158" s="2">
        <f t="shared" si="13"/>
        <v>0</v>
      </c>
      <c r="DW158" s="2"/>
      <c r="DX158" s="2"/>
      <c r="DY158" s="2"/>
      <c r="DZ158" s="2" t="s">
        <v>3</v>
      </c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 t="s">
        <v>3</v>
      </c>
      <c r="FR158" s="2" t="s">
        <v>183</v>
      </c>
      <c r="FS158" s="2" t="s">
        <v>529</v>
      </c>
      <c r="FT158" s="2" t="s">
        <v>530</v>
      </c>
      <c r="FU158" s="2"/>
      <c r="FV158" s="2" t="s">
        <v>3</v>
      </c>
    </row>
    <row r="159" spans="1:178" ht="15.75" customHeight="1" x14ac:dyDescent="0.2">
      <c r="A159" s="12" t="s">
        <v>74</v>
      </c>
      <c r="B159" s="2" t="s">
        <v>75</v>
      </c>
      <c r="C159" s="13" t="s">
        <v>531</v>
      </c>
      <c r="D159" s="2" t="s">
        <v>109</v>
      </c>
      <c r="E159" s="2"/>
      <c r="F159" s="2"/>
      <c r="G159" s="2" t="s">
        <v>78</v>
      </c>
      <c r="H159" s="2" t="s">
        <v>304</v>
      </c>
      <c r="I159" s="2"/>
      <c r="J159" s="2" t="s">
        <v>141</v>
      </c>
      <c r="K159" s="2">
        <v>0</v>
      </c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4">
        <f>7.617+9.108</f>
        <v>16.725000000000001</v>
      </c>
      <c r="AG159" s="2"/>
      <c r="AH159" s="2"/>
      <c r="AI159" s="2"/>
      <c r="AJ159" s="2"/>
      <c r="AK159" s="2"/>
      <c r="AL159" s="2"/>
      <c r="AM159" s="2"/>
      <c r="AN159" s="4">
        <f>(1.28*7.617+1.06*9.108)/AF159</f>
        <v>1.1601937219730942</v>
      </c>
      <c r="AO159" s="2"/>
      <c r="AP159" s="2"/>
      <c r="AQ159" s="2"/>
      <c r="AR159" s="2"/>
      <c r="AS159" s="2"/>
      <c r="AT159" s="2"/>
      <c r="AU159" s="2"/>
      <c r="AV159" s="4">
        <f>(12.43*7.617+40.46*9.108)/AF159</f>
        <v>27.694408968609864</v>
      </c>
      <c r="AW159" s="2"/>
      <c r="AX159" s="2"/>
      <c r="AY159" s="2"/>
      <c r="AZ159" s="4">
        <f>100*((11.55+13.965)-(7.617+9.108))/(11.55+13.965)</f>
        <v>34.450323339212225</v>
      </c>
      <c r="BA159" s="4">
        <f>1.879+0.933</f>
        <v>2.8120000000000003</v>
      </c>
      <c r="BB159" s="2"/>
      <c r="BC159" s="2"/>
      <c r="BD159" s="2"/>
      <c r="BE159" s="2"/>
      <c r="BF159" s="2"/>
      <c r="BG159" s="2"/>
      <c r="BH159" s="2"/>
      <c r="BI159" s="4">
        <f>(1.24*1.879+1.13*0.933)/BA159</f>
        <v>1.2035028449502132</v>
      </c>
      <c r="BJ159" s="2"/>
      <c r="BK159" s="2"/>
      <c r="BL159" s="2"/>
      <c r="BM159" s="2"/>
      <c r="BN159" s="2"/>
      <c r="BO159" s="2"/>
      <c r="BP159" s="2"/>
      <c r="BQ159" s="4">
        <f>(12.15*1.879+37.74*0.933)/BA159</f>
        <v>20.640565433854906</v>
      </c>
      <c r="BR159" s="2"/>
      <c r="BS159" s="2"/>
      <c r="BT159" s="2"/>
      <c r="BU159" s="4">
        <f>100*((2.891+1.436)-(1.879+0.933))/(2.891+1.436)</f>
        <v>35.012710885139811</v>
      </c>
      <c r="BV159" s="2">
        <v>0</v>
      </c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4">
        <f>0.938+2.02</f>
        <v>2.9580000000000002</v>
      </c>
      <c r="CR159" s="2"/>
      <c r="CS159" s="2"/>
      <c r="CT159" s="2"/>
      <c r="CU159" s="2"/>
      <c r="CV159" s="2"/>
      <c r="CW159" s="2"/>
      <c r="CX159" s="2"/>
      <c r="CY159" s="4">
        <f>(1.5*0.938+1.09*2.02)/CQ159</f>
        <v>1.2200135226504394</v>
      </c>
      <c r="CZ159" s="2"/>
      <c r="DA159" s="2"/>
      <c r="DB159" s="2"/>
      <c r="DC159" s="2"/>
      <c r="DD159" s="2"/>
      <c r="DE159" s="2"/>
      <c r="DF159" s="2"/>
      <c r="DG159" s="4">
        <f>(12.9*0.938+41.62*2.02)/CQ159</f>
        <v>32.512711291413119</v>
      </c>
      <c r="DH159" s="2"/>
      <c r="DI159" s="2"/>
      <c r="DJ159" s="2"/>
      <c r="DK159" s="4">
        <f>100*((1.437+3.072)-(0.938+2.02))/(1.437+3.072)</f>
        <v>34.397870924817035</v>
      </c>
      <c r="DL159" s="14" t="s">
        <v>81</v>
      </c>
      <c r="DM159" s="2"/>
      <c r="DN159" s="2">
        <f t="shared" si="8"/>
        <v>1.1664272918052925</v>
      </c>
      <c r="DO159" s="2">
        <f t="shared" si="9"/>
        <v>0</v>
      </c>
      <c r="DP159" s="2" t="s">
        <v>211</v>
      </c>
      <c r="DQ159" s="2" t="s">
        <v>3</v>
      </c>
      <c r="DR159" s="4">
        <f t="shared" si="10"/>
        <v>19.537000000000003</v>
      </c>
      <c r="DS159" s="4">
        <f t="shared" si="11"/>
        <v>1.1664272918052925</v>
      </c>
      <c r="DT159" s="15">
        <f t="shared" si="12"/>
        <v>227.88490000000002</v>
      </c>
      <c r="DU159" s="2"/>
      <c r="DV159" s="4">
        <f t="shared" si="13"/>
        <v>2.9580000000000002</v>
      </c>
      <c r="DW159" s="4">
        <f t="shared" ref="DW159:DW160" si="27">(BV159*CD159+CQ159*CY159)/DV159</f>
        <v>1.2200135226504394</v>
      </c>
      <c r="DX159" s="15">
        <f t="shared" ref="DX159:DX160" si="28">1000*DV159*DW159/100</f>
        <v>36.087999999999994</v>
      </c>
      <c r="DY159" s="2"/>
      <c r="DZ159" s="2" t="s">
        <v>3</v>
      </c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 t="s">
        <v>3</v>
      </c>
      <c r="FR159" s="2" t="s">
        <v>37</v>
      </c>
      <c r="FS159" s="2" t="s">
        <v>229</v>
      </c>
      <c r="FT159" s="2" t="s">
        <v>106</v>
      </c>
      <c r="FU159" s="2"/>
      <c r="FV159" s="2" t="s">
        <v>3</v>
      </c>
    </row>
    <row r="160" spans="1:178" ht="15.75" customHeight="1" x14ac:dyDescent="0.2">
      <c r="A160" s="14" t="s">
        <v>96</v>
      </c>
      <c r="B160" s="2" t="s">
        <v>124</v>
      </c>
      <c r="C160" s="16" t="s">
        <v>532</v>
      </c>
      <c r="D160" s="2" t="s">
        <v>120</v>
      </c>
      <c r="E160" s="2"/>
      <c r="F160" s="2"/>
      <c r="G160" s="2"/>
      <c r="H160" s="2" t="s">
        <v>79</v>
      </c>
      <c r="I160" s="2"/>
      <c r="J160" s="2" t="s">
        <v>181</v>
      </c>
      <c r="K160" s="2">
        <f>0.149+0.072</f>
        <v>0.22099999999999997</v>
      </c>
      <c r="L160" s="4">
        <f>(0.2*0.149+0.29*0.072)/K160</f>
        <v>0.2293212669683258</v>
      </c>
      <c r="M160" s="2"/>
      <c r="N160" s="2"/>
      <c r="O160" s="2"/>
      <c r="P160" s="2"/>
      <c r="Q160" s="2"/>
      <c r="R160" s="2"/>
      <c r="S160" s="4">
        <f>(0.59*0.149+0.7*0.072)/K160</f>
        <v>0.62583710407239823</v>
      </c>
      <c r="T160" s="2">
        <v>0.02</v>
      </c>
      <c r="U160" s="2">
        <v>0.1</v>
      </c>
      <c r="V160" s="2">
        <v>0.1</v>
      </c>
      <c r="W160" s="2"/>
      <c r="X160" s="2"/>
      <c r="Y160" s="2"/>
      <c r="Z160" s="2"/>
      <c r="AA160" s="2"/>
      <c r="AB160" s="2"/>
      <c r="AC160" s="2"/>
      <c r="AD160" s="2"/>
      <c r="AE160" s="2"/>
      <c r="AF160" s="2">
        <f>0.487+1.02+0.931+1.604</f>
        <v>4.0419999999999998</v>
      </c>
      <c r="AG160" s="4">
        <f>(0.26*0.487+0.13*1.02+0.23*0.931+0.13*1.604)/AF160</f>
        <v>0.16869619000494807</v>
      </c>
      <c r="AH160" s="2"/>
      <c r="AI160" s="2"/>
      <c r="AJ160" s="2"/>
      <c r="AK160" s="2"/>
      <c r="AL160" s="2"/>
      <c r="AM160" s="2"/>
      <c r="AN160" s="4">
        <f>(0.6*0.487+0.38*1.02+0.65*0.931+0.42*1.604)/AF160</f>
        <v>0.48456952003958442</v>
      </c>
      <c r="AO160" s="2">
        <v>0.02</v>
      </c>
      <c r="AP160" s="2">
        <v>0.1</v>
      </c>
      <c r="AQ160" s="2">
        <v>0.1</v>
      </c>
      <c r="AR160" s="2"/>
      <c r="AS160" s="2"/>
      <c r="AT160" s="2"/>
      <c r="AU160" s="2"/>
      <c r="AV160" s="2"/>
      <c r="AW160" s="2"/>
      <c r="AX160" s="2"/>
      <c r="AY160" s="2"/>
      <c r="AZ160" s="2"/>
      <c r="BA160" s="2">
        <v>0.45700000000000002</v>
      </c>
      <c r="BB160" s="2">
        <v>0.31</v>
      </c>
      <c r="BC160" s="2"/>
      <c r="BD160" s="2"/>
      <c r="BE160" s="2"/>
      <c r="BF160" s="2"/>
      <c r="BG160" s="2"/>
      <c r="BH160" s="2"/>
      <c r="BI160" s="2">
        <v>0.72</v>
      </c>
      <c r="BJ160" s="2">
        <v>0.02</v>
      </c>
      <c r="BK160" s="2">
        <v>0.1</v>
      </c>
      <c r="BL160" s="2">
        <v>0.1</v>
      </c>
      <c r="BM160" s="2"/>
      <c r="BN160" s="2"/>
      <c r="BO160" s="2"/>
      <c r="BP160" s="2"/>
      <c r="BQ160" s="2"/>
      <c r="BR160" s="2"/>
      <c r="BS160" s="2"/>
      <c r="BT160" s="2"/>
      <c r="BU160" s="2"/>
      <c r="BV160" s="2">
        <v>0.14899999999999999</v>
      </c>
      <c r="BW160" s="2">
        <v>0.2</v>
      </c>
      <c r="BX160" s="2"/>
      <c r="BY160" s="2"/>
      <c r="BZ160" s="2"/>
      <c r="CA160" s="2"/>
      <c r="CB160" s="2"/>
      <c r="CC160" s="2"/>
      <c r="CD160" s="2">
        <v>0.59</v>
      </c>
      <c r="CE160" s="2">
        <v>0.02</v>
      </c>
      <c r="CF160" s="2">
        <v>0.1</v>
      </c>
      <c r="CG160" s="2">
        <v>0.1</v>
      </c>
      <c r="CH160" s="2"/>
      <c r="CI160" s="2"/>
      <c r="CJ160" s="2"/>
      <c r="CK160" s="2"/>
      <c r="CL160" s="2"/>
      <c r="CM160" s="2"/>
      <c r="CN160" s="2"/>
      <c r="CO160" s="2"/>
      <c r="CP160" s="2"/>
      <c r="CQ160" s="2">
        <f>0.487+1.02</f>
        <v>1.5070000000000001</v>
      </c>
      <c r="CR160" s="4">
        <f>(0.26*0.487+0.13*1.02)/CQ160</f>
        <v>0.17201061712010615</v>
      </c>
      <c r="CS160" s="2"/>
      <c r="CT160" s="2"/>
      <c r="CU160" s="2"/>
      <c r="CV160" s="2"/>
      <c r="CW160" s="2"/>
      <c r="CX160" s="2"/>
      <c r="CY160" s="4">
        <f>(0.6*0.487+0.38*1.02)/CQ160</f>
        <v>0.45109489051094886</v>
      </c>
      <c r="CZ160" s="2">
        <v>0.02</v>
      </c>
      <c r="DA160" s="2">
        <v>0.1</v>
      </c>
      <c r="DB160" s="2">
        <v>0.1</v>
      </c>
      <c r="DC160" s="2"/>
      <c r="DD160" s="2"/>
      <c r="DE160" s="2"/>
      <c r="DF160" s="2"/>
      <c r="DG160" s="2"/>
      <c r="DH160" s="2"/>
      <c r="DI160" s="2"/>
      <c r="DJ160" s="2"/>
      <c r="DK160" s="2"/>
      <c r="DL160" s="14" t="s">
        <v>81</v>
      </c>
      <c r="DM160" s="2" t="s">
        <v>81</v>
      </c>
      <c r="DN160" s="2">
        <f t="shared" si="8"/>
        <v>0.51397881355932207</v>
      </c>
      <c r="DO160" s="2">
        <f t="shared" si="9"/>
        <v>1.9999999999999997E-2</v>
      </c>
      <c r="DP160" s="2" t="s">
        <v>533</v>
      </c>
      <c r="DQ160" s="2" t="s">
        <v>3</v>
      </c>
      <c r="DR160" s="2">
        <f t="shared" si="10"/>
        <v>4.72</v>
      </c>
      <c r="DS160" s="4">
        <f t="shared" si="11"/>
        <v>0.51397881355932207</v>
      </c>
      <c r="DT160" s="15">
        <f t="shared" si="12"/>
        <v>24.259799999999998</v>
      </c>
      <c r="DU160" s="2"/>
      <c r="DV160" s="2">
        <f t="shared" si="13"/>
        <v>1.6560000000000001</v>
      </c>
      <c r="DW160" s="4">
        <f t="shared" si="27"/>
        <v>0.46359299516908203</v>
      </c>
      <c r="DX160" s="15">
        <f t="shared" si="28"/>
        <v>7.6770999999999994</v>
      </c>
      <c r="DY160" s="2"/>
      <c r="DZ160" s="2" t="s">
        <v>3</v>
      </c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 t="s">
        <v>3</v>
      </c>
      <c r="FR160" s="2" t="s">
        <v>89</v>
      </c>
      <c r="FS160" s="2" t="s">
        <v>123</v>
      </c>
      <c r="FT160" s="2"/>
      <c r="FU160" s="2"/>
      <c r="FV160" s="2" t="s">
        <v>3</v>
      </c>
    </row>
    <row r="161" spans="1:178" ht="15.75" customHeight="1" x14ac:dyDescent="0.2">
      <c r="A161" s="14" t="s">
        <v>143</v>
      </c>
      <c r="B161" s="2" t="s">
        <v>85</v>
      </c>
      <c r="C161" s="16" t="s">
        <v>534</v>
      </c>
      <c r="D161" s="2"/>
      <c r="E161" s="2"/>
      <c r="F161" s="2"/>
      <c r="G161" s="2"/>
      <c r="H161" s="2" t="s">
        <v>333</v>
      </c>
      <c r="I161" s="2"/>
      <c r="J161" s="2"/>
      <c r="K161" s="2">
        <v>0</v>
      </c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>
        <v>37.972972972972968</v>
      </c>
      <c r="AG161" s="4">
        <v>4.8053377393388851E-2</v>
      </c>
      <c r="AH161" s="4">
        <v>0.19408784213523131</v>
      </c>
      <c r="AI161" s="2"/>
      <c r="AJ161" s="2"/>
      <c r="AK161" s="2"/>
      <c r="AL161" s="2"/>
      <c r="AM161" s="2"/>
      <c r="AN161" s="4">
        <v>0.1583219183197408</v>
      </c>
      <c r="AO161" s="2"/>
      <c r="AP161" s="4">
        <v>3.2778307402135236</v>
      </c>
      <c r="AQ161" s="4">
        <v>1.6833978661921711</v>
      </c>
      <c r="AR161" s="4">
        <v>0.40021082014234877</v>
      </c>
      <c r="AS161" s="2"/>
      <c r="AT161" s="2"/>
      <c r="AU161" s="2"/>
      <c r="AV161" s="2"/>
      <c r="AW161" s="2"/>
      <c r="AX161" s="2"/>
      <c r="AY161" s="2"/>
      <c r="AZ161" s="2"/>
      <c r="BA161" s="2">
        <v>6.0810810810810807</v>
      </c>
      <c r="BB161" s="4">
        <v>6.5091859431719454E-2</v>
      </c>
      <c r="BC161" s="4">
        <v>0.25794948977777776</v>
      </c>
      <c r="BD161" s="2"/>
      <c r="BE161" s="2"/>
      <c r="BF161" s="2"/>
      <c r="BG161" s="2"/>
      <c r="BH161" s="2"/>
      <c r="BI161" s="4">
        <v>0.16593686374435782</v>
      </c>
      <c r="BJ161" s="2"/>
      <c r="BK161" s="4">
        <v>3.3009859555555559</v>
      </c>
      <c r="BL161" s="4">
        <v>1.7128986311111112</v>
      </c>
      <c r="BM161" s="4">
        <v>0.3281825244444444</v>
      </c>
      <c r="BN161" s="4"/>
      <c r="BO161" s="4"/>
      <c r="BP161" s="2"/>
      <c r="BQ161" s="2"/>
      <c r="BR161" s="2"/>
      <c r="BS161" s="2"/>
      <c r="BT161" s="2"/>
      <c r="BU161" s="2"/>
      <c r="BV161" s="2">
        <v>0</v>
      </c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>
        <v>0</v>
      </c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14" t="s">
        <v>81</v>
      </c>
      <c r="DM161" s="2"/>
      <c r="DN161" s="2">
        <f t="shared" si="8"/>
        <v>0.1593730610930775</v>
      </c>
      <c r="DO161" s="2">
        <f t="shared" si="9"/>
        <v>0</v>
      </c>
      <c r="DP161" s="2" t="s">
        <v>211</v>
      </c>
      <c r="DQ161" s="2" t="s">
        <v>3</v>
      </c>
      <c r="DR161" s="4">
        <f t="shared" si="10"/>
        <v>44.054054054054049</v>
      </c>
      <c r="DS161" s="4">
        <f t="shared" si="11"/>
        <v>0.1593730610930775</v>
      </c>
      <c r="DT161" s="15">
        <f t="shared" si="12"/>
        <v>70.210294481544949</v>
      </c>
      <c r="DU161" s="2"/>
      <c r="DV161" s="2">
        <f t="shared" si="13"/>
        <v>0</v>
      </c>
      <c r="DW161" s="2"/>
      <c r="DX161" s="2"/>
      <c r="DY161" s="2"/>
      <c r="DZ161" s="2" t="s">
        <v>3</v>
      </c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 t="s">
        <v>3</v>
      </c>
      <c r="FR161" s="2" t="s">
        <v>89</v>
      </c>
      <c r="FS161" s="2" t="s">
        <v>90</v>
      </c>
      <c r="FT161" s="2" t="s">
        <v>91</v>
      </c>
      <c r="FU161" s="2" t="s">
        <v>92</v>
      </c>
      <c r="FV161" s="2" t="s">
        <v>3</v>
      </c>
    </row>
    <row r="162" spans="1:178" ht="15.75" customHeight="1" x14ac:dyDescent="0.2">
      <c r="A162" s="14" t="s">
        <v>74</v>
      </c>
      <c r="B162" s="2" t="s">
        <v>164</v>
      </c>
      <c r="C162" s="13" t="s">
        <v>535</v>
      </c>
      <c r="D162" s="2" t="s">
        <v>99</v>
      </c>
      <c r="E162" s="2"/>
      <c r="F162" s="2"/>
      <c r="G162" s="2" t="s">
        <v>78</v>
      </c>
      <c r="H162" s="2" t="s">
        <v>536</v>
      </c>
      <c r="I162" s="2"/>
      <c r="J162" s="2" t="s">
        <v>242</v>
      </c>
      <c r="K162" s="2">
        <v>0</v>
      </c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>
        <v>0</v>
      </c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>
        <v>339</v>
      </c>
      <c r="BB162" s="2"/>
      <c r="BC162" s="2"/>
      <c r="BD162" s="2"/>
      <c r="BE162" s="2"/>
      <c r="BF162" s="2"/>
      <c r="BG162" s="2"/>
      <c r="BH162" s="2"/>
      <c r="BI162" s="2">
        <v>0.81</v>
      </c>
      <c r="BJ162" s="2">
        <v>0.05</v>
      </c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>
        <v>0</v>
      </c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>
        <v>0</v>
      </c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14" t="s">
        <v>81</v>
      </c>
      <c r="DM162" s="2"/>
      <c r="DN162" s="2">
        <f t="shared" si="8"/>
        <v>0.81</v>
      </c>
      <c r="DO162" s="2">
        <f t="shared" si="9"/>
        <v>4.9999999999999996E-2</v>
      </c>
      <c r="DP162" s="2" t="s">
        <v>211</v>
      </c>
      <c r="DQ162" s="2" t="s">
        <v>3</v>
      </c>
      <c r="DR162" s="2">
        <f t="shared" si="10"/>
        <v>339</v>
      </c>
      <c r="DS162" s="2">
        <f t="shared" si="11"/>
        <v>0.81</v>
      </c>
      <c r="DT162" s="18">
        <f t="shared" si="12"/>
        <v>2745.9</v>
      </c>
      <c r="DU162" s="2"/>
      <c r="DV162" s="2">
        <f t="shared" si="13"/>
        <v>0</v>
      </c>
      <c r="DW162" s="2"/>
      <c r="DX162" s="2"/>
      <c r="DY162" s="2"/>
      <c r="DZ162" s="2" t="s">
        <v>3</v>
      </c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 t="s">
        <v>3</v>
      </c>
      <c r="FR162" s="2" t="s">
        <v>37</v>
      </c>
      <c r="FS162" s="2" t="s">
        <v>537</v>
      </c>
      <c r="FT162" s="2" t="s">
        <v>537</v>
      </c>
      <c r="FU162" s="2"/>
      <c r="FV162" s="2" t="s">
        <v>3</v>
      </c>
    </row>
    <row r="163" spans="1:178" ht="15.75" customHeight="1" x14ac:dyDescent="0.2">
      <c r="A163" s="14" t="s">
        <v>96</v>
      </c>
      <c r="B163" s="2" t="s">
        <v>164</v>
      </c>
      <c r="C163" s="16" t="s">
        <v>538</v>
      </c>
      <c r="D163" s="2" t="s">
        <v>99</v>
      </c>
      <c r="E163" s="2"/>
      <c r="F163" s="2"/>
      <c r="G163" s="2" t="s">
        <v>78</v>
      </c>
      <c r="H163" s="2" t="s">
        <v>536</v>
      </c>
      <c r="I163" s="2"/>
      <c r="J163" s="2" t="s">
        <v>181</v>
      </c>
      <c r="K163" s="2">
        <v>0</v>
      </c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>
        <v>173.3</v>
      </c>
      <c r="AG163" s="2"/>
      <c r="AH163" s="2"/>
      <c r="AI163" s="2"/>
      <c r="AJ163" s="2"/>
      <c r="AK163" s="2"/>
      <c r="AL163" s="2"/>
      <c r="AM163" s="2"/>
      <c r="AN163" s="2">
        <v>0.68</v>
      </c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>
        <v>11.9</v>
      </c>
      <c r="BB163" s="2"/>
      <c r="BC163" s="2"/>
      <c r="BD163" s="2"/>
      <c r="BE163" s="2"/>
      <c r="BF163" s="2"/>
      <c r="BG163" s="2"/>
      <c r="BH163" s="2"/>
      <c r="BI163" s="2">
        <v>0.68</v>
      </c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>
        <v>0</v>
      </c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>
        <v>0</v>
      </c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14" t="s">
        <v>81</v>
      </c>
      <c r="DM163" s="2"/>
      <c r="DN163" s="2">
        <f t="shared" si="8"/>
        <v>0.68</v>
      </c>
      <c r="DO163" s="2">
        <f t="shared" si="9"/>
        <v>0</v>
      </c>
      <c r="DP163" s="2" t="s">
        <v>211</v>
      </c>
      <c r="DQ163" s="2" t="s">
        <v>3</v>
      </c>
      <c r="DR163" s="2">
        <f t="shared" si="10"/>
        <v>185.20000000000002</v>
      </c>
      <c r="DS163" s="2">
        <f t="shared" si="11"/>
        <v>0.68</v>
      </c>
      <c r="DT163" s="18">
        <f t="shared" si="12"/>
        <v>1259.3600000000004</v>
      </c>
      <c r="DU163" s="2"/>
      <c r="DV163" s="2">
        <f t="shared" si="13"/>
        <v>0</v>
      </c>
      <c r="DW163" s="2"/>
      <c r="DX163" s="2"/>
      <c r="DY163" s="2"/>
      <c r="DZ163" s="2" t="s">
        <v>3</v>
      </c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 t="s">
        <v>3</v>
      </c>
      <c r="FR163" s="2" t="s">
        <v>89</v>
      </c>
      <c r="FS163" s="2" t="s">
        <v>137</v>
      </c>
      <c r="FT163" s="2"/>
      <c r="FU163" s="2"/>
      <c r="FV163" s="2" t="s">
        <v>3</v>
      </c>
    </row>
    <row r="164" spans="1:178" ht="15.75" customHeight="1" x14ac:dyDescent="0.2">
      <c r="A164" s="14" t="s">
        <v>96</v>
      </c>
      <c r="B164" s="24" t="s">
        <v>202</v>
      </c>
      <c r="C164" s="16" t="s">
        <v>539</v>
      </c>
      <c r="D164" s="2"/>
      <c r="E164" s="2"/>
      <c r="F164" s="2"/>
      <c r="G164" s="2"/>
      <c r="H164" s="2" t="s">
        <v>79</v>
      </c>
      <c r="I164" s="2"/>
      <c r="J164" s="2"/>
      <c r="K164" s="2">
        <v>0</v>
      </c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>
        <v>0</v>
      </c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>
        <v>8.9</v>
      </c>
      <c r="BB164" s="2">
        <v>0.63</v>
      </c>
      <c r="BC164" s="2"/>
      <c r="BD164" s="2"/>
      <c r="BE164" s="2"/>
      <c r="BF164" s="2"/>
      <c r="BG164" s="2"/>
      <c r="BH164" s="2"/>
      <c r="BI164" s="2">
        <v>2.2999999999999998</v>
      </c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14" t="s">
        <v>100</v>
      </c>
      <c r="DM164" s="2"/>
      <c r="DN164" s="2">
        <f t="shared" si="8"/>
        <v>2.2999999999999998</v>
      </c>
      <c r="DO164" s="2">
        <f t="shared" si="9"/>
        <v>0</v>
      </c>
      <c r="DP164" s="2" t="s">
        <v>204</v>
      </c>
      <c r="DQ164" s="2" t="s">
        <v>3</v>
      </c>
      <c r="DR164" s="2">
        <f t="shared" si="10"/>
        <v>8.9</v>
      </c>
      <c r="DS164" s="2">
        <f t="shared" si="11"/>
        <v>2.2999999999999998</v>
      </c>
      <c r="DT164" s="15">
        <f t="shared" si="12"/>
        <v>204.7</v>
      </c>
      <c r="DU164" s="2"/>
      <c r="DV164" s="2">
        <f t="shared" si="13"/>
        <v>0</v>
      </c>
      <c r="DW164" s="2"/>
      <c r="DX164" s="2"/>
      <c r="DY164" s="2"/>
      <c r="DZ164" s="2" t="s">
        <v>3</v>
      </c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 t="s">
        <v>3</v>
      </c>
      <c r="FR164" s="2" t="s">
        <v>89</v>
      </c>
      <c r="FS164" s="2" t="s">
        <v>123</v>
      </c>
      <c r="FT164" s="2"/>
      <c r="FU164" s="2"/>
      <c r="FV164" s="2" t="s">
        <v>3</v>
      </c>
    </row>
    <row r="165" spans="1:178" ht="15.75" customHeight="1" x14ac:dyDescent="0.2">
      <c r="A165" s="14" t="s">
        <v>96</v>
      </c>
      <c r="B165" s="2" t="s">
        <v>124</v>
      </c>
      <c r="C165" s="16" t="s">
        <v>540</v>
      </c>
      <c r="D165" s="2" t="s">
        <v>99</v>
      </c>
      <c r="E165" s="2"/>
      <c r="F165" s="2"/>
      <c r="G165" s="2"/>
      <c r="H165" s="2" t="s">
        <v>541</v>
      </c>
      <c r="I165" s="2"/>
      <c r="J165" s="2"/>
      <c r="K165" s="2">
        <v>0</v>
      </c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>
        <v>0</v>
      </c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>
        <v>1.2669999999999999</v>
      </c>
      <c r="BB165" s="2"/>
      <c r="BC165" s="2"/>
      <c r="BD165" s="2"/>
      <c r="BE165" s="2"/>
      <c r="BF165" s="2"/>
      <c r="BG165" s="2"/>
      <c r="BH165" s="2"/>
      <c r="BI165" s="2">
        <v>0.43</v>
      </c>
      <c r="BJ165" s="2">
        <v>0.03</v>
      </c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>
        <v>0</v>
      </c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>
        <v>0</v>
      </c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14" t="s">
        <v>81</v>
      </c>
      <c r="DM165" s="2" t="s">
        <v>81</v>
      </c>
      <c r="DN165" s="2">
        <f t="shared" si="8"/>
        <v>0.42999999999999994</v>
      </c>
      <c r="DO165" s="2">
        <f t="shared" si="9"/>
        <v>0.03</v>
      </c>
      <c r="DP165" s="2" t="s">
        <v>542</v>
      </c>
      <c r="DQ165" s="2" t="s">
        <v>3</v>
      </c>
      <c r="DR165" s="2">
        <f t="shared" si="10"/>
        <v>1.2669999999999999</v>
      </c>
      <c r="DS165" s="2">
        <f t="shared" si="11"/>
        <v>0.42999999999999994</v>
      </c>
      <c r="DT165" s="15">
        <f t="shared" si="12"/>
        <v>5.4480999999999993</v>
      </c>
      <c r="DU165" s="2"/>
      <c r="DV165" s="2">
        <f t="shared" si="13"/>
        <v>0</v>
      </c>
      <c r="DW165" s="2"/>
      <c r="DX165" s="2"/>
      <c r="DY165" s="2"/>
      <c r="DZ165" s="2" t="s">
        <v>3</v>
      </c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 t="s">
        <v>3</v>
      </c>
      <c r="FR165" s="2" t="s">
        <v>89</v>
      </c>
      <c r="FS165" s="2" t="s">
        <v>137</v>
      </c>
      <c r="FT165" s="2"/>
      <c r="FU165" s="2"/>
      <c r="FV165" s="2" t="s">
        <v>3</v>
      </c>
    </row>
    <row r="166" spans="1:178" ht="15.75" customHeight="1" x14ac:dyDescent="0.2">
      <c r="A166" s="14" t="s">
        <v>96</v>
      </c>
      <c r="B166" s="24" t="s">
        <v>202</v>
      </c>
      <c r="C166" s="16" t="s">
        <v>543</v>
      </c>
      <c r="D166" s="2" t="s">
        <v>109</v>
      </c>
      <c r="E166" s="2"/>
      <c r="F166" s="2"/>
      <c r="G166" s="2"/>
      <c r="H166" s="2" t="s">
        <v>544</v>
      </c>
      <c r="I166" s="2"/>
      <c r="J166" s="2"/>
      <c r="K166" s="2">
        <v>0</v>
      </c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>
        <v>0</v>
      </c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4">
        <v>79.165654000000004</v>
      </c>
      <c r="BB166" s="2">
        <v>0.27</v>
      </c>
      <c r="BC166" s="2"/>
      <c r="BD166" s="2"/>
      <c r="BE166" s="2"/>
      <c r="BF166" s="2"/>
      <c r="BG166" s="2"/>
      <c r="BH166" s="2"/>
      <c r="BI166" s="2">
        <v>0.45</v>
      </c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>
        <v>0</v>
      </c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4">
        <v>29.758687999999999</v>
      </c>
      <c r="CR166" s="2">
        <v>0.31</v>
      </c>
      <c r="CS166" s="2"/>
      <c r="CT166" s="2"/>
      <c r="CU166" s="2"/>
      <c r="CV166" s="2"/>
      <c r="CW166" s="2"/>
      <c r="CX166" s="2"/>
      <c r="CY166" s="2">
        <v>0.49</v>
      </c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14" t="s">
        <v>81</v>
      </c>
      <c r="DM166" s="2"/>
      <c r="DN166" s="2">
        <f t="shared" si="8"/>
        <v>0.45</v>
      </c>
      <c r="DO166" s="2">
        <f t="shared" si="9"/>
        <v>0</v>
      </c>
      <c r="DP166" s="2" t="s">
        <v>211</v>
      </c>
      <c r="DQ166" s="2" t="s">
        <v>3</v>
      </c>
      <c r="DR166" s="4">
        <f t="shared" si="10"/>
        <v>79.165654000000004</v>
      </c>
      <c r="DS166" s="2">
        <f t="shared" si="11"/>
        <v>0.45</v>
      </c>
      <c r="DT166" s="15">
        <f t="shared" si="12"/>
        <v>356.24544300000008</v>
      </c>
      <c r="DU166" s="2"/>
      <c r="DV166" s="4">
        <f t="shared" si="13"/>
        <v>29.758687999999999</v>
      </c>
      <c r="DW166" s="4">
        <f>(BV166*CD166+CQ166*CY166)/DV166</f>
        <v>0.49</v>
      </c>
      <c r="DX166" s="15">
        <f>1000*DV166*DW166/100</f>
        <v>145.81757119999997</v>
      </c>
      <c r="DY166" s="2"/>
      <c r="DZ166" s="2" t="s">
        <v>3</v>
      </c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 t="s">
        <v>3</v>
      </c>
      <c r="FR166" s="2" t="s">
        <v>89</v>
      </c>
      <c r="FS166" s="2" t="s">
        <v>123</v>
      </c>
      <c r="FT166" s="2"/>
      <c r="FU166" s="2"/>
      <c r="FV166" s="2" t="s">
        <v>3</v>
      </c>
    </row>
    <row r="167" spans="1:178" ht="15.75" customHeight="1" x14ac:dyDescent="0.2">
      <c r="A167" s="14" t="s">
        <v>96</v>
      </c>
      <c r="B167" s="24" t="s">
        <v>202</v>
      </c>
      <c r="C167" s="16" t="s">
        <v>545</v>
      </c>
      <c r="D167" s="2"/>
      <c r="E167" s="2"/>
      <c r="F167" s="2"/>
      <c r="G167" s="2"/>
      <c r="H167" s="2" t="s">
        <v>79</v>
      </c>
      <c r="I167" s="2"/>
      <c r="J167" s="2"/>
      <c r="K167" s="2">
        <v>0</v>
      </c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>
        <v>0</v>
      </c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>
        <v>80</v>
      </c>
      <c r="BB167" s="2">
        <v>0.3</v>
      </c>
      <c r="BC167" s="2"/>
      <c r="BD167" s="2"/>
      <c r="BE167" s="2"/>
      <c r="BF167" s="2"/>
      <c r="BG167" s="2"/>
      <c r="BH167" s="2"/>
      <c r="BI167" s="2">
        <v>0.54</v>
      </c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14" t="s">
        <v>100</v>
      </c>
      <c r="DM167" s="2"/>
      <c r="DN167" s="2">
        <f t="shared" si="8"/>
        <v>0.54</v>
      </c>
      <c r="DO167" s="2">
        <f t="shared" si="9"/>
        <v>0</v>
      </c>
      <c r="DP167" s="2" t="s">
        <v>204</v>
      </c>
      <c r="DQ167" s="2" t="s">
        <v>3</v>
      </c>
      <c r="DR167" s="2">
        <f t="shared" si="10"/>
        <v>80</v>
      </c>
      <c r="DS167" s="2">
        <f t="shared" si="11"/>
        <v>0.54</v>
      </c>
      <c r="DT167" s="15">
        <f t="shared" si="12"/>
        <v>432</v>
      </c>
      <c r="DU167" s="2"/>
      <c r="DV167" s="2">
        <f t="shared" si="13"/>
        <v>0</v>
      </c>
      <c r="DW167" s="2"/>
      <c r="DX167" s="2"/>
      <c r="DY167" s="2"/>
      <c r="DZ167" s="2" t="s">
        <v>3</v>
      </c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 t="s">
        <v>3</v>
      </c>
      <c r="FR167" s="2" t="s">
        <v>89</v>
      </c>
      <c r="FS167" s="2" t="s">
        <v>123</v>
      </c>
      <c r="FT167" s="2"/>
      <c r="FU167" s="2"/>
      <c r="FV167" s="2" t="s">
        <v>3</v>
      </c>
    </row>
    <row r="168" spans="1:178" ht="15.75" customHeight="1" x14ac:dyDescent="0.2">
      <c r="A168" s="14" t="s">
        <v>96</v>
      </c>
      <c r="B168" s="2" t="s">
        <v>97</v>
      </c>
      <c r="C168" s="16" t="s">
        <v>546</v>
      </c>
      <c r="D168" s="2" t="s">
        <v>99</v>
      </c>
      <c r="E168" s="2"/>
      <c r="F168" s="2"/>
      <c r="G168" s="2"/>
      <c r="H168" s="2" t="s">
        <v>79</v>
      </c>
      <c r="I168" s="2"/>
      <c r="J168" s="2"/>
      <c r="K168" s="2">
        <v>0</v>
      </c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>
        <v>0</v>
      </c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18">
        <v>1125</v>
      </c>
      <c r="BB168" s="2"/>
      <c r="BC168" s="2"/>
      <c r="BD168" s="2"/>
      <c r="BE168" s="2"/>
      <c r="BF168" s="2"/>
      <c r="BG168" s="2"/>
      <c r="BH168" s="2"/>
      <c r="BI168" s="2">
        <v>0.4</v>
      </c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>
        <v>0</v>
      </c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>
        <v>0</v>
      </c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14" t="s">
        <v>100</v>
      </c>
      <c r="DM168" s="2"/>
      <c r="DN168" s="2">
        <f t="shared" si="8"/>
        <v>0.4</v>
      </c>
      <c r="DO168" s="2">
        <f t="shared" si="9"/>
        <v>0</v>
      </c>
      <c r="DP168" s="2" t="s">
        <v>521</v>
      </c>
      <c r="DQ168" s="2" t="s">
        <v>3</v>
      </c>
      <c r="DR168" s="18">
        <f t="shared" si="10"/>
        <v>1125</v>
      </c>
      <c r="DS168" s="2">
        <f t="shared" si="11"/>
        <v>0.4</v>
      </c>
      <c r="DT168" s="18">
        <f t="shared" si="12"/>
        <v>4500</v>
      </c>
      <c r="DU168" s="2"/>
      <c r="DV168" s="2">
        <f t="shared" si="13"/>
        <v>0</v>
      </c>
      <c r="DW168" s="2"/>
      <c r="DX168" s="2"/>
      <c r="DY168" s="2"/>
      <c r="DZ168" s="2" t="s">
        <v>3</v>
      </c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 t="s">
        <v>3</v>
      </c>
      <c r="FR168" s="2" t="s">
        <v>89</v>
      </c>
      <c r="FS168" s="2" t="s">
        <v>522</v>
      </c>
      <c r="FT168" s="2"/>
      <c r="FU168" s="2"/>
      <c r="FV168" s="2" t="s">
        <v>3</v>
      </c>
    </row>
    <row r="169" spans="1:178" ht="15.75" customHeight="1" x14ac:dyDescent="0.2">
      <c r="A169" s="12" t="s">
        <v>74</v>
      </c>
      <c r="B169" s="2" t="s">
        <v>547</v>
      </c>
      <c r="C169" s="13" t="s">
        <v>548</v>
      </c>
      <c r="D169" s="2" t="s">
        <v>99</v>
      </c>
      <c r="E169" s="2"/>
      <c r="F169" s="2"/>
      <c r="G169" s="2"/>
      <c r="H169" s="2" t="s">
        <v>79</v>
      </c>
      <c r="I169" s="2"/>
      <c r="J169" s="2"/>
      <c r="K169" s="2">
        <v>0</v>
      </c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>
        <v>0</v>
      </c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>
        <v>150</v>
      </c>
      <c r="BB169" s="2"/>
      <c r="BC169" s="2"/>
      <c r="BD169" s="2"/>
      <c r="BE169" s="2"/>
      <c r="BF169" s="2"/>
      <c r="BG169" s="2"/>
      <c r="BH169" s="2"/>
      <c r="BI169" s="2">
        <v>0.7</v>
      </c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>
        <v>0</v>
      </c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>
        <v>0</v>
      </c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14" t="s">
        <v>100</v>
      </c>
      <c r="DM169" s="2"/>
      <c r="DN169" s="2">
        <f t="shared" si="8"/>
        <v>0.7</v>
      </c>
      <c r="DO169" s="2">
        <f t="shared" si="9"/>
        <v>0</v>
      </c>
      <c r="DP169" s="2" t="s">
        <v>485</v>
      </c>
      <c r="DQ169" s="2" t="s">
        <v>3</v>
      </c>
      <c r="DR169" s="2">
        <f t="shared" si="10"/>
        <v>150</v>
      </c>
      <c r="DS169" s="2">
        <f t="shared" si="11"/>
        <v>0.7</v>
      </c>
      <c r="DT169" s="18">
        <f t="shared" si="12"/>
        <v>1050</v>
      </c>
      <c r="DU169" s="2"/>
      <c r="DV169" s="2">
        <f t="shared" si="13"/>
        <v>0</v>
      </c>
      <c r="DW169" s="2"/>
      <c r="DX169" s="2"/>
      <c r="DY169" s="2"/>
      <c r="DZ169" s="2" t="s">
        <v>3</v>
      </c>
      <c r="EA169" s="2" t="s">
        <v>547</v>
      </c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 t="s">
        <v>547</v>
      </c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 t="s">
        <v>547</v>
      </c>
      <c r="FQ169" s="2" t="s">
        <v>3</v>
      </c>
      <c r="FR169" s="2" t="s">
        <v>37</v>
      </c>
      <c r="FS169" s="2" t="s">
        <v>114</v>
      </c>
      <c r="FT169" s="2" t="s">
        <v>114</v>
      </c>
      <c r="FU169" s="2"/>
      <c r="FV169" s="2" t="s">
        <v>3</v>
      </c>
    </row>
    <row r="170" spans="1:178" ht="15.75" customHeight="1" x14ac:dyDescent="0.2">
      <c r="A170" s="14" t="s">
        <v>96</v>
      </c>
      <c r="B170" s="2" t="s">
        <v>124</v>
      </c>
      <c r="C170" s="16" t="s">
        <v>549</v>
      </c>
      <c r="D170" s="2" t="s">
        <v>99</v>
      </c>
      <c r="E170" s="2"/>
      <c r="F170" s="2"/>
      <c r="G170" s="2"/>
      <c r="H170" s="2" t="s">
        <v>79</v>
      </c>
      <c r="I170" s="2"/>
      <c r="J170" s="2"/>
      <c r="K170" s="2">
        <v>0</v>
      </c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>
        <v>0</v>
      </c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>
        <v>0.21</v>
      </c>
      <c r="BB170" s="2">
        <v>0.28000000000000003</v>
      </c>
      <c r="BC170" s="2"/>
      <c r="BD170" s="2"/>
      <c r="BE170" s="2"/>
      <c r="BF170" s="2"/>
      <c r="BG170" s="2"/>
      <c r="BH170" s="2"/>
      <c r="BI170" s="2">
        <v>0.37</v>
      </c>
      <c r="BJ170" s="2">
        <v>0.04</v>
      </c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>
        <v>0</v>
      </c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>
        <v>0</v>
      </c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14" t="s">
        <v>81</v>
      </c>
      <c r="DM170" s="2" t="s">
        <v>81</v>
      </c>
      <c r="DN170" s="2">
        <f t="shared" si="8"/>
        <v>0.37</v>
      </c>
      <c r="DO170" s="2">
        <f t="shared" si="9"/>
        <v>0.04</v>
      </c>
      <c r="DP170" s="2" t="s">
        <v>126</v>
      </c>
      <c r="DQ170" s="2" t="s">
        <v>3</v>
      </c>
      <c r="DR170" s="2">
        <f t="shared" si="10"/>
        <v>0.21</v>
      </c>
      <c r="DS170" s="2">
        <f t="shared" si="11"/>
        <v>0.37</v>
      </c>
      <c r="DT170" s="15">
        <f t="shared" si="12"/>
        <v>0.77700000000000002</v>
      </c>
      <c r="DU170" s="2"/>
      <c r="DV170" s="2">
        <f t="shared" si="13"/>
        <v>0</v>
      </c>
      <c r="DW170" s="2"/>
      <c r="DX170" s="2"/>
      <c r="DY170" s="2"/>
      <c r="DZ170" s="2" t="s">
        <v>3</v>
      </c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 t="s">
        <v>3</v>
      </c>
      <c r="FR170" s="2" t="s">
        <v>89</v>
      </c>
      <c r="FS170" s="2" t="s">
        <v>123</v>
      </c>
      <c r="FT170" s="2"/>
      <c r="FU170" s="2"/>
      <c r="FV170" s="2" t="s">
        <v>3</v>
      </c>
    </row>
    <row r="171" spans="1:178" ht="15.75" customHeight="1" x14ac:dyDescent="0.2">
      <c r="A171" s="14" t="s">
        <v>96</v>
      </c>
      <c r="B171" s="2" t="s">
        <v>124</v>
      </c>
      <c r="C171" s="16" t="s">
        <v>550</v>
      </c>
      <c r="D171" s="2" t="s">
        <v>99</v>
      </c>
      <c r="E171" s="2"/>
      <c r="F171" s="2"/>
      <c r="G171" s="2"/>
      <c r="H171" s="2" t="s">
        <v>79</v>
      </c>
      <c r="I171" s="2"/>
      <c r="J171" s="2"/>
      <c r="K171" s="2">
        <v>0</v>
      </c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>
        <v>0</v>
      </c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>
        <v>0.104</v>
      </c>
      <c r="BB171" s="2">
        <v>0.28000000000000003</v>
      </c>
      <c r="BC171" s="2"/>
      <c r="BD171" s="2"/>
      <c r="BE171" s="2"/>
      <c r="BF171" s="2"/>
      <c r="BG171" s="2"/>
      <c r="BH171" s="2"/>
      <c r="BI171" s="2">
        <v>0.43</v>
      </c>
      <c r="BJ171" s="2">
        <v>0.03</v>
      </c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>
        <v>0</v>
      </c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>
        <v>0</v>
      </c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14" t="s">
        <v>81</v>
      </c>
      <c r="DM171" s="2" t="s">
        <v>81</v>
      </c>
      <c r="DN171" s="2">
        <f t="shared" si="8"/>
        <v>0.43</v>
      </c>
      <c r="DO171" s="2">
        <f t="shared" si="9"/>
        <v>3.0000000000000002E-2</v>
      </c>
      <c r="DP171" s="2" t="s">
        <v>126</v>
      </c>
      <c r="DQ171" s="2" t="s">
        <v>3</v>
      </c>
      <c r="DR171" s="2">
        <f t="shared" si="10"/>
        <v>0.104</v>
      </c>
      <c r="DS171" s="2">
        <f t="shared" si="11"/>
        <v>0.43</v>
      </c>
      <c r="DT171" s="15">
        <f t="shared" si="12"/>
        <v>0.44719999999999999</v>
      </c>
      <c r="DU171" s="2"/>
      <c r="DV171" s="2">
        <f t="shared" si="13"/>
        <v>0</v>
      </c>
      <c r="DW171" s="2"/>
      <c r="DX171" s="2"/>
      <c r="DY171" s="2"/>
      <c r="DZ171" s="2" t="s">
        <v>3</v>
      </c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 t="s">
        <v>3</v>
      </c>
      <c r="FR171" s="2" t="s">
        <v>89</v>
      </c>
      <c r="FS171" s="2" t="s">
        <v>123</v>
      </c>
      <c r="FT171" s="2"/>
      <c r="FU171" s="2"/>
      <c r="FV171" s="2" t="s">
        <v>3</v>
      </c>
    </row>
    <row r="172" spans="1:178" ht="15.75" customHeight="1" x14ac:dyDescent="0.2">
      <c r="A172" s="14" t="s">
        <v>96</v>
      </c>
      <c r="B172" s="2" t="s">
        <v>124</v>
      </c>
      <c r="C172" s="16" t="s">
        <v>551</v>
      </c>
      <c r="D172" s="2" t="s">
        <v>99</v>
      </c>
      <c r="E172" s="2"/>
      <c r="F172" s="2"/>
      <c r="G172" s="2"/>
      <c r="H172" s="2" t="s">
        <v>79</v>
      </c>
      <c r="I172" s="2"/>
      <c r="J172" s="2"/>
      <c r="K172" s="2">
        <v>0</v>
      </c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>
        <v>0</v>
      </c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>
        <v>0.13700000000000001</v>
      </c>
      <c r="BB172" s="2">
        <v>0.28999999999999998</v>
      </c>
      <c r="BC172" s="2"/>
      <c r="BD172" s="2"/>
      <c r="BE172" s="2"/>
      <c r="BF172" s="2"/>
      <c r="BG172" s="2"/>
      <c r="BH172" s="2"/>
      <c r="BI172" s="2">
        <v>0.24</v>
      </c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>
        <v>0</v>
      </c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>
        <v>0</v>
      </c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14" t="s">
        <v>81</v>
      </c>
      <c r="DM172" s="2"/>
      <c r="DN172" s="2">
        <f t="shared" si="8"/>
        <v>0.24</v>
      </c>
      <c r="DO172" s="2">
        <f t="shared" si="9"/>
        <v>0</v>
      </c>
      <c r="DP172" s="2" t="s">
        <v>126</v>
      </c>
      <c r="DQ172" s="2" t="s">
        <v>3</v>
      </c>
      <c r="DR172" s="2">
        <f t="shared" si="10"/>
        <v>0.13700000000000001</v>
      </c>
      <c r="DS172" s="2">
        <f t="shared" si="11"/>
        <v>0.24</v>
      </c>
      <c r="DT172" s="15">
        <f t="shared" si="12"/>
        <v>0.32879999999999998</v>
      </c>
      <c r="DU172" s="2"/>
      <c r="DV172" s="2">
        <f t="shared" si="13"/>
        <v>0</v>
      </c>
      <c r="DW172" s="2"/>
      <c r="DX172" s="2"/>
      <c r="DY172" s="2"/>
      <c r="DZ172" s="2" t="s">
        <v>3</v>
      </c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 t="s">
        <v>3</v>
      </c>
      <c r="FR172" s="2" t="s">
        <v>89</v>
      </c>
      <c r="FS172" s="2" t="s">
        <v>123</v>
      </c>
      <c r="FT172" s="2"/>
      <c r="FU172" s="2"/>
      <c r="FV172" s="2" t="s">
        <v>3</v>
      </c>
    </row>
    <row r="173" spans="1:178" ht="15.75" customHeight="1" x14ac:dyDescent="0.2">
      <c r="A173" s="14" t="s">
        <v>96</v>
      </c>
      <c r="B173" s="2" t="s">
        <v>124</v>
      </c>
      <c r="C173" s="16" t="s">
        <v>552</v>
      </c>
      <c r="D173" s="2" t="s">
        <v>99</v>
      </c>
      <c r="E173" s="2"/>
      <c r="F173" s="2"/>
      <c r="G173" s="2"/>
      <c r="H173" s="2" t="s">
        <v>79</v>
      </c>
      <c r="I173" s="2"/>
      <c r="J173" s="2"/>
      <c r="K173" s="2">
        <v>0</v>
      </c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>
        <v>0</v>
      </c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>
        <v>0.11600000000000001</v>
      </c>
      <c r="BB173" s="2">
        <v>0.33</v>
      </c>
      <c r="BC173" s="2"/>
      <c r="BD173" s="2"/>
      <c r="BE173" s="2"/>
      <c r="BF173" s="2"/>
      <c r="BG173" s="2"/>
      <c r="BH173" s="2"/>
      <c r="BI173" s="2">
        <v>0.6</v>
      </c>
      <c r="BJ173" s="2">
        <v>0.03</v>
      </c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>
        <v>0</v>
      </c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>
        <v>0</v>
      </c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14" t="s">
        <v>81</v>
      </c>
      <c r="DM173" s="2" t="s">
        <v>81</v>
      </c>
      <c r="DN173" s="2">
        <f t="shared" si="8"/>
        <v>0.6</v>
      </c>
      <c r="DO173" s="2">
        <f t="shared" si="9"/>
        <v>0.03</v>
      </c>
      <c r="DP173" s="2" t="s">
        <v>126</v>
      </c>
      <c r="DQ173" s="2" t="s">
        <v>3</v>
      </c>
      <c r="DR173" s="2">
        <f t="shared" si="10"/>
        <v>0.11600000000000001</v>
      </c>
      <c r="DS173" s="2">
        <f t="shared" si="11"/>
        <v>0.6</v>
      </c>
      <c r="DT173" s="15">
        <f t="shared" si="12"/>
        <v>0.69599999999999995</v>
      </c>
      <c r="DU173" s="2"/>
      <c r="DV173" s="2">
        <f t="shared" si="13"/>
        <v>0</v>
      </c>
      <c r="DW173" s="2"/>
      <c r="DX173" s="2"/>
      <c r="DY173" s="2"/>
      <c r="DZ173" s="2" t="s">
        <v>3</v>
      </c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 t="s">
        <v>3</v>
      </c>
      <c r="FR173" s="2" t="s">
        <v>89</v>
      </c>
      <c r="FS173" s="2" t="s">
        <v>123</v>
      </c>
      <c r="FT173" s="2"/>
      <c r="FU173" s="2"/>
      <c r="FV173" s="2" t="s">
        <v>3</v>
      </c>
    </row>
    <row r="174" spans="1:178" ht="15.75" customHeight="1" x14ac:dyDescent="0.2">
      <c r="A174" s="14" t="s">
        <v>143</v>
      </c>
      <c r="B174" s="2" t="s">
        <v>85</v>
      </c>
      <c r="C174" s="16" t="s">
        <v>553</v>
      </c>
      <c r="D174" s="2"/>
      <c r="E174" s="2"/>
      <c r="F174" s="2"/>
      <c r="G174" s="2"/>
      <c r="H174" s="2" t="s">
        <v>94</v>
      </c>
      <c r="I174" s="2"/>
      <c r="J174" s="2"/>
      <c r="K174" s="2">
        <v>289.39999999999998</v>
      </c>
      <c r="L174" s="4">
        <v>4.5936420179682101E-2</v>
      </c>
      <c r="M174" s="4">
        <v>0.12238103662750519</v>
      </c>
      <c r="N174" s="2"/>
      <c r="O174" s="2"/>
      <c r="P174" s="2"/>
      <c r="Q174" s="2"/>
      <c r="R174" s="2"/>
      <c r="S174" s="4">
        <v>9.390463026952317E-2</v>
      </c>
      <c r="T174" s="2"/>
      <c r="U174" s="4">
        <v>3.4919625224602631</v>
      </c>
      <c r="V174" s="4">
        <v>1.7102224326192124</v>
      </c>
      <c r="W174" s="4">
        <v>0.47217055286800286</v>
      </c>
      <c r="X174" s="2"/>
      <c r="Y174" s="2"/>
      <c r="Z174" s="15">
        <v>12.436120170599516</v>
      </c>
      <c r="AA174" s="2"/>
      <c r="AB174" s="2"/>
      <c r="AC174" s="2"/>
      <c r="AD174" s="2"/>
      <c r="AE174" s="2"/>
      <c r="AF174" s="2">
        <v>138.1</v>
      </c>
      <c r="AG174" s="4">
        <v>4.8870383779869658E-2</v>
      </c>
      <c r="AH174" s="4">
        <v>0.12790955829109341</v>
      </c>
      <c r="AI174" s="2"/>
      <c r="AJ174" s="2"/>
      <c r="AK174" s="2"/>
      <c r="AL174" s="2"/>
      <c r="AM174" s="2"/>
      <c r="AN174" s="4">
        <v>0.1083055756698045</v>
      </c>
      <c r="AO174" s="2"/>
      <c r="AP174" s="4">
        <v>3.5147593772628536</v>
      </c>
      <c r="AQ174" s="4">
        <v>1.7094128023171615</v>
      </c>
      <c r="AR174" s="4">
        <v>0.46352657494569155</v>
      </c>
      <c r="AS174" s="2"/>
      <c r="AT174" s="2"/>
      <c r="AU174" s="15">
        <v>11.608063892446808</v>
      </c>
      <c r="AV174" s="2"/>
      <c r="AW174" s="2"/>
      <c r="AX174" s="2"/>
      <c r="AY174" s="2"/>
      <c r="AZ174" s="2"/>
      <c r="BA174" s="2">
        <v>25.299999999999997</v>
      </c>
      <c r="BB174" s="4">
        <v>5.0158102766798413E-2</v>
      </c>
      <c r="BC174" s="4">
        <v>0.12696735177865615</v>
      </c>
      <c r="BD174" s="2"/>
      <c r="BE174" s="2"/>
      <c r="BF174" s="2"/>
      <c r="BG174" s="2"/>
      <c r="BH174" s="2"/>
      <c r="BI174" s="4">
        <v>2.0724110671936762</v>
      </c>
      <c r="BJ174" s="2"/>
      <c r="BK174" s="4">
        <v>3.4321509090909093</v>
      </c>
      <c r="BL174" s="4">
        <v>1.6640099604743084</v>
      </c>
      <c r="BM174" s="4">
        <v>0.44751446640316206</v>
      </c>
      <c r="BN174" s="4"/>
      <c r="BO174" s="4"/>
      <c r="BP174" s="15">
        <v>11.244629325107715</v>
      </c>
      <c r="BQ174" s="2"/>
      <c r="BR174" s="2"/>
      <c r="BS174" s="2"/>
      <c r="BT174" s="2"/>
      <c r="BU174" s="2"/>
      <c r="BV174" s="2">
        <v>21.200000000000003</v>
      </c>
      <c r="BW174" s="4">
        <v>4.6981132075471693E-2</v>
      </c>
      <c r="BX174" s="4">
        <v>7.751320754716981E-2</v>
      </c>
      <c r="BY174" s="2"/>
      <c r="BZ174" s="2"/>
      <c r="CA174" s="2"/>
      <c r="CB174" s="2"/>
      <c r="CC174" s="2"/>
      <c r="CD174" s="4">
        <v>9.5471698113207534E-2</v>
      </c>
      <c r="CE174" s="2"/>
      <c r="CF174" s="4">
        <v>2.2227316037735849</v>
      </c>
      <c r="CG174" s="4">
        <v>1.0895809433962265</v>
      </c>
      <c r="CH174" s="4">
        <v>0.30150613207547167</v>
      </c>
      <c r="CI174" s="4"/>
      <c r="CJ174" s="4"/>
      <c r="CK174" s="15">
        <v>12.141269803637194</v>
      </c>
      <c r="CL174" s="2"/>
      <c r="CM174" s="2"/>
      <c r="CN174" s="2"/>
      <c r="CO174" s="2"/>
      <c r="CP174" s="2"/>
      <c r="CQ174" s="2">
        <v>85.7</v>
      </c>
      <c r="CR174" s="4">
        <v>5.3407234539089847E-2</v>
      </c>
      <c r="CS174" s="4">
        <v>8.8882380396732796E-2</v>
      </c>
      <c r="CT174" s="2"/>
      <c r="CU174" s="2"/>
      <c r="CV174" s="2"/>
      <c r="CW174" s="2"/>
      <c r="CX174" s="2"/>
      <c r="CY174" s="4">
        <v>6.0851808634772471E-2</v>
      </c>
      <c r="CZ174" s="2"/>
      <c r="DA174" s="4">
        <v>2.3342361726954493</v>
      </c>
      <c r="DB174" s="4">
        <v>1.1253003500583432</v>
      </c>
      <c r="DC174" s="4">
        <v>0.29808378063010499</v>
      </c>
      <c r="DD174" s="4"/>
      <c r="DE174" s="4"/>
      <c r="DF174" s="15">
        <v>10.327622732926624</v>
      </c>
      <c r="DG174" s="2"/>
      <c r="DH174" s="2"/>
      <c r="DI174" s="2"/>
      <c r="DJ174" s="2"/>
      <c r="DK174" s="2"/>
      <c r="DL174" s="14" t="s">
        <v>81</v>
      </c>
      <c r="DM174" s="2"/>
      <c r="DN174" s="2">
        <f t="shared" si="8"/>
        <v>0.20884496466431093</v>
      </c>
      <c r="DO174" s="2">
        <f t="shared" si="9"/>
        <v>0</v>
      </c>
      <c r="DP174" s="2" t="s">
        <v>95</v>
      </c>
      <c r="DQ174" s="2" t="s">
        <v>3</v>
      </c>
      <c r="DR174" s="2">
        <f t="shared" si="10"/>
        <v>452.8</v>
      </c>
      <c r="DS174" s="4">
        <f t="shared" si="11"/>
        <v>0.20884496466431093</v>
      </c>
      <c r="DT174" s="15">
        <f t="shared" si="12"/>
        <v>945.64999999999986</v>
      </c>
      <c r="DU174" s="2"/>
      <c r="DV174" s="2">
        <f t="shared" si="13"/>
        <v>106.9</v>
      </c>
      <c r="DW174" s="19">
        <f>(BV174*CD174+CQ174*CY174)/DV174</f>
        <v>6.7717492984097294E-2</v>
      </c>
      <c r="DX174" s="15">
        <f>1000*DV174*DW174/100</f>
        <v>72.390000000000015</v>
      </c>
      <c r="DY174" s="2"/>
      <c r="DZ174" s="2" t="s">
        <v>3</v>
      </c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 t="s">
        <v>3</v>
      </c>
      <c r="FR174" s="2" t="s">
        <v>89</v>
      </c>
      <c r="FS174" s="2" t="s">
        <v>90</v>
      </c>
      <c r="FT174" s="2" t="s">
        <v>91</v>
      </c>
      <c r="FU174" s="2" t="s">
        <v>92</v>
      </c>
      <c r="FV174" s="2" t="s">
        <v>3</v>
      </c>
    </row>
    <row r="175" spans="1:178" ht="15.75" customHeight="1" x14ac:dyDescent="0.2">
      <c r="A175" s="14" t="s">
        <v>143</v>
      </c>
      <c r="B175" s="2" t="s">
        <v>85</v>
      </c>
      <c r="C175" s="16" t="s">
        <v>554</v>
      </c>
      <c r="D175" s="2"/>
      <c r="E175" s="2"/>
      <c r="F175" s="2"/>
      <c r="G175" s="2"/>
      <c r="H175" s="2" t="s">
        <v>555</v>
      </c>
      <c r="I175" s="2"/>
      <c r="J175" s="2"/>
      <c r="K175" s="2">
        <v>3.8</v>
      </c>
      <c r="L175" s="4">
        <v>6.5547794945827784E-2</v>
      </c>
      <c r="M175" s="4">
        <v>0.33273793650526318</v>
      </c>
      <c r="N175" s="2"/>
      <c r="O175" s="2"/>
      <c r="P175" s="2"/>
      <c r="Q175" s="2"/>
      <c r="R175" s="2"/>
      <c r="S175" s="4">
        <v>0.18303150006772359</v>
      </c>
      <c r="T175" s="2"/>
      <c r="U175" s="4">
        <v>3.8078104547368419</v>
      </c>
      <c r="V175" s="4">
        <v>1.9858089715789475</v>
      </c>
      <c r="W175" s="4">
        <v>0.33642534631578946</v>
      </c>
      <c r="X175" s="4">
        <v>0.57867076368421055</v>
      </c>
      <c r="Y175" s="4">
        <v>0.12118811863157895</v>
      </c>
      <c r="Z175" s="2"/>
      <c r="AA175" s="2"/>
      <c r="AB175" s="2"/>
      <c r="AC175" s="2"/>
      <c r="AD175" s="2"/>
      <c r="AE175" s="2"/>
      <c r="AF175" s="2">
        <v>4.4000000000000004</v>
      </c>
      <c r="AG175" s="4">
        <v>5.872885477093881E-2</v>
      </c>
      <c r="AH175" s="4">
        <v>0.31589743374090906</v>
      </c>
      <c r="AI175" s="2"/>
      <c r="AJ175" s="2"/>
      <c r="AK175" s="2"/>
      <c r="AL175" s="2"/>
      <c r="AM175" s="2"/>
      <c r="AN175" s="4">
        <v>0.17340024717342339</v>
      </c>
      <c r="AO175" s="2"/>
      <c r="AP175" s="4">
        <v>4.0876368709090904</v>
      </c>
      <c r="AQ175" s="4">
        <v>2.1201052127272724</v>
      </c>
      <c r="AR175" s="4">
        <v>0.41061160636363636</v>
      </c>
      <c r="AS175" s="4">
        <v>0.69059013045454543</v>
      </c>
      <c r="AT175" s="4">
        <v>0.15153261145454544</v>
      </c>
      <c r="AU175" s="2"/>
      <c r="AV175" s="2"/>
      <c r="AW175" s="2"/>
      <c r="AX175" s="2"/>
      <c r="AY175" s="2"/>
      <c r="AZ175" s="2"/>
      <c r="BA175" s="2">
        <v>3.2</v>
      </c>
      <c r="BB175" s="4">
        <v>5.6652574909995049E-2</v>
      </c>
      <c r="BC175" s="4">
        <v>0.32884145944999998</v>
      </c>
      <c r="BD175" s="2"/>
      <c r="BE175" s="2"/>
      <c r="BF175" s="2"/>
      <c r="BG175" s="2"/>
      <c r="BH175" s="2"/>
      <c r="BI175" s="4">
        <v>0.17046765414471021</v>
      </c>
      <c r="BJ175" s="2"/>
      <c r="BK175" s="4">
        <v>4.4112322799999992</v>
      </c>
      <c r="BL175" s="4">
        <v>2.2845426449999997</v>
      </c>
      <c r="BM175" s="4">
        <v>0.45756833499999994</v>
      </c>
      <c r="BN175" s="4">
        <v>0.76553415749999987</v>
      </c>
      <c r="BO175" s="4">
        <v>0.16979201049999998</v>
      </c>
      <c r="BP175" s="2"/>
      <c r="BQ175" s="2"/>
      <c r="BR175" s="2"/>
      <c r="BS175" s="2"/>
      <c r="BT175" s="2"/>
      <c r="BU175" s="2"/>
      <c r="BV175" s="2">
        <v>0</v>
      </c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>
        <v>0</v>
      </c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14" t="s">
        <v>81</v>
      </c>
      <c r="DM175" s="2"/>
      <c r="DN175" s="2">
        <f t="shared" si="8"/>
        <v>0.17578748079679699</v>
      </c>
      <c r="DO175" s="2">
        <f t="shared" si="9"/>
        <v>0</v>
      </c>
      <c r="DP175" s="2" t="s">
        <v>88</v>
      </c>
      <c r="DQ175" s="2" t="s">
        <v>3</v>
      </c>
      <c r="DR175" s="2">
        <f t="shared" si="10"/>
        <v>11.399999999999999</v>
      </c>
      <c r="DS175" s="4">
        <f t="shared" si="11"/>
        <v>0.17578748079679699</v>
      </c>
      <c r="DT175" s="15">
        <f t="shared" si="12"/>
        <v>20.039772810834855</v>
      </c>
      <c r="DU175" s="2"/>
      <c r="DV175" s="2">
        <f t="shared" si="13"/>
        <v>0</v>
      </c>
      <c r="DW175" s="2"/>
      <c r="DX175" s="2"/>
      <c r="DY175" s="2"/>
      <c r="DZ175" s="2" t="s">
        <v>3</v>
      </c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 t="s">
        <v>3</v>
      </c>
      <c r="FR175" s="2" t="s">
        <v>89</v>
      </c>
      <c r="FS175" s="2" t="s">
        <v>90</v>
      </c>
      <c r="FT175" s="2" t="s">
        <v>91</v>
      </c>
      <c r="FU175" s="2" t="s">
        <v>92</v>
      </c>
      <c r="FV175" s="2" t="s">
        <v>3</v>
      </c>
    </row>
    <row r="176" spans="1:178" ht="15.75" customHeight="1" x14ac:dyDescent="0.2">
      <c r="A176" s="12" t="s">
        <v>74</v>
      </c>
      <c r="B176" s="2" t="s">
        <v>75</v>
      </c>
      <c r="C176" s="13" t="s">
        <v>556</v>
      </c>
      <c r="D176" s="2" t="s">
        <v>99</v>
      </c>
      <c r="E176" s="2"/>
      <c r="F176" s="2"/>
      <c r="G176" s="2" t="s">
        <v>78</v>
      </c>
      <c r="H176" s="2" t="s">
        <v>557</v>
      </c>
      <c r="I176" s="2"/>
      <c r="J176" s="2" t="s">
        <v>141</v>
      </c>
      <c r="K176" s="2">
        <v>13.475</v>
      </c>
      <c r="L176" s="2"/>
      <c r="M176" s="2"/>
      <c r="N176" s="2"/>
      <c r="O176" s="2"/>
      <c r="P176" s="2"/>
      <c r="Q176" s="2"/>
      <c r="R176" s="2"/>
      <c r="S176" s="2">
        <v>1.22</v>
      </c>
      <c r="T176" s="2"/>
      <c r="U176" s="2"/>
      <c r="V176" s="2"/>
      <c r="W176" s="2"/>
      <c r="X176" s="2"/>
      <c r="Y176" s="2"/>
      <c r="Z176" s="2"/>
      <c r="AA176" s="2">
        <v>32.409999999999997</v>
      </c>
      <c r="AB176" s="2"/>
      <c r="AC176" s="2"/>
      <c r="AD176" s="2"/>
      <c r="AE176" s="2"/>
      <c r="AF176" s="2">
        <v>35.534999999999997</v>
      </c>
      <c r="AG176" s="2"/>
      <c r="AH176" s="2"/>
      <c r="AI176" s="2"/>
      <c r="AJ176" s="2"/>
      <c r="AK176" s="2"/>
      <c r="AL176" s="2"/>
      <c r="AM176" s="2"/>
      <c r="AN176" s="2">
        <v>1.08</v>
      </c>
      <c r="AO176" s="2"/>
      <c r="AP176" s="2"/>
      <c r="AQ176" s="2"/>
      <c r="AR176" s="2"/>
      <c r="AS176" s="2"/>
      <c r="AT176" s="2"/>
      <c r="AU176" s="2"/>
      <c r="AV176" s="2">
        <v>25.21</v>
      </c>
      <c r="AW176" s="2"/>
      <c r="AX176" s="2"/>
      <c r="AY176" s="2"/>
      <c r="AZ176" s="2"/>
      <c r="BA176" s="2">
        <v>3.7360000000000002</v>
      </c>
      <c r="BB176" s="2"/>
      <c r="BC176" s="2"/>
      <c r="BD176" s="2"/>
      <c r="BE176" s="2"/>
      <c r="BF176" s="2"/>
      <c r="BG176" s="2"/>
      <c r="BH176" s="2"/>
      <c r="BI176" s="2">
        <v>1.04</v>
      </c>
      <c r="BJ176" s="2"/>
      <c r="BK176" s="2"/>
      <c r="BL176" s="2"/>
      <c r="BM176" s="2"/>
      <c r="BN176" s="2"/>
      <c r="BO176" s="2"/>
      <c r="BP176" s="2"/>
      <c r="BQ176" s="2">
        <v>27.29</v>
      </c>
      <c r="BR176" s="2"/>
      <c r="BS176" s="2"/>
      <c r="BT176" s="2"/>
      <c r="BU176" s="2"/>
      <c r="BV176" s="2">
        <v>0</v>
      </c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>
        <v>0</v>
      </c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14" t="s">
        <v>81</v>
      </c>
      <c r="DM176" s="2"/>
      <c r="DN176" s="2">
        <f t="shared" si="8"/>
        <v>1.1129325446479357</v>
      </c>
      <c r="DO176" s="2">
        <f t="shared" si="9"/>
        <v>0</v>
      </c>
      <c r="DP176" s="2" t="s">
        <v>558</v>
      </c>
      <c r="DQ176" s="2" t="s">
        <v>3</v>
      </c>
      <c r="DR176" s="2">
        <f t="shared" si="10"/>
        <v>52.745999999999995</v>
      </c>
      <c r="DS176" s="4">
        <f t="shared" si="11"/>
        <v>1.1129325446479357</v>
      </c>
      <c r="DT176" s="15">
        <f t="shared" si="12"/>
        <v>587.02740000000006</v>
      </c>
      <c r="DU176" s="2"/>
      <c r="DV176" s="2">
        <f t="shared" si="13"/>
        <v>0</v>
      </c>
      <c r="DW176" s="2"/>
      <c r="DX176" s="2"/>
      <c r="DY176" s="2"/>
      <c r="DZ176" s="2" t="s">
        <v>3</v>
      </c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 t="s">
        <v>3</v>
      </c>
      <c r="FR176" s="2" t="s">
        <v>37</v>
      </c>
      <c r="FS176" s="2" t="s">
        <v>114</v>
      </c>
      <c r="FT176" s="2" t="s">
        <v>151</v>
      </c>
      <c r="FU176" s="2"/>
      <c r="FV176" s="2" t="s">
        <v>3</v>
      </c>
    </row>
    <row r="177" spans="1:178" ht="15.75" customHeight="1" x14ac:dyDescent="0.2">
      <c r="A177" s="12" t="s">
        <v>74</v>
      </c>
      <c r="B177" s="2" t="s">
        <v>115</v>
      </c>
      <c r="C177" s="13" t="s">
        <v>559</v>
      </c>
      <c r="D177" s="2" t="s">
        <v>99</v>
      </c>
      <c r="E177" s="2"/>
      <c r="F177" s="2"/>
      <c r="G177" s="2"/>
      <c r="H177" s="2" t="s">
        <v>79</v>
      </c>
      <c r="I177" s="2"/>
      <c r="J177" s="2"/>
      <c r="K177" s="2">
        <v>0</v>
      </c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>
        <v>0</v>
      </c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>
        <v>4</v>
      </c>
      <c r="BB177" s="2"/>
      <c r="BC177" s="2"/>
      <c r="BD177" s="2"/>
      <c r="BE177" s="2"/>
      <c r="BF177" s="2"/>
      <c r="BG177" s="2"/>
      <c r="BH177" s="2"/>
      <c r="BI177" s="2">
        <v>1.2</v>
      </c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>
        <v>0</v>
      </c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>
        <v>0</v>
      </c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14" t="s">
        <v>100</v>
      </c>
      <c r="DM177" s="2"/>
      <c r="DN177" s="2">
        <f t="shared" si="8"/>
        <v>1.2</v>
      </c>
      <c r="DO177" s="2">
        <f t="shared" si="9"/>
        <v>0</v>
      </c>
      <c r="DP177" s="2" t="s">
        <v>113</v>
      </c>
      <c r="DQ177" s="2" t="s">
        <v>3</v>
      </c>
      <c r="DR177" s="2">
        <f t="shared" si="10"/>
        <v>4</v>
      </c>
      <c r="DS177" s="2">
        <f t="shared" si="11"/>
        <v>1.2</v>
      </c>
      <c r="DT177" s="15">
        <f t="shared" si="12"/>
        <v>48</v>
      </c>
      <c r="DU177" s="2"/>
      <c r="DV177" s="2">
        <f t="shared" si="13"/>
        <v>0</v>
      </c>
      <c r="DW177" s="2"/>
      <c r="DX177" s="2"/>
      <c r="DY177" s="2"/>
      <c r="DZ177" s="2" t="s">
        <v>3</v>
      </c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 t="s">
        <v>3</v>
      </c>
      <c r="FR177" s="2" t="s">
        <v>37</v>
      </c>
      <c r="FS177" s="2" t="s">
        <v>383</v>
      </c>
      <c r="FT177" s="2"/>
      <c r="FU177" s="2"/>
      <c r="FV177" s="2" t="s">
        <v>3</v>
      </c>
    </row>
    <row r="178" spans="1:178" ht="15.75" customHeight="1" x14ac:dyDescent="0.2">
      <c r="A178" s="12" t="s">
        <v>74</v>
      </c>
      <c r="B178" s="2" t="s">
        <v>75</v>
      </c>
      <c r="C178" s="13" t="s">
        <v>560</v>
      </c>
      <c r="D178" s="2" t="s">
        <v>99</v>
      </c>
      <c r="E178" s="2"/>
      <c r="F178" s="2"/>
      <c r="G178" s="2" t="s">
        <v>78</v>
      </c>
      <c r="H178" s="2" t="s">
        <v>228</v>
      </c>
      <c r="I178" s="2"/>
      <c r="J178" s="2"/>
      <c r="K178" s="2">
        <v>0</v>
      </c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>
        <v>0</v>
      </c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>
        <v>43.37</v>
      </c>
      <c r="BB178" s="2"/>
      <c r="BC178" s="2"/>
      <c r="BD178" s="2"/>
      <c r="BE178" s="2"/>
      <c r="BF178" s="2"/>
      <c r="BG178" s="2"/>
      <c r="BH178" s="2"/>
      <c r="BI178" s="4">
        <v>1.2</v>
      </c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>
        <v>0</v>
      </c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>
        <v>0</v>
      </c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14" t="s">
        <v>81</v>
      </c>
      <c r="DM178" s="2"/>
      <c r="DN178" s="2">
        <f t="shared" si="8"/>
        <v>1.2</v>
      </c>
      <c r="DO178" s="2">
        <f t="shared" si="9"/>
        <v>0</v>
      </c>
      <c r="DP178" s="2" t="s">
        <v>82</v>
      </c>
      <c r="DQ178" s="2" t="s">
        <v>3</v>
      </c>
      <c r="DR178" s="2">
        <f t="shared" si="10"/>
        <v>43.37</v>
      </c>
      <c r="DS178" s="4">
        <f t="shared" si="11"/>
        <v>1.2</v>
      </c>
      <c r="DT178" s="15">
        <f t="shared" si="12"/>
        <v>520.44000000000005</v>
      </c>
      <c r="DU178" s="2"/>
      <c r="DV178" s="2">
        <f t="shared" si="13"/>
        <v>0</v>
      </c>
      <c r="DW178" s="2"/>
      <c r="DX178" s="2"/>
      <c r="DY178" s="2"/>
      <c r="DZ178" s="2" t="s">
        <v>3</v>
      </c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 t="s">
        <v>3</v>
      </c>
      <c r="FR178" s="2" t="s">
        <v>37</v>
      </c>
      <c r="FS178" s="2" t="s">
        <v>151</v>
      </c>
      <c r="FT178" s="2" t="s">
        <v>151</v>
      </c>
      <c r="FU178" s="2"/>
      <c r="FV178" s="2" t="s">
        <v>3</v>
      </c>
    </row>
    <row r="179" spans="1:178" ht="15.75" customHeight="1" x14ac:dyDescent="0.2">
      <c r="A179" s="12" t="s">
        <v>74</v>
      </c>
      <c r="B179" s="2" t="s">
        <v>498</v>
      </c>
      <c r="C179" s="13" t="s">
        <v>561</v>
      </c>
      <c r="D179" s="2" t="s">
        <v>109</v>
      </c>
      <c r="E179" s="2"/>
      <c r="F179" s="2"/>
      <c r="G179" s="2"/>
      <c r="H179" s="2" t="s">
        <v>562</v>
      </c>
      <c r="I179" s="2"/>
      <c r="J179" s="2"/>
      <c r="K179" s="2">
        <v>1.9</v>
      </c>
      <c r="L179" s="2"/>
      <c r="M179" s="2"/>
      <c r="N179" s="2"/>
      <c r="O179" s="2"/>
      <c r="P179" s="2"/>
      <c r="Q179" s="2"/>
      <c r="R179" s="2"/>
      <c r="S179" s="2">
        <v>1.4</v>
      </c>
      <c r="T179" s="2">
        <v>7.0000000000000007E-2</v>
      </c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>
        <v>6.9</v>
      </c>
      <c r="AG179" s="2"/>
      <c r="AH179" s="2"/>
      <c r="AI179" s="2"/>
      <c r="AJ179" s="2"/>
      <c r="AK179" s="2"/>
      <c r="AL179" s="2"/>
      <c r="AM179" s="2"/>
      <c r="AN179" s="2">
        <v>1.3</v>
      </c>
      <c r="AO179" s="2">
        <v>7.0000000000000007E-2</v>
      </c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>
        <v>7.2</v>
      </c>
      <c r="BB179" s="2"/>
      <c r="BC179" s="2"/>
      <c r="BD179" s="2"/>
      <c r="BE179" s="2"/>
      <c r="BF179" s="2"/>
      <c r="BG179" s="2"/>
      <c r="BH179" s="2"/>
      <c r="BI179" s="2">
        <v>1.2</v>
      </c>
      <c r="BJ179" s="2">
        <v>7.0000000000000007E-2</v>
      </c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>
        <v>0</v>
      </c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>
        <v>0</v>
      </c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14" t="s">
        <v>81</v>
      </c>
      <c r="DM179" s="2" t="s">
        <v>81</v>
      </c>
      <c r="DN179" s="2">
        <f t="shared" si="8"/>
        <v>1.2668750000000002</v>
      </c>
      <c r="DO179" s="2">
        <f t="shared" si="9"/>
        <v>7.0000000000000007E-2</v>
      </c>
      <c r="DP179" s="2" t="s">
        <v>563</v>
      </c>
      <c r="DQ179" s="2" t="s">
        <v>3</v>
      </c>
      <c r="DR179" s="2">
        <f t="shared" si="10"/>
        <v>16</v>
      </c>
      <c r="DS179" s="4">
        <f t="shared" si="11"/>
        <v>1.2668750000000002</v>
      </c>
      <c r="DT179" s="15">
        <f t="shared" si="12"/>
        <v>202.70000000000005</v>
      </c>
      <c r="DU179" s="2"/>
      <c r="DV179" s="2">
        <f t="shared" si="13"/>
        <v>0</v>
      </c>
      <c r="DW179" s="2"/>
      <c r="DX179" s="2"/>
      <c r="DY179" s="2"/>
      <c r="DZ179" s="2" t="s">
        <v>3</v>
      </c>
      <c r="EA179" s="2" t="s">
        <v>498</v>
      </c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 t="s">
        <v>498</v>
      </c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 t="s">
        <v>498</v>
      </c>
      <c r="FQ179" s="2" t="s">
        <v>3</v>
      </c>
      <c r="FR179" s="2" t="s">
        <v>37</v>
      </c>
      <c r="FS179" s="2" t="s">
        <v>235</v>
      </c>
      <c r="FT179" s="2" t="s">
        <v>235</v>
      </c>
      <c r="FU179" s="2"/>
      <c r="FV179" s="2" t="s">
        <v>3</v>
      </c>
    </row>
    <row r="180" spans="1:178" ht="15.75" customHeight="1" x14ac:dyDescent="0.2">
      <c r="A180" s="12" t="s">
        <v>74</v>
      </c>
      <c r="B180" s="2" t="s">
        <v>75</v>
      </c>
      <c r="C180" s="13" t="s">
        <v>564</v>
      </c>
      <c r="D180" s="2" t="s">
        <v>99</v>
      </c>
      <c r="E180" s="2"/>
      <c r="F180" s="2"/>
      <c r="G180" s="2" t="s">
        <v>78</v>
      </c>
      <c r="H180" s="2" t="s">
        <v>270</v>
      </c>
      <c r="I180" s="2"/>
      <c r="J180" s="2" t="s">
        <v>141</v>
      </c>
      <c r="K180" s="2">
        <v>0</v>
      </c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>
        <v>0</v>
      </c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>
        <v>42.38</v>
      </c>
      <c r="BB180" s="2"/>
      <c r="BC180" s="2"/>
      <c r="BD180" s="2"/>
      <c r="BE180" s="2"/>
      <c r="BF180" s="2"/>
      <c r="BG180" s="2"/>
      <c r="BH180" s="2"/>
      <c r="BI180" s="2">
        <v>1.1599999999999999</v>
      </c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>
        <v>0</v>
      </c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>
        <v>0</v>
      </c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14" t="s">
        <v>100</v>
      </c>
      <c r="DM180" s="2"/>
      <c r="DN180" s="2">
        <f t="shared" si="8"/>
        <v>1.1599999999999999</v>
      </c>
      <c r="DO180" s="2">
        <f t="shared" si="9"/>
        <v>0</v>
      </c>
      <c r="DP180" s="2" t="s">
        <v>317</v>
      </c>
      <c r="DQ180" s="2" t="s">
        <v>3</v>
      </c>
      <c r="DR180" s="2">
        <f t="shared" si="10"/>
        <v>42.38</v>
      </c>
      <c r="DS180" s="4">
        <f t="shared" si="11"/>
        <v>1.1599999999999999</v>
      </c>
      <c r="DT180" s="15">
        <f t="shared" si="12"/>
        <v>491.60799999999995</v>
      </c>
      <c r="DU180" s="2"/>
      <c r="DV180" s="2">
        <f t="shared" si="13"/>
        <v>0</v>
      </c>
      <c r="DW180" s="2"/>
      <c r="DX180" s="2"/>
      <c r="DY180" s="2"/>
      <c r="DZ180" s="2" t="s">
        <v>3</v>
      </c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 t="s">
        <v>3</v>
      </c>
      <c r="FR180" s="2" t="s">
        <v>37</v>
      </c>
      <c r="FS180" s="2" t="s">
        <v>151</v>
      </c>
      <c r="FT180" s="2" t="s">
        <v>151</v>
      </c>
      <c r="FU180" s="2"/>
      <c r="FV180" s="2" t="s">
        <v>3</v>
      </c>
    </row>
    <row r="181" spans="1:178" ht="15.75" customHeight="1" x14ac:dyDescent="0.2">
      <c r="A181" s="14" t="s">
        <v>96</v>
      </c>
      <c r="B181" s="2" t="s">
        <v>97</v>
      </c>
      <c r="C181" s="21" t="s">
        <v>565</v>
      </c>
      <c r="D181" s="2" t="s">
        <v>99</v>
      </c>
      <c r="E181" s="2"/>
      <c r="F181" s="2"/>
      <c r="G181" s="2"/>
      <c r="H181" s="2" t="s">
        <v>79</v>
      </c>
      <c r="I181" s="2"/>
      <c r="J181" s="2"/>
      <c r="K181" s="2">
        <v>0</v>
      </c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>
        <v>0</v>
      </c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>
        <v>1</v>
      </c>
      <c r="BB181" s="2">
        <v>6.4</v>
      </c>
      <c r="BC181" s="2">
        <v>1.4</v>
      </c>
      <c r="BD181" s="2">
        <v>5.0999999999999996</v>
      </c>
      <c r="BE181" s="2"/>
      <c r="BF181" s="2"/>
      <c r="BG181" s="2"/>
      <c r="BH181" s="2"/>
      <c r="BI181" s="2">
        <v>0.3</v>
      </c>
      <c r="BJ181" s="2">
        <v>0.2</v>
      </c>
      <c r="BK181" s="2">
        <v>1</v>
      </c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>
        <v>0</v>
      </c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>
        <v>0</v>
      </c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14" t="s">
        <v>100</v>
      </c>
      <c r="DM181" s="2" t="s">
        <v>100</v>
      </c>
      <c r="DN181" s="2">
        <f t="shared" si="8"/>
        <v>0.3</v>
      </c>
      <c r="DO181" s="2">
        <f t="shared" si="9"/>
        <v>0.2</v>
      </c>
      <c r="DP181" s="2" t="s">
        <v>566</v>
      </c>
      <c r="DQ181" s="2" t="s">
        <v>3</v>
      </c>
      <c r="DR181" s="2">
        <f t="shared" si="10"/>
        <v>1</v>
      </c>
      <c r="DS181" s="2">
        <f t="shared" si="11"/>
        <v>0.3</v>
      </c>
      <c r="DT181" s="15">
        <f t="shared" si="12"/>
        <v>3</v>
      </c>
      <c r="DU181" s="2"/>
      <c r="DV181" s="2">
        <f t="shared" si="13"/>
        <v>0</v>
      </c>
      <c r="DW181" s="2"/>
      <c r="DX181" s="2"/>
      <c r="DY181" s="2"/>
      <c r="DZ181" s="2" t="s">
        <v>3</v>
      </c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 t="s">
        <v>3</v>
      </c>
      <c r="FR181" s="2" t="s">
        <v>183</v>
      </c>
      <c r="FS181" s="2" t="s">
        <v>567</v>
      </c>
      <c r="FT181" s="2"/>
      <c r="FU181" s="2"/>
      <c r="FV181" s="2" t="s">
        <v>3</v>
      </c>
    </row>
    <row r="182" spans="1:178" ht="15.75" customHeight="1" x14ac:dyDescent="0.2">
      <c r="A182" s="14" t="s">
        <v>96</v>
      </c>
      <c r="B182" s="2" t="s">
        <v>124</v>
      </c>
      <c r="C182" s="16" t="s">
        <v>568</v>
      </c>
      <c r="D182" s="2" t="s">
        <v>99</v>
      </c>
      <c r="E182" s="2"/>
      <c r="F182" s="2"/>
      <c r="G182" s="2"/>
      <c r="H182" s="2" t="s">
        <v>79</v>
      </c>
      <c r="I182" s="2"/>
      <c r="J182" s="2"/>
      <c r="K182" s="2">
        <v>0</v>
      </c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>
        <v>0</v>
      </c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>
        <v>0.5</v>
      </c>
      <c r="BB182" s="2">
        <v>0.01</v>
      </c>
      <c r="BC182" s="2"/>
      <c r="BD182" s="2"/>
      <c r="BE182" s="2"/>
      <c r="BF182" s="2"/>
      <c r="BG182" s="2"/>
      <c r="BH182" s="2"/>
      <c r="BI182" s="2">
        <v>0.28999999999999998</v>
      </c>
      <c r="BJ182" s="2">
        <v>0.05</v>
      </c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>
        <v>0</v>
      </c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>
        <v>0</v>
      </c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14" t="s">
        <v>81</v>
      </c>
      <c r="DM182" s="2" t="s">
        <v>81</v>
      </c>
      <c r="DN182" s="2">
        <f t="shared" si="8"/>
        <v>0.28999999999999998</v>
      </c>
      <c r="DO182" s="2">
        <f t="shared" si="9"/>
        <v>0.05</v>
      </c>
      <c r="DP182" s="2" t="s">
        <v>569</v>
      </c>
      <c r="DQ182" s="2" t="s">
        <v>3</v>
      </c>
      <c r="DR182" s="2">
        <f t="shared" si="10"/>
        <v>0.5</v>
      </c>
      <c r="DS182" s="2">
        <f t="shared" si="11"/>
        <v>0.28999999999999998</v>
      </c>
      <c r="DT182" s="15">
        <f t="shared" si="12"/>
        <v>1.45</v>
      </c>
      <c r="DU182" s="2"/>
      <c r="DV182" s="2">
        <f t="shared" si="13"/>
        <v>0</v>
      </c>
      <c r="DW182" s="2"/>
      <c r="DX182" s="2"/>
      <c r="DY182" s="2"/>
      <c r="DZ182" s="2" t="s">
        <v>3</v>
      </c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 t="s">
        <v>3</v>
      </c>
      <c r="FR182" s="2" t="s">
        <v>89</v>
      </c>
      <c r="FS182" s="2" t="s">
        <v>137</v>
      </c>
      <c r="FT182" s="2"/>
      <c r="FU182" s="2"/>
      <c r="FV182" s="2" t="s">
        <v>3</v>
      </c>
    </row>
    <row r="183" spans="1:178" ht="15.75" customHeight="1" x14ac:dyDescent="0.2">
      <c r="A183" s="12" t="s">
        <v>74</v>
      </c>
      <c r="B183" s="2" t="s">
        <v>115</v>
      </c>
      <c r="C183" s="13" t="s">
        <v>570</v>
      </c>
      <c r="D183" s="2" t="s">
        <v>99</v>
      </c>
      <c r="E183" s="2"/>
      <c r="F183" s="2"/>
      <c r="G183" s="2"/>
      <c r="H183" s="2" t="s">
        <v>218</v>
      </c>
      <c r="I183" s="2"/>
      <c r="J183" s="2"/>
      <c r="K183" s="2">
        <v>6.3</v>
      </c>
      <c r="L183" s="2"/>
      <c r="M183" s="2"/>
      <c r="N183" s="2"/>
      <c r="O183" s="2"/>
      <c r="P183" s="2"/>
      <c r="Q183" s="2"/>
      <c r="R183" s="2"/>
      <c r="S183" s="2">
        <v>1.1499999999999999</v>
      </c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>
        <f>53.8+39.6</f>
        <v>93.4</v>
      </c>
      <c r="AG183" s="2"/>
      <c r="AH183" s="2"/>
      <c r="AI183" s="2"/>
      <c r="AJ183" s="2"/>
      <c r="AK183" s="2"/>
      <c r="AL183" s="2"/>
      <c r="AM183" s="2"/>
      <c r="AN183" s="4">
        <f>(1.21*53.8+1.49*39.6)/AF183</f>
        <v>1.3287152034261243</v>
      </c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>
        <f>125+81.9</f>
        <v>206.9</v>
      </c>
      <c r="BB183" s="2"/>
      <c r="BC183" s="2"/>
      <c r="BD183" s="2"/>
      <c r="BE183" s="2"/>
      <c r="BF183" s="2"/>
      <c r="BG183" s="2"/>
      <c r="BH183" s="2"/>
      <c r="BI183" s="4">
        <f>(1.17*125+1.39*81.9)/BA183</f>
        <v>1.2570855485741905</v>
      </c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>
        <v>0</v>
      </c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>
        <v>0</v>
      </c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14" t="s">
        <v>81</v>
      </c>
      <c r="DM183" s="2"/>
      <c r="DN183" s="2">
        <f t="shared" si="8"/>
        <v>1.276705805609915</v>
      </c>
      <c r="DO183" s="2">
        <f t="shared" si="9"/>
        <v>0</v>
      </c>
      <c r="DP183" s="2" t="s">
        <v>95</v>
      </c>
      <c r="DQ183" s="2" t="s">
        <v>3</v>
      </c>
      <c r="DR183" s="2">
        <f t="shared" si="10"/>
        <v>306.60000000000002</v>
      </c>
      <c r="DS183" s="4">
        <f t="shared" si="11"/>
        <v>1.276705805609915</v>
      </c>
      <c r="DT183" s="18">
        <f t="shared" si="12"/>
        <v>3914.3799999999992</v>
      </c>
      <c r="DU183" s="2"/>
      <c r="DV183" s="2">
        <f t="shared" si="13"/>
        <v>0</v>
      </c>
      <c r="DW183" s="2"/>
      <c r="DX183" s="2"/>
      <c r="DY183" s="2"/>
      <c r="DZ183" s="2" t="s">
        <v>3</v>
      </c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 t="s">
        <v>3</v>
      </c>
      <c r="FR183" s="2" t="s">
        <v>37</v>
      </c>
      <c r="FS183" s="2" t="s">
        <v>235</v>
      </c>
      <c r="FT183" s="2" t="s">
        <v>235</v>
      </c>
      <c r="FU183" s="2"/>
      <c r="FV183" s="2" t="s">
        <v>3</v>
      </c>
    </row>
    <row r="184" spans="1:178" ht="15.75" customHeight="1" x14ac:dyDescent="0.2">
      <c r="A184" s="14" t="s">
        <v>96</v>
      </c>
      <c r="B184" s="2" t="s">
        <v>85</v>
      </c>
      <c r="C184" s="16" t="s">
        <v>571</v>
      </c>
      <c r="D184" s="2" t="s">
        <v>99</v>
      </c>
      <c r="E184" s="2"/>
      <c r="F184" s="2"/>
      <c r="G184" s="2"/>
      <c r="H184" s="2" t="s">
        <v>79</v>
      </c>
      <c r="I184" s="2"/>
      <c r="J184" s="2"/>
      <c r="K184" s="2">
        <v>0</v>
      </c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>
        <v>0</v>
      </c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15">
        <f>6.42+107.76</f>
        <v>114.18</v>
      </c>
      <c r="BB184" s="4">
        <f>(0.13*6.42+0.17*107.76)/BA184</f>
        <v>0.1677509196006306</v>
      </c>
      <c r="BC184" s="2"/>
      <c r="BD184" s="2"/>
      <c r="BE184" s="2"/>
      <c r="BF184" s="2"/>
      <c r="BG184" s="2"/>
      <c r="BH184" s="2"/>
      <c r="BI184" s="4">
        <f>(0.19*6.42+0.25*107.76)/BA184</f>
        <v>0.24662637940094587</v>
      </c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>
        <v>0</v>
      </c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>
        <v>0</v>
      </c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14" t="s">
        <v>81</v>
      </c>
      <c r="DM184" s="2"/>
      <c r="DN184" s="2">
        <f t="shared" si="8"/>
        <v>0.24662637940094587</v>
      </c>
      <c r="DO184" s="2">
        <f t="shared" si="9"/>
        <v>0</v>
      </c>
      <c r="DP184" s="2" t="s">
        <v>572</v>
      </c>
      <c r="DQ184" s="2" t="s">
        <v>3</v>
      </c>
      <c r="DR184" s="15">
        <f t="shared" si="10"/>
        <v>114.18</v>
      </c>
      <c r="DS184" s="4">
        <f t="shared" si="11"/>
        <v>0.24662637940094587</v>
      </c>
      <c r="DT184" s="15">
        <f t="shared" si="12"/>
        <v>281.59800000000001</v>
      </c>
      <c r="DU184" s="2"/>
      <c r="DV184" s="2">
        <f t="shared" si="13"/>
        <v>0</v>
      </c>
      <c r="DW184" s="2"/>
      <c r="DX184" s="2"/>
      <c r="DY184" s="2"/>
      <c r="DZ184" s="2" t="s">
        <v>3</v>
      </c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 t="s">
        <v>3</v>
      </c>
      <c r="FR184" s="2" t="s">
        <v>89</v>
      </c>
      <c r="FS184" s="2" t="s">
        <v>123</v>
      </c>
      <c r="FT184" s="2"/>
      <c r="FU184" s="2" t="s">
        <v>130</v>
      </c>
      <c r="FV184" s="2" t="s">
        <v>3</v>
      </c>
    </row>
    <row r="185" spans="1:178" ht="15.75" customHeight="1" x14ac:dyDescent="0.2">
      <c r="A185" s="12" t="s">
        <v>74</v>
      </c>
      <c r="B185" s="2" t="s">
        <v>115</v>
      </c>
      <c r="C185" s="13" t="s">
        <v>573</v>
      </c>
      <c r="D185" s="2" t="s">
        <v>99</v>
      </c>
      <c r="E185" s="2"/>
      <c r="F185" s="2"/>
      <c r="G185" s="2"/>
      <c r="H185" s="2" t="s">
        <v>79</v>
      </c>
      <c r="I185" s="2"/>
      <c r="J185" s="2"/>
      <c r="K185" s="2">
        <v>0</v>
      </c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>
        <v>0</v>
      </c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>
        <v>13</v>
      </c>
      <c r="BB185" s="2"/>
      <c r="BC185" s="2"/>
      <c r="BD185" s="2"/>
      <c r="BE185" s="2"/>
      <c r="BF185" s="2"/>
      <c r="BG185" s="2"/>
      <c r="BH185" s="2"/>
      <c r="BI185" s="2">
        <v>1.4</v>
      </c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>
        <v>0</v>
      </c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>
        <v>0</v>
      </c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14" t="s">
        <v>100</v>
      </c>
      <c r="DM185" s="2"/>
      <c r="DN185" s="2">
        <f t="shared" si="8"/>
        <v>1.4</v>
      </c>
      <c r="DO185" s="2">
        <f t="shared" si="9"/>
        <v>0</v>
      </c>
      <c r="DP185" s="2" t="s">
        <v>113</v>
      </c>
      <c r="DQ185" s="2" t="s">
        <v>3</v>
      </c>
      <c r="DR185" s="2">
        <f t="shared" si="10"/>
        <v>13</v>
      </c>
      <c r="DS185" s="2">
        <f t="shared" si="11"/>
        <v>1.4</v>
      </c>
      <c r="DT185" s="15">
        <f t="shared" si="12"/>
        <v>182</v>
      </c>
      <c r="DU185" s="2"/>
      <c r="DV185" s="2">
        <f t="shared" si="13"/>
        <v>0</v>
      </c>
      <c r="DW185" s="2"/>
      <c r="DX185" s="2"/>
      <c r="DY185" s="2"/>
      <c r="DZ185" s="2" t="s">
        <v>3</v>
      </c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 t="s">
        <v>3</v>
      </c>
      <c r="FR185" s="2" t="s">
        <v>37</v>
      </c>
      <c r="FS185" s="2" t="s">
        <v>396</v>
      </c>
      <c r="FT185" s="2"/>
      <c r="FU185" s="2"/>
      <c r="FV185" s="2" t="s">
        <v>3</v>
      </c>
    </row>
    <row r="186" spans="1:178" ht="15.75" customHeight="1" x14ac:dyDescent="0.2">
      <c r="A186" s="14" t="s">
        <v>96</v>
      </c>
      <c r="B186" s="2" t="s">
        <v>115</v>
      </c>
      <c r="C186" s="21" t="s">
        <v>574</v>
      </c>
      <c r="D186" s="2" t="s">
        <v>99</v>
      </c>
      <c r="E186" s="2"/>
      <c r="F186" s="2"/>
      <c r="G186" s="2"/>
      <c r="H186" s="2" t="s">
        <v>575</v>
      </c>
      <c r="I186" s="2"/>
      <c r="J186" s="2" t="s">
        <v>181</v>
      </c>
      <c r="K186" s="15">
        <v>19</v>
      </c>
      <c r="L186" s="2">
        <v>0.06</v>
      </c>
      <c r="M186" s="2"/>
      <c r="N186" s="2"/>
      <c r="O186" s="2"/>
      <c r="P186" s="2"/>
      <c r="Q186" s="2"/>
      <c r="R186" s="2"/>
      <c r="S186" s="2">
        <v>0.79</v>
      </c>
      <c r="T186" s="2">
        <v>1.4500000000000001E-2</v>
      </c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>
        <v>21.4</v>
      </c>
      <c r="AG186" s="2">
        <v>7.0000000000000007E-2</v>
      </c>
      <c r="AH186" s="2"/>
      <c r="AI186" s="2"/>
      <c r="AJ186" s="2"/>
      <c r="AK186" s="2"/>
      <c r="AL186" s="2"/>
      <c r="AM186" s="2"/>
      <c r="AN186" s="2">
        <v>0.77</v>
      </c>
      <c r="AO186" s="2">
        <v>1.23E-2</v>
      </c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>
        <v>0</v>
      </c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>
        <v>0</v>
      </c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>
        <v>0</v>
      </c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14" t="s">
        <v>100</v>
      </c>
      <c r="DM186" s="2" t="s">
        <v>100</v>
      </c>
      <c r="DN186" s="2">
        <f t="shared" si="8"/>
        <v>0.77940594059405943</v>
      </c>
      <c r="DO186" s="2">
        <f t="shared" si="9"/>
        <v>1.3334653465346537E-2</v>
      </c>
      <c r="DP186" s="2" t="s">
        <v>576</v>
      </c>
      <c r="DQ186" s="2" t="s">
        <v>3</v>
      </c>
      <c r="DR186" s="15">
        <f t="shared" si="10"/>
        <v>40.4</v>
      </c>
      <c r="DS186" s="4">
        <f t="shared" si="11"/>
        <v>0.77940594059405943</v>
      </c>
      <c r="DT186" s="15">
        <f t="shared" si="12"/>
        <v>314.88</v>
      </c>
      <c r="DU186" s="2"/>
      <c r="DV186" s="2">
        <f t="shared" si="13"/>
        <v>0</v>
      </c>
      <c r="DW186" s="2"/>
      <c r="DX186" s="2"/>
      <c r="DY186" s="2"/>
      <c r="DZ186" s="2" t="s">
        <v>3</v>
      </c>
      <c r="EA186" s="2" t="s">
        <v>115</v>
      </c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 t="s">
        <v>115</v>
      </c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 t="s">
        <v>115</v>
      </c>
      <c r="FQ186" s="2" t="s">
        <v>3</v>
      </c>
      <c r="FR186" s="2" t="s">
        <v>183</v>
      </c>
      <c r="FS186" s="2" t="s">
        <v>577</v>
      </c>
      <c r="FT186" s="2"/>
      <c r="FU186" s="2"/>
      <c r="FV186" s="2" t="s">
        <v>3</v>
      </c>
    </row>
    <row r="187" spans="1:178" ht="15.75" customHeight="1" x14ac:dyDescent="0.2">
      <c r="A187" s="14" t="s">
        <v>96</v>
      </c>
      <c r="B187" s="2" t="s">
        <v>124</v>
      </c>
      <c r="C187" s="21" t="s">
        <v>578</v>
      </c>
      <c r="D187" s="2" t="s">
        <v>99</v>
      </c>
      <c r="E187" s="2"/>
      <c r="F187" s="2"/>
      <c r="G187" s="2"/>
      <c r="H187" s="2" t="s">
        <v>79</v>
      </c>
      <c r="I187" s="2"/>
      <c r="J187" s="2"/>
      <c r="K187" s="2">
        <v>0</v>
      </c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>
        <v>0</v>
      </c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>
        <v>16.5</v>
      </c>
      <c r="BB187" s="2">
        <v>0.03</v>
      </c>
      <c r="BC187" s="2"/>
      <c r="BD187" s="2"/>
      <c r="BE187" s="2"/>
      <c r="BF187" s="2"/>
      <c r="BG187" s="2"/>
      <c r="BH187" s="2">
        <v>0.06</v>
      </c>
      <c r="BI187" s="2">
        <v>0.05</v>
      </c>
      <c r="BJ187" s="2"/>
      <c r="BK187" s="2"/>
      <c r="BL187" s="2"/>
      <c r="BM187" s="2"/>
      <c r="BN187" s="2"/>
      <c r="BO187" s="2"/>
      <c r="BP187" s="2"/>
      <c r="BQ187" s="2">
        <v>27</v>
      </c>
      <c r="BR187" s="2"/>
      <c r="BS187" s="2"/>
      <c r="BT187" s="2"/>
      <c r="BU187" s="2"/>
      <c r="BV187" s="2">
        <v>0</v>
      </c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>
        <v>0</v>
      </c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14" t="s">
        <v>81</v>
      </c>
      <c r="DM187" s="2"/>
      <c r="DN187" s="2">
        <f t="shared" si="8"/>
        <v>0.05</v>
      </c>
      <c r="DO187" s="2">
        <f t="shared" si="9"/>
        <v>0</v>
      </c>
      <c r="DP187" s="2" t="s">
        <v>126</v>
      </c>
      <c r="DQ187" s="2" t="s">
        <v>3</v>
      </c>
      <c r="DR187" s="2">
        <f t="shared" si="10"/>
        <v>16.5</v>
      </c>
      <c r="DS187" s="2">
        <f t="shared" si="11"/>
        <v>0.05</v>
      </c>
      <c r="DT187" s="15">
        <f t="shared" si="12"/>
        <v>8.25</v>
      </c>
      <c r="DU187" s="2"/>
      <c r="DV187" s="2">
        <f t="shared" si="13"/>
        <v>0</v>
      </c>
      <c r="DW187" s="2"/>
      <c r="DX187" s="2"/>
      <c r="DY187" s="2"/>
      <c r="DZ187" s="2" t="s">
        <v>3</v>
      </c>
      <c r="EA187" s="2" t="s">
        <v>124</v>
      </c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 t="s">
        <v>124</v>
      </c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 t="s">
        <v>124</v>
      </c>
      <c r="FQ187" s="2" t="s">
        <v>3</v>
      </c>
      <c r="FR187" s="2" t="s">
        <v>183</v>
      </c>
      <c r="FS187" s="2" t="s">
        <v>577</v>
      </c>
      <c r="FT187" s="2"/>
      <c r="FU187" s="2"/>
      <c r="FV187" s="2" t="s">
        <v>3</v>
      </c>
    </row>
    <row r="188" spans="1:178" ht="15.75" customHeight="1" x14ac:dyDescent="0.2">
      <c r="A188" s="14" t="s">
        <v>96</v>
      </c>
      <c r="B188" s="2" t="s">
        <v>164</v>
      </c>
      <c r="C188" s="16" t="s">
        <v>579</v>
      </c>
      <c r="D188" s="2" t="s">
        <v>99</v>
      </c>
      <c r="E188" s="2"/>
      <c r="F188" s="2"/>
      <c r="G188" s="2" t="s">
        <v>179</v>
      </c>
      <c r="H188" s="2" t="s">
        <v>367</v>
      </c>
      <c r="I188" s="2"/>
      <c r="J188" s="2" t="s">
        <v>181</v>
      </c>
      <c r="K188" s="2">
        <v>0</v>
      </c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>
        <v>0</v>
      </c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>
        <v>31</v>
      </c>
      <c r="BB188" s="2"/>
      <c r="BC188" s="2"/>
      <c r="BD188" s="2"/>
      <c r="BE188" s="2"/>
      <c r="BF188" s="2"/>
      <c r="BG188" s="2"/>
      <c r="BH188" s="2"/>
      <c r="BI188" s="2">
        <v>0.59</v>
      </c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>
        <v>0</v>
      </c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>
        <v>0</v>
      </c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14" t="s">
        <v>81</v>
      </c>
      <c r="DM188" s="2"/>
      <c r="DN188" s="2">
        <f t="shared" si="8"/>
        <v>0.59</v>
      </c>
      <c r="DO188" s="2">
        <f t="shared" si="9"/>
        <v>0</v>
      </c>
      <c r="DP188" s="2" t="s">
        <v>211</v>
      </c>
      <c r="DQ188" s="2" t="s">
        <v>3</v>
      </c>
      <c r="DR188" s="2">
        <f t="shared" si="10"/>
        <v>31</v>
      </c>
      <c r="DS188" s="2">
        <f t="shared" si="11"/>
        <v>0.59</v>
      </c>
      <c r="DT188" s="15">
        <f t="shared" si="12"/>
        <v>182.9</v>
      </c>
      <c r="DU188" s="2"/>
      <c r="DV188" s="2">
        <f t="shared" si="13"/>
        <v>0</v>
      </c>
      <c r="DW188" s="2"/>
      <c r="DX188" s="2"/>
      <c r="DY188" s="2"/>
      <c r="DZ188" s="2" t="s">
        <v>3</v>
      </c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 t="s">
        <v>3</v>
      </c>
      <c r="FR188" s="2" t="s">
        <v>89</v>
      </c>
      <c r="FS188" s="2" t="s">
        <v>137</v>
      </c>
      <c r="FT188" s="2"/>
      <c r="FU188" s="2"/>
      <c r="FV188" s="2" t="s">
        <v>3</v>
      </c>
    </row>
    <row r="189" spans="1:178" ht="15.75" customHeight="1" x14ac:dyDescent="0.2">
      <c r="A189" s="14" t="s">
        <v>74</v>
      </c>
      <c r="B189" s="2" t="s">
        <v>164</v>
      </c>
      <c r="C189" s="13" t="s">
        <v>580</v>
      </c>
      <c r="D189" s="2" t="s">
        <v>99</v>
      </c>
      <c r="E189" s="2"/>
      <c r="F189" s="2"/>
      <c r="G189" s="2" t="s">
        <v>78</v>
      </c>
      <c r="H189" s="2" t="s">
        <v>581</v>
      </c>
      <c r="I189" s="2"/>
      <c r="J189" s="2" t="s">
        <v>242</v>
      </c>
      <c r="K189" s="2">
        <v>0</v>
      </c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>
        <v>0</v>
      </c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>
        <v>4.3099999999999996</v>
      </c>
      <c r="BB189" s="2"/>
      <c r="BC189" s="2"/>
      <c r="BD189" s="2"/>
      <c r="BE189" s="2"/>
      <c r="BF189" s="2"/>
      <c r="BG189" s="2"/>
      <c r="BH189" s="2"/>
      <c r="BI189" s="2">
        <v>1.02</v>
      </c>
      <c r="BJ189" s="2">
        <v>6.3E-2</v>
      </c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>
        <v>0</v>
      </c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>
        <v>0</v>
      </c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14" t="s">
        <v>81</v>
      </c>
      <c r="DM189" s="2" t="s">
        <v>81</v>
      </c>
      <c r="DN189" s="2">
        <f t="shared" si="8"/>
        <v>1.02</v>
      </c>
      <c r="DO189" s="2">
        <f t="shared" si="9"/>
        <v>6.3E-2</v>
      </c>
      <c r="DP189" s="2" t="s">
        <v>175</v>
      </c>
      <c r="DQ189" s="2" t="s">
        <v>3</v>
      </c>
      <c r="DR189" s="2">
        <f t="shared" si="10"/>
        <v>4.3099999999999996</v>
      </c>
      <c r="DS189" s="2">
        <f t="shared" si="11"/>
        <v>1.02</v>
      </c>
      <c r="DT189" s="15">
        <f t="shared" si="12"/>
        <v>43.961999999999996</v>
      </c>
      <c r="DU189" s="2"/>
      <c r="DV189" s="2">
        <f t="shared" si="13"/>
        <v>0</v>
      </c>
      <c r="DW189" s="2"/>
      <c r="DX189" s="2"/>
      <c r="DY189" s="2"/>
      <c r="DZ189" s="2" t="s">
        <v>3</v>
      </c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 t="s">
        <v>3</v>
      </c>
      <c r="FR189" s="2" t="s">
        <v>37</v>
      </c>
      <c r="FS189" s="2" t="s">
        <v>373</v>
      </c>
      <c r="FT189" s="2" t="s">
        <v>373</v>
      </c>
      <c r="FU189" s="2"/>
      <c r="FV189" s="2" t="s">
        <v>3</v>
      </c>
    </row>
    <row r="190" spans="1:178" ht="15.75" customHeight="1" x14ac:dyDescent="0.2">
      <c r="A190" s="14" t="s">
        <v>96</v>
      </c>
      <c r="B190" s="24" t="s">
        <v>202</v>
      </c>
      <c r="C190" s="16" t="s">
        <v>582</v>
      </c>
      <c r="D190" s="2"/>
      <c r="E190" s="2"/>
      <c r="F190" s="2"/>
      <c r="G190" s="2"/>
      <c r="H190" s="2" t="s">
        <v>79</v>
      </c>
      <c r="I190" s="2"/>
      <c r="J190" s="2"/>
      <c r="K190" s="2">
        <v>0</v>
      </c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>
        <v>0</v>
      </c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>
        <v>34</v>
      </c>
      <c r="BB190" s="2">
        <v>0.14000000000000001</v>
      </c>
      <c r="BC190" s="2"/>
      <c r="BD190" s="2"/>
      <c r="BE190" s="2"/>
      <c r="BF190" s="2"/>
      <c r="BG190" s="2"/>
      <c r="BH190" s="2"/>
      <c r="BI190" s="2">
        <v>0.17</v>
      </c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14" t="s">
        <v>100</v>
      </c>
      <c r="DM190" s="2"/>
      <c r="DN190" s="2">
        <f t="shared" si="8"/>
        <v>0.17</v>
      </c>
      <c r="DO190" s="2">
        <f t="shared" si="9"/>
        <v>0</v>
      </c>
      <c r="DP190" s="2" t="s">
        <v>204</v>
      </c>
      <c r="DQ190" s="2" t="s">
        <v>3</v>
      </c>
      <c r="DR190" s="2">
        <f t="shared" si="10"/>
        <v>34</v>
      </c>
      <c r="DS190" s="2">
        <f t="shared" si="11"/>
        <v>0.17</v>
      </c>
      <c r="DT190" s="15">
        <f t="shared" si="12"/>
        <v>57.8</v>
      </c>
      <c r="DU190" s="2"/>
      <c r="DV190" s="2">
        <f t="shared" si="13"/>
        <v>0</v>
      </c>
      <c r="DW190" s="2"/>
      <c r="DX190" s="2"/>
      <c r="DY190" s="2"/>
      <c r="DZ190" s="2" t="s">
        <v>3</v>
      </c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 t="s">
        <v>3</v>
      </c>
      <c r="FR190" s="2" t="s">
        <v>89</v>
      </c>
      <c r="FS190" s="2" t="s">
        <v>123</v>
      </c>
      <c r="FT190" s="2" t="s">
        <v>205</v>
      </c>
      <c r="FU190" s="2"/>
      <c r="FV190" s="2" t="s">
        <v>3</v>
      </c>
    </row>
    <row r="191" spans="1:178" ht="15.75" customHeight="1" x14ac:dyDescent="0.2">
      <c r="A191" s="14" t="s">
        <v>96</v>
      </c>
      <c r="B191" s="24" t="s">
        <v>202</v>
      </c>
      <c r="C191" s="16" t="s">
        <v>583</v>
      </c>
      <c r="D191" s="2"/>
      <c r="E191" s="2"/>
      <c r="F191" s="2"/>
      <c r="G191" s="2"/>
      <c r="H191" s="2" t="s">
        <v>584</v>
      </c>
      <c r="I191" s="2"/>
      <c r="J191" s="2"/>
      <c r="K191" s="2">
        <v>0</v>
      </c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>
        <v>0</v>
      </c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15">
        <v>361.91356846301909</v>
      </c>
      <c r="BB191" s="2">
        <v>0.66</v>
      </c>
      <c r="BC191" s="2">
        <v>0.35</v>
      </c>
      <c r="BD191" s="2"/>
      <c r="BE191" s="2"/>
      <c r="BF191" s="2"/>
      <c r="BG191" s="2"/>
      <c r="BH191" s="2"/>
      <c r="BI191" s="4">
        <v>1.18</v>
      </c>
      <c r="BJ191" s="2">
        <v>3.1E-2</v>
      </c>
      <c r="BK191" s="2">
        <v>0.23</v>
      </c>
      <c r="BL191" s="2">
        <v>0.11</v>
      </c>
      <c r="BM191" s="2">
        <v>5.0000000000000001E-3</v>
      </c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14" t="s">
        <v>100</v>
      </c>
      <c r="DM191" s="2" t="s">
        <v>100</v>
      </c>
      <c r="DN191" s="2">
        <f t="shared" si="8"/>
        <v>1.18</v>
      </c>
      <c r="DO191" s="2">
        <f t="shared" si="9"/>
        <v>3.1000000000000003E-2</v>
      </c>
      <c r="DP191" s="2" t="s">
        <v>585</v>
      </c>
      <c r="DQ191" s="2" t="s">
        <v>3</v>
      </c>
      <c r="DR191" s="15">
        <f t="shared" si="10"/>
        <v>361.91356846301909</v>
      </c>
      <c r="DS191" s="2">
        <f t="shared" si="11"/>
        <v>1.18</v>
      </c>
      <c r="DT191" s="18">
        <f t="shared" si="12"/>
        <v>4270.580107863625</v>
      </c>
      <c r="DU191" s="2"/>
      <c r="DV191" s="2">
        <f t="shared" si="13"/>
        <v>0</v>
      </c>
      <c r="DW191" s="2"/>
      <c r="DX191" s="2"/>
      <c r="DY191" s="2"/>
      <c r="DZ191" s="2" t="s">
        <v>3</v>
      </c>
      <c r="EA191" s="2" t="s">
        <v>202</v>
      </c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 t="s">
        <v>202</v>
      </c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 t="s">
        <v>202</v>
      </c>
      <c r="FQ191" s="2" t="s">
        <v>3</v>
      </c>
      <c r="FR191" s="2" t="s">
        <v>89</v>
      </c>
      <c r="FS191" s="2" t="s">
        <v>123</v>
      </c>
      <c r="FT191" s="2"/>
      <c r="FU191" s="2"/>
      <c r="FV191" s="2" t="s">
        <v>3</v>
      </c>
    </row>
    <row r="192" spans="1:178" ht="15.75" customHeight="1" x14ac:dyDescent="0.2">
      <c r="A192" s="14" t="s">
        <v>74</v>
      </c>
      <c r="B192" s="2" t="s">
        <v>164</v>
      </c>
      <c r="C192" s="13" t="s">
        <v>586</v>
      </c>
      <c r="D192" s="2" t="s">
        <v>99</v>
      </c>
      <c r="E192" s="2"/>
      <c r="F192" s="2"/>
      <c r="G192" s="2" t="s">
        <v>179</v>
      </c>
      <c r="H192" s="2" t="s">
        <v>324</v>
      </c>
      <c r="I192" s="2"/>
      <c r="J192" s="2" t="s">
        <v>242</v>
      </c>
      <c r="K192" s="2">
        <v>0</v>
      </c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19">
        <f>3.3914+1.4289</f>
        <v>4.8202999999999996</v>
      </c>
      <c r="AG192" s="2"/>
      <c r="AH192" s="2"/>
      <c r="AI192" s="2"/>
      <c r="AJ192" s="2"/>
      <c r="AK192" s="2"/>
      <c r="AL192" s="2"/>
      <c r="AM192" s="2"/>
      <c r="AN192" s="4">
        <f>(0.79*3.3914+0.83*1.4289)/AF192</f>
        <v>0.8018573532767671</v>
      </c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19">
        <f>13.295+7.8131</f>
        <v>21.1081</v>
      </c>
      <c r="BB192" s="2"/>
      <c r="BC192" s="2"/>
      <c r="BD192" s="2"/>
      <c r="BE192" s="2"/>
      <c r="BF192" s="2"/>
      <c r="BG192" s="2"/>
      <c r="BH192" s="2"/>
      <c r="BI192" s="4">
        <f>(0.7*13.295+0.78*7.8131)/BA192</f>
        <v>0.72961176041424858</v>
      </c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>
        <v>0</v>
      </c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>
        <v>0</v>
      </c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14" t="s">
        <v>81</v>
      </c>
      <c r="DM192" s="2"/>
      <c r="DN192" s="2">
        <f t="shared" si="8"/>
        <v>0.74304280248684851</v>
      </c>
      <c r="DO192" s="2">
        <f t="shared" si="9"/>
        <v>0</v>
      </c>
      <c r="DP192" s="2" t="s">
        <v>175</v>
      </c>
      <c r="DQ192" s="2" t="s">
        <v>3</v>
      </c>
      <c r="DR192" s="4">
        <f t="shared" si="10"/>
        <v>25.9284</v>
      </c>
      <c r="DS192" s="4">
        <f t="shared" si="11"/>
        <v>0.74304280248684851</v>
      </c>
      <c r="DT192" s="15">
        <f t="shared" si="12"/>
        <v>192.65911000000003</v>
      </c>
      <c r="DU192" s="2"/>
      <c r="DV192" s="2">
        <f t="shared" si="13"/>
        <v>0</v>
      </c>
      <c r="DW192" s="2"/>
      <c r="DX192" s="2"/>
      <c r="DY192" s="2"/>
      <c r="DZ192" s="2" t="s">
        <v>3</v>
      </c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 t="s">
        <v>3</v>
      </c>
      <c r="FR192" s="2" t="s">
        <v>37</v>
      </c>
      <c r="FS192" s="2" t="s">
        <v>114</v>
      </c>
      <c r="FT192" s="2"/>
      <c r="FU192" s="2"/>
      <c r="FV192" s="2" t="s">
        <v>3</v>
      </c>
    </row>
    <row r="193" spans="1:178" ht="15.75" customHeight="1" x14ac:dyDescent="0.2">
      <c r="A193" s="14" t="s">
        <v>96</v>
      </c>
      <c r="B193" s="2" t="s">
        <v>133</v>
      </c>
      <c r="C193" s="16" t="s">
        <v>587</v>
      </c>
      <c r="D193" s="2" t="s">
        <v>99</v>
      </c>
      <c r="E193" s="2"/>
      <c r="F193" s="2"/>
      <c r="G193" s="2"/>
      <c r="H193" s="2" t="s">
        <v>588</v>
      </c>
      <c r="I193" s="2"/>
      <c r="J193" s="2"/>
      <c r="K193" s="2">
        <v>0</v>
      </c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>
        <v>3.2919999999999998</v>
      </c>
      <c r="AG193" s="2">
        <v>0.42</v>
      </c>
      <c r="AH193" s="2">
        <v>0.03</v>
      </c>
      <c r="AI193" s="2"/>
      <c r="AJ193" s="2"/>
      <c r="AK193" s="2"/>
      <c r="AL193" s="2"/>
      <c r="AM193" s="2"/>
      <c r="AN193" s="2">
        <v>0.62</v>
      </c>
      <c r="AO193" s="2">
        <v>0.05</v>
      </c>
      <c r="AP193" s="2">
        <v>0.13</v>
      </c>
      <c r="AQ193" s="2">
        <v>0.53</v>
      </c>
      <c r="AR193" s="2"/>
      <c r="AS193" s="2"/>
      <c r="AT193" s="2"/>
      <c r="AU193" s="2"/>
      <c r="AV193" s="2"/>
      <c r="AW193" s="2"/>
      <c r="AX193" s="2"/>
      <c r="AY193" s="2"/>
      <c r="AZ193" s="2"/>
      <c r="BA193" s="2">
        <v>0.56799999999999995</v>
      </c>
      <c r="BB193" s="2">
        <v>0.52</v>
      </c>
      <c r="BC193" s="2">
        <v>0.03</v>
      </c>
      <c r="BD193" s="2"/>
      <c r="BE193" s="2"/>
      <c r="BF193" s="2"/>
      <c r="BG193" s="2"/>
      <c r="BH193" s="2"/>
      <c r="BI193" s="2">
        <v>0.61</v>
      </c>
      <c r="BJ193" s="2">
        <v>0.05</v>
      </c>
      <c r="BK193" s="2">
        <v>0.08</v>
      </c>
      <c r="BL193" s="4">
        <v>0.5</v>
      </c>
      <c r="BM193" s="2"/>
      <c r="BN193" s="2"/>
      <c r="BO193" s="2"/>
      <c r="BP193" s="2"/>
      <c r="BQ193" s="2"/>
      <c r="BR193" s="2"/>
      <c r="BS193" s="2"/>
      <c r="BT193" s="2"/>
      <c r="BU193" s="2"/>
      <c r="BV193" s="2">
        <v>0</v>
      </c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>
        <v>0</v>
      </c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14" t="s">
        <v>81</v>
      </c>
      <c r="DM193" s="2" t="s">
        <v>81</v>
      </c>
      <c r="DN193" s="2">
        <f t="shared" si="8"/>
        <v>0.61852849740932636</v>
      </c>
      <c r="DO193" s="2">
        <f t="shared" si="9"/>
        <v>0.05</v>
      </c>
      <c r="DP193" s="2" t="s">
        <v>589</v>
      </c>
      <c r="DQ193" s="2" t="s">
        <v>3</v>
      </c>
      <c r="DR193" s="2">
        <f t="shared" si="10"/>
        <v>3.86</v>
      </c>
      <c r="DS193" s="4">
        <f t="shared" si="11"/>
        <v>0.61852849740932636</v>
      </c>
      <c r="DT193" s="15">
        <f t="shared" si="12"/>
        <v>23.875199999999996</v>
      </c>
      <c r="DU193" s="2"/>
      <c r="DV193" s="2">
        <f t="shared" si="13"/>
        <v>0</v>
      </c>
      <c r="DW193" s="2"/>
      <c r="DX193" s="2"/>
      <c r="DY193" s="2"/>
      <c r="DZ193" s="2" t="s">
        <v>3</v>
      </c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 t="s">
        <v>3</v>
      </c>
      <c r="FR193" s="2" t="s">
        <v>89</v>
      </c>
      <c r="FS193" s="2" t="s">
        <v>137</v>
      </c>
      <c r="FT193" s="2"/>
      <c r="FU193" s="2"/>
      <c r="FV193" s="2" t="s">
        <v>3</v>
      </c>
    </row>
    <row r="194" spans="1:178" ht="15.75" customHeight="1" x14ac:dyDescent="0.2">
      <c r="A194" s="14" t="s">
        <v>96</v>
      </c>
      <c r="B194" s="2" t="s">
        <v>133</v>
      </c>
      <c r="C194" s="16" t="s">
        <v>590</v>
      </c>
      <c r="D194" s="2" t="s">
        <v>99</v>
      </c>
      <c r="E194" s="2"/>
      <c r="F194" s="2"/>
      <c r="G194" s="2"/>
      <c r="H194" s="2" t="s">
        <v>588</v>
      </c>
      <c r="I194" s="2"/>
      <c r="J194" s="2"/>
      <c r="K194" s="2">
        <v>0</v>
      </c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>
        <v>1.0840000000000001</v>
      </c>
      <c r="AG194" s="2">
        <v>7.0000000000000007E-2</v>
      </c>
      <c r="AH194" s="2">
        <v>0.01</v>
      </c>
      <c r="AI194" s="2"/>
      <c r="AJ194" s="2"/>
      <c r="AK194" s="2"/>
      <c r="AL194" s="2"/>
      <c r="AM194" s="2"/>
      <c r="AN194" s="2">
        <v>0.63</v>
      </c>
      <c r="AO194" s="2">
        <v>0.02</v>
      </c>
      <c r="AP194" s="2">
        <v>0.04</v>
      </c>
      <c r="AQ194" s="2">
        <v>0.05</v>
      </c>
      <c r="AR194" s="2"/>
      <c r="AS194" s="2"/>
      <c r="AT194" s="2"/>
      <c r="AU194" s="2"/>
      <c r="AV194" s="2"/>
      <c r="AW194" s="2"/>
      <c r="AX194" s="2"/>
      <c r="AY194" s="2"/>
      <c r="AZ194" s="2"/>
      <c r="BA194" s="2">
        <v>0.18</v>
      </c>
      <c r="BB194" s="2">
        <v>7.0000000000000007E-2</v>
      </c>
      <c r="BC194" s="2">
        <v>0.01</v>
      </c>
      <c r="BD194" s="2"/>
      <c r="BE194" s="2"/>
      <c r="BF194" s="2"/>
      <c r="BG194" s="2"/>
      <c r="BH194" s="2"/>
      <c r="BI194" s="4">
        <v>0.6</v>
      </c>
      <c r="BJ194" s="2">
        <v>0.02</v>
      </c>
      <c r="BK194" s="2">
        <v>0.02</v>
      </c>
      <c r="BL194" s="2">
        <v>0.04</v>
      </c>
      <c r="BM194" s="2"/>
      <c r="BN194" s="2"/>
      <c r="BO194" s="2"/>
      <c r="BP194" s="2"/>
      <c r="BQ194" s="2"/>
      <c r="BR194" s="2"/>
      <c r="BS194" s="2"/>
      <c r="BT194" s="2"/>
      <c r="BU194" s="2"/>
      <c r="BV194" s="2">
        <v>0</v>
      </c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>
        <v>0</v>
      </c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14" t="s">
        <v>81</v>
      </c>
      <c r="DM194" s="2" t="s">
        <v>81</v>
      </c>
      <c r="DN194" s="2">
        <f t="shared" si="8"/>
        <v>0.62572784810126592</v>
      </c>
      <c r="DO194" s="2">
        <f t="shared" si="9"/>
        <v>0.02</v>
      </c>
      <c r="DP194" s="2" t="s">
        <v>589</v>
      </c>
      <c r="DQ194" s="2" t="s">
        <v>3</v>
      </c>
      <c r="DR194" s="2">
        <f t="shared" si="10"/>
        <v>1.264</v>
      </c>
      <c r="DS194" s="4">
        <f t="shared" si="11"/>
        <v>0.62572784810126592</v>
      </c>
      <c r="DT194" s="15">
        <f t="shared" si="12"/>
        <v>7.9092000000000011</v>
      </c>
      <c r="DU194" s="2"/>
      <c r="DV194" s="2">
        <f t="shared" si="13"/>
        <v>0</v>
      </c>
      <c r="DW194" s="2"/>
      <c r="DX194" s="2"/>
      <c r="DY194" s="2"/>
      <c r="DZ194" s="2" t="s">
        <v>3</v>
      </c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 t="s">
        <v>3</v>
      </c>
      <c r="FR194" s="2" t="s">
        <v>89</v>
      </c>
      <c r="FS194" s="2" t="s">
        <v>137</v>
      </c>
      <c r="FT194" s="2"/>
      <c r="FU194" s="2"/>
      <c r="FV194" s="2" t="s">
        <v>3</v>
      </c>
    </row>
    <row r="195" spans="1:178" ht="15.75" customHeight="1" x14ac:dyDescent="0.2">
      <c r="A195" s="14" t="s">
        <v>96</v>
      </c>
      <c r="B195" s="2" t="s">
        <v>97</v>
      </c>
      <c r="C195" s="32" t="s">
        <v>591</v>
      </c>
      <c r="D195" s="2" t="s">
        <v>99</v>
      </c>
      <c r="E195" s="2"/>
      <c r="F195" s="2"/>
      <c r="G195" s="2"/>
      <c r="H195" s="2" t="s">
        <v>79</v>
      </c>
      <c r="I195" s="2"/>
      <c r="J195" s="2"/>
      <c r="K195" s="2">
        <v>0</v>
      </c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>
        <v>0</v>
      </c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>
        <v>4.2</v>
      </c>
      <c r="BB195" s="2"/>
      <c r="BC195" s="2"/>
      <c r="BD195" s="2"/>
      <c r="BE195" s="2"/>
      <c r="BF195" s="2"/>
      <c r="BG195" s="2"/>
      <c r="BH195" s="2"/>
      <c r="BI195" s="2">
        <v>0.38</v>
      </c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>
        <v>0</v>
      </c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>
        <v>0</v>
      </c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14" t="s">
        <v>100</v>
      </c>
      <c r="DM195" s="2"/>
      <c r="DN195" s="2">
        <f t="shared" si="8"/>
        <v>0.38</v>
      </c>
      <c r="DO195" s="2">
        <f t="shared" si="9"/>
        <v>0</v>
      </c>
      <c r="DP195" s="2" t="s">
        <v>132</v>
      </c>
      <c r="DQ195" s="2" t="s">
        <v>3</v>
      </c>
      <c r="DR195" s="2">
        <f t="shared" si="10"/>
        <v>4.2</v>
      </c>
      <c r="DS195" s="2">
        <f t="shared" si="11"/>
        <v>0.38</v>
      </c>
      <c r="DT195" s="15">
        <f t="shared" si="12"/>
        <v>15.96</v>
      </c>
      <c r="DU195" s="2"/>
      <c r="DV195" s="2">
        <f t="shared" si="13"/>
        <v>0</v>
      </c>
      <c r="DW195" s="2"/>
      <c r="DX195" s="2"/>
      <c r="DY195" s="2"/>
      <c r="DZ195" s="2" t="s">
        <v>3</v>
      </c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 t="s">
        <v>3</v>
      </c>
      <c r="FR195" s="2" t="s">
        <v>89</v>
      </c>
      <c r="FS195" s="2" t="s">
        <v>522</v>
      </c>
      <c r="FT195" s="2"/>
      <c r="FU195" s="2"/>
      <c r="FV195" s="2" t="s">
        <v>3</v>
      </c>
    </row>
    <row r="196" spans="1:178" ht="15.75" customHeight="1" x14ac:dyDescent="0.2">
      <c r="A196" s="14" t="s">
        <v>96</v>
      </c>
      <c r="B196" s="2" t="s">
        <v>433</v>
      </c>
      <c r="C196" s="16" t="s">
        <v>592</v>
      </c>
      <c r="D196" s="2" t="s">
        <v>99</v>
      </c>
      <c r="E196" s="2"/>
      <c r="F196" s="2"/>
      <c r="G196" s="2"/>
      <c r="H196" s="2" t="s">
        <v>593</v>
      </c>
      <c r="I196" s="2"/>
      <c r="J196" s="2"/>
      <c r="K196" s="2">
        <v>13.8</v>
      </c>
      <c r="L196" s="2">
        <v>0.34</v>
      </c>
      <c r="M196" s="2"/>
      <c r="N196" s="2"/>
      <c r="O196" s="2"/>
      <c r="P196" s="2"/>
      <c r="Q196" s="2"/>
      <c r="R196" s="2"/>
      <c r="S196" s="2">
        <v>2.4900000000000002</v>
      </c>
      <c r="T196" s="2">
        <v>0.21</v>
      </c>
      <c r="U196" s="2">
        <v>0.16</v>
      </c>
      <c r="V196" s="2">
        <v>0.19</v>
      </c>
      <c r="W196" s="2"/>
      <c r="X196" s="2"/>
      <c r="Y196" s="2"/>
      <c r="Z196" s="2"/>
      <c r="AA196" s="2"/>
      <c r="AB196" s="2"/>
      <c r="AC196" s="2"/>
      <c r="AD196" s="2"/>
      <c r="AE196" s="2"/>
      <c r="AF196" s="2">
        <v>23.4</v>
      </c>
      <c r="AG196" s="2">
        <v>0.36</v>
      </c>
      <c r="AH196" s="2"/>
      <c r="AI196" s="2"/>
      <c r="AJ196" s="2"/>
      <c r="AK196" s="2"/>
      <c r="AL196" s="2"/>
      <c r="AM196" s="2"/>
      <c r="AN196" s="2">
        <v>2.72</v>
      </c>
      <c r="AO196" s="2">
        <v>0.19</v>
      </c>
      <c r="AP196" s="2">
        <v>0.41</v>
      </c>
      <c r="AQ196" s="2">
        <v>0.28000000000000003</v>
      </c>
      <c r="AR196" s="2"/>
      <c r="AS196" s="2"/>
      <c r="AT196" s="2"/>
      <c r="AU196" s="2"/>
      <c r="AV196" s="2"/>
      <c r="AW196" s="2"/>
      <c r="AX196" s="2"/>
      <c r="AY196" s="2"/>
      <c r="AZ196" s="2"/>
      <c r="BA196" s="2">
        <v>21</v>
      </c>
      <c r="BB196" s="2">
        <v>0.3</v>
      </c>
      <c r="BC196" s="2"/>
      <c r="BD196" s="2"/>
      <c r="BE196" s="2"/>
      <c r="BF196" s="2"/>
      <c r="BG196" s="2"/>
      <c r="BH196" s="2"/>
      <c r="BI196" s="2">
        <v>2.6</v>
      </c>
      <c r="BJ196" s="2">
        <v>0.2</v>
      </c>
      <c r="BK196" s="2">
        <v>0.3</v>
      </c>
      <c r="BL196" s="2">
        <v>0.3</v>
      </c>
      <c r="BM196" s="2"/>
      <c r="BN196" s="2"/>
      <c r="BO196" s="2"/>
      <c r="BP196" s="2"/>
      <c r="BQ196" s="2"/>
      <c r="BR196" s="2"/>
      <c r="BS196" s="2"/>
      <c r="BT196" s="2"/>
      <c r="BU196" s="2"/>
      <c r="BV196" s="2">
        <v>0</v>
      </c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>
        <v>0</v>
      </c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14" t="s">
        <v>81</v>
      </c>
      <c r="DM196" s="2" t="s">
        <v>81</v>
      </c>
      <c r="DN196" s="2">
        <f t="shared" si="8"/>
        <v>2.6221649484536083</v>
      </c>
      <c r="DO196" s="2">
        <f t="shared" si="9"/>
        <v>0.19835051546391752</v>
      </c>
      <c r="DP196" s="2" t="s">
        <v>95</v>
      </c>
      <c r="DQ196" s="2" t="s">
        <v>3</v>
      </c>
      <c r="DR196" s="2">
        <f t="shared" si="10"/>
        <v>58.2</v>
      </c>
      <c r="DS196" s="4">
        <f t="shared" si="11"/>
        <v>2.6221649484536083</v>
      </c>
      <c r="DT196" s="18">
        <f t="shared" si="12"/>
        <v>1526.1</v>
      </c>
      <c r="DU196" s="2"/>
      <c r="DV196" s="2">
        <f t="shared" si="13"/>
        <v>0</v>
      </c>
      <c r="DW196" s="2"/>
      <c r="DX196" s="2"/>
      <c r="DY196" s="2"/>
      <c r="DZ196" s="2" t="s">
        <v>3</v>
      </c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 t="s">
        <v>3</v>
      </c>
      <c r="FR196" s="2" t="s">
        <v>89</v>
      </c>
      <c r="FS196" s="2" t="s">
        <v>123</v>
      </c>
      <c r="FT196" s="2"/>
      <c r="FU196" s="2"/>
      <c r="FV196" s="2" t="s">
        <v>3</v>
      </c>
    </row>
    <row r="197" spans="1:178" ht="15.75" customHeight="1" x14ac:dyDescent="0.2">
      <c r="A197" s="14" t="s">
        <v>96</v>
      </c>
      <c r="B197" s="24" t="s">
        <v>202</v>
      </c>
      <c r="C197" s="16" t="s">
        <v>594</v>
      </c>
      <c r="D197" s="2" t="s">
        <v>109</v>
      </c>
      <c r="E197" s="2"/>
      <c r="F197" s="2"/>
      <c r="G197" s="2"/>
      <c r="H197" s="2" t="s">
        <v>544</v>
      </c>
      <c r="I197" s="2"/>
      <c r="J197" s="2"/>
      <c r="K197" s="2">
        <v>0</v>
      </c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>
        <v>0</v>
      </c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4">
        <v>29.825994000000001</v>
      </c>
      <c r="BB197" s="2">
        <v>0.97</v>
      </c>
      <c r="BC197" s="2"/>
      <c r="BD197" s="2"/>
      <c r="BE197" s="2"/>
      <c r="BF197" s="2"/>
      <c r="BG197" s="2"/>
      <c r="BH197" s="2"/>
      <c r="BI197" s="2">
        <v>0.56000000000000005</v>
      </c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>
        <v>0</v>
      </c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4">
        <v>19.473970000000001</v>
      </c>
      <c r="CR197" s="4">
        <v>1</v>
      </c>
      <c r="CS197" s="2"/>
      <c r="CT197" s="2"/>
      <c r="CU197" s="2"/>
      <c r="CV197" s="2"/>
      <c r="CW197" s="2"/>
      <c r="CX197" s="2"/>
      <c r="CY197" s="2">
        <v>0.62</v>
      </c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14" t="s">
        <v>81</v>
      </c>
      <c r="DM197" s="2"/>
      <c r="DN197" s="2">
        <f t="shared" si="8"/>
        <v>0.56000000000000005</v>
      </c>
      <c r="DO197" s="2">
        <f t="shared" si="9"/>
        <v>0</v>
      </c>
      <c r="DP197" s="2" t="s">
        <v>211</v>
      </c>
      <c r="DQ197" s="2" t="s">
        <v>3</v>
      </c>
      <c r="DR197" s="4">
        <f t="shared" si="10"/>
        <v>29.825994000000001</v>
      </c>
      <c r="DS197" s="2">
        <f t="shared" si="11"/>
        <v>0.56000000000000005</v>
      </c>
      <c r="DT197" s="15">
        <f t="shared" si="12"/>
        <v>167.02556640000003</v>
      </c>
      <c r="DU197" s="2"/>
      <c r="DV197" s="4">
        <f t="shared" si="13"/>
        <v>19.473970000000001</v>
      </c>
      <c r="DW197" s="4">
        <f>(BV197*CD197+CQ197*CY197)/DV197</f>
        <v>0.62</v>
      </c>
      <c r="DX197" s="15">
        <f>1000*DV197*DW197/100</f>
        <v>120.738614</v>
      </c>
      <c r="DY197" s="2"/>
      <c r="DZ197" s="2" t="s">
        <v>3</v>
      </c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 t="s">
        <v>3</v>
      </c>
      <c r="FR197" s="2" t="s">
        <v>89</v>
      </c>
      <c r="FS197" s="2" t="s">
        <v>123</v>
      </c>
      <c r="FT197" s="2"/>
      <c r="FU197" s="2"/>
      <c r="FV197" s="2" t="s">
        <v>3</v>
      </c>
    </row>
    <row r="198" spans="1:178" ht="15.75" customHeight="1" x14ac:dyDescent="0.2">
      <c r="A198" s="12" t="s">
        <v>74</v>
      </c>
      <c r="B198" s="2" t="s">
        <v>230</v>
      </c>
      <c r="C198" s="13" t="s">
        <v>595</v>
      </c>
      <c r="D198" s="2" t="s">
        <v>99</v>
      </c>
      <c r="E198" s="2"/>
      <c r="F198" s="2"/>
      <c r="G198" s="2"/>
      <c r="H198" s="2" t="s">
        <v>232</v>
      </c>
      <c r="I198" s="2"/>
      <c r="J198" s="2"/>
      <c r="K198" s="2">
        <v>0</v>
      </c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>
        <v>0</v>
      </c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>
        <v>64.599999999999994</v>
      </c>
      <c r="BB198" s="2"/>
      <c r="BC198" s="2"/>
      <c r="BD198" s="2"/>
      <c r="BE198" s="2"/>
      <c r="BF198" s="2"/>
      <c r="BG198" s="2"/>
      <c r="BH198" s="2"/>
      <c r="BI198" s="2" t="s">
        <v>596</v>
      </c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>
        <v>0</v>
      </c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>
        <v>0</v>
      </c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14" t="s">
        <v>100</v>
      </c>
      <c r="DM198" s="2"/>
      <c r="DN198" s="2">
        <f t="shared" si="8"/>
        <v>0.88</v>
      </c>
      <c r="DO198" s="2">
        <f t="shared" si="9"/>
        <v>0</v>
      </c>
      <c r="DP198" s="2" t="s">
        <v>113</v>
      </c>
      <c r="DQ198" s="2" t="s">
        <v>3</v>
      </c>
      <c r="DR198" s="2">
        <f t="shared" si="10"/>
        <v>64.599999999999994</v>
      </c>
      <c r="DS198" s="2">
        <f t="shared" si="11"/>
        <v>0.88</v>
      </c>
      <c r="DT198" s="15">
        <f t="shared" si="12"/>
        <v>568.4799999999999</v>
      </c>
      <c r="DU198" s="2"/>
      <c r="DV198" s="2">
        <f t="shared" si="13"/>
        <v>0</v>
      </c>
      <c r="DW198" s="2"/>
      <c r="DX198" s="2"/>
      <c r="DY198" s="2"/>
      <c r="DZ198" s="2" t="s">
        <v>3</v>
      </c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 t="s">
        <v>3</v>
      </c>
      <c r="FR198" s="2" t="s">
        <v>37</v>
      </c>
      <c r="FS198" s="2" t="s">
        <v>235</v>
      </c>
      <c r="FT198" s="2" t="s">
        <v>235</v>
      </c>
      <c r="FU198" s="2"/>
      <c r="FV198" s="2" t="s">
        <v>3</v>
      </c>
    </row>
    <row r="199" spans="1:178" ht="15.75" customHeight="1" x14ac:dyDescent="0.2">
      <c r="A199" s="14" t="s">
        <v>96</v>
      </c>
      <c r="B199" s="2" t="s">
        <v>597</v>
      </c>
      <c r="C199" s="21" t="s">
        <v>598</v>
      </c>
      <c r="D199" s="2" t="s">
        <v>99</v>
      </c>
      <c r="E199" s="2"/>
      <c r="F199" s="2"/>
      <c r="G199" s="2"/>
      <c r="H199" s="2" t="s">
        <v>599</v>
      </c>
      <c r="I199" s="2"/>
      <c r="J199" s="2"/>
      <c r="K199" s="2">
        <v>5.0999999999999996</v>
      </c>
      <c r="L199" s="2"/>
      <c r="M199" s="2"/>
      <c r="N199" s="2"/>
      <c r="O199" s="2"/>
      <c r="P199" s="2"/>
      <c r="Q199" s="2"/>
      <c r="R199" s="2"/>
      <c r="S199" s="2">
        <v>1.56</v>
      </c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>
        <f>4.3+30.3</f>
        <v>34.6</v>
      </c>
      <c r="AG199" s="2"/>
      <c r="AH199" s="2"/>
      <c r="AI199" s="2"/>
      <c r="AJ199" s="2"/>
      <c r="AK199" s="2"/>
      <c r="AL199" s="2"/>
      <c r="AM199" s="2"/>
      <c r="AN199" s="4">
        <f>(0.69*4.3+0.96*30.3)/AF199</f>
        <v>0.92644508670520231</v>
      </c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>
        <v>20.9</v>
      </c>
      <c r="BB199" s="2"/>
      <c r="BC199" s="2"/>
      <c r="BD199" s="2"/>
      <c r="BE199" s="2"/>
      <c r="BF199" s="2"/>
      <c r="BG199" s="2"/>
      <c r="BH199" s="2"/>
      <c r="BI199" s="2">
        <v>0.63</v>
      </c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>
        <v>5.3</v>
      </c>
      <c r="BW199" s="2"/>
      <c r="BX199" s="2"/>
      <c r="BY199" s="2"/>
      <c r="BZ199" s="2"/>
      <c r="CA199" s="2"/>
      <c r="CB199" s="2"/>
      <c r="CC199" s="2"/>
      <c r="CD199" s="2">
        <v>1.43</v>
      </c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>
        <v>30.1</v>
      </c>
      <c r="CR199" s="2"/>
      <c r="CS199" s="2"/>
      <c r="CT199" s="2"/>
      <c r="CU199" s="2"/>
      <c r="CV199" s="2"/>
      <c r="CW199" s="2"/>
      <c r="CX199" s="2"/>
      <c r="CY199" s="2">
        <v>0.89</v>
      </c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14" t="s">
        <v>81</v>
      </c>
      <c r="DM199" s="2"/>
      <c r="DN199" s="2">
        <f t="shared" si="8"/>
        <v>0.87752475247524742</v>
      </c>
      <c r="DO199" s="2">
        <f t="shared" si="9"/>
        <v>0</v>
      </c>
      <c r="DP199" s="2" t="s">
        <v>150</v>
      </c>
      <c r="DQ199" s="2" t="s">
        <v>3</v>
      </c>
      <c r="DR199" s="2">
        <f t="shared" si="10"/>
        <v>60.6</v>
      </c>
      <c r="DS199" s="4">
        <f t="shared" si="11"/>
        <v>0.87752475247524742</v>
      </c>
      <c r="DT199" s="15">
        <f t="shared" si="12"/>
        <v>531.78</v>
      </c>
      <c r="DU199" s="2"/>
      <c r="DV199" s="2">
        <f t="shared" si="13"/>
        <v>35.4</v>
      </c>
      <c r="DW199" s="4">
        <f>(BV199*CD199+CQ199*CY199)/DV199</f>
        <v>0.97084745762711877</v>
      </c>
      <c r="DX199" s="15">
        <f>1000*DV199*DW199/100</f>
        <v>343.68000000000006</v>
      </c>
      <c r="DY199" s="2"/>
      <c r="DZ199" s="2" t="s">
        <v>3</v>
      </c>
      <c r="EA199" s="2" t="s">
        <v>597</v>
      </c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 t="s">
        <v>597</v>
      </c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 t="s">
        <v>597</v>
      </c>
      <c r="FQ199" s="2" t="s">
        <v>3</v>
      </c>
      <c r="FR199" s="2" t="s">
        <v>183</v>
      </c>
      <c r="FS199" s="2" t="s">
        <v>600</v>
      </c>
      <c r="FT199" s="2" t="s">
        <v>601</v>
      </c>
      <c r="FU199" s="2"/>
      <c r="FV199" s="2" t="s">
        <v>3</v>
      </c>
    </row>
    <row r="200" spans="1:178" ht="15.75" customHeight="1" x14ac:dyDescent="0.2">
      <c r="A200" s="14" t="s">
        <v>96</v>
      </c>
      <c r="B200" s="2" t="s">
        <v>164</v>
      </c>
      <c r="C200" s="28" t="s">
        <v>602</v>
      </c>
      <c r="D200" s="2" t="s">
        <v>120</v>
      </c>
      <c r="E200" s="2"/>
      <c r="F200" s="2"/>
      <c r="G200" s="2" t="s">
        <v>447</v>
      </c>
      <c r="H200" s="2" t="s">
        <v>603</v>
      </c>
      <c r="I200" s="2"/>
      <c r="J200" s="2" t="s">
        <v>181</v>
      </c>
      <c r="K200" s="2">
        <v>0</v>
      </c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>
        <v>0</v>
      </c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>
        <v>32.64</v>
      </c>
      <c r="BB200" s="20">
        <v>0.1</v>
      </c>
      <c r="BC200" s="2"/>
      <c r="BD200" s="2"/>
      <c r="BE200" s="2"/>
      <c r="BF200" s="2"/>
      <c r="BG200" s="2"/>
      <c r="BH200" s="2"/>
      <c r="BI200" s="2">
        <v>0.41</v>
      </c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>
        <v>0</v>
      </c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>
        <v>0</v>
      </c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14" t="s">
        <v>81</v>
      </c>
      <c r="DM200" s="2"/>
      <c r="DN200" s="2">
        <f t="shared" si="8"/>
        <v>0.41</v>
      </c>
      <c r="DO200" s="2">
        <f t="shared" si="9"/>
        <v>0</v>
      </c>
      <c r="DP200" s="2" t="s">
        <v>175</v>
      </c>
      <c r="DQ200" s="2" t="s">
        <v>3</v>
      </c>
      <c r="DR200" s="2">
        <f t="shared" si="10"/>
        <v>32.64</v>
      </c>
      <c r="DS200" s="2">
        <f t="shared" si="11"/>
        <v>0.41</v>
      </c>
      <c r="DT200" s="15">
        <f t="shared" si="12"/>
        <v>133.82399999999998</v>
      </c>
      <c r="DU200" s="2"/>
      <c r="DV200" s="2">
        <f t="shared" si="13"/>
        <v>0</v>
      </c>
      <c r="DW200" s="2"/>
      <c r="DX200" s="2"/>
      <c r="DY200" s="2"/>
      <c r="DZ200" s="2" t="s">
        <v>3</v>
      </c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 t="s">
        <v>3</v>
      </c>
      <c r="FR200" s="2" t="s">
        <v>447</v>
      </c>
      <c r="FS200" s="2" t="s">
        <v>89</v>
      </c>
      <c r="FT200" s="2" t="s">
        <v>137</v>
      </c>
      <c r="FU200" s="2"/>
      <c r="FV200" s="2" t="s">
        <v>3</v>
      </c>
    </row>
    <row r="201" spans="1:178" ht="15.75" customHeight="1" x14ac:dyDescent="0.2">
      <c r="A201" s="14" t="s">
        <v>96</v>
      </c>
      <c r="B201" s="2" t="s">
        <v>164</v>
      </c>
      <c r="C201" s="16" t="s">
        <v>604</v>
      </c>
      <c r="D201" s="2" t="s">
        <v>120</v>
      </c>
      <c r="E201" s="2"/>
      <c r="F201" s="2"/>
      <c r="G201" s="2" t="s">
        <v>179</v>
      </c>
      <c r="H201" s="2" t="s">
        <v>428</v>
      </c>
      <c r="I201" s="2"/>
      <c r="J201" s="2" t="s">
        <v>181</v>
      </c>
      <c r="K201" s="2">
        <v>9.6000000000000002E-2</v>
      </c>
      <c r="L201" s="20">
        <v>0.2</v>
      </c>
      <c r="M201" s="2"/>
      <c r="N201" s="2"/>
      <c r="O201" s="2"/>
      <c r="P201" s="2"/>
      <c r="Q201" s="2"/>
      <c r="R201" s="2"/>
      <c r="S201" s="2">
        <v>4.5999999999999996</v>
      </c>
      <c r="T201" s="20">
        <v>0.03</v>
      </c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>
        <v>0.28299999999999997</v>
      </c>
      <c r="AG201" s="20">
        <v>0.2</v>
      </c>
      <c r="AH201" s="2"/>
      <c r="AI201" s="2"/>
      <c r="AJ201" s="2"/>
      <c r="AK201" s="2"/>
      <c r="AL201" s="2"/>
      <c r="AM201" s="2"/>
      <c r="AN201" s="15">
        <v>4</v>
      </c>
      <c r="AO201" s="20">
        <v>0.03</v>
      </c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>
        <v>0.216</v>
      </c>
      <c r="BB201" s="20">
        <v>0.2</v>
      </c>
      <c r="BC201" s="2"/>
      <c r="BD201" s="2"/>
      <c r="BE201" s="2"/>
      <c r="BF201" s="2"/>
      <c r="BG201" s="2"/>
      <c r="BH201" s="2"/>
      <c r="BI201" s="2">
        <v>3.4</v>
      </c>
      <c r="BJ201" s="20">
        <v>0.03</v>
      </c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>
        <v>0</v>
      </c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>
        <v>0</v>
      </c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14" t="s">
        <v>81</v>
      </c>
      <c r="DM201" s="2" t="s">
        <v>81</v>
      </c>
      <c r="DN201" s="2">
        <f t="shared" si="8"/>
        <v>3.8789915966386554</v>
      </c>
      <c r="DO201" s="2">
        <f t="shared" si="9"/>
        <v>0.03</v>
      </c>
      <c r="DP201" s="2" t="s">
        <v>150</v>
      </c>
      <c r="DQ201" s="2" t="s">
        <v>3</v>
      </c>
      <c r="DR201" s="2">
        <f t="shared" si="10"/>
        <v>0.59499999999999997</v>
      </c>
      <c r="DS201" s="4">
        <f t="shared" si="11"/>
        <v>3.8789915966386554</v>
      </c>
      <c r="DT201" s="15">
        <f t="shared" si="12"/>
        <v>23.08</v>
      </c>
      <c r="DU201" s="2"/>
      <c r="DV201" s="2">
        <f t="shared" si="13"/>
        <v>0</v>
      </c>
      <c r="DW201" s="2"/>
      <c r="DX201" s="2"/>
      <c r="DY201" s="2"/>
      <c r="DZ201" s="2" t="s">
        <v>3</v>
      </c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 t="s">
        <v>3</v>
      </c>
      <c r="FR201" s="2" t="s">
        <v>89</v>
      </c>
      <c r="FS201" s="2" t="s">
        <v>137</v>
      </c>
      <c r="FT201" s="2"/>
      <c r="FU201" s="2"/>
      <c r="FV201" s="2" t="s">
        <v>3</v>
      </c>
    </row>
    <row r="202" spans="1:178" ht="15.75" customHeight="1" x14ac:dyDescent="0.2">
      <c r="A202" s="14" t="s">
        <v>96</v>
      </c>
      <c r="B202" s="2" t="s">
        <v>164</v>
      </c>
      <c r="C202" s="16" t="s">
        <v>605</v>
      </c>
      <c r="D202" s="2" t="s">
        <v>120</v>
      </c>
      <c r="E202" s="2"/>
      <c r="F202" s="2"/>
      <c r="G202" s="2" t="s">
        <v>179</v>
      </c>
      <c r="H202" s="2" t="s">
        <v>241</v>
      </c>
      <c r="I202" s="2"/>
      <c r="J202" s="2" t="s">
        <v>181</v>
      </c>
      <c r="K202" s="2">
        <v>0</v>
      </c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19">
        <v>7.5560000000000002E-2</v>
      </c>
      <c r="AG202" s="20">
        <v>0.2</v>
      </c>
      <c r="AH202" s="2"/>
      <c r="AI202" s="2"/>
      <c r="AJ202" s="2"/>
      <c r="AK202" s="2"/>
      <c r="AL202" s="2"/>
      <c r="AM202" s="2"/>
      <c r="AN202" s="2">
        <v>4.37</v>
      </c>
      <c r="AO202" s="20">
        <v>0.03</v>
      </c>
      <c r="AP202" s="2"/>
      <c r="AQ202" s="4"/>
      <c r="AR202" s="2"/>
      <c r="AS202" s="2"/>
      <c r="AT202" s="2"/>
      <c r="AU202" s="2"/>
      <c r="AV202" s="2"/>
      <c r="AW202" s="2"/>
      <c r="AX202" s="2"/>
      <c r="AY202" s="2"/>
      <c r="AZ202" s="2"/>
      <c r="BA202" s="4">
        <v>0.14715</v>
      </c>
      <c r="BB202" s="20">
        <v>0.2</v>
      </c>
      <c r="BC202" s="2"/>
      <c r="BD202" s="2"/>
      <c r="BE202" s="2"/>
      <c r="BF202" s="2"/>
      <c r="BG202" s="2"/>
      <c r="BH202" s="2"/>
      <c r="BI202" s="2">
        <v>2.1800000000000002</v>
      </c>
      <c r="BJ202" s="20">
        <v>0.03</v>
      </c>
      <c r="BK202" s="2"/>
      <c r="BL202" s="4"/>
      <c r="BM202" s="2"/>
      <c r="BN202" s="2"/>
      <c r="BO202" s="2"/>
      <c r="BP202" s="2"/>
      <c r="BQ202" s="2"/>
      <c r="BR202" s="2"/>
      <c r="BS202" s="2"/>
      <c r="BT202" s="2"/>
      <c r="BU202" s="2"/>
      <c r="BV202" s="2">
        <v>0</v>
      </c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>
        <v>0</v>
      </c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14" t="s">
        <v>81</v>
      </c>
      <c r="DM202" s="2" t="s">
        <v>81</v>
      </c>
      <c r="DN202" s="2">
        <f t="shared" si="8"/>
        <v>2.9230128867136638</v>
      </c>
      <c r="DO202" s="2">
        <f t="shared" si="9"/>
        <v>2.9999999999999995E-2</v>
      </c>
      <c r="DP202" s="2" t="s">
        <v>211</v>
      </c>
      <c r="DQ202" s="2" t="s">
        <v>3</v>
      </c>
      <c r="DR202" s="19">
        <f t="shared" si="10"/>
        <v>0.22271000000000002</v>
      </c>
      <c r="DS202" s="4">
        <f t="shared" si="11"/>
        <v>2.9230128867136638</v>
      </c>
      <c r="DT202" s="15">
        <f t="shared" si="12"/>
        <v>6.5098420000000008</v>
      </c>
      <c r="DU202" s="2"/>
      <c r="DV202" s="2">
        <f t="shared" si="13"/>
        <v>0</v>
      </c>
      <c r="DW202" s="2"/>
      <c r="DX202" s="2"/>
      <c r="DY202" s="2"/>
      <c r="DZ202" s="2" t="s">
        <v>3</v>
      </c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 t="s">
        <v>3</v>
      </c>
      <c r="FR202" s="2" t="s">
        <v>89</v>
      </c>
      <c r="FS202" s="2" t="s">
        <v>137</v>
      </c>
      <c r="FT202" s="2"/>
      <c r="FU202" s="2"/>
      <c r="FV202" s="2" t="s">
        <v>3</v>
      </c>
    </row>
    <row r="203" spans="1:178" ht="15.75" customHeight="1" x14ac:dyDescent="0.2">
      <c r="A203" s="14" t="s">
        <v>96</v>
      </c>
      <c r="B203" s="2" t="s">
        <v>164</v>
      </c>
      <c r="C203" s="16" t="s">
        <v>606</v>
      </c>
      <c r="D203" s="2" t="s">
        <v>120</v>
      </c>
      <c r="E203" s="2"/>
      <c r="F203" s="2"/>
      <c r="G203" s="2" t="s">
        <v>179</v>
      </c>
      <c r="H203" s="2" t="s">
        <v>607</v>
      </c>
      <c r="I203" s="2"/>
      <c r="J203" s="2" t="s">
        <v>181</v>
      </c>
      <c r="K203" s="2">
        <v>0</v>
      </c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>
        <v>0.57899999999999996</v>
      </c>
      <c r="AG203" s="20">
        <v>0.2</v>
      </c>
      <c r="AH203" s="2"/>
      <c r="AI203" s="2"/>
      <c r="AJ203" s="2"/>
      <c r="AK203" s="2"/>
      <c r="AL203" s="2"/>
      <c r="AM203" s="2"/>
      <c r="AN203" s="2">
        <v>2.21</v>
      </c>
      <c r="AO203" s="20">
        <v>0.03</v>
      </c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>
        <f>0.245+0.164</f>
        <v>0.40900000000000003</v>
      </c>
      <c r="BB203" s="20">
        <v>0.2</v>
      </c>
      <c r="BC203" s="2"/>
      <c r="BD203" s="2"/>
      <c r="BE203" s="2"/>
      <c r="BF203" s="2"/>
      <c r="BG203" s="2"/>
      <c r="BH203" s="2"/>
      <c r="BI203" s="15">
        <f>(2.2*0.245+4.13*0.164)/BA203</f>
        <v>2.9738875305623473</v>
      </c>
      <c r="BJ203" s="20">
        <v>0.03</v>
      </c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>
        <v>0</v>
      </c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>
        <v>0</v>
      </c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14" t="s">
        <v>81</v>
      </c>
      <c r="DM203" s="2" t="s">
        <v>81</v>
      </c>
      <c r="DN203" s="2">
        <f t="shared" si="8"/>
        <v>2.5262246963562753</v>
      </c>
      <c r="DO203" s="2">
        <f t="shared" si="9"/>
        <v>2.9999999999999995E-2</v>
      </c>
      <c r="DP203" s="2" t="s">
        <v>175</v>
      </c>
      <c r="DQ203" s="2" t="s">
        <v>3</v>
      </c>
      <c r="DR203" s="2">
        <f t="shared" si="10"/>
        <v>0.98799999999999999</v>
      </c>
      <c r="DS203" s="4">
        <f t="shared" si="11"/>
        <v>2.5262246963562753</v>
      </c>
      <c r="DT203" s="15">
        <f t="shared" si="12"/>
        <v>24.959099999999999</v>
      </c>
      <c r="DU203" s="2"/>
      <c r="DV203" s="2">
        <f t="shared" si="13"/>
        <v>0</v>
      </c>
      <c r="DW203" s="2"/>
      <c r="DX203" s="2"/>
      <c r="DY203" s="2"/>
      <c r="DZ203" s="2" t="s">
        <v>3</v>
      </c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 t="s">
        <v>3</v>
      </c>
      <c r="FR203" s="2" t="s">
        <v>89</v>
      </c>
      <c r="FS203" s="2" t="s">
        <v>137</v>
      </c>
      <c r="FT203" s="2"/>
      <c r="FU203" s="2"/>
      <c r="FV203" s="2" t="s">
        <v>3</v>
      </c>
    </row>
    <row r="204" spans="1:178" ht="15.75" customHeight="1" x14ac:dyDescent="0.2">
      <c r="A204" s="14" t="s">
        <v>96</v>
      </c>
      <c r="B204" s="2" t="s">
        <v>164</v>
      </c>
      <c r="C204" s="16" t="s">
        <v>608</v>
      </c>
      <c r="D204" s="2" t="s">
        <v>120</v>
      </c>
      <c r="E204" s="2"/>
      <c r="F204" s="2"/>
      <c r="G204" s="2" t="s">
        <v>179</v>
      </c>
      <c r="H204" s="2" t="s">
        <v>609</v>
      </c>
      <c r="I204" s="2"/>
      <c r="J204" s="2" t="s">
        <v>181</v>
      </c>
      <c r="K204" s="2">
        <v>0</v>
      </c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>
        <v>0.4</v>
      </c>
      <c r="AG204" s="20">
        <v>0.2</v>
      </c>
      <c r="AH204" s="2"/>
      <c r="AI204" s="2"/>
      <c r="AJ204" s="2"/>
      <c r="AK204" s="2"/>
      <c r="AL204" s="2"/>
      <c r="AM204" s="2"/>
      <c r="AN204" s="2">
        <v>4.01</v>
      </c>
      <c r="AO204" s="20">
        <v>0.03</v>
      </c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>
        <v>0.35</v>
      </c>
      <c r="BB204" s="20">
        <v>0.2</v>
      </c>
      <c r="BC204" s="2"/>
      <c r="BD204" s="2"/>
      <c r="BE204" s="2"/>
      <c r="BF204" s="2"/>
      <c r="BG204" s="2"/>
      <c r="BH204" s="2"/>
      <c r="BI204" s="2">
        <v>4.4000000000000004</v>
      </c>
      <c r="BJ204" s="20">
        <v>0.03</v>
      </c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>
        <v>0</v>
      </c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>
        <v>0</v>
      </c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14" t="s">
        <v>81</v>
      </c>
      <c r="DM204" s="2" t="s">
        <v>81</v>
      </c>
      <c r="DN204" s="2">
        <f t="shared" si="8"/>
        <v>4.1920000000000002</v>
      </c>
      <c r="DO204" s="2">
        <f t="shared" si="9"/>
        <v>0.03</v>
      </c>
      <c r="DP204" s="2" t="s">
        <v>211</v>
      </c>
      <c r="DQ204" s="2" t="s">
        <v>3</v>
      </c>
      <c r="DR204" s="2">
        <f t="shared" si="10"/>
        <v>0.75</v>
      </c>
      <c r="DS204" s="4">
        <f t="shared" si="11"/>
        <v>4.1920000000000002</v>
      </c>
      <c r="DT204" s="15">
        <f t="shared" si="12"/>
        <v>31.44</v>
      </c>
      <c r="DU204" s="2"/>
      <c r="DV204" s="2">
        <f t="shared" si="13"/>
        <v>0</v>
      </c>
      <c r="DW204" s="2"/>
      <c r="DX204" s="2"/>
      <c r="DY204" s="2"/>
      <c r="DZ204" s="2" t="s">
        <v>3</v>
      </c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 t="s">
        <v>3</v>
      </c>
      <c r="FR204" s="2" t="s">
        <v>89</v>
      </c>
      <c r="FS204" s="2" t="s">
        <v>137</v>
      </c>
      <c r="FT204" s="2"/>
      <c r="FU204" s="2"/>
      <c r="FV204" s="2" t="s">
        <v>3</v>
      </c>
    </row>
    <row r="205" spans="1:178" ht="15.75" customHeight="1" x14ac:dyDescent="0.2">
      <c r="A205" s="14" t="s">
        <v>96</v>
      </c>
      <c r="B205" s="2" t="s">
        <v>164</v>
      </c>
      <c r="C205" s="16" t="s">
        <v>610</v>
      </c>
      <c r="D205" s="2" t="s">
        <v>120</v>
      </c>
      <c r="E205" s="2"/>
      <c r="F205" s="2"/>
      <c r="G205" s="2" t="s">
        <v>179</v>
      </c>
      <c r="H205" s="2" t="s">
        <v>611</v>
      </c>
      <c r="I205" s="2"/>
      <c r="J205" s="2" t="s">
        <v>181</v>
      </c>
      <c r="K205" s="2">
        <f>0.089+0.021+0.04+0.03</f>
        <v>0.18</v>
      </c>
      <c r="L205" s="20">
        <v>0.2</v>
      </c>
      <c r="M205" s="2"/>
      <c r="N205" s="2"/>
      <c r="O205" s="2"/>
      <c r="P205" s="2"/>
      <c r="Q205" s="2"/>
      <c r="R205" s="2"/>
      <c r="S205" s="4">
        <f>(2.99*0.089+4.54*0.021+4.12*0.04+4.92*0.03)/K205</f>
        <v>3.7436111111111114</v>
      </c>
      <c r="T205" s="20">
        <v>0.03</v>
      </c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>
        <f>2.018+0.029+0.055+0.047+0.28+0.023+0.051+0.014</f>
        <v>2.5170000000000003</v>
      </c>
      <c r="AG205" s="20">
        <v>0.2</v>
      </c>
      <c r="AH205" s="2"/>
      <c r="AI205" s="2"/>
      <c r="AJ205" s="2"/>
      <c r="AK205" s="2"/>
      <c r="AL205" s="2"/>
      <c r="AM205" s="2"/>
      <c r="AN205" s="4">
        <f>(1.42*2.018+2.87*0.029+4.4*0.055+3.58*0.047+1.99*0.28+3.93*0.023+5.6*0.051+4.4*0.014)/AF205</f>
        <v>1.7297735399284857</v>
      </c>
      <c r="AO205" s="20">
        <v>0.03</v>
      </c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>
        <f>0.611+0.134+0.652+0.291+0.063+0.007+0.992+0.111+0.016+0.079</f>
        <v>2.9560000000000004</v>
      </c>
      <c r="BB205" s="20">
        <v>0.2</v>
      </c>
      <c r="BC205" s="2"/>
      <c r="BD205" s="2"/>
      <c r="BE205" s="2"/>
      <c r="BF205" s="2"/>
      <c r="BG205" s="2"/>
      <c r="BH205" s="2"/>
      <c r="BI205" s="4">
        <f>(0.79*0.611+1.7*0.134+1.63*0.652+1.42*0.291+3.49*0.063+4.16*0.007+1.49*0.992+1.35*0.111+2.95*0.016+4.8*0.079)/BA205</f>
        <v>1.5188734776725303</v>
      </c>
      <c r="BJ205" s="20">
        <v>0.03</v>
      </c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>
        <v>0</v>
      </c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>
        <f>0.042+0.113+0.011+0.015+0.027</f>
        <v>0.20799999999999999</v>
      </c>
      <c r="CR205" s="20">
        <v>0.2</v>
      </c>
      <c r="CS205" s="2"/>
      <c r="CT205" s="2"/>
      <c r="CU205" s="2"/>
      <c r="CV205" s="2"/>
      <c r="CW205" s="2"/>
      <c r="CX205" s="2"/>
      <c r="CY205" s="4">
        <f>(2.67*0.042+1.57*0.113+2.56*0.011+2.96*0.015+2.19*0.027)/CQ205</f>
        <v>2.0251923076923082</v>
      </c>
      <c r="CZ205" s="20">
        <v>0.03</v>
      </c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14" t="s">
        <v>81</v>
      </c>
      <c r="DM205" s="2" t="s">
        <v>81</v>
      </c>
      <c r="DN205" s="2">
        <f t="shared" si="8"/>
        <v>1.6836157792322657</v>
      </c>
      <c r="DO205" s="2">
        <f t="shared" si="9"/>
        <v>3.0000000000000002E-2</v>
      </c>
      <c r="DP205" s="2" t="s">
        <v>211</v>
      </c>
      <c r="DQ205" s="2" t="s">
        <v>3</v>
      </c>
      <c r="DR205" s="2">
        <f t="shared" si="10"/>
        <v>5.6530000000000005</v>
      </c>
      <c r="DS205" s="4">
        <f t="shared" si="11"/>
        <v>1.6836157792322657</v>
      </c>
      <c r="DT205" s="15">
        <f t="shared" si="12"/>
        <v>95.174799999999991</v>
      </c>
      <c r="DU205" s="2"/>
      <c r="DV205" s="2">
        <f t="shared" si="13"/>
        <v>0.20799999999999999</v>
      </c>
      <c r="DW205" s="4">
        <f t="shared" ref="DW205:DW206" si="29">(BV205*CD205+CQ205*CY205)/DV205</f>
        <v>2.0251923076923082</v>
      </c>
      <c r="DX205" s="15">
        <f t="shared" ref="DX205:DX206" si="30">1000*DV205*DW205/100</f>
        <v>4.2124000000000015</v>
      </c>
      <c r="DY205" s="2"/>
      <c r="DZ205" s="2" t="s">
        <v>3</v>
      </c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 t="s">
        <v>3</v>
      </c>
      <c r="FR205" s="2" t="s">
        <v>89</v>
      </c>
      <c r="FS205" s="2" t="s">
        <v>137</v>
      </c>
      <c r="FT205" s="2"/>
      <c r="FU205" s="2"/>
      <c r="FV205" s="2" t="s">
        <v>3</v>
      </c>
    </row>
    <row r="206" spans="1:178" ht="15.75" customHeight="1" x14ac:dyDescent="0.2">
      <c r="A206" s="14" t="s">
        <v>96</v>
      </c>
      <c r="B206" s="2" t="s">
        <v>164</v>
      </c>
      <c r="C206" s="16" t="s">
        <v>612</v>
      </c>
      <c r="D206" s="2" t="s">
        <v>120</v>
      </c>
      <c r="E206" s="2"/>
      <c r="F206" s="2"/>
      <c r="G206" s="2" t="s">
        <v>179</v>
      </c>
      <c r="H206" s="2" t="s">
        <v>613</v>
      </c>
      <c r="I206" s="2"/>
      <c r="J206" s="2" t="s">
        <v>181</v>
      </c>
      <c r="K206" s="19">
        <f>0.039+0.156+(0.033/0.7)+0.002+0.025</f>
        <v>0.26914285714285718</v>
      </c>
      <c r="L206" s="20">
        <v>0.2</v>
      </c>
      <c r="M206" s="2"/>
      <c r="N206" s="2"/>
      <c r="O206" s="2"/>
      <c r="P206" s="2"/>
      <c r="Q206" s="2"/>
      <c r="R206" s="2"/>
      <c r="S206" s="15">
        <f>(4.9*0.039+3.5*0.156+3.6*(0.033/0.7)+6.9*0.002+2.7*0.025)/K206</f>
        <v>3.6713375796178345</v>
      </c>
      <c r="T206" s="20">
        <v>0.03</v>
      </c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19">
        <f>0.499+0.138+0.241+0.408+0.11+(0.04/0.7)+0.051+0.103+0.417+0.029+0.05+0.096+0.554</f>
        <v>2.7531428571428567</v>
      </c>
      <c r="AG206" s="20">
        <v>0.2</v>
      </c>
      <c r="AH206" s="2"/>
      <c r="AI206" s="2"/>
      <c r="AJ206" s="2"/>
      <c r="AK206" s="2"/>
      <c r="AL206" s="2"/>
      <c r="AM206" s="2"/>
      <c r="AN206" s="15">
        <f>(3.5*0.499+2.9*0.138+4*0.241+2.8*0.408+2.6*0.11+2.2*(0.04/0.7)+4.1*0.051+3.1*0.103+5.3*0.417+3.4*0.029+5.3*0.05+3.3*0.096+3*0.554)/AF206</f>
        <v>3.5398505603985062</v>
      </c>
      <c r="AO206" s="20">
        <v>0.03</v>
      </c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19">
        <f>0.051+0.067+0.027+0.016+0.105+0.01+0.014+0.4355</f>
        <v>0.72550000000000003</v>
      </c>
      <c r="BB206" s="20">
        <v>0.2</v>
      </c>
      <c r="BC206" s="2"/>
      <c r="BD206" s="2"/>
      <c r="BE206" s="2"/>
      <c r="BF206" s="2"/>
      <c r="BG206" s="2"/>
      <c r="BH206" s="2"/>
      <c r="BI206" s="15">
        <f>(2.6*0.051+2.9*0.067+4.1*0.027+6.6*0.016+4.6*0.105+3.8*0.01+5*0.014+3.7*0.4355)/BA206</f>
        <v>3.7843556168159891</v>
      </c>
      <c r="BJ206" s="20">
        <v>0.03</v>
      </c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>
        <v>2.8000000000000001E-2</v>
      </c>
      <c r="BW206" s="20">
        <v>0.2</v>
      </c>
      <c r="BX206" s="2"/>
      <c r="BY206" s="2"/>
      <c r="BZ206" s="2"/>
      <c r="CA206" s="2"/>
      <c r="CB206" s="2"/>
      <c r="CC206" s="2"/>
      <c r="CD206" s="2">
        <v>2.6</v>
      </c>
      <c r="CE206" s="20">
        <v>0.03</v>
      </c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>
        <v>1.1080000000000001</v>
      </c>
      <c r="CR206" s="20">
        <v>0.2</v>
      </c>
      <c r="CS206" s="2"/>
      <c r="CT206" s="2"/>
      <c r="CU206" s="2"/>
      <c r="CV206" s="2"/>
      <c r="CW206" s="2"/>
      <c r="CX206" s="2"/>
      <c r="CY206" s="2">
        <v>2.5</v>
      </c>
      <c r="CZ206" s="20">
        <v>0.03</v>
      </c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14" t="s">
        <v>81</v>
      </c>
      <c r="DM206" s="2" t="s">
        <v>81</v>
      </c>
      <c r="DN206" s="2">
        <f t="shared" si="8"/>
        <v>3.5966246736168026</v>
      </c>
      <c r="DO206" s="2">
        <f t="shared" si="9"/>
        <v>0.03</v>
      </c>
      <c r="DP206" s="2" t="s">
        <v>211</v>
      </c>
      <c r="DQ206" s="2" t="s">
        <v>3</v>
      </c>
      <c r="DR206" s="19">
        <f t="shared" si="10"/>
        <v>3.7477857142857136</v>
      </c>
      <c r="DS206" s="4">
        <f t="shared" si="11"/>
        <v>3.5966246736168026</v>
      </c>
      <c r="DT206" s="15">
        <f t="shared" si="12"/>
        <v>134.79378571428572</v>
      </c>
      <c r="DU206" s="2"/>
      <c r="DV206" s="2">
        <f t="shared" si="13"/>
        <v>1.1360000000000001</v>
      </c>
      <c r="DW206" s="4">
        <f t="shared" si="29"/>
        <v>2.5024647887323943</v>
      </c>
      <c r="DX206" s="15">
        <f t="shared" si="30"/>
        <v>28.428000000000008</v>
      </c>
      <c r="DY206" s="2"/>
      <c r="DZ206" s="2" t="s">
        <v>3</v>
      </c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 t="s">
        <v>3</v>
      </c>
      <c r="FR206" s="2" t="s">
        <v>89</v>
      </c>
      <c r="FS206" s="2" t="s">
        <v>137</v>
      </c>
      <c r="FT206" s="2"/>
      <c r="FU206" s="2"/>
      <c r="FV206" s="2" t="s">
        <v>3</v>
      </c>
    </row>
    <row r="207" spans="1:178" ht="15.75" customHeight="1" x14ac:dyDescent="0.2">
      <c r="A207" s="14" t="s">
        <v>96</v>
      </c>
      <c r="B207" s="2" t="s">
        <v>164</v>
      </c>
      <c r="C207" s="16" t="s">
        <v>614</v>
      </c>
      <c r="D207" s="2" t="s">
        <v>120</v>
      </c>
      <c r="E207" s="2"/>
      <c r="F207" s="2"/>
      <c r="G207" s="2" t="s">
        <v>615</v>
      </c>
      <c r="H207" s="2" t="s">
        <v>616</v>
      </c>
      <c r="I207" s="2"/>
      <c r="J207" s="2" t="s">
        <v>181</v>
      </c>
      <c r="K207" s="2">
        <v>0</v>
      </c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>
        <v>2.58</v>
      </c>
      <c r="AG207" s="20">
        <v>0.2</v>
      </c>
      <c r="AH207" s="2"/>
      <c r="AI207" s="2"/>
      <c r="AJ207" s="2"/>
      <c r="AK207" s="2"/>
      <c r="AL207" s="2"/>
      <c r="AM207" s="2"/>
      <c r="AN207" s="15">
        <v>2</v>
      </c>
      <c r="AO207" s="20">
        <v>0.03</v>
      </c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>
        <v>4.8049999999999997</v>
      </c>
      <c r="BB207" s="20">
        <v>0.2</v>
      </c>
      <c r="BC207" s="2"/>
      <c r="BD207" s="2"/>
      <c r="BE207" s="2"/>
      <c r="BF207" s="2"/>
      <c r="BG207" s="2"/>
      <c r="BH207" s="2"/>
      <c r="BI207" s="2">
        <v>1.5</v>
      </c>
      <c r="BJ207" s="20">
        <v>0.03</v>
      </c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>
        <v>0</v>
      </c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>
        <v>0</v>
      </c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14" t="s">
        <v>81</v>
      </c>
      <c r="DM207" s="2" t="s">
        <v>81</v>
      </c>
      <c r="DN207" s="2">
        <f t="shared" si="8"/>
        <v>1.6746784021665537</v>
      </c>
      <c r="DO207" s="2">
        <f t="shared" si="9"/>
        <v>2.9999999999999995E-2</v>
      </c>
      <c r="DP207" s="2" t="s">
        <v>211</v>
      </c>
      <c r="DQ207" s="2" t="s">
        <v>3</v>
      </c>
      <c r="DR207" s="2">
        <f t="shared" si="10"/>
        <v>7.3849999999999998</v>
      </c>
      <c r="DS207" s="4">
        <f t="shared" si="11"/>
        <v>1.6746784021665537</v>
      </c>
      <c r="DT207" s="15">
        <f t="shared" si="12"/>
        <v>123.675</v>
      </c>
      <c r="DU207" s="2"/>
      <c r="DV207" s="2">
        <f t="shared" si="13"/>
        <v>0</v>
      </c>
      <c r="DW207" s="2"/>
      <c r="DX207" s="2"/>
      <c r="DY207" s="2"/>
      <c r="DZ207" s="2" t="s">
        <v>3</v>
      </c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 t="s">
        <v>3</v>
      </c>
      <c r="FR207" s="2" t="s">
        <v>89</v>
      </c>
      <c r="FS207" s="2" t="s">
        <v>137</v>
      </c>
      <c r="FT207" s="2"/>
      <c r="FU207" s="2"/>
      <c r="FV207" s="2" t="s">
        <v>3</v>
      </c>
    </row>
    <row r="208" spans="1:178" ht="15.75" customHeight="1" x14ac:dyDescent="0.2">
      <c r="A208" s="14" t="s">
        <v>96</v>
      </c>
      <c r="B208" s="2" t="s">
        <v>164</v>
      </c>
      <c r="C208" s="16" t="s">
        <v>617</v>
      </c>
      <c r="D208" s="2" t="s">
        <v>120</v>
      </c>
      <c r="E208" s="2"/>
      <c r="F208" s="2"/>
      <c r="G208" s="2" t="s">
        <v>78</v>
      </c>
      <c r="H208" s="2" t="s">
        <v>314</v>
      </c>
      <c r="I208" s="2"/>
      <c r="J208" s="2" t="s">
        <v>181</v>
      </c>
      <c r="K208" s="2">
        <v>0</v>
      </c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19">
        <f>0.0013+0.0192+0.0087+0.1</f>
        <v>0.12920000000000001</v>
      </c>
      <c r="AG208" s="20">
        <v>0.2</v>
      </c>
      <c r="AH208" s="2"/>
      <c r="AI208" s="2"/>
      <c r="AJ208" s="2"/>
      <c r="AK208" s="2"/>
      <c r="AL208" s="2"/>
      <c r="AM208" s="2"/>
      <c r="AN208" s="15">
        <f>(1.52*0.0013+3.28*0.0192+4.8*0.0087+2*0.1)/AF208</f>
        <v>2.3739318885448912</v>
      </c>
      <c r="AO208" s="2">
        <v>0.03</v>
      </c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19">
        <f>0.0753+0.142</f>
        <v>0.21729999999999999</v>
      </c>
      <c r="BB208" s="20">
        <v>0.2</v>
      </c>
      <c r="BC208" s="2"/>
      <c r="BD208" s="2"/>
      <c r="BE208" s="2"/>
      <c r="BF208" s="2"/>
      <c r="BG208" s="2"/>
      <c r="BH208" s="2"/>
      <c r="BI208" s="15">
        <f>(3.07*0.0753+2*0.142)/BA208</f>
        <v>2.3707823285780032</v>
      </c>
      <c r="BJ208" s="2">
        <v>0.03</v>
      </c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>
        <v>0</v>
      </c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>
        <v>0</v>
      </c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14" t="s">
        <v>81</v>
      </c>
      <c r="DM208" s="2" t="s">
        <v>81</v>
      </c>
      <c r="DN208" s="2">
        <f t="shared" si="8"/>
        <v>2.3719567099567098</v>
      </c>
      <c r="DO208" s="2">
        <f t="shared" si="9"/>
        <v>2.9999999999999995E-2</v>
      </c>
      <c r="DP208" s="2" t="s">
        <v>175</v>
      </c>
      <c r="DQ208" s="2" t="s">
        <v>3</v>
      </c>
      <c r="DR208" s="19">
        <f t="shared" si="10"/>
        <v>0.34650000000000003</v>
      </c>
      <c r="DS208" s="4">
        <f t="shared" si="11"/>
        <v>2.3719567099567098</v>
      </c>
      <c r="DT208" s="15">
        <f t="shared" si="12"/>
        <v>8.2188300000000005</v>
      </c>
      <c r="DU208" s="2"/>
      <c r="DV208" s="2">
        <f t="shared" si="13"/>
        <v>0</v>
      </c>
      <c r="DW208" s="2"/>
      <c r="DX208" s="2"/>
      <c r="DY208" s="2"/>
      <c r="DZ208" s="2" t="s">
        <v>3</v>
      </c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 t="s">
        <v>3</v>
      </c>
      <c r="FR208" s="2" t="s">
        <v>89</v>
      </c>
      <c r="FS208" s="2" t="s">
        <v>137</v>
      </c>
      <c r="FT208" s="2"/>
      <c r="FU208" s="2"/>
      <c r="FV208" s="2" t="s">
        <v>3</v>
      </c>
    </row>
    <row r="209" spans="1:178" ht="15.75" customHeight="1" x14ac:dyDescent="0.2">
      <c r="A209" s="12" t="s">
        <v>74</v>
      </c>
      <c r="B209" s="2" t="s">
        <v>230</v>
      </c>
      <c r="C209" s="13" t="s">
        <v>618</v>
      </c>
      <c r="D209" s="2" t="s">
        <v>99</v>
      </c>
      <c r="E209" s="2"/>
      <c r="F209" s="2"/>
      <c r="G209" s="2"/>
      <c r="H209" s="2" t="s">
        <v>232</v>
      </c>
      <c r="I209" s="2"/>
      <c r="J209" s="2"/>
      <c r="K209" s="2">
        <v>0</v>
      </c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>
        <v>0</v>
      </c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>
        <v>40.880000000000003</v>
      </c>
      <c r="BB209" s="2"/>
      <c r="BC209" s="2"/>
      <c r="BD209" s="2"/>
      <c r="BE209" s="2"/>
      <c r="BF209" s="2"/>
      <c r="BG209" s="2"/>
      <c r="BH209" s="2"/>
      <c r="BI209" s="2" t="s">
        <v>619</v>
      </c>
      <c r="BJ209" s="2" t="s">
        <v>620</v>
      </c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>
        <v>0</v>
      </c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>
        <v>0</v>
      </c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14" t="s">
        <v>100</v>
      </c>
      <c r="DM209" s="2" t="s">
        <v>100</v>
      </c>
      <c r="DN209" s="2">
        <f t="shared" si="8"/>
        <v>0.79999999999999993</v>
      </c>
      <c r="DO209" s="2">
        <f t="shared" si="9"/>
        <v>0.08</v>
      </c>
      <c r="DP209" s="2" t="s">
        <v>113</v>
      </c>
      <c r="DQ209" s="2" t="s">
        <v>3</v>
      </c>
      <c r="DR209" s="2">
        <f t="shared" si="10"/>
        <v>40.880000000000003</v>
      </c>
      <c r="DS209" s="2">
        <f t="shared" si="11"/>
        <v>0.79999999999999993</v>
      </c>
      <c r="DT209" s="15">
        <f t="shared" si="12"/>
        <v>327.03999999999996</v>
      </c>
      <c r="DU209" s="2"/>
      <c r="DV209" s="2">
        <f t="shared" si="13"/>
        <v>0</v>
      </c>
      <c r="DW209" s="2"/>
      <c r="DX209" s="2"/>
      <c r="DY209" s="2"/>
      <c r="DZ209" s="2" t="s">
        <v>3</v>
      </c>
      <c r="EA209" s="2" t="s">
        <v>230</v>
      </c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 t="s">
        <v>230</v>
      </c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 t="s">
        <v>230</v>
      </c>
      <c r="FQ209" s="2" t="s">
        <v>3</v>
      </c>
      <c r="FR209" s="2" t="s">
        <v>37</v>
      </c>
      <c r="FS209" s="2" t="s">
        <v>114</v>
      </c>
      <c r="FT209" s="2" t="s">
        <v>114</v>
      </c>
      <c r="FU209" s="2"/>
      <c r="FV209" s="2" t="s">
        <v>3</v>
      </c>
    </row>
    <row r="210" spans="1:178" ht="15.75" customHeight="1" x14ac:dyDescent="0.2">
      <c r="A210" s="12" t="s">
        <v>74</v>
      </c>
      <c r="B210" s="2" t="s">
        <v>433</v>
      </c>
      <c r="C210" s="13" t="s">
        <v>621</v>
      </c>
      <c r="D210" s="2" t="s">
        <v>99</v>
      </c>
      <c r="E210" s="2"/>
      <c r="F210" s="2"/>
      <c r="G210" s="2"/>
      <c r="H210" s="2" t="s">
        <v>79</v>
      </c>
      <c r="I210" s="2"/>
      <c r="J210" s="2"/>
      <c r="K210" s="2">
        <v>0</v>
      </c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>
        <v>0</v>
      </c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>
        <v>55.1</v>
      </c>
      <c r="BB210" s="2"/>
      <c r="BC210" s="2"/>
      <c r="BD210" s="2"/>
      <c r="BE210" s="2"/>
      <c r="BF210" s="2"/>
      <c r="BG210" s="2"/>
      <c r="BH210" s="2"/>
      <c r="BI210" s="2">
        <v>0.96</v>
      </c>
      <c r="BJ210" s="2">
        <v>0.05</v>
      </c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>
        <v>0</v>
      </c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>
        <v>0</v>
      </c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14" t="s">
        <v>100</v>
      </c>
      <c r="DM210" s="2" t="s">
        <v>100</v>
      </c>
      <c r="DN210" s="2">
        <f t="shared" si="8"/>
        <v>0.96</v>
      </c>
      <c r="DO210" s="2">
        <f t="shared" si="9"/>
        <v>0.05</v>
      </c>
      <c r="DP210" s="2" t="s">
        <v>622</v>
      </c>
      <c r="DQ210" s="2" t="s">
        <v>3</v>
      </c>
      <c r="DR210" s="2">
        <f t="shared" si="10"/>
        <v>55.1</v>
      </c>
      <c r="DS210" s="2">
        <f t="shared" si="11"/>
        <v>0.96</v>
      </c>
      <c r="DT210" s="15">
        <f t="shared" si="12"/>
        <v>528.96</v>
      </c>
      <c r="DU210" s="2"/>
      <c r="DV210" s="2">
        <f t="shared" si="13"/>
        <v>0</v>
      </c>
      <c r="DW210" s="2"/>
      <c r="DX210" s="2"/>
      <c r="DY210" s="2"/>
      <c r="DZ210" s="2" t="s">
        <v>3</v>
      </c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 t="s">
        <v>3</v>
      </c>
      <c r="FR210" s="2" t="s">
        <v>37</v>
      </c>
      <c r="FS210" s="2" t="s">
        <v>114</v>
      </c>
      <c r="FT210" s="2" t="s">
        <v>114</v>
      </c>
      <c r="FU210" s="2"/>
      <c r="FV210" s="2" t="s">
        <v>3</v>
      </c>
    </row>
    <row r="211" spans="1:178" ht="15.75" customHeight="1" x14ac:dyDescent="0.2">
      <c r="A211" s="12" t="s">
        <v>74</v>
      </c>
      <c r="B211" s="2" t="s">
        <v>107</v>
      </c>
      <c r="C211" s="13" t="s">
        <v>623</v>
      </c>
      <c r="D211" s="2" t="s">
        <v>109</v>
      </c>
      <c r="E211" s="2"/>
      <c r="F211" s="2"/>
      <c r="G211" s="2"/>
      <c r="H211" s="2" t="s">
        <v>110</v>
      </c>
      <c r="I211" s="2"/>
      <c r="J211" s="2" t="s">
        <v>111</v>
      </c>
      <c r="K211" s="2">
        <v>0</v>
      </c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>
        <v>0</v>
      </c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>
        <f>5.5-13*0.3</f>
        <v>1.6</v>
      </c>
      <c r="BB211" s="2"/>
      <c r="BC211" s="2"/>
      <c r="BD211" s="2"/>
      <c r="BE211" s="2"/>
      <c r="BF211" s="2"/>
      <c r="BG211" s="2"/>
      <c r="BH211" s="2"/>
      <c r="BI211" s="2" t="s">
        <v>624</v>
      </c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>
        <v>0</v>
      </c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>
        <v>0</v>
      </c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14" t="s">
        <v>100</v>
      </c>
      <c r="DM211" s="2"/>
      <c r="DN211" s="2">
        <f t="shared" si="8"/>
        <v>1.32</v>
      </c>
      <c r="DO211" s="2">
        <f t="shared" si="9"/>
        <v>0</v>
      </c>
      <c r="DP211" s="2" t="s">
        <v>113</v>
      </c>
      <c r="DQ211" s="2" t="s">
        <v>3</v>
      </c>
      <c r="DR211" s="2">
        <f t="shared" si="10"/>
        <v>1.6</v>
      </c>
      <c r="DS211" s="2">
        <f t="shared" si="11"/>
        <v>1.32</v>
      </c>
      <c r="DT211" s="15">
        <f t="shared" si="12"/>
        <v>21.12</v>
      </c>
      <c r="DU211" s="2"/>
      <c r="DV211" s="2">
        <f t="shared" si="13"/>
        <v>0</v>
      </c>
      <c r="DW211" s="2"/>
      <c r="DX211" s="2"/>
      <c r="DY211" s="2"/>
      <c r="DZ211" s="2" t="s">
        <v>3</v>
      </c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 t="s">
        <v>3</v>
      </c>
      <c r="FR211" s="2" t="s">
        <v>37</v>
      </c>
      <c r="FS211" s="2" t="s">
        <v>235</v>
      </c>
      <c r="FT211" s="2" t="s">
        <v>235</v>
      </c>
      <c r="FU211" s="2"/>
      <c r="FV211" s="2" t="s">
        <v>3</v>
      </c>
    </row>
    <row r="212" spans="1:178" ht="15.75" customHeight="1" x14ac:dyDescent="0.2">
      <c r="A212" s="14" t="s">
        <v>96</v>
      </c>
      <c r="B212" s="2" t="s">
        <v>124</v>
      </c>
      <c r="C212" s="16" t="s">
        <v>625</v>
      </c>
      <c r="D212" s="2" t="s">
        <v>99</v>
      </c>
      <c r="E212" s="2"/>
      <c r="F212" s="2"/>
      <c r="G212" s="2"/>
      <c r="H212" s="2" t="s">
        <v>626</v>
      </c>
      <c r="I212" s="2"/>
      <c r="J212" s="2"/>
      <c r="K212" s="2">
        <v>0</v>
      </c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>
        <v>10.984999999999999</v>
      </c>
      <c r="AG212" s="2">
        <v>0.15</v>
      </c>
      <c r="AH212" s="2">
        <v>0.09</v>
      </c>
      <c r="AI212" s="2"/>
      <c r="AJ212" s="2"/>
      <c r="AK212" s="2"/>
      <c r="AL212" s="2"/>
      <c r="AM212" s="2"/>
      <c r="AN212" s="2">
        <v>0.09</v>
      </c>
      <c r="AO212" s="19">
        <v>6.4000000000000003E-3</v>
      </c>
      <c r="AP212" s="2">
        <v>0.27</v>
      </c>
      <c r="AQ212" s="2">
        <v>0.81</v>
      </c>
      <c r="AR212" s="2"/>
      <c r="AS212" s="2"/>
      <c r="AT212" s="2"/>
      <c r="AU212" s="2"/>
      <c r="AV212" s="2"/>
      <c r="AW212" s="2"/>
      <c r="AX212" s="2"/>
      <c r="AY212" s="2"/>
      <c r="AZ212" s="2"/>
      <c r="BA212" s="2">
        <v>10.875</v>
      </c>
      <c r="BB212" s="2">
        <v>0.13</v>
      </c>
      <c r="BC212" s="2">
        <v>0.08</v>
      </c>
      <c r="BD212" s="2"/>
      <c r="BE212" s="2"/>
      <c r="BF212" s="2"/>
      <c r="BG212" s="2"/>
      <c r="BH212" s="2"/>
      <c r="BI212" s="2">
        <v>0.08</v>
      </c>
      <c r="BJ212" s="19">
        <v>5.4000000000000003E-3</v>
      </c>
      <c r="BK212" s="4">
        <v>0.2</v>
      </c>
      <c r="BL212" s="2">
        <v>0.64</v>
      </c>
      <c r="BM212" s="2"/>
      <c r="BN212" s="2"/>
      <c r="BO212" s="2"/>
      <c r="BP212" s="2"/>
      <c r="BQ212" s="2"/>
      <c r="BR212" s="2"/>
      <c r="BS212" s="2"/>
      <c r="BT212" s="2"/>
      <c r="BU212" s="2"/>
      <c r="BV212" s="2">
        <v>0</v>
      </c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>
        <v>0</v>
      </c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14" t="s">
        <v>81</v>
      </c>
      <c r="DM212" s="2" t="s">
        <v>81</v>
      </c>
      <c r="DN212" s="2">
        <f t="shared" si="8"/>
        <v>8.5025160109789569E-2</v>
      </c>
      <c r="DO212" s="2">
        <f t="shared" si="9"/>
        <v>5.9025160109789573E-3</v>
      </c>
      <c r="DP212" s="2" t="s">
        <v>627</v>
      </c>
      <c r="DQ212" s="2" t="s">
        <v>3</v>
      </c>
      <c r="DR212" s="2">
        <f t="shared" si="10"/>
        <v>21.86</v>
      </c>
      <c r="DS212" s="19">
        <f t="shared" si="11"/>
        <v>8.5025160109789569E-2</v>
      </c>
      <c r="DT212" s="15">
        <f t="shared" si="12"/>
        <v>18.586499999999997</v>
      </c>
      <c r="DU212" s="2"/>
      <c r="DV212" s="2">
        <f t="shared" si="13"/>
        <v>0</v>
      </c>
      <c r="DW212" s="2"/>
      <c r="DX212" s="2"/>
      <c r="DY212" s="2"/>
      <c r="DZ212" s="2" t="s">
        <v>3</v>
      </c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 t="s">
        <v>3</v>
      </c>
      <c r="FR212" s="2" t="s">
        <v>89</v>
      </c>
      <c r="FS212" s="2" t="s">
        <v>90</v>
      </c>
      <c r="FT212" s="2" t="s">
        <v>162</v>
      </c>
      <c r="FU212" s="2"/>
      <c r="FV212" s="2" t="s">
        <v>3</v>
      </c>
    </row>
    <row r="213" spans="1:178" ht="15.75" customHeight="1" x14ac:dyDescent="0.2">
      <c r="A213" s="14" t="s">
        <v>96</v>
      </c>
      <c r="B213" s="2" t="s">
        <v>164</v>
      </c>
      <c r="C213" s="16" t="s">
        <v>628</v>
      </c>
      <c r="D213" s="2" t="s">
        <v>99</v>
      </c>
      <c r="E213" s="2"/>
      <c r="F213" s="2"/>
      <c r="G213" s="2" t="s">
        <v>179</v>
      </c>
      <c r="H213" s="2" t="s">
        <v>611</v>
      </c>
      <c r="I213" s="2"/>
      <c r="J213" s="2" t="s">
        <v>181</v>
      </c>
      <c r="K213" s="2">
        <v>0</v>
      </c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>
        <v>0</v>
      </c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>
        <v>0.156</v>
      </c>
      <c r="BB213" s="2"/>
      <c r="BC213" s="2"/>
      <c r="BD213" s="2"/>
      <c r="BE213" s="2"/>
      <c r="BF213" s="2"/>
      <c r="BG213" s="2"/>
      <c r="BH213" s="2"/>
      <c r="BI213" s="2">
        <v>2.3199999999999998</v>
      </c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>
        <v>0</v>
      </c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>
        <v>0</v>
      </c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14" t="s">
        <v>81</v>
      </c>
      <c r="DM213" s="2"/>
      <c r="DN213" s="2">
        <f t="shared" si="8"/>
        <v>2.3199999999999998</v>
      </c>
      <c r="DO213" s="2">
        <f t="shared" si="9"/>
        <v>0</v>
      </c>
      <c r="DP213" s="2" t="s">
        <v>175</v>
      </c>
      <c r="DQ213" s="2" t="s">
        <v>3</v>
      </c>
      <c r="DR213" s="2">
        <f t="shared" si="10"/>
        <v>0.156</v>
      </c>
      <c r="DS213" s="2">
        <f t="shared" si="11"/>
        <v>2.3199999999999998</v>
      </c>
      <c r="DT213" s="15">
        <f t="shared" si="12"/>
        <v>3.6191999999999998</v>
      </c>
      <c r="DU213" s="2"/>
      <c r="DV213" s="2">
        <f t="shared" si="13"/>
        <v>0</v>
      </c>
      <c r="DW213" s="2"/>
      <c r="DX213" s="2"/>
      <c r="DY213" s="2"/>
      <c r="DZ213" s="2" t="s">
        <v>3</v>
      </c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 t="s">
        <v>3</v>
      </c>
      <c r="FR213" s="2" t="s">
        <v>89</v>
      </c>
      <c r="FS213" s="2" t="s">
        <v>378</v>
      </c>
      <c r="FT213" s="2"/>
      <c r="FU213" s="2"/>
      <c r="FV213" s="2" t="s">
        <v>3</v>
      </c>
    </row>
    <row r="214" spans="1:178" ht="15.75" customHeight="1" x14ac:dyDescent="0.2">
      <c r="A214" s="12" t="s">
        <v>74</v>
      </c>
      <c r="B214" s="2" t="s">
        <v>502</v>
      </c>
      <c r="C214" s="13" t="s">
        <v>629</v>
      </c>
      <c r="D214" s="2" t="s">
        <v>120</v>
      </c>
      <c r="E214" s="2"/>
      <c r="F214" s="2"/>
      <c r="G214" s="2"/>
      <c r="H214" s="2" t="s">
        <v>630</v>
      </c>
      <c r="I214" s="2"/>
      <c r="J214" s="2"/>
      <c r="K214" s="2">
        <v>0</v>
      </c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>
        <v>0</v>
      </c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>
        <v>8.6999999999999993</v>
      </c>
      <c r="BB214" s="2"/>
      <c r="BC214" s="2"/>
      <c r="BD214" s="2"/>
      <c r="BE214" s="2"/>
      <c r="BF214" s="2"/>
      <c r="BG214" s="2"/>
      <c r="BH214" s="2"/>
      <c r="BI214" s="2">
        <v>1.1399999999999999</v>
      </c>
      <c r="BJ214" s="2">
        <v>5.3999999999999999E-2</v>
      </c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>
        <v>0</v>
      </c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>
        <v>0</v>
      </c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14" t="s">
        <v>100</v>
      </c>
      <c r="DM214" s="2" t="s">
        <v>100</v>
      </c>
      <c r="DN214" s="2">
        <f t="shared" si="8"/>
        <v>1.1399999999999999</v>
      </c>
      <c r="DO214" s="2">
        <f t="shared" si="9"/>
        <v>5.3999999999999999E-2</v>
      </c>
      <c r="DP214" s="2" t="s">
        <v>113</v>
      </c>
      <c r="DQ214" s="2" t="s">
        <v>3</v>
      </c>
      <c r="DR214" s="2">
        <f t="shared" si="10"/>
        <v>8.6999999999999993</v>
      </c>
      <c r="DS214" s="2">
        <f t="shared" si="11"/>
        <v>1.1399999999999999</v>
      </c>
      <c r="DT214" s="15">
        <f t="shared" si="12"/>
        <v>99.18</v>
      </c>
      <c r="DU214" s="2"/>
      <c r="DV214" s="2">
        <f t="shared" si="13"/>
        <v>0</v>
      </c>
      <c r="DW214" s="2"/>
      <c r="DX214" s="2"/>
      <c r="DY214" s="2"/>
      <c r="DZ214" s="2" t="s">
        <v>3</v>
      </c>
      <c r="EA214" s="2" t="s">
        <v>502</v>
      </c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 t="s">
        <v>502</v>
      </c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 t="s">
        <v>502</v>
      </c>
      <c r="FQ214" s="2" t="s">
        <v>3</v>
      </c>
      <c r="FR214" s="2" t="s">
        <v>37</v>
      </c>
      <c r="FS214" s="2" t="s">
        <v>342</v>
      </c>
      <c r="FT214" s="2" t="s">
        <v>342</v>
      </c>
      <c r="FU214" s="2"/>
      <c r="FV214" s="2" t="s">
        <v>3</v>
      </c>
    </row>
    <row r="215" spans="1:178" ht="15.75" customHeight="1" x14ac:dyDescent="0.2">
      <c r="A215" s="14" t="s">
        <v>96</v>
      </c>
      <c r="B215" s="2" t="s">
        <v>133</v>
      </c>
      <c r="C215" s="16" t="s">
        <v>631</v>
      </c>
      <c r="D215" s="2" t="s">
        <v>99</v>
      </c>
      <c r="E215" s="2"/>
      <c r="F215" s="2"/>
      <c r="G215" s="2"/>
      <c r="H215" s="2" t="s">
        <v>632</v>
      </c>
      <c r="I215" s="2"/>
      <c r="J215" s="2"/>
      <c r="K215" s="2">
        <v>4.4640000000000004</v>
      </c>
      <c r="L215" s="2">
        <v>0.23</v>
      </c>
      <c r="M215" s="2"/>
      <c r="N215" s="2"/>
      <c r="O215" s="2"/>
      <c r="P215" s="2"/>
      <c r="Q215" s="2"/>
      <c r="R215" s="2"/>
      <c r="S215" s="2">
        <v>0.42</v>
      </c>
      <c r="T215" s="2">
        <v>0.01</v>
      </c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>
        <v>2.6749999999999998</v>
      </c>
      <c r="AG215" s="4">
        <v>0.5</v>
      </c>
      <c r="AH215" s="2"/>
      <c r="AI215" s="2"/>
      <c r="AJ215" s="2"/>
      <c r="AK215" s="2"/>
      <c r="AL215" s="2"/>
      <c r="AM215" s="2"/>
      <c r="AN215" s="2">
        <v>0.96</v>
      </c>
      <c r="AO215" s="2">
        <v>0.02</v>
      </c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>
        <v>0.11799999999999999</v>
      </c>
      <c r="BB215" s="2">
        <v>0.88</v>
      </c>
      <c r="BC215" s="2"/>
      <c r="BD215" s="2"/>
      <c r="BE215" s="2"/>
      <c r="BF215" s="2"/>
      <c r="BG215" s="2"/>
      <c r="BH215" s="2"/>
      <c r="BI215" s="2">
        <v>1.38</v>
      </c>
      <c r="BJ215" s="2">
        <v>3.0000000000000001E-3</v>
      </c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>
        <v>0</v>
      </c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>
        <v>0</v>
      </c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14" t="s">
        <v>81</v>
      </c>
      <c r="DM215" s="2" t="s">
        <v>81</v>
      </c>
      <c r="DN215" s="2">
        <f t="shared" si="8"/>
        <v>0.63465894997933026</v>
      </c>
      <c r="DO215" s="2">
        <f t="shared" si="9"/>
        <v>1.3572275044784345E-2</v>
      </c>
      <c r="DP215" s="2" t="s">
        <v>82</v>
      </c>
      <c r="DQ215" s="2" t="s">
        <v>3</v>
      </c>
      <c r="DR215" s="2">
        <f t="shared" si="10"/>
        <v>7.2570000000000006</v>
      </c>
      <c r="DS215" s="4">
        <f t="shared" si="11"/>
        <v>0.63465894997933026</v>
      </c>
      <c r="DT215" s="15">
        <f t="shared" si="12"/>
        <v>46.057200000000002</v>
      </c>
      <c r="DU215" s="2"/>
      <c r="DV215" s="2">
        <f t="shared" si="13"/>
        <v>0</v>
      </c>
      <c r="DW215" s="2"/>
      <c r="DX215" s="2"/>
      <c r="DY215" s="2"/>
      <c r="DZ215" s="2" t="s">
        <v>3</v>
      </c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 t="s">
        <v>3</v>
      </c>
      <c r="FR215" s="2" t="s">
        <v>89</v>
      </c>
      <c r="FS215" s="2" t="s">
        <v>90</v>
      </c>
      <c r="FT215" s="2"/>
      <c r="FU215" s="2"/>
      <c r="FV215" s="2" t="s">
        <v>3</v>
      </c>
    </row>
    <row r="216" spans="1:178" ht="15.75" customHeight="1" x14ac:dyDescent="0.2">
      <c r="A216" s="14" t="s">
        <v>96</v>
      </c>
      <c r="B216" s="2" t="s">
        <v>124</v>
      </c>
      <c r="C216" s="16" t="s">
        <v>633</v>
      </c>
      <c r="D216" s="2" t="s">
        <v>109</v>
      </c>
      <c r="E216" s="2"/>
      <c r="F216" s="2"/>
      <c r="G216" s="2"/>
      <c r="H216" s="2" t="s">
        <v>634</v>
      </c>
      <c r="I216" s="2"/>
      <c r="J216" s="2"/>
      <c r="K216" s="2">
        <f>62.5+23.6</f>
        <v>86.1</v>
      </c>
      <c r="L216" s="4">
        <f>(0.35*62.5+0.31*23.6)/K216</f>
        <v>0.33903600464576078</v>
      </c>
      <c r="M216" s="4">
        <f>(0.09*62.5+0.08*23.6)/K216</f>
        <v>8.7259001161440197E-2</v>
      </c>
      <c r="N216" s="2"/>
      <c r="O216" s="2"/>
      <c r="P216" s="2"/>
      <c r="Q216" s="2"/>
      <c r="R216" s="2"/>
      <c r="S216" s="4">
        <f>(58.29/(58.29+32.07))*((0.21*62.5+0.22*23.6)/(62.5+23.6))</f>
        <v>0.13723630834771638</v>
      </c>
      <c r="T216" s="19">
        <f>(58.29/(58.29+32.07))*((0.01*62.5+0.01*23.6)/(62.5+23.6))</f>
        <v>6.4508632138114211E-3</v>
      </c>
      <c r="U216" s="4">
        <f>(0.18*62.5+0.17*23.6)/K216</f>
        <v>0.17725900116144019</v>
      </c>
      <c r="V216" s="4">
        <f>(0.12*62.5+0.11*23.6)/K216</f>
        <v>0.1172590011614402</v>
      </c>
      <c r="W216" s="2"/>
      <c r="X216" s="2"/>
      <c r="Y216" s="2"/>
      <c r="Z216" s="2"/>
      <c r="AA216" s="2"/>
      <c r="AB216" s="2"/>
      <c r="AC216" s="2"/>
      <c r="AD216" s="2"/>
      <c r="AE216" s="2"/>
      <c r="AF216" s="15">
        <f>66.1+114.9</f>
        <v>181</v>
      </c>
      <c r="AG216" s="2">
        <f>(0.34*66.1+0.34*114.9)/AF216</f>
        <v>0.34</v>
      </c>
      <c r="AH216" s="4">
        <f>(0.1*66.1+0.08*114.9)/AF216</f>
        <v>8.7303867403314916E-2</v>
      </c>
      <c r="AI216" s="2"/>
      <c r="AJ216" s="2"/>
      <c r="AK216" s="2"/>
      <c r="AL216" s="2"/>
      <c r="AM216" s="2"/>
      <c r="AN216" s="2">
        <f>(58.29/(58.29+32.07))*((0.24*66.1+0.23*114.9)/(66.1+114.9))</f>
        <v>0.15072566639519269</v>
      </c>
      <c r="AO216" s="2">
        <f>(58.29/(58.29+32.07))*((0.01*66.1+0.01*114.9)/(66.1+114.9))</f>
        <v>6.4508632138114211E-3</v>
      </c>
      <c r="AP216" s="4">
        <f>(0.21*66.1+0.17*114.9)/AF216</f>
        <v>0.18460773480662984</v>
      </c>
      <c r="AQ216" s="4">
        <f>(0.14*66.1+0.09*114.9)/AF216</f>
        <v>0.10825966850828729</v>
      </c>
      <c r="AR216" s="2"/>
      <c r="AS216" s="2"/>
      <c r="AT216" s="2"/>
      <c r="AU216" s="2"/>
      <c r="AV216" s="2"/>
      <c r="AW216" s="2"/>
      <c r="AX216" s="2"/>
      <c r="AY216" s="2"/>
      <c r="AZ216" s="2"/>
      <c r="BA216" s="2">
        <v>19.2</v>
      </c>
      <c r="BB216" s="2">
        <v>0.32</v>
      </c>
      <c r="BC216" s="2">
        <v>0.06</v>
      </c>
      <c r="BD216" s="2"/>
      <c r="BE216" s="2"/>
      <c r="BF216" s="2"/>
      <c r="BG216" s="2"/>
      <c r="BH216" s="2"/>
      <c r="BI216" s="4">
        <f>(58.29/(58.29+32.07))*0.22</f>
        <v>0.14191899070385125</v>
      </c>
      <c r="BJ216" s="19">
        <f>(58.93/(58.93+32.07))*0.01</f>
        <v>6.4758241758241753E-3</v>
      </c>
      <c r="BK216" s="2">
        <v>0.13</v>
      </c>
      <c r="BL216" s="2">
        <v>0.08</v>
      </c>
      <c r="BM216" s="2"/>
      <c r="BN216" s="2"/>
      <c r="BO216" s="2"/>
      <c r="BP216" s="2"/>
      <c r="BQ216" s="2"/>
      <c r="BR216" s="2"/>
      <c r="BS216" s="2"/>
      <c r="BT216" s="2"/>
      <c r="BU216" s="2"/>
      <c r="BV216" s="2">
        <v>62.5</v>
      </c>
      <c r="BW216" s="2">
        <v>0.35</v>
      </c>
      <c r="BX216" s="2">
        <v>0.09</v>
      </c>
      <c r="BY216" s="2"/>
      <c r="BZ216" s="2"/>
      <c r="CA216" s="2"/>
      <c r="CB216" s="2"/>
      <c r="CC216" s="2"/>
      <c r="CD216" s="4">
        <v>0.13546812749003984</v>
      </c>
      <c r="CE216" s="19">
        <f>0.01*(58.93/(58.93+32.07))</f>
        <v>6.4758241758241753E-3</v>
      </c>
      <c r="CF216" s="2">
        <v>0.18</v>
      </c>
      <c r="CG216" s="2">
        <v>0.12</v>
      </c>
      <c r="CH216" s="2"/>
      <c r="CI216" s="2"/>
      <c r="CJ216" s="2"/>
      <c r="CK216" s="2"/>
      <c r="CL216" s="2"/>
      <c r="CM216" s="2"/>
      <c r="CN216" s="2"/>
      <c r="CO216" s="2"/>
      <c r="CP216" s="2"/>
      <c r="CQ216" s="2">
        <v>66.099999999999994</v>
      </c>
      <c r="CR216" s="2">
        <v>0.34</v>
      </c>
      <c r="CS216" s="4">
        <v>0.1</v>
      </c>
      <c r="CT216" s="2"/>
      <c r="CU216" s="2"/>
      <c r="CV216" s="2"/>
      <c r="CW216" s="2"/>
      <c r="CX216" s="2"/>
      <c r="CY216" s="4">
        <f>(58.29/(58.29+32.07))*0.24</f>
        <v>0.15482071713147411</v>
      </c>
      <c r="CZ216" s="19">
        <f>0.01*(58.93/(58.93+32.07))</f>
        <v>6.4758241758241753E-3</v>
      </c>
      <c r="DA216" s="2">
        <v>0.21</v>
      </c>
      <c r="DB216" s="2">
        <v>0.14000000000000001</v>
      </c>
      <c r="DC216" s="2"/>
      <c r="DD216" s="2"/>
      <c r="DE216" s="2"/>
      <c r="DF216" s="2"/>
      <c r="DG216" s="2"/>
      <c r="DH216" s="2"/>
      <c r="DI216" s="2"/>
      <c r="DJ216" s="2"/>
      <c r="DK216" s="2"/>
      <c r="DL216" s="14" t="s">
        <v>81</v>
      </c>
      <c r="DM216" s="2" t="s">
        <v>81</v>
      </c>
      <c r="DN216" s="2">
        <f t="shared" si="8"/>
        <v>0.14607836670549146</v>
      </c>
      <c r="DO216" s="2">
        <f t="shared" si="9"/>
        <v>6.4525371588713045E-3</v>
      </c>
      <c r="DP216" s="2" t="s">
        <v>95</v>
      </c>
      <c r="DQ216" s="2" t="s">
        <v>3</v>
      </c>
      <c r="DR216" s="15">
        <f t="shared" si="10"/>
        <v>286.3</v>
      </c>
      <c r="DS216" s="4">
        <f t="shared" si="11"/>
        <v>0.14607836670549146</v>
      </c>
      <c r="DT216" s="15">
        <f t="shared" si="12"/>
        <v>418.22236387782209</v>
      </c>
      <c r="DU216" s="2"/>
      <c r="DV216" s="2">
        <f t="shared" si="13"/>
        <v>128.6</v>
      </c>
      <c r="DW216" s="4">
        <f>(BV216*CD216+CQ216*CY216)/DV216</f>
        <v>0.14541529837105699</v>
      </c>
      <c r="DX216" s="15">
        <f>1000*DV216*DW216/100</f>
        <v>187.00407370517928</v>
      </c>
      <c r="DY216" s="2"/>
      <c r="DZ216" s="2" t="s">
        <v>3</v>
      </c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 t="s">
        <v>3</v>
      </c>
      <c r="FR216" s="2" t="s">
        <v>89</v>
      </c>
      <c r="FS216" s="2" t="s">
        <v>90</v>
      </c>
      <c r="FT216" s="2" t="s">
        <v>162</v>
      </c>
      <c r="FU216" s="2"/>
      <c r="FV216" s="2" t="s">
        <v>3</v>
      </c>
    </row>
    <row r="217" spans="1:178" ht="15.75" customHeight="1" x14ac:dyDescent="0.2">
      <c r="A217" s="14" t="s">
        <v>96</v>
      </c>
      <c r="B217" s="2" t="s">
        <v>97</v>
      </c>
      <c r="C217" s="16" t="s">
        <v>635</v>
      </c>
      <c r="D217" s="2" t="s">
        <v>99</v>
      </c>
      <c r="E217" s="2"/>
      <c r="F217" s="2"/>
      <c r="G217" s="2"/>
      <c r="H217" s="2" t="s">
        <v>79</v>
      </c>
      <c r="I217" s="2"/>
      <c r="J217" s="2"/>
      <c r="K217" s="2">
        <v>0</v>
      </c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>
        <v>0</v>
      </c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>
        <v>2.6</v>
      </c>
      <c r="BB217" s="2">
        <v>0.17</v>
      </c>
      <c r="BC217" s="2"/>
      <c r="BD217" s="2"/>
      <c r="BE217" s="2"/>
      <c r="BF217" s="2"/>
      <c r="BG217" s="2"/>
      <c r="BH217" s="2"/>
      <c r="BI217" s="2">
        <v>0.47</v>
      </c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>
        <v>0</v>
      </c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>
        <v>0</v>
      </c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14" t="s">
        <v>100</v>
      </c>
      <c r="DM217" s="2"/>
      <c r="DN217" s="2">
        <f t="shared" si="8"/>
        <v>0.47</v>
      </c>
      <c r="DO217" s="2">
        <f t="shared" si="9"/>
        <v>0</v>
      </c>
      <c r="DP217" s="2" t="s">
        <v>132</v>
      </c>
      <c r="DQ217" s="2" t="s">
        <v>3</v>
      </c>
      <c r="DR217" s="2">
        <f t="shared" si="10"/>
        <v>2.6</v>
      </c>
      <c r="DS217" s="2">
        <f t="shared" si="11"/>
        <v>0.47</v>
      </c>
      <c r="DT217" s="15">
        <f t="shared" si="12"/>
        <v>12.22</v>
      </c>
      <c r="DU217" s="2"/>
      <c r="DV217" s="2">
        <f t="shared" si="13"/>
        <v>0</v>
      </c>
      <c r="DW217" s="2"/>
      <c r="DX217" s="2"/>
      <c r="DY217" s="2"/>
      <c r="DZ217" s="2" t="s">
        <v>3</v>
      </c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 t="s">
        <v>3</v>
      </c>
      <c r="FR217" s="2" t="s">
        <v>89</v>
      </c>
      <c r="FS217" s="2" t="s">
        <v>636</v>
      </c>
      <c r="FT217" s="2"/>
      <c r="FU217" s="2"/>
      <c r="FV217" s="2" t="s">
        <v>3</v>
      </c>
    </row>
    <row r="218" spans="1:178" ht="15.75" customHeight="1" x14ac:dyDescent="0.2">
      <c r="A218" s="14" t="s">
        <v>96</v>
      </c>
      <c r="B218" s="2" t="s">
        <v>97</v>
      </c>
      <c r="C218" s="33" t="s">
        <v>637</v>
      </c>
      <c r="D218" s="2" t="s">
        <v>99</v>
      </c>
      <c r="E218" s="2"/>
      <c r="F218" s="2"/>
      <c r="G218" s="2"/>
      <c r="H218" s="2" t="s">
        <v>638</v>
      </c>
      <c r="I218" s="2"/>
      <c r="J218" s="2"/>
      <c r="K218" s="2">
        <v>100.92</v>
      </c>
      <c r="L218" s="19">
        <v>0.19</v>
      </c>
      <c r="M218" s="2">
        <v>0.109</v>
      </c>
      <c r="N218" s="2"/>
      <c r="O218" s="2"/>
      <c r="P218" s="2"/>
      <c r="Q218" s="2"/>
      <c r="R218" s="2"/>
      <c r="S218" s="2">
        <v>0.443</v>
      </c>
      <c r="T218" s="2">
        <v>1.6E-2</v>
      </c>
      <c r="U218" s="2">
        <v>0.29899999999999999</v>
      </c>
      <c r="V218" s="2">
        <v>0.32500000000000001</v>
      </c>
      <c r="W218" s="2"/>
      <c r="X218" s="2"/>
      <c r="Y218" s="2"/>
      <c r="Z218" s="2"/>
      <c r="AA218" s="2"/>
      <c r="AB218" s="2"/>
      <c r="AC218" s="2"/>
      <c r="AD218" s="2"/>
      <c r="AE218" s="2"/>
      <c r="AF218" s="2">
        <v>126.59</v>
      </c>
      <c r="AG218" s="2">
        <v>0.14299999999999999</v>
      </c>
      <c r="AH218" s="2">
        <v>5.5E-2</v>
      </c>
      <c r="AI218" s="2"/>
      <c r="AJ218" s="2"/>
      <c r="AK218" s="2"/>
      <c r="AL218" s="2"/>
      <c r="AM218" s="2"/>
      <c r="AN218" s="19">
        <v>0.35</v>
      </c>
      <c r="AO218" s="2">
        <v>1.6E-2</v>
      </c>
      <c r="AP218" s="19">
        <v>0.13</v>
      </c>
      <c r="AQ218" s="2">
        <v>0.11799999999999999</v>
      </c>
      <c r="AR218" s="2"/>
      <c r="AS218" s="2"/>
      <c r="AT218" s="2"/>
      <c r="AU218" s="2"/>
      <c r="AV218" s="2"/>
      <c r="AW218" s="2"/>
      <c r="AX218" s="2"/>
      <c r="AY218" s="2"/>
      <c r="AZ218" s="2"/>
      <c r="BA218" s="2">
        <v>83.69</v>
      </c>
      <c r="BB218" s="2">
        <v>0.104</v>
      </c>
      <c r="BC218" s="2">
        <v>4.4999999999999998E-2</v>
      </c>
      <c r="BD218" s="2"/>
      <c r="BE218" s="2"/>
      <c r="BF218" s="2"/>
      <c r="BG218" s="2"/>
      <c r="BH218" s="2"/>
      <c r="BI218" s="2">
        <v>0.29899999999999999</v>
      </c>
      <c r="BJ218" s="2">
        <v>1.4999999999999999E-2</v>
      </c>
      <c r="BK218" s="2">
        <v>0.106</v>
      </c>
      <c r="BL218" s="2">
        <v>8.2000000000000003E-2</v>
      </c>
      <c r="BM218" s="2"/>
      <c r="BN218" s="2"/>
      <c r="BO218" s="2"/>
      <c r="BP218" s="2"/>
      <c r="BQ218" s="2"/>
      <c r="BR218" s="2"/>
      <c r="BS218" s="2"/>
      <c r="BT218" s="2"/>
      <c r="BU218" s="2"/>
      <c r="BV218" s="2">
        <v>0</v>
      </c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>
        <v>0</v>
      </c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14" t="s">
        <v>81</v>
      </c>
      <c r="DM218" s="2" t="s">
        <v>81</v>
      </c>
      <c r="DN218" s="2">
        <f t="shared" si="8"/>
        <v>0.36644399100257069</v>
      </c>
      <c r="DO218" s="2">
        <f t="shared" si="9"/>
        <v>1.573107326478149E-2</v>
      </c>
      <c r="DP218" s="2" t="s">
        <v>639</v>
      </c>
      <c r="DQ218" s="2" t="s">
        <v>3</v>
      </c>
      <c r="DR218" s="2">
        <f t="shared" si="10"/>
        <v>311.2</v>
      </c>
      <c r="DS218" s="4">
        <f t="shared" si="11"/>
        <v>0.36644399100257069</v>
      </c>
      <c r="DT218" s="18">
        <f t="shared" si="12"/>
        <v>1140.3736999999999</v>
      </c>
      <c r="DU218" s="2"/>
      <c r="DV218" s="2">
        <f t="shared" si="13"/>
        <v>0</v>
      </c>
      <c r="DW218" s="2"/>
      <c r="DX218" s="2"/>
      <c r="DY218" s="2"/>
      <c r="DZ218" s="2" t="s">
        <v>3</v>
      </c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 t="s">
        <v>3</v>
      </c>
      <c r="FR218" s="2" t="s">
        <v>89</v>
      </c>
      <c r="FS218" s="2" t="s">
        <v>123</v>
      </c>
      <c r="FT218" s="2" t="s">
        <v>640</v>
      </c>
      <c r="FU218" s="2"/>
      <c r="FV218" s="2" t="s">
        <v>3</v>
      </c>
    </row>
    <row r="219" spans="1:178" ht="15.75" customHeight="1" x14ac:dyDescent="0.2">
      <c r="A219" s="14" t="s">
        <v>96</v>
      </c>
      <c r="B219" s="2" t="s">
        <v>97</v>
      </c>
      <c r="C219" s="33" t="s">
        <v>641</v>
      </c>
      <c r="D219" s="2" t="s">
        <v>99</v>
      </c>
      <c r="E219" s="2"/>
      <c r="F219" s="2"/>
      <c r="G219" s="2"/>
      <c r="H219" s="2" t="s">
        <v>638</v>
      </c>
      <c r="I219" s="2"/>
      <c r="J219" s="2"/>
      <c r="K219" s="2">
        <v>50.99</v>
      </c>
      <c r="L219" s="2">
        <v>0.33900000000000002</v>
      </c>
      <c r="M219" s="19">
        <v>0.14000000000000001</v>
      </c>
      <c r="N219" s="2"/>
      <c r="O219" s="2"/>
      <c r="P219" s="2"/>
      <c r="Q219" s="2"/>
      <c r="R219" s="2"/>
      <c r="S219" s="2">
        <v>0.55800000000000005</v>
      </c>
      <c r="T219" s="2">
        <v>1.9E-2</v>
      </c>
      <c r="U219" s="2">
        <v>0.30199999999999999</v>
      </c>
      <c r="V219" s="2">
        <v>0.28799999999999998</v>
      </c>
      <c r="W219" s="2"/>
      <c r="X219" s="2"/>
      <c r="Y219" s="2"/>
      <c r="Z219" s="2"/>
      <c r="AA219" s="2"/>
      <c r="AB219" s="2"/>
      <c r="AC219" s="2"/>
      <c r="AD219" s="2"/>
      <c r="AE219" s="2"/>
      <c r="AF219" s="2">
        <v>40.08</v>
      </c>
      <c r="AG219" s="2">
        <v>0.29299999999999998</v>
      </c>
      <c r="AH219" s="2">
        <v>0.123</v>
      </c>
      <c r="AI219" s="2"/>
      <c r="AJ219" s="2"/>
      <c r="AK219" s="2"/>
      <c r="AL219" s="2"/>
      <c r="AM219" s="2"/>
      <c r="AN219" s="2">
        <v>0.50800000000000001</v>
      </c>
      <c r="AO219" s="2">
        <v>1.9E-2</v>
      </c>
      <c r="AP219" s="2">
        <v>0.28299999999999997</v>
      </c>
      <c r="AQ219" s="2">
        <v>0.255</v>
      </c>
      <c r="AR219" s="2"/>
      <c r="AS219" s="2"/>
      <c r="AT219" s="2"/>
      <c r="AU219" s="2"/>
      <c r="AV219" s="2"/>
      <c r="AW219" s="2"/>
      <c r="AX219" s="2"/>
      <c r="AY219" s="2"/>
      <c r="AZ219" s="2"/>
      <c r="BA219" s="2">
        <v>0</v>
      </c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>
        <v>0</v>
      </c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>
        <v>0</v>
      </c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14" t="s">
        <v>81</v>
      </c>
      <c r="DM219" s="2" t="s">
        <v>81</v>
      </c>
      <c r="DN219" s="2">
        <f t="shared" si="8"/>
        <v>0.53599494894037569</v>
      </c>
      <c r="DO219" s="2">
        <f t="shared" si="9"/>
        <v>1.9E-2</v>
      </c>
      <c r="DP219" s="2" t="s">
        <v>639</v>
      </c>
      <c r="DQ219" s="2" t="s">
        <v>3</v>
      </c>
      <c r="DR219" s="2">
        <f t="shared" si="10"/>
        <v>91.07</v>
      </c>
      <c r="DS219" s="4">
        <f t="shared" si="11"/>
        <v>0.53599494894037569</v>
      </c>
      <c r="DT219" s="15">
        <f t="shared" si="12"/>
        <v>488.13060000000013</v>
      </c>
      <c r="DU219" s="2"/>
      <c r="DV219" s="2">
        <f t="shared" si="13"/>
        <v>0</v>
      </c>
      <c r="DW219" s="2"/>
      <c r="DX219" s="2"/>
      <c r="DY219" s="2"/>
      <c r="DZ219" s="2" t="s">
        <v>3</v>
      </c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 t="s">
        <v>3</v>
      </c>
      <c r="FR219" s="2" t="s">
        <v>89</v>
      </c>
      <c r="FS219" s="2" t="s">
        <v>123</v>
      </c>
      <c r="FT219" s="2" t="s">
        <v>640</v>
      </c>
      <c r="FU219" s="2"/>
      <c r="FV219" s="2" t="s">
        <v>3</v>
      </c>
    </row>
    <row r="220" spans="1:178" ht="15.75" customHeight="1" x14ac:dyDescent="0.2">
      <c r="A220" s="14" t="s">
        <v>96</v>
      </c>
      <c r="B220" s="2" t="s">
        <v>97</v>
      </c>
      <c r="C220" s="33" t="s">
        <v>642</v>
      </c>
      <c r="D220" s="2" t="s">
        <v>99</v>
      </c>
      <c r="E220" s="2"/>
      <c r="F220" s="2"/>
      <c r="G220" s="2"/>
      <c r="H220" s="2" t="s">
        <v>638</v>
      </c>
      <c r="I220" s="2"/>
      <c r="J220" s="2"/>
      <c r="K220" s="2">
        <v>66.150000000000006</v>
      </c>
      <c r="L220" s="2">
        <v>0.191</v>
      </c>
      <c r="M220" s="2">
        <v>9.4E-2</v>
      </c>
      <c r="N220" s="2"/>
      <c r="O220" s="2"/>
      <c r="P220" s="2"/>
      <c r="Q220" s="2"/>
      <c r="R220" s="2"/>
      <c r="S220" s="2">
        <v>0.40400000000000003</v>
      </c>
      <c r="T220" s="2">
        <v>1.4999999999999999E-2</v>
      </c>
      <c r="U220" s="2">
        <v>0.38900000000000001</v>
      </c>
      <c r="V220" s="19">
        <v>0.3</v>
      </c>
      <c r="W220" s="2"/>
      <c r="X220" s="2"/>
      <c r="Y220" s="2"/>
      <c r="Z220" s="2"/>
      <c r="AA220" s="2"/>
      <c r="AB220" s="2"/>
      <c r="AC220" s="2"/>
      <c r="AD220" s="2"/>
      <c r="AE220" s="2"/>
      <c r="AF220" s="2">
        <v>106.86</v>
      </c>
      <c r="AG220" s="2">
        <v>0.182</v>
      </c>
      <c r="AH220" s="2">
        <v>6.4000000000000001E-2</v>
      </c>
      <c r="AI220" s="2"/>
      <c r="AJ220" s="2"/>
      <c r="AK220" s="2"/>
      <c r="AL220" s="2"/>
      <c r="AM220" s="2"/>
      <c r="AN220" s="2">
        <v>0.38800000000000001</v>
      </c>
      <c r="AO220" s="2">
        <v>1.4999999999999999E-2</v>
      </c>
      <c r="AP220" s="2">
        <v>0.20799999999999999</v>
      </c>
      <c r="AQ220" s="2">
        <v>0.20200000000000001</v>
      </c>
      <c r="AR220" s="2"/>
      <c r="AS220" s="2"/>
      <c r="AT220" s="2"/>
      <c r="AU220" s="2"/>
      <c r="AV220" s="2"/>
      <c r="AW220" s="2"/>
      <c r="AX220" s="2"/>
      <c r="AY220" s="2"/>
      <c r="AZ220" s="2"/>
      <c r="BA220" s="2">
        <v>17.61</v>
      </c>
      <c r="BB220" s="2">
        <v>0.161</v>
      </c>
      <c r="BC220" s="2">
        <v>5.8999999999999997E-2</v>
      </c>
      <c r="BD220" s="2"/>
      <c r="BE220" s="2"/>
      <c r="BF220" s="2"/>
      <c r="BG220" s="2"/>
      <c r="BH220" s="2"/>
      <c r="BI220" s="19">
        <v>0.34</v>
      </c>
      <c r="BJ220" s="2">
        <v>1.4E-2</v>
      </c>
      <c r="BK220" s="2">
        <v>0.20399999999999999</v>
      </c>
      <c r="BL220" s="2">
        <v>0.20599999999999999</v>
      </c>
      <c r="BM220" s="2"/>
      <c r="BN220" s="2"/>
      <c r="BO220" s="2"/>
      <c r="BP220" s="2"/>
      <c r="BQ220" s="2"/>
      <c r="BR220" s="2"/>
      <c r="BS220" s="2"/>
      <c r="BT220" s="2"/>
      <c r="BU220" s="2"/>
      <c r="BV220" s="2">
        <v>0</v>
      </c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>
        <v>0</v>
      </c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14" t="s">
        <v>81</v>
      </c>
      <c r="DM220" s="2" t="s">
        <v>81</v>
      </c>
      <c r="DN220" s="2">
        <f t="shared" si="8"/>
        <v>0.38911803588290844</v>
      </c>
      <c r="DO220" s="2">
        <f t="shared" si="9"/>
        <v>1.4907617248977023E-2</v>
      </c>
      <c r="DP220" s="2" t="s">
        <v>639</v>
      </c>
      <c r="DQ220" s="2" t="s">
        <v>3</v>
      </c>
      <c r="DR220" s="15">
        <f t="shared" si="10"/>
        <v>190.62</v>
      </c>
      <c r="DS220" s="4">
        <f t="shared" si="11"/>
        <v>0.38911803588290844</v>
      </c>
      <c r="DT220" s="15">
        <f t="shared" si="12"/>
        <v>741.73680000000013</v>
      </c>
      <c r="DU220" s="2"/>
      <c r="DV220" s="2">
        <f t="shared" si="13"/>
        <v>0</v>
      </c>
      <c r="DW220" s="2"/>
      <c r="DX220" s="2"/>
      <c r="DY220" s="2"/>
      <c r="DZ220" s="2" t="s">
        <v>3</v>
      </c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 t="s">
        <v>3</v>
      </c>
      <c r="FR220" s="2" t="s">
        <v>89</v>
      </c>
      <c r="FS220" s="2" t="s">
        <v>123</v>
      </c>
      <c r="FT220" s="2" t="s">
        <v>640</v>
      </c>
      <c r="FU220" s="2"/>
      <c r="FV220" s="2" t="s">
        <v>3</v>
      </c>
    </row>
    <row r="221" spans="1:178" ht="15.75" customHeight="1" x14ac:dyDescent="0.2">
      <c r="A221" s="14" t="s">
        <v>222</v>
      </c>
      <c r="B221" s="2" t="s">
        <v>85</v>
      </c>
      <c r="C221" s="16" t="s">
        <v>643</v>
      </c>
      <c r="D221" s="2"/>
      <c r="E221" s="2"/>
      <c r="F221" s="2"/>
      <c r="G221" s="2"/>
      <c r="H221" s="17" t="s">
        <v>215</v>
      </c>
      <c r="I221" s="2"/>
      <c r="J221" s="2"/>
      <c r="K221" s="2">
        <v>0</v>
      </c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>
        <v>0</v>
      </c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>
        <v>109.6</v>
      </c>
      <c r="BB221" s="4">
        <v>2.9148595329822911E-2</v>
      </c>
      <c r="BC221" s="4">
        <v>3.9097699999999999E-2</v>
      </c>
      <c r="BD221" s="2"/>
      <c r="BE221" s="2"/>
      <c r="BF221" s="2"/>
      <c r="BG221" s="2"/>
      <c r="BH221" s="2"/>
      <c r="BI221" s="4">
        <v>0.11240231217618901</v>
      </c>
      <c r="BJ221" s="2"/>
      <c r="BK221" s="4">
        <v>1.096617</v>
      </c>
      <c r="BL221" s="4">
        <v>0.96685100000000002</v>
      </c>
      <c r="BM221" s="4">
        <v>0.19744119999999998</v>
      </c>
      <c r="BN221" s="2"/>
      <c r="BO221" s="2"/>
      <c r="BP221" s="2"/>
      <c r="BQ221" s="2"/>
      <c r="BR221" s="2"/>
      <c r="BS221" s="2"/>
      <c r="BT221" s="2"/>
      <c r="BU221" s="2"/>
      <c r="BV221" s="2">
        <v>0</v>
      </c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>
        <v>0</v>
      </c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14" t="s">
        <v>81</v>
      </c>
      <c r="DM221" s="2"/>
      <c r="DN221" s="2">
        <f t="shared" si="8"/>
        <v>0.11240231217618903</v>
      </c>
      <c r="DO221" s="2">
        <f t="shared" si="9"/>
        <v>0</v>
      </c>
      <c r="DP221" s="2" t="s">
        <v>644</v>
      </c>
      <c r="DQ221" s="2" t="s">
        <v>3</v>
      </c>
      <c r="DR221" s="2">
        <f t="shared" si="10"/>
        <v>109.6</v>
      </c>
      <c r="DS221" s="4">
        <f t="shared" si="11"/>
        <v>0.11240231217618903</v>
      </c>
      <c r="DT221" s="15">
        <f t="shared" si="12"/>
        <v>123.19293414510317</v>
      </c>
      <c r="DU221" s="2"/>
      <c r="DV221" s="2">
        <f t="shared" si="13"/>
        <v>0</v>
      </c>
      <c r="DW221" s="2"/>
      <c r="DX221" s="2"/>
      <c r="DY221" s="2"/>
      <c r="DZ221" s="2" t="s">
        <v>3</v>
      </c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 t="s">
        <v>3</v>
      </c>
      <c r="FR221" s="2" t="s">
        <v>89</v>
      </c>
      <c r="FS221" s="2" t="s">
        <v>90</v>
      </c>
      <c r="FT221" s="2" t="s">
        <v>91</v>
      </c>
      <c r="FU221" s="2" t="s">
        <v>226</v>
      </c>
      <c r="FV221" s="2" t="s">
        <v>3</v>
      </c>
    </row>
    <row r="222" spans="1:178" ht="15.75" customHeight="1" x14ac:dyDescent="0.2">
      <c r="A222" s="14" t="s">
        <v>74</v>
      </c>
      <c r="B222" s="2" t="s">
        <v>164</v>
      </c>
      <c r="C222" s="13" t="s">
        <v>645</v>
      </c>
      <c r="D222" s="2" t="s">
        <v>99</v>
      </c>
      <c r="E222" s="2"/>
      <c r="F222" s="2"/>
      <c r="G222" s="2" t="s">
        <v>78</v>
      </c>
      <c r="H222" s="2" t="s">
        <v>497</v>
      </c>
      <c r="I222" s="2"/>
      <c r="J222" s="2" t="s">
        <v>80</v>
      </c>
      <c r="K222" s="2">
        <v>0</v>
      </c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>
        <v>15.9</v>
      </c>
      <c r="AG222" s="2"/>
      <c r="AH222" s="2"/>
      <c r="AI222" s="2"/>
      <c r="AJ222" s="2"/>
      <c r="AK222" s="2"/>
      <c r="AL222" s="2"/>
      <c r="AM222" s="2"/>
      <c r="AN222" s="2">
        <v>1.06</v>
      </c>
      <c r="AO222" s="2">
        <v>0.06</v>
      </c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15">
        <v>24</v>
      </c>
      <c r="BB222" s="2"/>
      <c r="BC222" s="2"/>
      <c r="BD222" s="2"/>
      <c r="BE222" s="2"/>
      <c r="BF222" s="2"/>
      <c r="BG222" s="2"/>
      <c r="BH222" s="2"/>
      <c r="BI222" s="2">
        <v>0.79</v>
      </c>
      <c r="BJ222" s="2">
        <v>0.05</v>
      </c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>
        <v>0</v>
      </c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>
        <v>0</v>
      </c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14" t="s">
        <v>81</v>
      </c>
      <c r="DM222" s="2" t="s">
        <v>81</v>
      </c>
      <c r="DN222" s="2">
        <f t="shared" si="8"/>
        <v>0.89759398496240628</v>
      </c>
      <c r="DO222" s="2">
        <f t="shared" si="9"/>
        <v>5.3984962406015038E-2</v>
      </c>
      <c r="DP222" s="2" t="s">
        <v>211</v>
      </c>
      <c r="DQ222" s="2" t="s">
        <v>3</v>
      </c>
      <c r="DR222" s="15">
        <f t="shared" si="10"/>
        <v>39.9</v>
      </c>
      <c r="DS222" s="4">
        <f t="shared" si="11"/>
        <v>0.89759398496240628</v>
      </c>
      <c r="DT222" s="15">
        <f t="shared" si="12"/>
        <v>358.1400000000001</v>
      </c>
      <c r="DU222" s="2"/>
      <c r="DV222" s="2">
        <f t="shared" si="13"/>
        <v>0</v>
      </c>
      <c r="DW222" s="2"/>
      <c r="DX222" s="2"/>
      <c r="DY222" s="2"/>
      <c r="DZ222" s="2" t="s">
        <v>3</v>
      </c>
      <c r="EA222" s="2" t="s">
        <v>305</v>
      </c>
      <c r="EB222" s="2" t="s">
        <v>176</v>
      </c>
      <c r="EC222" s="3">
        <v>2771.3850000000002</v>
      </c>
      <c r="ED222" s="2" t="s">
        <v>176</v>
      </c>
      <c r="EE222" s="2">
        <v>368.1</v>
      </c>
      <c r="EF222" s="2" t="s">
        <v>176</v>
      </c>
      <c r="EG222" s="3">
        <v>16173.66129</v>
      </c>
      <c r="EH222" s="2"/>
      <c r="EI222" s="3">
        <f t="shared" ref="EI222:EI223" si="31">EG222-EE222</f>
        <v>15805.56129</v>
      </c>
      <c r="EJ222" s="2"/>
      <c r="EK222" s="3">
        <f t="shared" ref="EK222:EK223" si="32">ET222</f>
        <v>7785.3456829999996</v>
      </c>
      <c r="EL222" s="3">
        <f t="shared" ref="EL222:EL223" si="33">EC222+FD222</f>
        <v>10556.730683</v>
      </c>
      <c r="EM222" s="2" t="s">
        <v>305</v>
      </c>
      <c r="EN222" s="2" t="s">
        <v>176</v>
      </c>
      <c r="EO222" s="2" t="s">
        <v>176</v>
      </c>
      <c r="EP222" s="2" t="s">
        <v>176</v>
      </c>
      <c r="EQ222" s="2" t="s">
        <v>176</v>
      </c>
      <c r="ER222" s="3">
        <f>SUM(DR495:DR503)</f>
        <v>1217.4291739999999</v>
      </c>
      <c r="ES222" s="4">
        <f t="shared" ref="ES222:ES223" si="34">100*(ET222/1000)/ER222</f>
        <v>0.63949064547388612</v>
      </c>
      <c r="ET222" s="3">
        <f>SUM(DT495:DT503)</f>
        <v>7785.3456829999996</v>
      </c>
      <c r="EU222" s="2">
        <f>COUNT(DT495:DT503)</f>
        <v>9</v>
      </c>
      <c r="EV222" s="2" t="s">
        <v>176</v>
      </c>
      <c r="EW222" s="2" t="s">
        <v>176</v>
      </c>
      <c r="EX222" s="2" t="s">
        <v>176</v>
      </c>
      <c r="EY222" s="2" t="s">
        <v>176</v>
      </c>
      <c r="EZ222" s="2" t="s">
        <v>176</v>
      </c>
      <c r="FA222" s="2" t="s">
        <v>176</v>
      </c>
      <c r="FB222" s="2" t="s">
        <v>176</v>
      </c>
      <c r="FC222" s="2" t="s">
        <v>176</v>
      </c>
      <c r="FD222" s="3">
        <f t="shared" ref="FD222:FD225" si="35">SUM(EP222,ET222,EX222,FB222)</f>
        <v>7785.3456829999996</v>
      </c>
      <c r="FE222" s="2" t="s">
        <v>176</v>
      </c>
      <c r="FF222" s="2" t="s">
        <v>176</v>
      </c>
      <c r="FG222" s="2" t="s">
        <v>176</v>
      </c>
      <c r="FH222" s="2" t="s">
        <v>176</v>
      </c>
      <c r="FI222" s="15">
        <f>SUM(DV495:DV503)</f>
        <v>26.6</v>
      </c>
      <c r="FJ222" s="4">
        <f>100*(FK222/1000)/FI222</f>
        <v>6.792349726775955E-2</v>
      </c>
      <c r="FK222" s="15">
        <f>SUM(DX495:DX503)</f>
        <v>18.067650273224043</v>
      </c>
      <c r="FL222" s="2">
        <f>COUNT(DX495:DX503)</f>
        <v>1</v>
      </c>
      <c r="FM222" s="2" t="s">
        <v>176</v>
      </c>
      <c r="FN222" s="2" t="s">
        <v>176</v>
      </c>
      <c r="FO222" s="15">
        <f>SUM(FG222,FK222,FM222,FN222)</f>
        <v>18.067650273224043</v>
      </c>
      <c r="FP222" s="2" t="s">
        <v>305</v>
      </c>
      <c r="FQ222" s="2" t="s">
        <v>3</v>
      </c>
      <c r="FR222" s="2" t="s">
        <v>37</v>
      </c>
      <c r="FS222" s="2" t="s">
        <v>383</v>
      </c>
      <c r="FT222" s="2" t="s">
        <v>383</v>
      </c>
      <c r="FU222" s="2"/>
      <c r="FV222" s="2" t="s">
        <v>3</v>
      </c>
    </row>
    <row r="223" spans="1:178" ht="15.75" customHeight="1" x14ac:dyDescent="0.2">
      <c r="A223" s="14" t="s">
        <v>74</v>
      </c>
      <c r="B223" s="2" t="s">
        <v>164</v>
      </c>
      <c r="C223" s="13" t="s">
        <v>646</v>
      </c>
      <c r="D223" s="2" t="s">
        <v>99</v>
      </c>
      <c r="E223" s="2"/>
      <c r="F223" s="2"/>
      <c r="G223" s="2" t="s">
        <v>78</v>
      </c>
      <c r="H223" s="2" t="s">
        <v>497</v>
      </c>
      <c r="I223" s="2"/>
      <c r="J223" s="2" t="s">
        <v>80</v>
      </c>
      <c r="K223" s="2">
        <v>0</v>
      </c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>
        <v>0</v>
      </c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>
        <v>14.2</v>
      </c>
      <c r="BB223" s="2"/>
      <c r="BC223" s="2"/>
      <c r="BD223" s="2"/>
      <c r="BE223" s="2"/>
      <c r="BF223" s="2"/>
      <c r="BG223" s="2"/>
      <c r="BH223" s="2"/>
      <c r="BI223" s="2">
        <v>0.84</v>
      </c>
      <c r="BJ223" s="2">
        <v>0.05</v>
      </c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>
        <v>0</v>
      </c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>
        <v>0</v>
      </c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14" t="s">
        <v>81</v>
      </c>
      <c r="DM223" s="2" t="s">
        <v>81</v>
      </c>
      <c r="DN223" s="2">
        <f t="shared" si="8"/>
        <v>0.84</v>
      </c>
      <c r="DO223" s="2">
        <f t="shared" si="9"/>
        <v>0.05</v>
      </c>
      <c r="DP223" s="2" t="s">
        <v>211</v>
      </c>
      <c r="DQ223" s="2" t="s">
        <v>3</v>
      </c>
      <c r="DR223" s="2">
        <f t="shared" si="10"/>
        <v>14.2</v>
      </c>
      <c r="DS223" s="2">
        <f t="shared" si="11"/>
        <v>0.84</v>
      </c>
      <c r="DT223" s="15">
        <f t="shared" si="12"/>
        <v>119.28</v>
      </c>
      <c r="DU223" s="2"/>
      <c r="DV223" s="2">
        <f t="shared" si="13"/>
        <v>0</v>
      </c>
      <c r="DW223" s="2"/>
      <c r="DX223" s="2"/>
      <c r="DY223" s="2"/>
      <c r="DZ223" s="2" t="s">
        <v>3</v>
      </c>
      <c r="EA223" s="2" t="s">
        <v>647</v>
      </c>
      <c r="EB223" s="2" t="s">
        <v>176</v>
      </c>
      <c r="EC223" s="2">
        <v>12.7</v>
      </c>
      <c r="ED223" s="2" t="s">
        <v>176</v>
      </c>
      <c r="EE223" s="2">
        <v>12.7</v>
      </c>
      <c r="EF223" s="2" t="s">
        <v>176</v>
      </c>
      <c r="EG223" s="3">
        <v>4277.8</v>
      </c>
      <c r="EH223" s="2"/>
      <c r="EI223" s="3">
        <f t="shared" si="31"/>
        <v>4265.1000000000004</v>
      </c>
      <c r="EJ223" s="15">
        <f t="shared" ref="EJ223:EJ225" si="36">SUM(EP223,EX223,FB223)</f>
        <v>211.35278430000002</v>
      </c>
      <c r="EK223" s="3">
        <f t="shared" si="32"/>
        <v>81.637</v>
      </c>
      <c r="EL223" s="3">
        <f t="shared" si="33"/>
        <v>305.68978429999999</v>
      </c>
      <c r="EM223" s="2" t="s">
        <v>647</v>
      </c>
      <c r="EN223" s="15">
        <f>DR496</f>
        <v>26.753516999999999</v>
      </c>
      <c r="EO223" s="4">
        <f t="shared" ref="EO223:EO225" si="37">100*(EP223/1000)/EN223</f>
        <v>0.79</v>
      </c>
      <c r="EP223" s="15">
        <f>DT496</f>
        <v>211.35278430000002</v>
      </c>
      <c r="EQ223" s="2">
        <f>COUNT(DT496)</f>
        <v>1</v>
      </c>
      <c r="ER223" s="15">
        <f>DR495</f>
        <v>108.95000000000002</v>
      </c>
      <c r="ES223" s="4">
        <f t="shared" si="34"/>
        <v>7.4930702156952717E-2</v>
      </c>
      <c r="ET223" s="3">
        <f>DT495</f>
        <v>81.637</v>
      </c>
      <c r="EU223" s="2">
        <f>COUNT(DT495)</f>
        <v>1</v>
      </c>
      <c r="EV223" s="2" t="s">
        <v>176</v>
      </c>
      <c r="EW223" s="2" t="s">
        <v>176</v>
      </c>
      <c r="EX223" s="2" t="s">
        <v>176</v>
      </c>
      <c r="EY223" s="2" t="s">
        <v>176</v>
      </c>
      <c r="EZ223" s="2" t="s">
        <v>176</v>
      </c>
      <c r="FA223" s="2" t="s">
        <v>176</v>
      </c>
      <c r="FB223" s="2" t="s">
        <v>176</v>
      </c>
      <c r="FC223" s="2" t="s">
        <v>176</v>
      </c>
      <c r="FD223" s="3">
        <f t="shared" si="35"/>
        <v>292.9897843</v>
      </c>
      <c r="FE223" s="2" t="s">
        <v>176</v>
      </c>
      <c r="FF223" s="2" t="s">
        <v>176</v>
      </c>
      <c r="FG223" s="2" t="s">
        <v>176</v>
      </c>
      <c r="FH223" s="2" t="s">
        <v>176</v>
      </c>
      <c r="FI223" s="2" t="s">
        <v>176</v>
      </c>
      <c r="FJ223" s="2" t="s">
        <v>176</v>
      </c>
      <c r="FK223" s="2" t="s">
        <v>176</v>
      </c>
      <c r="FL223" s="2" t="s">
        <v>176</v>
      </c>
      <c r="FM223" s="2" t="s">
        <v>176</v>
      </c>
      <c r="FN223" s="2" t="s">
        <v>176</v>
      </c>
      <c r="FO223" s="2" t="s">
        <v>176</v>
      </c>
      <c r="FP223" s="2" t="s">
        <v>647</v>
      </c>
      <c r="FQ223" s="2" t="s">
        <v>3</v>
      </c>
      <c r="FR223" s="2" t="s">
        <v>37</v>
      </c>
      <c r="FS223" s="2" t="s">
        <v>383</v>
      </c>
      <c r="FT223" s="2" t="s">
        <v>383</v>
      </c>
      <c r="FU223" s="2"/>
      <c r="FV223" s="2" t="s">
        <v>3</v>
      </c>
    </row>
    <row r="224" spans="1:178" ht="15.75" customHeight="1" x14ac:dyDescent="0.2">
      <c r="A224" s="14" t="s">
        <v>74</v>
      </c>
      <c r="B224" s="2" t="s">
        <v>164</v>
      </c>
      <c r="C224" s="13" t="s">
        <v>648</v>
      </c>
      <c r="D224" s="2" t="s">
        <v>99</v>
      </c>
      <c r="E224" s="2"/>
      <c r="F224" s="2"/>
      <c r="G224" s="2" t="s">
        <v>78</v>
      </c>
      <c r="H224" s="2" t="s">
        <v>497</v>
      </c>
      <c r="I224" s="2"/>
      <c r="J224" s="2" t="s">
        <v>80</v>
      </c>
      <c r="K224" s="2">
        <v>0</v>
      </c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>
        <v>0</v>
      </c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15">
        <v>75</v>
      </c>
      <c r="BB224" s="2"/>
      <c r="BC224" s="2"/>
      <c r="BD224" s="2"/>
      <c r="BE224" s="2"/>
      <c r="BF224" s="2"/>
      <c r="BG224" s="2"/>
      <c r="BH224" s="2"/>
      <c r="BI224" s="2">
        <v>0.73</v>
      </c>
      <c r="BJ224" s="2">
        <v>4.3999999999999997E-2</v>
      </c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>
        <v>0</v>
      </c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>
        <v>0</v>
      </c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14" t="s">
        <v>81</v>
      </c>
      <c r="DM224" s="2" t="s">
        <v>81</v>
      </c>
      <c r="DN224" s="2">
        <f t="shared" si="8"/>
        <v>0.73</v>
      </c>
      <c r="DO224" s="2">
        <f t="shared" si="9"/>
        <v>4.3999999999999997E-2</v>
      </c>
      <c r="DP224" s="2" t="s">
        <v>211</v>
      </c>
      <c r="DQ224" s="2" t="s">
        <v>3</v>
      </c>
      <c r="DR224" s="15">
        <f t="shared" si="10"/>
        <v>75</v>
      </c>
      <c r="DS224" s="2">
        <f t="shared" si="11"/>
        <v>0.73</v>
      </c>
      <c r="DT224" s="15">
        <f t="shared" si="12"/>
        <v>547.5</v>
      </c>
      <c r="DU224" s="2"/>
      <c r="DV224" s="2">
        <f t="shared" si="13"/>
        <v>0</v>
      </c>
      <c r="DW224" s="2"/>
      <c r="DX224" s="2"/>
      <c r="DY224" s="2"/>
      <c r="DZ224" s="2" t="s">
        <v>3</v>
      </c>
      <c r="EA224" s="2" t="s">
        <v>278</v>
      </c>
      <c r="EB224" s="15">
        <v>76.739999999999995</v>
      </c>
      <c r="EC224" s="2" t="s">
        <v>176</v>
      </c>
      <c r="ED224" s="15">
        <v>2.0369999999999999</v>
      </c>
      <c r="EE224" s="2" t="s">
        <v>176</v>
      </c>
      <c r="EF224" s="3">
        <v>60.442599999999992</v>
      </c>
      <c r="EG224" s="2" t="s">
        <v>176</v>
      </c>
      <c r="EH224" s="3">
        <f>EF224-ED224</f>
        <v>58.405599999999993</v>
      </c>
      <c r="EI224" s="2"/>
      <c r="EJ224" s="15">
        <f t="shared" si="36"/>
        <v>1093.7270900749654</v>
      </c>
      <c r="EK224" s="2"/>
      <c r="EL224" s="15">
        <f>EB224+FD224</f>
        <v>1170.4670900749654</v>
      </c>
      <c r="EM224" s="2" t="s">
        <v>278</v>
      </c>
      <c r="EN224" s="15">
        <f>SUM(DR591:DR596)</f>
        <v>405.16766666666666</v>
      </c>
      <c r="EO224" s="4">
        <f t="shared" si="37"/>
        <v>0.2699443168980164</v>
      </c>
      <c r="EP224" s="15">
        <f>SUM(DT591:DT596)</f>
        <v>1093.7270900749654</v>
      </c>
      <c r="EQ224" s="2">
        <f>COUNT(DT591:DT596)</f>
        <v>6</v>
      </c>
      <c r="ER224" s="2" t="s">
        <v>176</v>
      </c>
      <c r="ES224" s="2" t="s">
        <v>176</v>
      </c>
      <c r="ET224" s="2" t="s">
        <v>176</v>
      </c>
      <c r="EU224" s="2" t="s">
        <v>176</v>
      </c>
      <c r="EV224" s="2" t="s">
        <v>176</v>
      </c>
      <c r="EW224" s="2" t="s">
        <v>176</v>
      </c>
      <c r="EX224" s="2" t="s">
        <v>176</v>
      </c>
      <c r="EY224" s="2" t="s">
        <v>176</v>
      </c>
      <c r="EZ224" s="2" t="s">
        <v>176</v>
      </c>
      <c r="FA224" s="2" t="s">
        <v>176</v>
      </c>
      <c r="FB224" s="2" t="s">
        <v>176</v>
      </c>
      <c r="FC224" s="2" t="s">
        <v>176</v>
      </c>
      <c r="FD224" s="3">
        <f t="shared" si="35"/>
        <v>1093.7270900749654</v>
      </c>
      <c r="FE224" s="2" t="s">
        <v>176</v>
      </c>
      <c r="FF224" s="2" t="s">
        <v>176</v>
      </c>
      <c r="FG224" s="2" t="s">
        <v>176</v>
      </c>
      <c r="FH224" s="2" t="s">
        <v>176</v>
      </c>
      <c r="FI224" s="2" t="s">
        <v>176</v>
      </c>
      <c r="FJ224" s="2" t="s">
        <v>176</v>
      </c>
      <c r="FK224" s="2" t="s">
        <v>176</v>
      </c>
      <c r="FL224" s="2" t="s">
        <v>176</v>
      </c>
      <c r="FM224" s="2" t="s">
        <v>176</v>
      </c>
      <c r="FN224" s="2" t="s">
        <v>176</v>
      </c>
      <c r="FO224" s="2" t="s">
        <v>176</v>
      </c>
      <c r="FP224" s="2" t="s">
        <v>278</v>
      </c>
      <c r="FQ224" s="2" t="s">
        <v>3</v>
      </c>
      <c r="FR224" s="2" t="s">
        <v>37</v>
      </c>
      <c r="FS224" s="2" t="s">
        <v>244</v>
      </c>
      <c r="FT224" s="2" t="s">
        <v>208</v>
      </c>
      <c r="FU224" s="2"/>
      <c r="FV224" s="2" t="s">
        <v>3</v>
      </c>
    </row>
    <row r="225" spans="1:178" ht="15.75" customHeight="1" x14ac:dyDescent="0.2">
      <c r="A225" s="14" t="s">
        <v>74</v>
      </c>
      <c r="B225" s="2" t="s">
        <v>164</v>
      </c>
      <c r="C225" s="13" t="s">
        <v>649</v>
      </c>
      <c r="D225" s="2" t="s">
        <v>99</v>
      </c>
      <c r="E225" s="2"/>
      <c r="F225" s="2"/>
      <c r="G225" s="2" t="s">
        <v>78</v>
      </c>
      <c r="H225" s="2" t="s">
        <v>497</v>
      </c>
      <c r="I225" s="2"/>
      <c r="J225" s="2" t="s">
        <v>80</v>
      </c>
      <c r="K225" s="2">
        <v>0</v>
      </c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>
        <v>34.200000000000003</v>
      </c>
      <c r="AG225" s="2"/>
      <c r="AH225" s="2"/>
      <c r="AI225" s="2"/>
      <c r="AJ225" s="2"/>
      <c r="AK225" s="2"/>
      <c r="AL225" s="2"/>
      <c r="AM225" s="2"/>
      <c r="AN225" s="2">
        <v>0.71</v>
      </c>
      <c r="AO225" s="2">
        <v>0.08</v>
      </c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>
        <v>7.6</v>
      </c>
      <c r="BB225" s="2"/>
      <c r="BC225" s="2"/>
      <c r="BD225" s="2"/>
      <c r="BE225" s="2"/>
      <c r="BF225" s="2"/>
      <c r="BG225" s="2"/>
      <c r="BH225" s="2"/>
      <c r="BI225" s="2">
        <v>0.61</v>
      </c>
      <c r="BJ225" s="2">
        <v>0.09</v>
      </c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>
        <v>0</v>
      </c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>
        <v>0</v>
      </c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14" t="s">
        <v>81</v>
      </c>
      <c r="DM225" s="2" t="s">
        <v>81</v>
      </c>
      <c r="DN225" s="2">
        <f t="shared" si="8"/>
        <v>0.69181818181818178</v>
      </c>
      <c r="DO225" s="2">
        <f t="shared" si="9"/>
        <v>8.1818181818181804E-2</v>
      </c>
      <c r="DP225" s="2" t="s">
        <v>211</v>
      </c>
      <c r="DQ225" s="2" t="s">
        <v>3</v>
      </c>
      <c r="DR225" s="2">
        <f t="shared" si="10"/>
        <v>41.800000000000004</v>
      </c>
      <c r="DS225" s="4">
        <f t="shared" si="11"/>
        <v>0.69181818181818178</v>
      </c>
      <c r="DT225" s="15">
        <f t="shared" si="12"/>
        <v>289.18000000000006</v>
      </c>
      <c r="DU225" s="2"/>
      <c r="DV225" s="2">
        <f t="shared" si="13"/>
        <v>0</v>
      </c>
      <c r="DW225" s="2"/>
      <c r="DX225" s="2"/>
      <c r="DY225" s="2"/>
      <c r="DZ225" s="2" t="s">
        <v>3</v>
      </c>
      <c r="EA225" s="2" t="s">
        <v>433</v>
      </c>
      <c r="EB225" s="2" t="s">
        <v>176</v>
      </c>
      <c r="EC225" s="2" t="s">
        <v>176</v>
      </c>
      <c r="ED225" s="2" t="s">
        <v>176</v>
      </c>
      <c r="EE225" s="2" t="s">
        <v>176</v>
      </c>
      <c r="EF225" s="3">
        <v>1723.4564000000005</v>
      </c>
      <c r="EG225" s="3">
        <v>1911.3970000000002</v>
      </c>
      <c r="EH225" s="3">
        <v>1723.4564000000005</v>
      </c>
      <c r="EI225" s="3">
        <v>1911.3970000000002</v>
      </c>
      <c r="EJ225" s="3">
        <f t="shared" si="36"/>
        <v>0</v>
      </c>
      <c r="EK225" s="3">
        <f>ET225</f>
        <v>0</v>
      </c>
      <c r="EL225" s="3">
        <f>FD225</f>
        <v>0</v>
      </c>
      <c r="EM225" s="2" t="s">
        <v>433</v>
      </c>
      <c r="EN225" s="15">
        <f>SUM(DR769:DR770)</f>
        <v>0</v>
      </c>
      <c r="EO225" s="4" t="e">
        <f t="shared" si="37"/>
        <v>#DIV/0!</v>
      </c>
      <c r="EP225" s="3">
        <f>SUM(DT769:DT770)</f>
        <v>0</v>
      </c>
      <c r="EQ225" s="2">
        <f>COUNT(DT769:DT770)</f>
        <v>0</v>
      </c>
      <c r="ER225" s="15">
        <f>SUM(DR767:DR768)</f>
        <v>0</v>
      </c>
      <c r="ES225" s="4" t="e">
        <f>100*(ET225/1000)/ER225</f>
        <v>#DIV/0!</v>
      </c>
      <c r="ET225" s="3">
        <f>SUM(DT767:DT768)</f>
        <v>0</v>
      </c>
      <c r="EU225" s="2">
        <f>COUNT(DT767:DT768)</f>
        <v>0</v>
      </c>
      <c r="EV225" s="2" t="s">
        <v>176</v>
      </c>
      <c r="EW225" s="2" t="s">
        <v>176</v>
      </c>
      <c r="EX225" s="2" t="s">
        <v>176</v>
      </c>
      <c r="EY225" s="2" t="s">
        <v>176</v>
      </c>
      <c r="EZ225" s="2" t="s">
        <v>176</v>
      </c>
      <c r="FA225" s="2" t="s">
        <v>176</v>
      </c>
      <c r="FB225" s="2" t="s">
        <v>176</v>
      </c>
      <c r="FC225" s="2" t="s">
        <v>176</v>
      </c>
      <c r="FD225" s="3">
        <f t="shared" si="35"/>
        <v>0</v>
      </c>
      <c r="FE225" s="2" t="s">
        <v>176</v>
      </c>
      <c r="FF225" s="2" t="s">
        <v>176</v>
      </c>
      <c r="FG225" s="2" t="s">
        <v>176</v>
      </c>
      <c r="FH225" s="2" t="s">
        <v>176</v>
      </c>
      <c r="FI225" s="2" t="s">
        <v>176</v>
      </c>
      <c r="FJ225" s="2" t="s">
        <v>176</v>
      </c>
      <c r="FK225" s="2" t="s">
        <v>176</v>
      </c>
      <c r="FL225" s="2" t="s">
        <v>176</v>
      </c>
      <c r="FM225" s="2" t="s">
        <v>176</v>
      </c>
      <c r="FN225" s="2" t="s">
        <v>176</v>
      </c>
      <c r="FO225" s="2" t="s">
        <v>176</v>
      </c>
      <c r="FP225" s="2" t="s">
        <v>433</v>
      </c>
      <c r="FQ225" s="2" t="s">
        <v>3</v>
      </c>
      <c r="FR225" s="2" t="s">
        <v>37</v>
      </c>
      <c r="FS225" s="2" t="s">
        <v>114</v>
      </c>
      <c r="FT225" s="2" t="s">
        <v>114</v>
      </c>
      <c r="FU225" s="2"/>
      <c r="FV225" s="2" t="s">
        <v>3</v>
      </c>
    </row>
    <row r="226" spans="1:178" ht="15.75" customHeight="1" x14ac:dyDescent="0.2">
      <c r="A226" s="14" t="s">
        <v>74</v>
      </c>
      <c r="B226" s="2" t="s">
        <v>164</v>
      </c>
      <c r="C226" s="13" t="s">
        <v>650</v>
      </c>
      <c r="D226" s="2" t="s">
        <v>99</v>
      </c>
      <c r="E226" s="2"/>
      <c r="F226" s="2"/>
      <c r="G226" s="2" t="s">
        <v>78</v>
      </c>
      <c r="H226" s="2" t="s">
        <v>497</v>
      </c>
      <c r="I226" s="2"/>
      <c r="J226" s="2" t="s">
        <v>80</v>
      </c>
      <c r="K226" s="2">
        <v>0</v>
      </c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>
        <v>0</v>
      </c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>
        <v>47.3</v>
      </c>
      <c r="BB226" s="2"/>
      <c r="BC226" s="2"/>
      <c r="BD226" s="2"/>
      <c r="BE226" s="2"/>
      <c r="BF226" s="2"/>
      <c r="BG226" s="2"/>
      <c r="BH226" s="2"/>
      <c r="BI226" s="2">
        <v>0.66</v>
      </c>
      <c r="BJ226" s="2">
        <v>0.04</v>
      </c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>
        <v>0</v>
      </c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>
        <v>0</v>
      </c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14" t="s">
        <v>81</v>
      </c>
      <c r="DM226" s="2" t="s">
        <v>81</v>
      </c>
      <c r="DN226" s="2">
        <f t="shared" si="8"/>
        <v>0.66</v>
      </c>
      <c r="DO226" s="2">
        <f t="shared" si="9"/>
        <v>0.04</v>
      </c>
      <c r="DP226" s="2" t="s">
        <v>211</v>
      </c>
      <c r="DQ226" s="2" t="s">
        <v>3</v>
      </c>
      <c r="DR226" s="2">
        <f t="shared" si="10"/>
        <v>47.3</v>
      </c>
      <c r="DS226" s="2">
        <f t="shared" si="11"/>
        <v>0.66</v>
      </c>
      <c r="DT226" s="15">
        <f t="shared" si="12"/>
        <v>312.18</v>
      </c>
      <c r="DU226" s="2"/>
      <c r="DV226" s="2">
        <f t="shared" si="13"/>
        <v>0</v>
      </c>
      <c r="DW226" s="2"/>
      <c r="DX226" s="2"/>
      <c r="DY226" s="2"/>
      <c r="DZ226" s="2" t="s">
        <v>3</v>
      </c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 t="s">
        <v>3</v>
      </c>
      <c r="FR226" s="2" t="s">
        <v>37</v>
      </c>
      <c r="FS226" s="2" t="s">
        <v>83</v>
      </c>
      <c r="FT226" s="2" t="s">
        <v>235</v>
      </c>
      <c r="FU226" s="2"/>
      <c r="FV226" s="2" t="s">
        <v>3</v>
      </c>
    </row>
    <row r="227" spans="1:178" ht="15.75" customHeight="1" x14ac:dyDescent="0.2">
      <c r="A227" s="14" t="s">
        <v>74</v>
      </c>
      <c r="B227" s="2" t="s">
        <v>164</v>
      </c>
      <c r="C227" s="13" t="s">
        <v>651</v>
      </c>
      <c r="D227" s="2" t="s">
        <v>99</v>
      </c>
      <c r="E227" s="2"/>
      <c r="F227" s="2"/>
      <c r="G227" s="2" t="s">
        <v>78</v>
      </c>
      <c r="H227" s="2" t="s">
        <v>497</v>
      </c>
      <c r="I227" s="2"/>
      <c r="J227" s="2" t="s">
        <v>80</v>
      </c>
      <c r="K227" s="2">
        <v>0</v>
      </c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>
        <v>0</v>
      </c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>
        <v>53.6</v>
      </c>
      <c r="BB227" s="2"/>
      <c r="BC227" s="2"/>
      <c r="BD227" s="2"/>
      <c r="BE227" s="2"/>
      <c r="BF227" s="2"/>
      <c r="BG227" s="2"/>
      <c r="BH227" s="2"/>
      <c r="BI227" s="4">
        <v>0.6</v>
      </c>
      <c r="BJ227" s="2">
        <v>0.04</v>
      </c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>
        <v>0</v>
      </c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>
        <v>0</v>
      </c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14" t="s">
        <v>81</v>
      </c>
      <c r="DM227" s="2" t="s">
        <v>81</v>
      </c>
      <c r="DN227" s="2">
        <f t="shared" si="8"/>
        <v>0.59999999999999987</v>
      </c>
      <c r="DO227" s="2">
        <f t="shared" si="9"/>
        <v>0.04</v>
      </c>
      <c r="DP227" s="2" t="s">
        <v>211</v>
      </c>
      <c r="DQ227" s="2" t="s">
        <v>3</v>
      </c>
      <c r="DR227" s="2">
        <f t="shared" si="10"/>
        <v>53.6</v>
      </c>
      <c r="DS227" s="2">
        <f t="shared" si="11"/>
        <v>0.59999999999999987</v>
      </c>
      <c r="DT227" s="15">
        <f t="shared" si="12"/>
        <v>321.59999999999991</v>
      </c>
      <c r="DU227" s="2"/>
      <c r="DV227" s="2">
        <f t="shared" si="13"/>
        <v>0</v>
      </c>
      <c r="DW227" s="2"/>
      <c r="DX227" s="2"/>
      <c r="DY227" s="2"/>
      <c r="DZ227" s="2" t="s">
        <v>3</v>
      </c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 t="s">
        <v>3</v>
      </c>
      <c r="FR227" s="2" t="s">
        <v>37</v>
      </c>
      <c r="FS227" s="2" t="s">
        <v>83</v>
      </c>
      <c r="FT227" s="2" t="s">
        <v>235</v>
      </c>
      <c r="FU227" s="2"/>
      <c r="FV227" s="2" t="s">
        <v>3</v>
      </c>
    </row>
    <row r="228" spans="1:178" ht="15.75" customHeight="1" x14ac:dyDescent="0.2">
      <c r="A228" s="14" t="s">
        <v>74</v>
      </c>
      <c r="B228" s="2" t="s">
        <v>164</v>
      </c>
      <c r="C228" s="13" t="s">
        <v>652</v>
      </c>
      <c r="D228" s="2" t="s">
        <v>99</v>
      </c>
      <c r="E228" s="2"/>
      <c r="F228" s="2"/>
      <c r="G228" s="2" t="s">
        <v>78</v>
      </c>
      <c r="H228" s="2" t="s">
        <v>497</v>
      </c>
      <c r="I228" s="2"/>
      <c r="J228" s="2" t="s">
        <v>80</v>
      </c>
      <c r="K228" s="2">
        <v>5.8</v>
      </c>
      <c r="L228" s="2"/>
      <c r="M228" s="2"/>
      <c r="N228" s="2"/>
      <c r="O228" s="2"/>
      <c r="P228" s="2"/>
      <c r="Q228" s="2"/>
      <c r="R228" s="2"/>
      <c r="S228" s="2">
        <v>1.08</v>
      </c>
      <c r="T228" s="2">
        <v>0.14000000000000001</v>
      </c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>
        <v>51.4</v>
      </c>
      <c r="AG228" s="2"/>
      <c r="AH228" s="2"/>
      <c r="AI228" s="2"/>
      <c r="AJ228" s="2"/>
      <c r="AK228" s="2"/>
      <c r="AL228" s="2"/>
      <c r="AM228" s="2"/>
      <c r="AN228" s="2">
        <v>0.78</v>
      </c>
      <c r="AO228" s="2">
        <v>0.08</v>
      </c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>
        <v>25.8</v>
      </c>
      <c r="BB228" s="2"/>
      <c r="BC228" s="2"/>
      <c r="BD228" s="2"/>
      <c r="BE228" s="2"/>
      <c r="BF228" s="2"/>
      <c r="BG228" s="2"/>
      <c r="BH228" s="2"/>
      <c r="BI228" s="2">
        <v>0.63</v>
      </c>
      <c r="BJ228" s="2">
        <v>7.0000000000000007E-2</v>
      </c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>
        <v>0</v>
      </c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>
        <v>0</v>
      </c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14" t="s">
        <v>81</v>
      </c>
      <c r="DM228" s="2" t="s">
        <v>81</v>
      </c>
      <c r="DN228" s="2">
        <f t="shared" si="8"/>
        <v>0.75433734939759034</v>
      </c>
      <c r="DO228" s="2">
        <f t="shared" si="9"/>
        <v>8.1084337349397601E-2</v>
      </c>
      <c r="DP228" s="2" t="s">
        <v>211</v>
      </c>
      <c r="DQ228" s="2" t="s">
        <v>3</v>
      </c>
      <c r="DR228" s="2">
        <f t="shared" si="10"/>
        <v>83</v>
      </c>
      <c r="DS228" s="4">
        <f t="shared" si="11"/>
        <v>0.75433734939759034</v>
      </c>
      <c r="DT228" s="15">
        <f t="shared" si="12"/>
        <v>626.1</v>
      </c>
      <c r="DU228" s="2"/>
      <c r="DV228" s="2">
        <f t="shared" si="13"/>
        <v>0</v>
      </c>
      <c r="DW228" s="2"/>
      <c r="DX228" s="2"/>
      <c r="DY228" s="2"/>
      <c r="DZ228" s="2" t="s">
        <v>3</v>
      </c>
      <c r="EA228" s="2" t="s">
        <v>653</v>
      </c>
      <c r="EB228" s="2" t="s">
        <v>176</v>
      </c>
      <c r="EC228" s="2" t="s">
        <v>176</v>
      </c>
      <c r="ED228" s="2" t="s">
        <v>176</v>
      </c>
      <c r="EE228" s="2" t="s">
        <v>176</v>
      </c>
      <c r="EF228" s="2" t="s">
        <v>176</v>
      </c>
      <c r="EG228" s="3">
        <v>101.675</v>
      </c>
      <c r="EH228" s="2"/>
      <c r="EI228" s="3">
        <v>101.675</v>
      </c>
      <c r="EJ228" s="2"/>
      <c r="EK228" s="15">
        <f t="shared" ref="EK228:EK230" si="38">ET228</f>
        <v>0</v>
      </c>
      <c r="EL228" s="15">
        <f>FD228</f>
        <v>0</v>
      </c>
      <c r="EM228" s="2" t="s">
        <v>653</v>
      </c>
      <c r="EN228" s="2" t="s">
        <v>176</v>
      </c>
      <c r="EO228" s="2" t="s">
        <v>176</v>
      </c>
      <c r="EP228" s="2" t="s">
        <v>176</v>
      </c>
      <c r="EQ228" s="2" t="s">
        <v>176</v>
      </c>
      <c r="ER228" s="15">
        <f>DR773</f>
        <v>0</v>
      </c>
      <c r="ES228" s="4" t="e">
        <f t="shared" ref="ES228:ES230" si="39">100*(ET228/1000)/ER228</f>
        <v>#DIV/0!</v>
      </c>
      <c r="ET228" s="15">
        <f>DT773</f>
        <v>0</v>
      </c>
      <c r="EU228" s="2">
        <f>COUNT(DT773)</f>
        <v>0</v>
      </c>
      <c r="EV228" s="2" t="s">
        <v>176</v>
      </c>
      <c r="EW228" s="2" t="s">
        <v>176</v>
      </c>
      <c r="EX228" s="2" t="s">
        <v>176</v>
      </c>
      <c r="EY228" s="2" t="s">
        <v>176</v>
      </c>
      <c r="EZ228" s="2" t="s">
        <v>176</v>
      </c>
      <c r="FA228" s="2" t="s">
        <v>176</v>
      </c>
      <c r="FB228" s="2" t="s">
        <v>176</v>
      </c>
      <c r="FC228" s="2" t="s">
        <v>176</v>
      </c>
      <c r="FD228" s="3">
        <f t="shared" ref="FD228:FD230" si="40">SUM(EP228,ET228,EX228,FB228)</f>
        <v>0</v>
      </c>
      <c r="FE228" s="2" t="s">
        <v>176</v>
      </c>
      <c r="FF228" s="2" t="s">
        <v>176</v>
      </c>
      <c r="FG228" s="2" t="s">
        <v>176</v>
      </c>
      <c r="FH228" s="2" t="s">
        <v>176</v>
      </c>
      <c r="FI228" s="2" t="s">
        <v>176</v>
      </c>
      <c r="FJ228" s="2" t="s">
        <v>176</v>
      </c>
      <c r="FK228" s="2" t="s">
        <v>176</v>
      </c>
      <c r="FL228" s="2" t="s">
        <v>176</v>
      </c>
      <c r="FM228" s="2" t="s">
        <v>176</v>
      </c>
      <c r="FN228" s="2" t="s">
        <v>176</v>
      </c>
      <c r="FO228" s="2" t="s">
        <v>176</v>
      </c>
      <c r="FP228" s="2" t="s">
        <v>653</v>
      </c>
      <c r="FQ228" s="2" t="s">
        <v>3</v>
      </c>
      <c r="FR228" s="2" t="s">
        <v>37</v>
      </c>
      <c r="FS228" s="2" t="s">
        <v>114</v>
      </c>
      <c r="FT228" s="2" t="s">
        <v>114</v>
      </c>
      <c r="FU228" s="2"/>
      <c r="FV228" s="2" t="s">
        <v>3</v>
      </c>
    </row>
    <row r="229" spans="1:178" ht="15.75" customHeight="1" x14ac:dyDescent="0.2">
      <c r="A229" s="14" t="s">
        <v>74</v>
      </c>
      <c r="B229" s="2" t="s">
        <v>164</v>
      </c>
      <c r="C229" s="13" t="s">
        <v>654</v>
      </c>
      <c r="D229" s="2" t="s">
        <v>99</v>
      </c>
      <c r="E229" s="2"/>
      <c r="F229" s="2"/>
      <c r="G229" s="2" t="s">
        <v>78</v>
      </c>
      <c r="H229" s="2" t="s">
        <v>497</v>
      </c>
      <c r="I229" s="2"/>
      <c r="J229" s="2" t="s">
        <v>80</v>
      </c>
      <c r="K229" s="2">
        <v>0</v>
      </c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>
        <v>52.9</v>
      </c>
      <c r="AG229" s="2"/>
      <c r="AH229" s="2"/>
      <c r="AI229" s="2"/>
      <c r="AJ229" s="2"/>
      <c r="AK229" s="2"/>
      <c r="AL229" s="2"/>
      <c r="AM229" s="2"/>
      <c r="AN229" s="2">
        <v>0.66</v>
      </c>
      <c r="AO229" s="2">
        <v>0.04</v>
      </c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>
        <v>34.1</v>
      </c>
      <c r="BB229" s="2"/>
      <c r="BC229" s="2"/>
      <c r="BD229" s="2"/>
      <c r="BE229" s="2"/>
      <c r="BF229" s="2"/>
      <c r="BG229" s="2"/>
      <c r="BH229" s="2"/>
      <c r="BI229" s="2">
        <v>0.64</v>
      </c>
      <c r="BJ229" s="2">
        <v>0.04</v>
      </c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>
        <v>0</v>
      </c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>
        <v>0</v>
      </c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14" t="s">
        <v>81</v>
      </c>
      <c r="DM229" s="2" t="s">
        <v>81</v>
      </c>
      <c r="DN229" s="2">
        <f t="shared" si="8"/>
        <v>0.65216091954022992</v>
      </c>
      <c r="DO229" s="2">
        <f t="shared" si="9"/>
        <v>4.0000000000000008E-2</v>
      </c>
      <c r="DP229" s="2" t="s">
        <v>211</v>
      </c>
      <c r="DQ229" s="2" t="s">
        <v>3</v>
      </c>
      <c r="DR229" s="2">
        <f t="shared" si="10"/>
        <v>87</v>
      </c>
      <c r="DS229" s="4">
        <f t="shared" si="11"/>
        <v>0.65216091954022992</v>
      </c>
      <c r="DT229" s="15">
        <f t="shared" si="12"/>
        <v>567.38</v>
      </c>
      <c r="DU229" s="2"/>
      <c r="DV229" s="2">
        <f t="shared" si="13"/>
        <v>0</v>
      </c>
      <c r="DW229" s="2"/>
      <c r="DX229" s="2"/>
      <c r="DY229" s="2"/>
      <c r="DZ229" s="2" t="s">
        <v>3</v>
      </c>
      <c r="EA229" s="2" t="s">
        <v>655</v>
      </c>
      <c r="EB229" s="2" t="s">
        <v>176</v>
      </c>
      <c r="EC229" s="15">
        <v>64.683999999999997</v>
      </c>
      <c r="ED229" s="2" t="s">
        <v>176</v>
      </c>
      <c r="EE229" s="15">
        <v>54.218000000000004</v>
      </c>
      <c r="EF229" s="2" t="s">
        <v>176</v>
      </c>
      <c r="EG229" s="3">
        <v>1075.1600000000001</v>
      </c>
      <c r="EH229" s="2"/>
      <c r="EI229" s="3">
        <f>EG229-EE229</f>
        <v>1020.9420000000001</v>
      </c>
      <c r="EJ229" s="2"/>
      <c r="EK229" s="3">
        <f t="shared" si="38"/>
        <v>0</v>
      </c>
      <c r="EL229" s="3">
        <f>EC229+FD229</f>
        <v>64.683999999999997</v>
      </c>
      <c r="EM229" s="2" t="s">
        <v>655</v>
      </c>
      <c r="EN229" s="2" t="s">
        <v>176</v>
      </c>
      <c r="EO229" s="2" t="s">
        <v>176</v>
      </c>
      <c r="EP229" s="2" t="s">
        <v>176</v>
      </c>
      <c r="EQ229" s="2" t="s">
        <v>176</v>
      </c>
      <c r="ER229" s="15">
        <f>SUM(DR774:DR775)</f>
        <v>0</v>
      </c>
      <c r="ES229" s="4" t="e">
        <f t="shared" si="39"/>
        <v>#DIV/0!</v>
      </c>
      <c r="ET229" s="3">
        <f>SUM(DT774:DT775)</f>
        <v>0</v>
      </c>
      <c r="EU229" s="2">
        <f>COUNT(DT774:DT775)</f>
        <v>0</v>
      </c>
      <c r="EV229" s="2" t="s">
        <v>176</v>
      </c>
      <c r="EW229" s="2" t="s">
        <v>176</v>
      </c>
      <c r="EX229" s="2" t="s">
        <v>176</v>
      </c>
      <c r="EY229" s="2" t="s">
        <v>176</v>
      </c>
      <c r="EZ229" s="2" t="s">
        <v>176</v>
      </c>
      <c r="FA229" s="2" t="s">
        <v>176</v>
      </c>
      <c r="FB229" s="2" t="s">
        <v>176</v>
      </c>
      <c r="FC229" s="2" t="s">
        <v>176</v>
      </c>
      <c r="FD229" s="3">
        <f t="shared" si="40"/>
        <v>0</v>
      </c>
      <c r="FE229" s="2" t="s">
        <v>176</v>
      </c>
      <c r="FF229" s="2" t="s">
        <v>176</v>
      </c>
      <c r="FG229" s="2" t="s">
        <v>176</v>
      </c>
      <c r="FH229" s="2" t="s">
        <v>176</v>
      </c>
      <c r="FI229" s="2" t="s">
        <v>176</v>
      </c>
      <c r="FJ229" s="2" t="s">
        <v>176</v>
      </c>
      <c r="FK229" s="2" t="s">
        <v>176</v>
      </c>
      <c r="FL229" s="2" t="s">
        <v>176</v>
      </c>
      <c r="FM229" s="2" t="s">
        <v>176</v>
      </c>
      <c r="FN229" s="2" t="s">
        <v>176</v>
      </c>
      <c r="FO229" s="2" t="s">
        <v>176</v>
      </c>
      <c r="FP229" s="2" t="s">
        <v>655</v>
      </c>
      <c r="FQ229" s="2" t="s">
        <v>3</v>
      </c>
      <c r="FR229" s="2" t="s">
        <v>37</v>
      </c>
      <c r="FS229" s="2" t="s">
        <v>114</v>
      </c>
      <c r="FT229" s="2" t="s">
        <v>114</v>
      </c>
      <c r="FU229" s="2"/>
      <c r="FV229" s="2" t="s">
        <v>3</v>
      </c>
    </row>
    <row r="230" spans="1:178" ht="15.75" customHeight="1" x14ac:dyDescent="0.2">
      <c r="A230" s="14" t="s">
        <v>74</v>
      </c>
      <c r="B230" s="2" t="s">
        <v>164</v>
      </c>
      <c r="C230" s="13" t="s">
        <v>656</v>
      </c>
      <c r="D230" s="2" t="s">
        <v>99</v>
      </c>
      <c r="E230" s="2"/>
      <c r="F230" s="2"/>
      <c r="G230" s="2" t="s">
        <v>78</v>
      </c>
      <c r="H230" s="2" t="s">
        <v>497</v>
      </c>
      <c r="I230" s="2"/>
      <c r="J230" s="2" t="s">
        <v>80</v>
      </c>
      <c r="K230" s="2">
        <v>0</v>
      </c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>
        <v>0</v>
      </c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>
        <v>11.2</v>
      </c>
      <c r="BB230" s="2"/>
      <c r="BC230" s="2"/>
      <c r="BD230" s="2"/>
      <c r="BE230" s="2"/>
      <c r="BF230" s="2"/>
      <c r="BG230" s="2"/>
      <c r="BH230" s="2"/>
      <c r="BI230" s="2">
        <v>0.77</v>
      </c>
      <c r="BJ230" s="2">
        <v>0.08</v>
      </c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>
        <v>0</v>
      </c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>
        <v>0</v>
      </c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14" t="s">
        <v>81</v>
      </c>
      <c r="DM230" s="2" t="s">
        <v>81</v>
      </c>
      <c r="DN230" s="2">
        <f t="shared" si="8"/>
        <v>0.76999999999999991</v>
      </c>
      <c r="DO230" s="2">
        <f t="shared" si="9"/>
        <v>0.08</v>
      </c>
      <c r="DP230" s="2" t="s">
        <v>211</v>
      </c>
      <c r="DQ230" s="2" t="s">
        <v>3</v>
      </c>
      <c r="DR230" s="2">
        <f t="shared" si="10"/>
        <v>11.2</v>
      </c>
      <c r="DS230" s="2">
        <f t="shared" si="11"/>
        <v>0.76999999999999991</v>
      </c>
      <c r="DT230" s="15">
        <f t="shared" si="12"/>
        <v>86.239999999999981</v>
      </c>
      <c r="DU230" s="2"/>
      <c r="DV230" s="2">
        <f t="shared" si="13"/>
        <v>0</v>
      </c>
      <c r="DW230" s="2"/>
      <c r="DX230" s="2"/>
      <c r="DY230" s="2"/>
      <c r="DZ230" s="2" t="s">
        <v>3</v>
      </c>
      <c r="EA230" s="2" t="s">
        <v>189</v>
      </c>
      <c r="EB230" s="15">
        <f>97.134+44.661</f>
        <v>141.79500000000002</v>
      </c>
      <c r="EC230" s="15">
        <v>342.7054</v>
      </c>
      <c r="ED230" s="15">
        <v>95.113</v>
      </c>
      <c r="EE230" s="2" t="s">
        <v>176</v>
      </c>
      <c r="EF230" s="3">
        <v>5072.2719553715806</v>
      </c>
      <c r="EG230" s="3">
        <v>424.66032000000007</v>
      </c>
      <c r="EH230" s="3">
        <f>EF230-ED230</f>
        <v>4977.1589553715803</v>
      </c>
      <c r="EI230" s="3">
        <v>424.66032000000007</v>
      </c>
      <c r="EJ230" s="3">
        <f>SUM(EP230,EX230,FB230)</f>
        <v>0</v>
      </c>
      <c r="EK230" s="15">
        <f t="shared" si="38"/>
        <v>0</v>
      </c>
      <c r="EL230" s="3">
        <f>EB230+EC230+FD230</f>
        <v>484.50040000000001</v>
      </c>
      <c r="EM230" s="2" t="s">
        <v>189</v>
      </c>
      <c r="EN230" s="3">
        <f>SUM(DR781:DR803)</f>
        <v>0</v>
      </c>
      <c r="EO230" s="4" t="e">
        <f>100*(EP230/1000)/EN230</f>
        <v>#DIV/0!</v>
      </c>
      <c r="EP230" s="3">
        <f>SUM(DT781:DT803)</f>
        <v>0</v>
      </c>
      <c r="EQ230" s="2">
        <f>COUNT(DT781:DT803)</f>
        <v>0</v>
      </c>
      <c r="ER230" s="15">
        <f>SUM(DR778:DR780)</f>
        <v>0</v>
      </c>
      <c r="ES230" s="4" t="e">
        <f t="shared" si="39"/>
        <v>#DIV/0!</v>
      </c>
      <c r="ET230" s="15">
        <f>SUM(DT778:DT780)</f>
        <v>0</v>
      </c>
      <c r="EU230" s="2">
        <f>COUNT(DT778:DT780)</f>
        <v>0</v>
      </c>
      <c r="EV230" s="15">
        <f>SUM(DR776:DR777)</f>
        <v>0</v>
      </c>
      <c r="EW230" s="4" t="e">
        <f>100*(EX230/1000)/EV230</f>
        <v>#DIV/0!</v>
      </c>
      <c r="EX230" s="15">
        <f>SUM(DT776:DT777)</f>
        <v>0</v>
      </c>
      <c r="EY230" s="2">
        <f>COUNT(DT776:DT777)</f>
        <v>0</v>
      </c>
      <c r="EZ230" s="2" t="s">
        <v>176</v>
      </c>
      <c r="FA230" s="2" t="s">
        <v>176</v>
      </c>
      <c r="FB230" s="2" t="s">
        <v>176</v>
      </c>
      <c r="FC230" s="2" t="s">
        <v>176</v>
      </c>
      <c r="FD230" s="3">
        <f t="shared" si="40"/>
        <v>0</v>
      </c>
      <c r="FE230" s="15">
        <f>SUM(DV781:DV803)</f>
        <v>0</v>
      </c>
      <c r="FF230" s="4" t="e">
        <f>100*(FG230/1000)/FE230</f>
        <v>#DIV/0!</v>
      </c>
      <c r="FG230" s="3">
        <f>SUM(DX781:DX803)</f>
        <v>0</v>
      </c>
      <c r="FH230" s="2">
        <f>COUNT(DX781:DX803)</f>
        <v>0</v>
      </c>
      <c r="FI230" s="2" t="s">
        <v>176</v>
      </c>
      <c r="FJ230" s="2" t="s">
        <v>176</v>
      </c>
      <c r="FK230" s="2" t="s">
        <v>176</v>
      </c>
      <c r="FL230" s="2" t="s">
        <v>176</v>
      </c>
      <c r="FM230" s="2" t="s">
        <v>176</v>
      </c>
      <c r="FN230" s="2" t="s">
        <v>176</v>
      </c>
      <c r="FO230" s="15">
        <f>SUM(FG230,FK230,FM230,FN230)</f>
        <v>0</v>
      </c>
      <c r="FP230" s="2" t="s">
        <v>189</v>
      </c>
      <c r="FQ230" s="2" t="s">
        <v>3</v>
      </c>
      <c r="FR230" s="2" t="s">
        <v>37</v>
      </c>
      <c r="FS230" s="2" t="s">
        <v>114</v>
      </c>
      <c r="FT230" s="2" t="s">
        <v>114</v>
      </c>
      <c r="FU230" s="2"/>
      <c r="FV230" s="2" t="s">
        <v>3</v>
      </c>
    </row>
    <row r="231" spans="1:178" ht="15.75" customHeight="1" x14ac:dyDescent="0.2">
      <c r="A231" s="14" t="s">
        <v>74</v>
      </c>
      <c r="B231" s="2" t="s">
        <v>164</v>
      </c>
      <c r="C231" s="13" t="s">
        <v>657</v>
      </c>
      <c r="D231" s="2" t="s">
        <v>99</v>
      </c>
      <c r="E231" s="2"/>
      <c r="F231" s="2"/>
      <c r="G231" s="2" t="s">
        <v>78</v>
      </c>
      <c r="H231" s="2" t="s">
        <v>497</v>
      </c>
      <c r="I231" s="2"/>
      <c r="J231" s="2" t="s">
        <v>80</v>
      </c>
      <c r="K231" s="2">
        <v>0</v>
      </c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>
        <v>0</v>
      </c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>
        <v>20.100000000000001</v>
      </c>
      <c r="BB231" s="2"/>
      <c r="BC231" s="2"/>
      <c r="BD231" s="2"/>
      <c r="BE231" s="2"/>
      <c r="BF231" s="2"/>
      <c r="BG231" s="2"/>
      <c r="BH231" s="2"/>
      <c r="BI231" s="2">
        <v>0.75</v>
      </c>
      <c r="BJ231" s="4">
        <v>0.10299999999999999</v>
      </c>
      <c r="BK231" s="2">
        <v>0.09</v>
      </c>
      <c r="BL231" s="2">
        <v>0.13</v>
      </c>
      <c r="BM231" s="2"/>
      <c r="BN231" s="2"/>
      <c r="BO231" s="2"/>
      <c r="BP231" s="2"/>
      <c r="BQ231" s="2"/>
      <c r="BR231" s="2"/>
      <c r="BS231" s="2">
        <v>33.4</v>
      </c>
      <c r="BT231" s="2"/>
      <c r="BU231" s="2"/>
      <c r="BV231" s="2">
        <v>0</v>
      </c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>
        <v>0</v>
      </c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14" t="s">
        <v>81</v>
      </c>
      <c r="DM231" s="2" t="s">
        <v>81</v>
      </c>
      <c r="DN231" s="2">
        <f t="shared" si="8"/>
        <v>0.75</v>
      </c>
      <c r="DO231" s="2">
        <f t="shared" si="9"/>
        <v>0.10299999999999999</v>
      </c>
      <c r="DP231" s="2" t="s">
        <v>211</v>
      </c>
      <c r="DQ231" s="2" t="s">
        <v>3</v>
      </c>
      <c r="DR231" s="2">
        <f t="shared" si="10"/>
        <v>20.100000000000001</v>
      </c>
      <c r="DS231" s="2">
        <f t="shared" si="11"/>
        <v>0.75</v>
      </c>
      <c r="DT231" s="15">
        <f t="shared" si="12"/>
        <v>150.75</v>
      </c>
      <c r="DU231" s="2"/>
      <c r="DV231" s="2">
        <f t="shared" si="13"/>
        <v>0</v>
      </c>
      <c r="DW231" s="2"/>
      <c r="DX231" s="2"/>
      <c r="DY231" s="2"/>
      <c r="DZ231" s="2" t="s">
        <v>3</v>
      </c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 t="s">
        <v>3</v>
      </c>
      <c r="FR231" s="2" t="s">
        <v>37</v>
      </c>
      <c r="FS231" s="2" t="s">
        <v>83</v>
      </c>
      <c r="FT231" s="2" t="s">
        <v>235</v>
      </c>
      <c r="FU231" s="2"/>
      <c r="FV231" s="2" t="s">
        <v>3</v>
      </c>
    </row>
    <row r="232" spans="1:178" ht="15.75" customHeight="1" x14ac:dyDescent="0.2">
      <c r="A232" s="14" t="s">
        <v>74</v>
      </c>
      <c r="B232" s="2" t="s">
        <v>164</v>
      </c>
      <c r="C232" s="13" t="s">
        <v>658</v>
      </c>
      <c r="D232" s="2" t="s">
        <v>99</v>
      </c>
      <c r="E232" s="2"/>
      <c r="F232" s="2"/>
      <c r="G232" s="2" t="s">
        <v>78</v>
      </c>
      <c r="H232" s="2" t="s">
        <v>497</v>
      </c>
      <c r="I232" s="2"/>
      <c r="J232" s="2" t="s">
        <v>80</v>
      </c>
      <c r="K232" s="2">
        <v>0</v>
      </c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15">
        <v>10</v>
      </c>
      <c r="AG232" s="2"/>
      <c r="AH232" s="2"/>
      <c r="AI232" s="2"/>
      <c r="AJ232" s="2"/>
      <c r="AK232" s="2"/>
      <c r="AL232" s="2"/>
      <c r="AM232" s="2"/>
      <c r="AN232" s="2">
        <v>0.64</v>
      </c>
      <c r="AO232" s="2">
        <v>0.05</v>
      </c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>
        <v>53.3</v>
      </c>
      <c r="BB232" s="2"/>
      <c r="BC232" s="2"/>
      <c r="BD232" s="2"/>
      <c r="BE232" s="2"/>
      <c r="BF232" s="2"/>
      <c r="BG232" s="2"/>
      <c r="BH232" s="2"/>
      <c r="BI232" s="2">
        <v>0.65</v>
      </c>
      <c r="BJ232" s="2">
        <v>0.04</v>
      </c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>
        <v>0</v>
      </c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>
        <v>0</v>
      </c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14" t="s">
        <v>81</v>
      </c>
      <c r="DM232" s="2" t="s">
        <v>81</v>
      </c>
      <c r="DN232" s="2">
        <f t="shared" si="8"/>
        <v>0.6484202211690363</v>
      </c>
      <c r="DO232" s="2">
        <f t="shared" si="9"/>
        <v>4.1579778830963671E-2</v>
      </c>
      <c r="DP232" s="2" t="s">
        <v>211</v>
      </c>
      <c r="DQ232" s="2" t="s">
        <v>3</v>
      </c>
      <c r="DR232" s="15">
        <f t="shared" si="10"/>
        <v>63.3</v>
      </c>
      <c r="DS232" s="4">
        <f t="shared" si="11"/>
        <v>0.6484202211690363</v>
      </c>
      <c r="DT232" s="15">
        <f t="shared" si="12"/>
        <v>410.45</v>
      </c>
      <c r="DU232" s="2"/>
      <c r="DV232" s="2">
        <f t="shared" si="13"/>
        <v>0</v>
      </c>
      <c r="DW232" s="2"/>
      <c r="DX232" s="2"/>
      <c r="DY232" s="2"/>
      <c r="DZ232" s="2" t="s">
        <v>3</v>
      </c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 t="s">
        <v>3</v>
      </c>
      <c r="FR232" s="2" t="s">
        <v>37</v>
      </c>
      <c r="FS232" s="2" t="s">
        <v>83</v>
      </c>
      <c r="FT232" s="2" t="s">
        <v>235</v>
      </c>
      <c r="FU232" s="2"/>
      <c r="FV232" s="2" t="s">
        <v>3</v>
      </c>
    </row>
    <row r="233" spans="1:178" ht="15.75" customHeight="1" x14ac:dyDescent="0.2">
      <c r="A233" s="14" t="s">
        <v>74</v>
      </c>
      <c r="B233" s="2" t="s">
        <v>164</v>
      </c>
      <c r="C233" s="13" t="s">
        <v>659</v>
      </c>
      <c r="D233" s="2" t="s">
        <v>99</v>
      </c>
      <c r="E233" s="2"/>
      <c r="F233" s="2"/>
      <c r="G233" s="2" t="s">
        <v>78</v>
      </c>
      <c r="H233" s="2" t="s">
        <v>497</v>
      </c>
      <c r="I233" s="2"/>
      <c r="J233" s="2" t="s">
        <v>80</v>
      </c>
      <c r="K233" s="2">
        <v>0</v>
      </c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>
        <v>0</v>
      </c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>
        <v>96.5</v>
      </c>
      <c r="BB233" s="2"/>
      <c r="BC233" s="2"/>
      <c r="BD233" s="2"/>
      <c r="BE233" s="2"/>
      <c r="BF233" s="2"/>
      <c r="BG233" s="2"/>
      <c r="BH233" s="2"/>
      <c r="BI233" s="2">
        <v>0.65</v>
      </c>
      <c r="BJ233" s="2">
        <v>0.03</v>
      </c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>
        <v>0</v>
      </c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>
        <v>0</v>
      </c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14" t="s">
        <v>81</v>
      </c>
      <c r="DM233" s="2" t="s">
        <v>81</v>
      </c>
      <c r="DN233" s="2">
        <f t="shared" si="8"/>
        <v>0.65</v>
      </c>
      <c r="DO233" s="2">
        <f t="shared" si="9"/>
        <v>0.03</v>
      </c>
      <c r="DP233" s="2" t="s">
        <v>211</v>
      </c>
      <c r="DQ233" s="2" t="s">
        <v>3</v>
      </c>
      <c r="DR233" s="2">
        <f t="shared" si="10"/>
        <v>96.5</v>
      </c>
      <c r="DS233" s="2">
        <f t="shared" si="11"/>
        <v>0.65</v>
      </c>
      <c r="DT233" s="15">
        <f t="shared" si="12"/>
        <v>627.25</v>
      </c>
      <c r="DU233" s="2"/>
      <c r="DV233" s="2">
        <f t="shared" si="13"/>
        <v>0</v>
      </c>
      <c r="DW233" s="2"/>
      <c r="DX233" s="2"/>
      <c r="DY233" s="2"/>
      <c r="DZ233" s="2" t="s">
        <v>3</v>
      </c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 t="s">
        <v>3</v>
      </c>
      <c r="FR233" s="2" t="s">
        <v>37</v>
      </c>
      <c r="FS233" s="2" t="s">
        <v>83</v>
      </c>
      <c r="FT233" s="2" t="s">
        <v>235</v>
      </c>
      <c r="FU233" s="2"/>
      <c r="FV233" s="2" t="s">
        <v>3</v>
      </c>
    </row>
    <row r="234" spans="1:178" ht="15.75" customHeight="1" x14ac:dyDescent="0.2">
      <c r="A234" s="14" t="s">
        <v>74</v>
      </c>
      <c r="B234" s="2" t="s">
        <v>164</v>
      </c>
      <c r="C234" s="13" t="s">
        <v>660</v>
      </c>
      <c r="D234" s="2" t="s">
        <v>99</v>
      </c>
      <c r="E234" s="2"/>
      <c r="F234" s="2"/>
      <c r="G234" s="2" t="s">
        <v>78</v>
      </c>
      <c r="H234" s="2" t="s">
        <v>497</v>
      </c>
      <c r="I234" s="2"/>
      <c r="J234" s="2" t="s">
        <v>80</v>
      </c>
      <c r="K234" s="2">
        <v>0</v>
      </c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>
        <v>0</v>
      </c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>
        <v>49.4</v>
      </c>
      <c r="BB234" s="2"/>
      <c r="BC234" s="2"/>
      <c r="BD234" s="2"/>
      <c r="BE234" s="2"/>
      <c r="BF234" s="2"/>
      <c r="BG234" s="2"/>
      <c r="BH234" s="2"/>
      <c r="BI234" s="4">
        <v>0.7</v>
      </c>
      <c r="BJ234" s="2">
        <v>7.0000000000000007E-2</v>
      </c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>
        <v>0</v>
      </c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>
        <v>0</v>
      </c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14" t="s">
        <v>81</v>
      </c>
      <c r="DM234" s="2" t="s">
        <v>81</v>
      </c>
      <c r="DN234" s="2">
        <f t="shared" si="8"/>
        <v>0.7</v>
      </c>
      <c r="DO234" s="2">
        <f t="shared" si="9"/>
        <v>7.0000000000000007E-2</v>
      </c>
      <c r="DP234" s="2" t="s">
        <v>211</v>
      </c>
      <c r="DQ234" s="2" t="s">
        <v>3</v>
      </c>
      <c r="DR234" s="2">
        <f t="shared" si="10"/>
        <v>49.4</v>
      </c>
      <c r="DS234" s="2">
        <f t="shared" si="11"/>
        <v>0.7</v>
      </c>
      <c r="DT234" s="15">
        <f t="shared" si="12"/>
        <v>345.8</v>
      </c>
      <c r="DU234" s="2"/>
      <c r="DV234" s="2">
        <f t="shared" si="13"/>
        <v>0</v>
      </c>
      <c r="DW234" s="2"/>
      <c r="DX234" s="2"/>
      <c r="DY234" s="2"/>
      <c r="DZ234" s="2" t="s">
        <v>3</v>
      </c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 t="s">
        <v>3</v>
      </c>
      <c r="FR234" s="2" t="s">
        <v>37</v>
      </c>
      <c r="FS234" s="2" t="s">
        <v>373</v>
      </c>
      <c r="FT234" s="2" t="s">
        <v>373</v>
      </c>
      <c r="FU234" s="2"/>
      <c r="FV234" s="2" t="s">
        <v>3</v>
      </c>
    </row>
    <row r="235" spans="1:178" ht="15.75" customHeight="1" x14ac:dyDescent="0.2">
      <c r="A235" s="14" t="s">
        <v>74</v>
      </c>
      <c r="B235" s="2" t="s">
        <v>164</v>
      </c>
      <c r="C235" s="13" t="s">
        <v>661</v>
      </c>
      <c r="D235" s="2" t="s">
        <v>99</v>
      </c>
      <c r="E235" s="2"/>
      <c r="F235" s="2"/>
      <c r="G235" s="2" t="s">
        <v>78</v>
      </c>
      <c r="H235" s="2" t="s">
        <v>497</v>
      </c>
      <c r="I235" s="2"/>
      <c r="J235" s="2" t="s">
        <v>80</v>
      </c>
      <c r="K235" s="2">
        <v>0</v>
      </c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>
        <v>26.8</v>
      </c>
      <c r="AG235" s="2"/>
      <c r="AH235" s="2"/>
      <c r="AI235" s="2"/>
      <c r="AJ235" s="2"/>
      <c r="AK235" s="2"/>
      <c r="AL235" s="2"/>
      <c r="AM235" s="2"/>
      <c r="AN235" s="2">
        <v>0.77</v>
      </c>
      <c r="AO235" s="2">
        <v>0.06</v>
      </c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>
        <v>0</v>
      </c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>
        <v>0</v>
      </c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>
        <v>0</v>
      </c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14" t="s">
        <v>81</v>
      </c>
      <c r="DM235" s="2" t="s">
        <v>81</v>
      </c>
      <c r="DN235" s="2">
        <f t="shared" si="8"/>
        <v>0.77000000000000013</v>
      </c>
      <c r="DO235" s="2">
        <f t="shared" si="9"/>
        <v>5.9999999999999991E-2</v>
      </c>
      <c r="DP235" s="2" t="s">
        <v>211</v>
      </c>
      <c r="DQ235" s="2" t="s">
        <v>3</v>
      </c>
      <c r="DR235" s="2">
        <f t="shared" si="10"/>
        <v>26.8</v>
      </c>
      <c r="DS235" s="2">
        <f t="shared" si="11"/>
        <v>0.77000000000000013</v>
      </c>
      <c r="DT235" s="15">
        <f t="shared" si="12"/>
        <v>206.36000000000004</v>
      </c>
      <c r="DU235" s="2"/>
      <c r="DV235" s="2">
        <f t="shared" si="13"/>
        <v>0</v>
      </c>
      <c r="DW235" s="2"/>
      <c r="DX235" s="2"/>
      <c r="DY235" s="2"/>
      <c r="DZ235" s="2" t="s">
        <v>3</v>
      </c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 t="s">
        <v>3</v>
      </c>
      <c r="FR235" s="2" t="s">
        <v>37</v>
      </c>
      <c r="FS235" s="2" t="s">
        <v>373</v>
      </c>
      <c r="FT235" s="2" t="s">
        <v>373</v>
      </c>
      <c r="FU235" s="2"/>
      <c r="FV235" s="2" t="s">
        <v>3</v>
      </c>
    </row>
    <row r="236" spans="1:178" ht="15.75" customHeight="1" x14ac:dyDescent="0.2">
      <c r="A236" s="14" t="s">
        <v>74</v>
      </c>
      <c r="B236" s="2" t="s">
        <v>164</v>
      </c>
      <c r="C236" s="13" t="s">
        <v>662</v>
      </c>
      <c r="D236" s="2" t="s">
        <v>99</v>
      </c>
      <c r="E236" s="2"/>
      <c r="F236" s="2"/>
      <c r="G236" s="2" t="s">
        <v>78</v>
      </c>
      <c r="H236" s="2" t="s">
        <v>497</v>
      </c>
      <c r="I236" s="2"/>
      <c r="J236" s="2" t="s">
        <v>80</v>
      </c>
      <c r="K236" s="2">
        <v>3.8</v>
      </c>
      <c r="L236" s="2"/>
      <c r="M236" s="2"/>
      <c r="N236" s="2"/>
      <c r="O236" s="2"/>
      <c r="P236" s="2"/>
      <c r="Q236" s="2"/>
      <c r="R236" s="2"/>
      <c r="S236" s="2">
        <v>0.94</v>
      </c>
      <c r="T236" s="2">
        <v>0.05</v>
      </c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>
        <v>41.6</v>
      </c>
      <c r="AG236" s="2"/>
      <c r="AH236" s="2"/>
      <c r="AI236" s="2"/>
      <c r="AJ236" s="2"/>
      <c r="AK236" s="2"/>
      <c r="AL236" s="2"/>
      <c r="AM236" s="2"/>
      <c r="AN236" s="2">
        <v>0.78</v>
      </c>
      <c r="AO236" s="2">
        <v>0.04</v>
      </c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>
        <v>18.399999999999999</v>
      </c>
      <c r="BB236" s="2"/>
      <c r="BC236" s="2"/>
      <c r="BD236" s="2"/>
      <c r="BE236" s="2"/>
      <c r="BF236" s="2"/>
      <c r="BG236" s="2"/>
      <c r="BH236" s="2"/>
      <c r="BI236" s="2">
        <v>0.63</v>
      </c>
      <c r="BJ236" s="2">
        <v>0.03</v>
      </c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>
        <v>0</v>
      </c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>
        <v>0</v>
      </c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14" t="s">
        <v>81</v>
      </c>
      <c r="DM236" s="2" t="s">
        <v>81</v>
      </c>
      <c r="DN236" s="2">
        <f t="shared" si="8"/>
        <v>0.74626959247648905</v>
      </c>
      <c r="DO236" s="2">
        <f t="shared" si="9"/>
        <v>3.7711598746081508E-2</v>
      </c>
      <c r="DP236" s="2" t="s">
        <v>211</v>
      </c>
      <c r="DQ236" s="2" t="s">
        <v>3</v>
      </c>
      <c r="DR236" s="2">
        <f t="shared" si="10"/>
        <v>63.8</v>
      </c>
      <c r="DS236" s="4">
        <f t="shared" si="11"/>
        <v>0.74626959247648905</v>
      </c>
      <c r="DT236" s="15">
        <f t="shared" si="12"/>
        <v>476.12</v>
      </c>
      <c r="DU236" s="2"/>
      <c r="DV236" s="2">
        <f t="shared" si="13"/>
        <v>0</v>
      </c>
      <c r="DW236" s="2"/>
      <c r="DX236" s="2"/>
      <c r="DY236" s="2"/>
      <c r="DZ236" s="2" t="s">
        <v>3</v>
      </c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 t="s">
        <v>3</v>
      </c>
      <c r="FR236" s="2" t="s">
        <v>37</v>
      </c>
      <c r="FS236" s="2" t="s">
        <v>373</v>
      </c>
      <c r="FT236" s="2" t="s">
        <v>373</v>
      </c>
      <c r="FU236" s="2"/>
      <c r="FV236" s="2" t="s">
        <v>3</v>
      </c>
    </row>
    <row r="237" spans="1:178" ht="15.75" customHeight="1" x14ac:dyDescent="0.2">
      <c r="A237" s="14" t="s">
        <v>96</v>
      </c>
      <c r="B237" s="2" t="s">
        <v>124</v>
      </c>
      <c r="C237" s="16" t="s">
        <v>663</v>
      </c>
      <c r="D237" s="2" t="s">
        <v>99</v>
      </c>
      <c r="E237" s="2"/>
      <c r="F237" s="2"/>
      <c r="G237" s="2"/>
      <c r="H237" s="2" t="s">
        <v>79</v>
      </c>
      <c r="I237" s="2"/>
      <c r="J237" s="2"/>
      <c r="K237" s="2">
        <v>0</v>
      </c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>
        <v>0</v>
      </c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>
        <v>2.5000000000000001E-2</v>
      </c>
      <c r="BB237" s="2">
        <v>0.3</v>
      </c>
      <c r="BC237" s="2"/>
      <c r="BD237" s="2"/>
      <c r="BE237" s="2"/>
      <c r="BF237" s="2"/>
      <c r="BG237" s="2"/>
      <c r="BH237" s="2"/>
      <c r="BI237" s="2">
        <v>0.94</v>
      </c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>
        <v>0</v>
      </c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>
        <v>0</v>
      </c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14" t="s">
        <v>100</v>
      </c>
      <c r="DM237" s="2"/>
      <c r="DN237" s="2">
        <f t="shared" si="8"/>
        <v>0.94</v>
      </c>
      <c r="DO237" s="2">
        <f t="shared" si="9"/>
        <v>0</v>
      </c>
      <c r="DP237" s="2" t="s">
        <v>126</v>
      </c>
      <c r="DQ237" s="2" t="s">
        <v>3</v>
      </c>
      <c r="DR237" s="2">
        <f t="shared" si="10"/>
        <v>2.5000000000000001E-2</v>
      </c>
      <c r="DS237" s="2">
        <f t="shared" si="11"/>
        <v>0.94</v>
      </c>
      <c r="DT237" s="15">
        <f t="shared" si="12"/>
        <v>0.23499999999999999</v>
      </c>
      <c r="DU237" s="2"/>
      <c r="DV237" s="2">
        <f t="shared" si="13"/>
        <v>0</v>
      </c>
      <c r="DW237" s="2"/>
      <c r="DX237" s="2"/>
      <c r="DY237" s="2"/>
      <c r="DZ237" s="2" t="s">
        <v>3</v>
      </c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 t="s">
        <v>3</v>
      </c>
      <c r="FR237" s="2" t="s">
        <v>89</v>
      </c>
      <c r="FS237" s="2" t="s">
        <v>123</v>
      </c>
      <c r="FT237" s="2"/>
      <c r="FU237" s="2"/>
      <c r="FV237" s="2" t="s">
        <v>3</v>
      </c>
    </row>
    <row r="238" spans="1:178" ht="15.75" customHeight="1" x14ac:dyDescent="0.2">
      <c r="A238" s="14" t="s">
        <v>96</v>
      </c>
      <c r="B238" s="2" t="s">
        <v>97</v>
      </c>
      <c r="C238" s="16" t="s">
        <v>664</v>
      </c>
      <c r="D238" s="2" t="s">
        <v>109</v>
      </c>
      <c r="E238" s="2"/>
      <c r="F238" s="2"/>
      <c r="G238" s="2"/>
      <c r="H238" s="2" t="s">
        <v>536</v>
      </c>
      <c r="I238" s="2"/>
      <c r="J238" s="2"/>
      <c r="K238" s="2">
        <v>0</v>
      </c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>
        <v>327.27699999999999</v>
      </c>
      <c r="AG238" s="2">
        <v>0.33</v>
      </c>
      <c r="AH238" s="2">
        <v>0.02</v>
      </c>
      <c r="AI238" s="2"/>
      <c r="AJ238" s="2"/>
      <c r="AK238" s="2"/>
      <c r="AL238" s="2"/>
      <c r="AM238" s="2"/>
      <c r="AN238" s="2">
        <v>0.69</v>
      </c>
      <c r="AO238" s="19">
        <f>(0.022*19.283+0.018*3.302+0.027*3.637+0.031*16.565+0.022*66.724+0.019*63.079+0.046*5.972+0.023*443.34)/(19.283+3.302+3.637+16.565+66.724+63.079+5.972+443.34)</f>
        <v>2.2886784412978246E-2</v>
      </c>
      <c r="AP238" s="2">
        <v>0.03</v>
      </c>
      <c r="AQ238" s="2">
        <v>0.05</v>
      </c>
      <c r="AR238" s="2"/>
      <c r="AS238" s="2"/>
      <c r="AT238" s="2"/>
      <c r="AU238" s="2"/>
      <c r="AV238" s="2"/>
      <c r="AW238" s="2"/>
      <c r="AX238" s="2"/>
      <c r="AY238" s="2"/>
      <c r="AZ238" s="2"/>
      <c r="BA238" s="2">
        <v>144.21100000000001</v>
      </c>
      <c r="BB238" s="2">
        <v>0.31</v>
      </c>
      <c r="BC238" s="2">
        <v>0.01</v>
      </c>
      <c r="BD238" s="2"/>
      <c r="BE238" s="2"/>
      <c r="BF238" s="2"/>
      <c r="BG238" s="2"/>
      <c r="BH238" s="2"/>
      <c r="BI238" s="2">
        <v>0.63</v>
      </c>
      <c r="BJ238" s="19">
        <f>(0.022*19.283+0.018*3.302+0.027*3.637+0.031*16.565+0.022*66.724+0.019*63.079+0.046*5.972+0.023*443.34)/(19.283+3.302+3.637+16.565+66.724+63.079+5.972+443.34)</f>
        <v>2.2886784412978246E-2</v>
      </c>
      <c r="BK238" s="2">
        <v>0.04</v>
      </c>
      <c r="BL238" s="2">
        <v>0.03</v>
      </c>
      <c r="BM238" s="2"/>
      <c r="BN238" s="2"/>
      <c r="BO238" s="2"/>
      <c r="BP238" s="2"/>
      <c r="BQ238" s="2"/>
      <c r="BR238" s="2"/>
      <c r="BS238" s="2"/>
      <c r="BT238" s="2"/>
      <c r="BU238" s="2"/>
      <c r="BV238" s="2">
        <v>45.073999999999998</v>
      </c>
      <c r="BW238" s="2">
        <v>0.25</v>
      </c>
      <c r="BX238" s="2">
        <v>0.01</v>
      </c>
      <c r="BY238" s="2"/>
      <c r="BZ238" s="2"/>
      <c r="CA238" s="2"/>
      <c r="CB238" s="2"/>
      <c r="CC238" s="2"/>
      <c r="CD238" s="2">
        <v>0.57999999999999996</v>
      </c>
      <c r="CE238" s="19">
        <f>(0.022*19.283+0.018*3.302+0.027*3.637+0.031*16.565+0.022*66.724+0.019*63.079+0.046*5.972+0.023*443.34)/(19.283+3.302+3.637+16.565+66.724+63.079+5.972+443.34)</f>
        <v>2.2886784412978246E-2</v>
      </c>
      <c r="CF238" s="2">
        <v>0.03</v>
      </c>
      <c r="CG238" s="2">
        <v>0.02</v>
      </c>
      <c r="CH238" s="2"/>
      <c r="CI238" s="2"/>
      <c r="CJ238" s="2"/>
      <c r="CK238" s="2"/>
      <c r="CL238" s="2"/>
      <c r="CM238" s="2"/>
      <c r="CN238" s="2"/>
      <c r="CO238" s="2"/>
      <c r="CP238" s="2"/>
      <c r="CQ238" s="2">
        <v>55.844000000000001</v>
      </c>
      <c r="CR238" s="2">
        <v>0.28000000000000003</v>
      </c>
      <c r="CS238" s="2">
        <v>0.01</v>
      </c>
      <c r="CT238" s="2"/>
      <c r="CU238" s="2"/>
      <c r="CV238" s="2"/>
      <c r="CW238" s="2"/>
      <c r="CX238" s="2"/>
      <c r="CY238" s="2">
        <v>0.56999999999999995</v>
      </c>
      <c r="CZ238" s="19">
        <f>(0.022*19.283+0.018*3.302+0.027*3.637+0.031*16.565+0.022*66.724+0.019*63.079+0.046*5.972+0.023*443.34)/(19.283+3.302+3.637+16.565+66.724+63.079+5.972+443.34)</f>
        <v>2.2886784412978246E-2</v>
      </c>
      <c r="DA238" s="2">
        <v>0.03</v>
      </c>
      <c r="DB238" s="2">
        <v>0.02</v>
      </c>
      <c r="DC238" s="2"/>
      <c r="DD238" s="2"/>
      <c r="DE238" s="2"/>
      <c r="DF238" s="2"/>
      <c r="DG238" s="2"/>
      <c r="DH238" s="2"/>
      <c r="DI238" s="2"/>
      <c r="DJ238" s="2"/>
      <c r="DK238" s="2"/>
      <c r="DL238" s="14" t="s">
        <v>81</v>
      </c>
      <c r="DM238" s="2" t="s">
        <v>81</v>
      </c>
      <c r="DN238" s="2">
        <f t="shared" si="8"/>
        <v>0.67164818616804667</v>
      </c>
      <c r="DO238" s="2">
        <f t="shared" si="9"/>
        <v>2.2886784412978242E-2</v>
      </c>
      <c r="DP238" s="2" t="s">
        <v>211</v>
      </c>
      <c r="DQ238" s="2" t="s">
        <v>3</v>
      </c>
      <c r="DR238" s="15">
        <f t="shared" si="10"/>
        <v>471.488</v>
      </c>
      <c r="DS238" s="4">
        <f t="shared" si="11"/>
        <v>0.67164818616804667</v>
      </c>
      <c r="DT238" s="18">
        <f t="shared" si="12"/>
        <v>3166.7406000000001</v>
      </c>
      <c r="DU238" s="2"/>
      <c r="DV238" s="15">
        <f t="shared" si="13"/>
        <v>100.91800000000001</v>
      </c>
      <c r="DW238" s="4">
        <f t="shared" ref="DW238:DW239" si="41">(BV238*CD238+CQ238*CY238)/DV238</f>
        <v>0.57446639846211767</v>
      </c>
      <c r="DX238" s="15">
        <f t="shared" ref="DX238:DX239" si="42">1000*DV238*DW238/100</f>
        <v>579.7399999999999</v>
      </c>
      <c r="DY238" s="2"/>
      <c r="DZ238" s="2" t="s">
        <v>3</v>
      </c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 t="s">
        <v>3</v>
      </c>
      <c r="FR238" s="2" t="s">
        <v>89</v>
      </c>
      <c r="FS238" s="2" t="s">
        <v>636</v>
      </c>
      <c r="FT238" s="2" t="s">
        <v>665</v>
      </c>
      <c r="FU238" s="2"/>
      <c r="FV238" s="2" t="s">
        <v>3</v>
      </c>
    </row>
    <row r="239" spans="1:178" ht="15.75" customHeight="1" x14ac:dyDescent="0.2">
      <c r="A239" s="12" t="s">
        <v>74</v>
      </c>
      <c r="B239" s="2" t="s">
        <v>421</v>
      </c>
      <c r="C239" s="13" t="s">
        <v>666</v>
      </c>
      <c r="D239" s="2" t="s">
        <v>109</v>
      </c>
      <c r="E239" s="2"/>
      <c r="F239" s="2"/>
      <c r="G239" s="2" t="s">
        <v>78</v>
      </c>
      <c r="H239" s="2" t="s">
        <v>667</v>
      </c>
      <c r="I239" s="2"/>
      <c r="J239" s="2" t="s">
        <v>111</v>
      </c>
      <c r="K239" s="2">
        <v>12.8</v>
      </c>
      <c r="L239" s="2"/>
      <c r="M239" s="2"/>
      <c r="N239" s="2"/>
      <c r="O239" s="2"/>
      <c r="P239" s="2"/>
      <c r="Q239" s="2"/>
      <c r="R239" s="2"/>
      <c r="S239" s="2">
        <v>2.48</v>
      </c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>
        <v>43.6</v>
      </c>
      <c r="AG239" s="2"/>
      <c r="AH239" s="2"/>
      <c r="AI239" s="2"/>
      <c r="AJ239" s="2"/>
      <c r="AK239" s="2"/>
      <c r="AL239" s="2"/>
      <c r="AM239" s="2"/>
      <c r="AN239" s="4">
        <v>2.4</v>
      </c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>
        <v>83</v>
      </c>
      <c r="BB239" s="2"/>
      <c r="BC239" s="2"/>
      <c r="BD239" s="2"/>
      <c r="BE239" s="2"/>
      <c r="BF239" s="2"/>
      <c r="BG239" s="2"/>
      <c r="BH239" s="2"/>
      <c r="BI239" s="2">
        <v>2.5</v>
      </c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>
        <v>11.7</v>
      </c>
      <c r="BW239" s="2"/>
      <c r="BX239" s="2"/>
      <c r="BY239" s="2"/>
      <c r="BZ239" s="2"/>
      <c r="CA239" s="2"/>
      <c r="CB239" s="2"/>
      <c r="CC239" s="2"/>
      <c r="CD239" s="2">
        <v>2.27</v>
      </c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>
        <v>30.1</v>
      </c>
      <c r="CR239" s="2"/>
      <c r="CS239" s="2"/>
      <c r="CT239" s="2"/>
      <c r="CU239" s="2"/>
      <c r="CV239" s="2"/>
      <c r="CW239" s="2"/>
      <c r="CX239" s="2"/>
      <c r="CY239" s="4">
        <v>2.2000000000000002</v>
      </c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14" t="s">
        <v>81</v>
      </c>
      <c r="DM239" s="2"/>
      <c r="DN239" s="2">
        <f t="shared" si="8"/>
        <v>2.4668866571018651</v>
      </c>
      <c r="DO239" s="2">
        <f t="shared" si="9"/>
        <v>0</v>
      </c>
      <c r="DP239" s="2" t="s">
        <v>211</v>
      </c>
      <c r="DQ239" s="2" t="s">
        <v>3</v>
      </c>
      <c r="DR239" s="2">
        <f t="shared" si="10"/>
        <v>139.4</v>
      </c>
      <c r="DS239" s="4">
        <f t="shared" si="11"/>
        <v>2.4668866571018651</v>
      </c>
      <c r="DT239" s="18">
        <f t="shared" si="12"/>
        <v>3438.84</v>
      </c>
      <c r="DU239" s="2"/>
      <c r="DV239" s="2">
        <f t="shared" si="13"/>
        <v>41.8</v>
      </c>
      <c r="DW239" s="4">
        <f t="shared" si="41"/>
        <v>2.219593301435407</v>
      </c>
      <c r="DX239" s="15">
        <f t="shared" si="42"/>
        <v>927.79000000000019</v>
      </c>
      <c r="DY239" s="2"/>
      <c r="DZ239" s="2" t="s">
        <v>3</v>
      </c>
      <c r="EA239" s="2" t="s">
        <v>421</v>
      </c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 t="s">
        <v>421</v>
      </c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 t="s">
        <v>421</v>
      </c>
      <c r="FQ239" s="2" t="s">
        <v>3</v>
      </c>
      <c r="FR239" s="2" t="s">
        <v>37</v>
      </c>
      <c r="FS239" s="2" t="s">
        <v>106</v>
      </c>
      <c r="FT239" s="2" t="s">
        <v>106</v>
      </c>
      <c r="FU239" s="2"/>
      <c r="FV239" s="2" t="s">
        <v>3</v>
      </c>
    </row>
    <row r="240" spans="1:178" ht="15.75" customHeight="1" x14ac:dyDescent="0.2">
      <c r="A240" s="14" t="s">
        <v>74</v>
      </c>
      <c r="B240" s="2" t="s">
        <v>469</v>
      </c>
      <c r="C240" s="13" t="s">
        <v>668</v>
      </c>
      <c r="D240" s="2" t="s">
        <v>99</v>
      </c>
      <c r="E240" s="29">
        <f>-7-57/60</f>
        <v>-7.95</v>
      </c>
      <c r="F240" s="29">
        <f>147+15/60</f>
        <v>147.25</v>
      </c>
      <c r="G240" s="2" t="s">
        <v>78</v>
      </c>
      <c r="H240" s="2" t="s">
        <v>79</v>
      </c>
      <c r="I240" s="2"/>
      <c r="J240" s="2" t="s">
        <v>292</v>
      </c>
      <c r="K240" s="2">
        <v>0</v>
      </c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>
        <v>0</v>
      </c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4">
        <f>(1.112+12)*1.016</f>
        <v>13.321792</v>
      </c>
      <c r="BB240" s="2"/>
      <c r="BC240" s="2"/>
      <c r="BD240" s="2"/>
      <c r="BE240" s="2"/>
      <c r="BF240" s="2"/>
      <c r="BG240" s="2"/>
      <c r="BH240" s="2"/>
      <c r="BI240" s="4">
        <f>(0.86*1.112+0.7*12)/(1.112+12)</f>
        <v>0.71356924954240375</v>
      </c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>
        <v>0</v>
      </c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>
        <v>0</v>
      </c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14" t="s">
        <v>100</v>
      </c>
      <c r="DM240" s="2"/>
      <c r="DN240" s="2">
        <f t="shared" si="8"/>
        <v>0.71356924954240375</v>
      </c>
      <c r="DO240" s="2">
        <f t="shared" si="9"/>
        <v>0</v>
      </c>
      <c r="DP240" s="2" t="s">
        <v>669</v>
      </c>
      <c r="DQ240" s="2" t="s">
        <v>3</v>
      </c>
      <c r="DR240" s="15">
        <f t="shared" si="10"/>
        <v>13.321792</v>
      </c>
      <c r="DS240" s="4">
        <f t="shared" si="11"/>
        <v>0.71356924954240375</v>
      </c>
      <c r="DT240" s="15">
        <f t="shared" si="12"/>
        <v>95.060211199999969</v>
      </c>
      <c r="DU240" s="2"/>
      <c r="DV240" s="2">
        <f t="shared" si="13"/>
        <v>0</v>
      </c>
      <c r="DW240" s="2"/>
      <c r="DX240" s="2"/>
      <c r="DY240" s="2"/>
      <c r="DZ240" s="2" t="s">
        <v>3</v>
      </c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 t="s">
        <v>3</v>
      </c>
      <c r="FR240" s="2" t="s">
        <v>37</v>
      </c>
      <c r="FS240" s="2" t="s">
        <v>235</v>
      </c>
      <c r="FT240" s="2" t="s">
        <v>235</v>
      </c>
      <c r="FU240" s="2"/>
      <c r="FV240" s="2" t="s">
        <v>3</v>
      </c>
    </row>
    <row r="241" spans="1:178" ht="15.75" customHeight="1" x14ac:dyDescent="0.2">
      <c r="A241" s="14" t="s">
        <v>84</v>
      </c>
      <c r="B241" s="2" t="s">
        <v>85</v>
      </c>
      <c r="C241" s="16" t="s">
        <v>670</v>
      </c>
      <c r="D241" s="2"/>
      <c r="E241" s="2"/>
      <c r="F241" s="2"/>
      <c r="G241" s="2"/>
      <c r="H241" s="2" t="s">
        <v>671</v>
      </c>
      <c r="I241" s="2"/>
      <c r="J241" s="2"/>
      <c r="K241" s="2">
        <v>38.6</v>
      </c>
      <c r="L241" s="2">
        <v>0.14000000000000001</v>
      </c>
      <c r="M241" s="4">
        <v>2.1090000000000001E-2</v>
      </c>
      <c r="N241" s="2"/>
      <c r="O241" s="2"/>
      <c r="P241" s="2"/>
      <c r="Q241" s="2"/>
      <c r="R241" s="2"/>
      <c r="S241" s="2">
        <v>0.05</v>
      </c>
      <c r="T241" s="2">
        <v>7.0000000000000007E-2</v>
      </c>
      <c r="U241" s="4">
        <v>1.8381600000000002</v>
      </c>
      <c r="V241" s="4">
        <v>1.0089900000000001</v>
      </c>
      <c r="W241" s="4">
        <v>0.31486999999999998</v>
      </c>
      <c r="X241" s="4">
        <v>0.40515000000000001</v>
      </c>
      <c r="Y241" s="4">
        <v>0.11174000000000001</v>
      </c>
      <c r="Z241" s="2"/>
      <c r="AA241" s="2"/>
      <c r="AB241" s="2"/>
      <c r="AC241" s="2"/>
      <c r="AD241" s="2"/>
      <c r="AE241" s="2"/>
      <c r="AF241" s="2">
        <v>4.9000000000000004</v>
      </c>
      <c r="AG241" s="2">
        <v>0.14000000000000001</v>
      </c>
      <c r="AH241" s="4">
        <v>2.5080000000000002E-2</v>
      </c>
      <c r="AI241" s="2"/>
      <c r="AJ241" s="2"/>
      <c r="AK241" s="2"/>
      <c r="AL241" s="2"/>
      <c r="AM241" s="2"/>
      <c r="AN241" s="2">
        <v>0.05</v>
      </c>
      <c r="AO241" s="2">
        <v>7.0000000000000007E-2</v>
      </c>
      <c r="AP241" s="4">
        <v>2.1859200000000003</v>
      </c>
      <c r="AQ241" s="4">
        <v>1.1998800000000001</v>
      </c>
      <c r="AR241" s="4">
        <v>0.37444</v>
      </c>
      <c r="AS241" s="4">
        <v>0.48180000000000006</v>
      </c>
      <c r="AT241" s="4">
        <v>0.13288000000000003</v>
      </c>
      <c r="AU241" s="2"/>
      <c r="AV241" s="2"/>
      <c r="AW241" s="2"/>
      <c r="AX241" s="2"/>
      <c r="AY241" s="2"/>
      <c r="AZ241" s="2"/>
      <c r="BA241" s="2">
        <v>0</v>
      </c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15">
        <v>16</v>
      </c>
      <c r="BW241" s="2">
        <v>0.14000000000000001</v>
      </c>
      <c r="BX241" s="4">
        <v>1.8283846153846154E-2</v>
      </c>
      <c r="BY241" s="2"/>
      <c r="BZ241" s="2"/>
      <c r="CA241" s="2"/>
      <c r="CB241" s="2"/>
      <c r="CC241" s="2"/>
      <c r="CD241" s="2">
        <v>0.05</v>
      </c>
      <c r="CE241" s="2">
        <v>7.0000000000000007E-2</v>
      </c>
      <c r="CF241" s="4">
        <v>1.5935815384615384</v>
      </c>
      <c r="CG241" s="4">
        <v>0.87473769230769227</v>
      </c>
      <c r="CH241" s="4">
        <v>0.27297461538461537</v>
      </c>
      <c r="CI241" s="4">
        <v>0.35124230769230769</v>
      </c>
      <c r="CJ241" s="4">
        <v>9.6872307692307688E-2</v>
      </c>
      <c r="CK241" s="2"/>
      <c r="CL241" s="2"/>
      <c r="CM241" s="2"/>
      <c r="CN241" s="2"/>
      <c r="CO241" s="2"/>
      <c r="CP241" s="2"/>
      <c r="CQ241" s="2">
        <v>0</v>
      </c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14" t="s">
        <v>81</v>
      </c>
      <c r="DM241" s="2" t="s">
        <v>81</v>
      </c>
      <c r="DN241" s="2">
        <f t="shared" si="8"/>
        <v>0.05</v>
      </c>
      <c r="DO241" s="2">
        <f t="shared" si="9"/>
        <v>7.0000000000000007E-2</v>
      </c>
      <c r="DP241" s="2" t="s">
        <v>95</v>
      </c>
      <c r="DQ241" s="2" t="s">
        <v>3</v>
      </c>
      <c r="DR241" s="2">
        <f t="shared" si="10"/>
        <v>43.5</v>
      </c>
      <c r="DS241" s="4">
        <f t="shared" si="11"/>
        <v>0.05</v>
      </c>
      <c r="DT241" s="15">
        <f t="shared" si="12"/>
        <v>21.75</v>
      </c>
      <c r="DU241" s="2"/>
      <c r="DV241" s="15">
        <f t="shared" si="13"/>
        <v>16</v>
      </c>
      <c r="DW241" s="2">
        <f>(BV241*CD241+CQ241*CY241)/DV241</f>
        <v>0.05</v>
      </c>
      <c r="DX241" s="15">
        <f>1000*DV241*DW241/100</f>
        <v>8</v>
      </c>
      <c r="DY241" s="2"/>
      <c r="DZ241" s="2" t="s">
        <v>3</v>
      </c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 t="s">
        <v>3</v>
      </c>
      <c r="FR241" s="2" t="s">
        <v>89</v>
      </c>
      <c r="FS241" s="2" t="s">
        <v>90</v>
      </c>
      <c r="FT241" s="2" t="s">
        <v>91</v>
      </c>
      <c r="FU241" s="2" t="s">
        <v>92</v>
      </c>
      <c r="FV241" s="2" t="s">
        <v>3</v>
      </c>
    </row>
    <row r="242" spans="1:178" ht="15.75" customHeight="1" x14ac:dyDescent="0.2">
      <c r="A242" s="14" t="s">
        <v>143</v>
      </c>
      <c r="B242" s="2" t="s">
        <v>85</v>
      </c>
      <c r="C242" s="16" t="s">
        <v>672</v>
      </c>
      <c r="D242" s="2"/>
      <c r="E242" s="2"/>
      <c r="F242" s="2"/>
      <c r="G242" s="2"/>
      <c r="H242" s="2" t="s">
        <v>673</v>
      </c>
      <c r="I242" s="2"/>
      <c r="J242" s="2"/>
      <c r="K242" s="2">
        <v>0</v>
      </c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>
        <v>0</v>
      </c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>
        <v>148.80000000000001</v>
      </c>
      <c r="BB242" s="4">
        <v>3.2000000000000001E-2</v>
      </c>
      <c r="BC242" s="4">
        <v>0.14000000000000001</v>
      </c>
      <c r="BD242" s="2"/>
      <c r="BE242" s="2"/>
      <c r="BF242" s="2"/>
      <c r="BG242" s="2"/>
      <c r="BH242" s="2"/>
      <c r="BI242" s="4">
        <v>0.13200000000000001</v>
      </c>
      <c r="BJ242" s="2"/>
      <c r="BK242" s="4">
        <v>4.1100000000000003</v>
      </c>
      <c r="BL242" s="4">
        <v>1.72</v>
      </c>
      <c r="BM242" s="4">
        <v>0.56000000000000005</v>
      </c>
      <c r="BN242" s="2"/>
      <c r="BO242" s="2"/>
      <c r="BP242" s="2"/>
      <c r="BQ242" s="2"/>
      <c r="BR242" s="2"/>
      <c r="BS242" s="2"/>
      <c r="BT242" s="2"/>
      <c r="BU242" s="2"/>
      <c r="BV242" s="2">
        <v>0</v>
      </c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>
        <v>0</v>
      </c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14" t="s">
        <v>81</v>
      </c>
      <c r="DM242" s="2"/>
      <c r="DN242" s="2">
        <f t="shared" si="8"/>
        <v>0.13200000000000001</v>
      </c>
      <c r="DO242" s="2">
        <f t="shared" si="9"/>
        <v>0</v>
      </c>
      <c r="DP242" s="2" t="s">
        <v>512</v>
      </c>
      <c r="DQ242" s="2" t="s">
        <v>3</v>
      </c>
      <c r="DR242" s="2">
        <f t="shared" si="10"/>
        <v>148.80000000000001</v>
      </c>
      <c r="DS242" s="4">
        <f t="shared" si="11"/>
        <v>0.13200000000000001</v>
      </c>
      <c r="DT242" s="15">
        <f t="shared" si="12"/>
        <v>196.41600000000003</v>
      </c>
      <c r="DU242" s="2"/>
      <c r="DV242" s="2">
        <f t="shared" si="13"/>
        <v>0</v>
      </c>
      <c r="DW242" s="2"/>
      <c r="DX242" s="2"/>
      <c r="DY242" s="2"/>
      <c r="DZ242" s="2" t="s">
        <v>3</v>
      </c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 t="s">
        <v>3</v>
      </c>
      <c r="FR242" s="2" t="s">
        <v>89</v>
      </c>
      <c r="FS242" s="2" t="s">
        <v>90</v>
      </c>
      <c r="FT242" s="2" t="s">
        <v>91</v>
      </c>
      <c r="FU242" s="2" t="s">
        <v>92</v>
      </c>
      <c r="FV242" s="2" t="s">
        <v>3</v>
      </c>
    </row>
    <row r="243" spans="1:178" ht="15.75" customHeight="1" x14ac:dyDescent="0.2">
      <c r="A243" s="14" t="s">
        <v>96</v>
      </c>
      <c r="B243" s="2" t="s">
        <v>124</v>
      </c>
      <c r="C243" s="21" t="s">
        <v>674</v>
      </c>
      <c r="D243" s="2" t="s">
        <v>99</v>
      </c>
      <c r="E243" s="2"/>
      <c r="F243" s="2"/>
      <c r="G243" s="2"/>
      <c r="H243" s="2" t="s">
        <v>634</v>
      </c>
      <c r="I243" s="2"/>
      <c r="J243" s="2"/>
      <c r="K243" s="2">
        <v>0</v>
      </c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>
        <v>0</v>
      </c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>
        <v>1.5</v>
      </c>
      <c r="BB243" s="2"/>
      <c r="BC243" s="2"/>
      <c r="BD243" s="2"/>
      <c r="BE243" s="2"/>
      <c r="BF243" s="2"/>
      <c r="BG243" s="2"/>
      <c r="BH243" s="2"/>
      <c r="BI243" s="2">
        <v>0.46</v>
      </c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>
        <v>0</v>
      </c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>
        <v>0</v>
      </c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14" t="s">
        <v>81</v>
      </c>
      <c r="DM243" s="2"/>
      <c r="DN243" s="2">
        <f t="shared" si="8"/>
        <v>0.46</v>
      </c>
      <c r="DO243" s="2">
        <f t="shared" si="9"/>
        <v>0</v>
      </c>
      <c r="DP243" s="2" t="s">
        <v>675</v>
      </c>
      <c r="DQ243" s="2" t="s">
        <v>3</v>
      </c>
      <c r="DR243" s="2">
        <f t="shared" si="10"/>
        <v>1.5</v>
      </c>
      <c r="DS243" s="2">
        <f t="shared" si="11"/>
        <v>0.46</v>
      </c>
      <c r="DT243" s="15">
        <f t="shared" si="12"/>
        <v>6.9</v>
      </c>
      <c r="DU243" s="2"/>
      <c r="DV243" s="2">
        <f t="shared" si="13"/>
        <v>0</v>
      </c>
      <c r="DW243" s="2"/>
      <c r="DX243" s="2"/>
      <c r="DY243" s="2"/>
      <c r="DZ243" s="2" t="s">
        <v>3</v>
      </c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 t="s">
        <v>3</v>
      </c>
      <c r="FR243" s="2" t="s">
        <v>183</v>
      </c>
      <c r="FS243" s="2" t="s">
        <v>577</v>
      </c>
      <c r="FT243" s="2"/>
      <c r="FU243" s="2"/>
      <c r="FV243" s="2" t="s">
        <v>3</v>
      </c>
    </row>
    <row r="244" spans="1:178" ht="15.75" customHeight="1" x14ac:dyDescent="0.2">
      <c r="A244" s="14" t="s">
        <v>96</v>
      </c>
      <c r="B244" s="2" t="s">
        <v>124</v>
      </c>
      <c r="C244" s="21" t="s">
        <v>676</v>
      </c>
      <c r="D244" s="2" t="s">
        <v>99</v>
      </c>
      <c r="E244" s="2"/>
      <c r="F244" s="2"/>
      <c r="G244" s="2"/>
      <c r="H244" s="2" t="s">
        <v>634</v>
      </c>
      <c r="I244" s="2"/>
      <c r="J244" s="2"/>
      <c r="K244" s="2">
        <v>0</v>
      </c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>
        <v>0.85</v>
      </c>
      <c r="AG244" s="2">
        <v>0.44</v>
      </c>
      <c r="AH244" s="2"/>
      <c r="AI244" s="2"/>
      <c r="AJ244" s="2"/>
      <c r="AK244" s="2"/>
      <c r="AL244" s="2"/>
      <c r="AM244" s="2"/>
      <c r="AN244" s="2">
        <v>0.85</v>
      </c>
      <c r="AO244" s="2">
        <v>0.06</v>
      </c>
      <c r="AP244" s="2">
        <v>0.53</v>
      </c>
      <c r="AQ244" s="2">
        <v>1.25</v>
      </c>
      <c r="AR244" s="2"/>
      <c r="AS244" s="2"/>
      <c r="AT244" s="2"/>
      <c r="AU244" s="2"/>
      <c r="AV244" s="2"/>
      <c r="AW244" s="2"/>
      <c r="AX244" s="2"/>
      <c r="AY244" s="2"/>
      <c r="AZ244" s="2"/>
      <c r="BA244" s="2">
        <v>0.24</v>
      </c>
      <c r="BB244" s="2">
        <v>0.27</v>
      </c>
      <c r="BC244" s="2"/>
      <c r="BD244" s="2"/>
      <c r="BE244" s="2"/>
      <c r="BF244" s="2"/>
      <c r="BG244" s="2"/>
      <c r="BH244" s="2"/>
      <c r="BI244" s="2">
        <v>0.59</v>
      </c>
      <c r="BJ244" s="2">
        <v>0.04</v>
      </c>
      <c r="BK244" s="2">
        <v>0.34</v>
      </c>
      <c r="BL244" s="2">
        <v>0.89</v>
      </c>
      <c r="BM244" s="2"/>
      <c r="BN244" s="2"/>
      <c r="BO244" s="2"/>
      <c r="BP244" s="2"/>
      <c r="BQ244" s="2"/>
      <c r="BR244" s="2"/>
      <c r="BS244" s="2"/>
      <c r="BT244" s="2"/>
      <c r="BU244" s="2"/>
      <c r="BV244" s="2">
        <v>0</v>
      </c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>
        <v>0</v>
      </c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14" t="s">
        <v>81</v>
      </c>
      <c r="DM244" s="2" t="s">
        <v>81</v>
      </c>
      <c r="DN244" s="2">
        <f t="shared" si="8"/>
        <v>0.7927522935779816</v>
      </c>
      <c r="DO244" s="2">
        <f t="shared" si="9"/>
        <v>5.5596330275229359E-2</v>
      </c>
      <c r="DP244" s="2" t="s">
        <v>675</v>
      </c>
      <c r="DQ244" s="2" t="s">
        <v>3</v>
      </c>
      <c r="DR244" s="2">
        <f t="shared" si="10"/>
        <v>1.0899999999999999</v>
      </c>
      <c r="DS244" s="4">
        <f t="shared" si="11"/>
        <v>0.7927522935779816</v>
      </c>
      <c r="DT244" s="15">
        <f t="shared" si="12"/>
        <v>8.6409999999999982</v>
      </c>
      <c r="DU244" s="2"/>
      <c r="DV244" s="2">
        <f t="shared" si="13"/>
        <v>0</v>
      </c>
      <c r="DW244" s="2"/>
      <c r="DX244" s="2"/>
      <c r="DY244" s="2"/>
      <c r="DZ244" s="2" t="s">
        <v>3</v>
      </c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 t="s">
        <v>3</v>
      </c>
      <c r="FR244" s="2" t="s">
        <v>183</v>
      </c>
      <c r="FS244" s="2" t="s">
        <v>577</v>
      </c>
      <c r="FT244" s="2"/>
      <c r="FU244" s="2"/>
      <c r="FV244" s="2" t="s">
        <v>3</v>
      </c>
    </row>
    <row r="245" spans="1:178" ht="15.75" customHeight="1" x14ac:dyDescent="0.2">
      <c r="A245" s="14" t="s">
        <v>96</v>
      </c>
      <c r="B245" s="2" t="s">
        <v>124</v>
      </c>
      <c r="C245" s="21" t="s">
        <v>677</v>
      </c>
      <c r="D245" s="2" t="s">
        <v>99</v>
      </c>
      <c r="E245" s="2"/>
      <c r="F245" s="2"/>
      <c r="G245" s="2"/>
      <c r="H245" s="2" t="s">
        <v>79</v>
      </c>
      <c r="I245" s="2"/>
      <c r="J245" s="2"/>
      <c r="K245" s="2">
        <v>0</v>
      </c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>
        <v>0</v>
      </c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>
        <v>0.5</v>
      </c>
      <c r="BB245" s="2"/>
      <c r="BC245" s="2"/>
      <c r="BD245" s="2"/>
      <c r="BE245" s="2"/>
      <c r="BF245" s="2"/>
      <c r="BG245" s="2"/>
      <c r="BH245" s="2"/>
      <c r="BI245" s="2">
        <v>0.45</v>
      </c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>
        <v>0</v>
      </c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>
        <v>0</v>
      </c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14" t="s">
        <v>100</v>
      </c>
      <c r="DM245" s="2"/>
      <c r="DN245" s="2">
        <f t="shared" si="8"/>
        <v>0.45</v>
      </c>
      <c r="DO245" s="2">
        <f t="shared" si="9"/>
        <v>0</v>
      </c>
      <c r="DP245" s="2" t="s">
        <v>126</v>
      </c>
      <c r="DQ245" s="2" t="s">
        <v>3</v>
      </c>
      <c r="DR245" s="2">
        <f t="shared" si="10"/>
        <v>0.5</v>
      </c>
      <c r="DS245" s="2">
        <f t="shared" si="11"/>
        <v>0.45</v>
      </c>
      <c r="DT245" s="15">
        <f t="shared" si="12"/>
        <v>2.25</v>
      </c>
      <c r="DU245" s="2"/>
      <c r="DV245" s="2">
        <f t="shared" si="13"/>
        <v>0</v>
      </c>
      <c r="DW245" s="2"/>
      <c r="DX245" s="2"/>
      <c r="DY245" s="2"/>
      <c r="DZ245" s="2" t="s">
        <v>3</v>
      </c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 t="s">
        <v>3</v>
      </c>
      <c r="FR245" s="2" t="s">
        <v>183</v>
      </c>
      <c r="FS245" s="2" t="s">
        <v>577</v>
      </c>
      <c r="FT245" s="2"/>
      <c r="FU245" s="2"/>
      <c r="FV245" s="2" t="s">
        <v>3</v>
      </c>
    </row>
    <row r="246" spans="1:178" ht="15.75" customHeight="1" x14ac:dyDescent="0.2">
      <c r="A246" s="14" t="s">
        <v>96</v>
      </c>
      <c r="B246" s="2" t="s">
        <v>124</v>
      </c>
      <c r="C246" s="21" t="s">
        <v>678</v>
      </c>
      <c r="D246" s="2" t="s">
        <v>99</v>
      </c>
      <c r="E246" s="2"/>
      <c r="F246" s="2"/>
      <c r="G246" s="2"/>
      <c r="H246" s="2" t="s">
        <v>634</v>
      </c>
      <c r="I246" s="2"/>
      <c r="J246" s="2"/>
      <c r="K246" s="2">
        <v>0</v>
      </c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>
        <v>0.4</v>
      </c>
      <c r="AG246" s="2">
        <v>0.28999999999999998</v>
      </c>
      <c r="AH246" s="2"/>
      <c r="AI246" s="2"/>
      <c r="AJ246" s="2"/>
      <c r="AK246" s="2"/>
      <c r="AL246" s="2"/>
      <c r="AM246" s="2"/>
      <c r="AN246" s="2">
        <v>0.63</v>
      </c>
      <c r="AO246" s="2">
        <v>0.04</v>
      </c>
      <c r="AP246" s="2">
        <v>0.28000000000000003</v>
      </c>
      <c r="AQ246" s="2">
        <v>0.62</v>
      </c>
      <c r="AR246" s="2"/>
      <c r="AS246" s="2"/>
      <c r="AT246" s="2"/>
      <c r="AU246" s="2"/>
      <c r="AV246" s="2"/>
      <c r="AW246" s="2"/>
      <c r="AX246" s="2"/>
      <c r="AY246" s="2"/>
      <c r="AZ246" s="2"/>
      <c r="BA246" s="2">
        <v>0.09</v>
      </c>
      <c r="BB246" s="2">
        <v>0.23</v>
      </c>
      <c r="BC246" s="2"/>
      <c r="BD246" s="2"/>
      <c r="BE246" s="2"/>
      <c r="BF246" s="2"/>
      <c r="BG246" s="2"/>
      <c r="BH246" s="2"/>
      <c r="BI246" s="2">
        <v>0.48</v>
      </c>
      <c r="BJ246" s="2">
        <v>0.03</v>
      </c>
      <c r="BK246" s="2">
        <v>0.21</v>
      </c>
      <c r="BL246" s="2">
        <v>0.42</v>
      </c>
      <c r="BM246" s="2"/>
      <c r="BN246" s="2"/>
      <c r="BO246" s="2"/>
      <c r="BP246" s="2"/>
      <c r="BQ246" s="2"/>
      <c r="BR246" s="2"/>
      <c r="BS246" s="2"/>
      <c r="BT246" s="2"/>
      <c r="BU246" s="2"/>
      <c r="BV246" s="2">
        <v>0</v>
      </c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>
        <v>0</v>
      </c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14" t="s">
        <v>81</v>
      </c>
      <c r="DM246" s="2" t="s">
        <v>81</v>
      </c>
      <c r="DN246" s="2">
        <f t="shared" si="8"/>
        <v>0.60244897959183674</v>
      </c>
      <c r="DO246" s="2">
        <f t="shared" si="9"/>
        <v>3.8163265306122456E-2</v>
      </c>
      <c r="DP246" s="2" t="s">
        <v>675</v>
      </c>
      <c r="DQ246" s="2" t="s">
        <v>3</v>
      </c>
      <c r="DR246" s="2">
        <f t="shared" si="10"/>
        <v>0.49</v>
      </c>
      <c r="DS246" s="4">
        <f t="shared" si="11"/>
        <v>0.60244897959183674</v>
      </c>
      <c r="DT246" s="15">
        <f t="shared" si="12"/>
        <v>2.952</v>
      </c>
      <c r="DU246" s="2"/>
      <c r="DV246" s="2">
        <f t="shared" si="13"/>
        <v>0</v>
      </c>
      <c r="DW246" s="2"/>
      <c r="DX246" s="2"/>
      <c r="DY246" s="2"/>
      <c r="DZ246" s="2" t="s">
        <v>3</v>
      </c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 t="s">
        <v>3</v>
      </c>
      <c r="FR246" s="2" t="s">
        <v>183</v>
      </c>
      <c r="FS246" s="2" t="s">
        <v>577</v>
      </c>
      <c r="FT246" s="2"/>
      <c r="FU246" s="2"/>
      <c r="FV246" s="2" t="s">
        <v>3</v>
      </c>
    </row>
    <row r="247" spans="1:178" ht="15.75" customHeight="1" x14ac:dyDescent="0.2">
      <c r="A247" s="14" t="s">
        <v>96</v>
      </c>
      <c r="B247" s="2" t="s">
        <v>124</v>
      </c>
      <c r="C247" s="21" t="s">
        <v>679</v>
      </c>
      <c r="D247" s="2" t="s">
        <v>99</v>
      </c>
      <c r="E247" s="2"/>
      <c r="F247" s="2"/>
      <c r="G247" s="2"/>
      <c r="H247" s="2" t="s">
        <v>634</v>
      </c>
      <c r="I247" s="2"/>
      <c r="J247" s="2"/>
      <c r="K247" s="2">
        <v>0</v>
      </c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>
        <v>0</v>
      </c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>
        <v>0.17</v>
      </c>
      <c r="BB247" s="2">
        <v>0.01</v>
      </c>
      <c r="BC247" s="2"/>
      <c r="BD247" s="2"/>
      <c r="BE247" s="2"/>
      <c r="BF247" s="2"/>
      <c r="BG247" s="2"/>
      <c r="BH247" s="2"/>
      <c r="BI247" s="2">
        <v>0.66</v>
      </c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>
        <v>0</v>
      </c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>
        <v>0</v>
      </c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14" t="s">
        <v>81</v>
      </c>
      <c r="DM247" s="2"/>
      <c r="DN247" s="2">
        <f t="shared" si="8"/>
        <v>0.66</v>
      </c>
      <c r="DO247" s="2">
        <f t="shared" si="9"/>
        <v>0</v>
      </c>
      <c r="DP247" s="2" t="s">
        <v>675</v>
      </c>
      <c r="DQ247" s="2" t="s">
        <v>3</v>
      </c>
      <c r="DR247" s="2">
        <f t="shared" si="10"/>
        <v>0.17</v>
      </c>
      <c r="DS247" s="2">
        <f t="shared" si="11"/>
        <v>0.66</v>
      </c>
      <c r="DT247" s="15">
        <f t="shared" si="12"/>
        <v>1.1220000000000001</v>
      </c>
      <c r="DU247" s="2"/>
      <c r="DV247" s="2">
        <f t="shared" si="13"/>
        <v>0</v>
      </c>
      <c r="DW247" s="2"/>
      <c r="DX247" s="2"/>
      <c r="DY247" s="2"/>
      <c r="DZ247" s="2" t="s">
        <v>3</v>
      </c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 t="s">
        <v>3</v>
      </c>
      <c r="FR247" s="2" t="s">
        <v>183</v>
      </c>
      <c r="FS247" s="2" t="s">
        <v>577</v>
      </c>
      <c r="FT247" s="2"/>
      <c r="FU247" s="2"/>
      <c r="FV247" s="2" t="s">
        <v>3</v>
      </c>
    </row>
    <row r="248" spans="1:178" ht="15.75" customHeight="1" x14ac:dyDescent="0.2">
      <c r="A248" s="14" t="s">
        <v>96</v>
      </c>
      <c r="B248" s="2" t="s">
        <v>124</v>
      </c>
      <c r="C248" s="21" t="s">
        <v>680</v>
      </c>
      <c r="D248" s="2" t="s">
        <v>99</v>
      </c>
      <c r="E248" s="2"/>
      <c r="F248" s="2"/>
      <c r="G248" s="2"/>
      <c r="H248" s="2" t="s">
        <v>634</v>
      </c>
      <c r="I248" s="2"/>
      <c r="J248" s="2"/>
      <c r="K248" s="2">
        <v>0</v>
      </c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4">
        <v>7.5024829999999998</v>
      </c>
      <c r="AG248" s="2">
        <v>0.02</v>
      </c>
      <c r="AH248" s="2"/>
      <c r="AI248" s="2"/>
      <c r="AJ248" s="2"/>
      <c r="AK248" s="2"/>
      <c r="AL248" s="2"/>
      <c r="AM248" s="2"/>
      <c r="AN248" s="2">
        <v>0.32</v>
      </c>
      <c r="AO248" s="2">
        <v>0.01</v>
      </c>
      <c r="AP248" s="2">
        <v>7.0000000000000007E-2</v>
      </c>
      <c r="AQ248" s="2">
        <v>0.15</v>
      </c>
      <c r="AR248" s="2"/>
      <c r="AS248" s="2"/>
      <c r="AT248" s="2"/>
      <c r="AU248" s="2"/>
      <c r="AV248" s="2"/>
      <c r="AW248" s="2"/>
      <c r="AX248" s="2"/>
      <c r="AY248" s="2"/>
      <c r="AZ248" s="2"/>
      <c r="BA248" s="19">
        <v>0.73888299999999996</v>
      </c>
      <c r="BB248" s="2">
        <v>0.02</v>
      </c>
      <c r="BC248" s="2"/>
      <c r="BD248" s="2"/>
      <c r="BE248" s="2"/>
      <c r="BF248" s="2"/>
      <c r="BG248" s="2"/>
      <c r="BH248" s="2"/>
      <c r="BI248" s="2">
        <v>0.27</v>
      </c>
      <c r="BJ248" s="2">
        <v>0.01</v>
      </c>
      <c r="BK248" s="2">
        <v>7.0000000000000007E-2</v>
      </c>
      <c r="BL248" s="2">
        <v>0.11</v>
      </c>
      <c r="BM248" s="2"/>
      <c r="BN248" s="2"/>
      <c r="BO248" s="2"/>
      <c r="BP248" s="2"/>
      <c r="BQ248" s="2"/>
      <c r="BR248" s="2"/>
      <c r="BS248" s="2"/>
      <c r="BT248" s="2"/>
      <c r="BU248" s="2"/>
      <c r="BV248" s="2">
        <v>0</v>
      </c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>
        <v>0</v>
      </c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14" t="s">
        <v>81</v>
      </c>
      <c r="DM248" s="2"/>
      <c r="DN248" s="2">
        <f t="shared" si="8"/>
        <v>0.3155172297893335</v>
      </c>
      <c r="DO248" s="2">
        <f t="shared" si="9"/>
        <v>0.01</v>
      </c>
      <c r="DP248" s="2" t="s">
        <v>681</v>
      </c>
      <c r="DQ248" s="2" t="s">
        <v>3</v>
      </c>
      <c r="DR248" s="19">
        <f t="shared" si="10"/>
        <v>8.2413659999999993</v>
      </c>
      <c r="DS248" s="4">
        <f t="shared" si="11"/>
        <v>0.3155172297893335</v>
      </c>
      <c r="DT248" s="15">
        <f t="shared" si="12"/>
        <v>26.002929700000003</v>
      </c>
      <c r="DU248" s="2"/>
      <c r="DV248" s="2">
        <f t="shared" si="13"/>
        <v>0</v>
      </c>
      <c r="DW248" s="2"/>
      <c r="DX248" s="2"/>
      <c r="DY248" s="2"/>
      <c r="DZ248" s="2" t="s">
        <v>3</v>
      </c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 t="s">
        <v>3</v>
      </c>
      <c r="FR248" s="2" t="s">
        <v>183</v>
      </c>
      <c r="FS248" s="2" t="s">
        <v>577</v>
      </c>
      <c r="FT248" s="2"/>
      <c r="FU248" s="2"/>
      <c r="FV248" s="2" t="s">
        <v>3</v>
      </c>
    </row>
    <row r="249" spans="1:178" ht="15.75" customHeight="1" x14ac:dyDescent="0.2">
      <c r="A249" s="12" t="s">
        <v>74</v>
      </c>
      <c r="B249" s="2" t="s">
        <v>411</v>
      </c>
      <c r="C249" s="13" t="s">
        <v>682</v>
      </c>
      <c r="D249" s="2" t="s">
        <v>99</v>
      </c>
      <c r="E249" s="2"/>
      <c r="F249" s="2"/>
      <c r="G249" s="2"/>
      <c r="H249" s="2" t="s">
        <v>79</v>
      </c>
      <c r="I249" s="2"/>
      <c r="J249" s="2"/>
      <c r="K249" s="2">
        <v>0</v>
      </c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>
        <v>0</v>
      </c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15">
        <v>81.056000000000012</v>
      </c>
      <c r="BB249" s="2"/>
      <c r="BC249" s="2"/>
      <c r="BD249" s="2"/>
      <c r="BE249" s="2"/>
      <c r="BF249" s="2"/>
      <c r="BG249" s="2"/>
      <c r="BH249" s="2"/>
      <c r="BI249" s="4">
        <v>1.0129362416107379</v>
      </c>
      <c r="BJ249" s="4">
        <v>5.0084386103434651E-2</v>
      </c>
      <c r="BK249" s="2"/>
      <c r="BL249" s="2"/>
      <c r="BM249" s="2"/>
      <c r="BN249" s="2"/>
      <c r="BO249" s="2"/>
      <c r="BP249" s="15">
        <v>25.75900241808132</v>
      </c>
      <c r="BQ249" s="15">
        <v>35.027782027240427</v>
      </c>
      <c r="BR249" s="2"/>
      <c r="BS249" s="2"/>
      <c r="BT249" s="2"/>
      <c r="BU249" s="2"/>
      <c r="BV249" s="2">
        <v>0</v>
      </c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>
        <v>0</v>
      </c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14" t="s">
        <v>100</v>
      </c>
      <c r="DM249" s="14" t="s">
        <v>100</v>
      </c>
      <c r="DN249" s="2">
        <f t="shared" si="8"/>
        <v>1.0129362416107379</v>
      </c>
      <c r="DO249" s="2">
        <f t="shared" si="9"/>
        <v>5.0084386103434651E-2</v>
      </c>
      <c r="DP249" s="2" t="s">
        <v>413</v>
      </c>
      <c r="DQ249" s="2" t="s">
        <v>3</v>
      </c>
      <c r="DR249" s="4">
        <f t="shared" si="10"/>
        <v>81.056000000000012</v>
      </c>
      <c r="DS249" s="4">
        <f t="shared" si="11"/>
        <v>1.0129362416107379</v>
      </c>
      <c r="DT249" s="15">
        <f t="shared" si="12"/>
        <v>821.04559999999981</v>
      </c>
      <c r="DU249" s="2"/>
      <c r="DV249" s="2">
        <f t="shared" si="13"/>
        <v>0</v>
      </c>
      <c r="DW249" s="2"/>
      <c r="DX249" s="2"/>
      <c r="DY249" s="2"/>
      <c r="DZ249" s="2" t="s">
        <v>3</v>
      </c>
      <c r="EA249" s="2" t="s">
        <v>411</v>
      </c>
      <c r="EB249" s="2" t="s">
        <v>176</v>
      </c>
      <c r="EC249" s="15">
        <v>228.31008</v>
      </c>
      <c r="ED249" s="2" t="s">
        <v>176</v>
      </c>
      <c r="EE249" s="15">
        <v>27.751000000000001</v>
      </c>
      <c r="EF249" s="2" t="s">
        <v>176</v>
      </c>
      <c r="EG249" s="3">
        <v>1675.1352000000002</v>
      </c>
      <c r="EH249" s="2"/>
      <c r="EI249" s="3">
        <f>EG249-EE249</f>
        <v>1647.3842000000002</v>
      </c>
      <c r="EJ249" s="2"/>
      <c r="EK249" s="3">
        <f>ET249</f>
        <v>2130.4755999999998</v>
      </c>
      <c r="EL249" s="3">
        <f>EC249+FD249</f>
        <v>2358.78568</v>
      </c>
      <c r="EM249" s="2" t="s">
        <v>411</v>
      </c>
      <c r="EN249" s="2" t="s">
        <v>176</v>
      </c>
      <c r="EO249" s="2" t="s">
        <v>176</v>
      </c>
      <c r="EP249" s="2" t="s">
        <v>176</v>
      </c>
      <c r="EQ249" s="2" t="s">
        <v>176</v>
      </c>
      <c r="ER249" s="15">
        <f>SUM(DR249:DR251)</f>
        <v>257.08600000000001</v>
      </c>
      <c r="ES249" s="4">
        <f>100*(ET249/1000)/ER249</f>
        <v>0.82870152400364061</v>
      </c>
      <c r="ET249" s="3">
        <f>SUM(DT249:DT251)</f>
        <v>2130.4755999999998</v>
      </c>
      <c r="EU249" s="2">
        <f>COUNT(DT249:DT251)</f>
        <v>3</v>
      </c>
      <c r="EV249" s="2" t="s">
        <v>176</v>
      </c>
      <c r="EW249" s="2" t="s">
        <v>176</v>
      </c>
      <c r="EX249" s="2" t="s">
        <v>176</v>
      </c>
      <c r="EY249" s="2" t="s">
        <v>176</v>
      </c>
      <c r="EZ249" s="2" t="s">
        <v>176</v>
      </c>
      <c r="FA249" s="2" t="s">
        <v>176</v>
      </c>
      <c r="FB249" s="2" t="s">
        <v>176</v>
      </c>
      <c r="FC249" s="2" t="s">
        <v>176</v>
      </c>
      <c r="FD249" s="3">
        <f>SUM(EP249,ET249,EX249,FB249)</f>
        <v>2130.4755999999998</v>
      </c>
      <c r="FE249" s="2" t="s">
        <v>176</v>
      </c>
      <c r="FF249" s="2" t="s">
        <v>176</v>
      </c>
      <c r="FG249" s="2" t="s">
        <v>176</v>
      </c>
      <c r="FH249" s="2" t="s">
        <v>176</v>
      </c>
      <c r="FI249" s="2" t="s">
        <v>176</v>
      </c>
      <c r="FJ249" s="2" t="s">
        <v>176</v>
      </c>
      <c r="FK249" s="2" t="s">
        <v>176</v>
      </c>
      <c r="FL249" s="2" t="s">
        <v>176</v>
      </c>
      <c r="FM249" s="2" t="s">
        <v>176</v>
      </c>
      <c r="FN249" s="2" t="s">
        <v>176</v>
      </c>
      <c r="FO249" s="2" t="s">
        <v>176</v>
      </c>
      <c r="FP249" s="2" t="s">
        <v>411</v>
      </c>
      <c r="FQ249" s="2" t="s">
        <v>3</v>
      </c>
      <c r="FR249" s="2" t="s">
        <v>37</v>
      </c>
      <c r="FS249" s="2" t="s">
        <v>414</v>
      </c>
      <c r="FT249" s="2" t="s">
        <v>414</v>
      </c>
      <c r="FU249" s="2"/>
      <c r="FV249" s="2" t="s">
        <v>3</v>
      </c>
    </row>
    <row r="250" spans="1:178" ht="15.75" customHeight="1" x14ac:dyDescent="0.2">
      <c r="A250" s="14" t="s">
        <v>96</v>
      </c>
      <c r="B250" s="2" t="s">
        <v>97</v>
      </c>
      <c r="C250" s="16" t="s">
        <v>683</v>
      </c>
      <c r="D250" s="2" t="s">
        <v>99</v>
      </c>
      <c r="E250" s="2"/>
      <c r="F250" s="2"/>
      <c r="G250" s="2"/>
      <c r="H250" s="2" t="s">
        <v>79</v>
      </c>
      <c r="I250" s="2"/>
      <c r="J250" s="2"/>
      <c r="K250" s="2">
        <v>0</v>
      </c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>
        <v>0</v>
      </c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>
        <v>20.83</v>
      </c>
      <c r="BB250" s="2">
        <v>0.26</v>
      </c>
      <c r="BC250" s="2"/>
      <c r="BD250" s="2"/>
      <c r="BE250" s="2"/>
      <c r="BF250" s="2"/>
      <c r="BG250" s="2"/>
      <c r="BH250" s="2"/>
      <c r="BI250" s="2">
        <v>0.7</v>
      </c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>
        <v>0</v>
      </c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>
        <v>0</v>
      </c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14" t="s">
        <v>81</v>
      </c>
      <c r="DM250" s="2"/>
      <c r="DN250" s="2">
        <f t="shared" si="8"/>
        <v>0.7</v>
      </c>
      <c r="DO250" s="2">
        <f t="shared" si="9"/>
        <v>0</v>
      </c>
      <c r="DP250" s="2" t="s">
        <v>132</v>
      </c>
      <c r="DQ250" s="2" t="s">
        <v>3</v>
      </c>
      <c r="DR250" s="2">
        <f t="shared" si="10"/>
        <v>20.83</v>
      </c>
      <c r="DS250" s="2">
        <f t="shared" si="11"/>
        <v>0.7</v>
      </c>
      <c r="DT250" s="15">
        <f t="shared" si="12"/>
        <v>145.80999999999997</v>
      </c>
      <c r="DU250" s="2"/>
      <c r="DV250" s="2">
        <f t="shared" si="13"/>
        <v>0</v>
      </c>
      <c r="DW250" s="2"/>
      <c r="DX250" s="2"/>
      <c r="DY250" s="2"/>
      <c r="DZ250" s="2" t="s">
        <v>3</v>
      </c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 t="s">
        <v>3</v>
      </c>
      <c r="FR250" s="2" t="s">
        <v>89</v>
      </c>
      <c r="FS250" s="2" t="s">
        <v>123</v>
      </c>
      <c r="FT250" s="2"/>
      <c r="FU250" s="2"/>
      <c r="FV250" s="2" t="s">
        <v>3</v>
      </c>
    </row>
    <row r="251" spans="1:178" ht="15.75" customHeight="1" x14ac:dyDescent="0.2">
      <c r="A251" s="14" t="s">
        <v>96</v>
      </c>
      <c r="B251" s="2" t="s">
        <v>97</v>
      </c>
      <c r="C251" s="21" t="s">
        <v>684</v>
      </c>
      <c r="D251" s="2" t="s">
        <v>99</v>
      </c>
      <c r="E251" s="2"/>
      <c r="F251" s="2"/>
      <c r="G251" s="2"/>
      <c r="H251" s="2" t="s">
        <v>685</v>
      </c>
      <c r="I251" s="2"/>
      <c r="J251" s="2"/>
      <c r="K251" s="2">
        <v>11.2</v>
      </c>
      <c r="L251" s="2">
        <v>0.18</v>
      </c>
      <c r="M251" s="2"/>
      <c r="N251" s="2"/>
      <c r="O251" s="2"/>
      <c r="P251" s="2"/>
      <c r="Q251" s="2"/>
      <c r="R251" s="2"/>
      <c r="S251" s="2">
        <v>0.71</v>
      </c>
      <c r="T251" s="2">
        <v>1.0999999999999999E-2</v>
      </c>
      <c r="U251" s="2">
        <v>0.23</v>
      </c>
      <c r="V251" s="2">
        <v>0.26</v>
      </c>
      <c r="W251" s="2"/>
      <c r="X251" s="2"/>
      <c r="Y251" s="2"/>
      <c r="Z251" s="2"/>
      <c r="AA251" s="2"/>
      <c r="AB251" s="2"/>
      <c r="AC251" s="2"/>
      <c r="AD251" s="2"/>
      <c r="AE251" s="2"/>
      <c r="AF251" s="15">
        <v>107</v>
      </c>
      <c r="AG251" s="4">
        <v>0.2</v>
      </c>
      <c r="AH251" s="2"/>
      <c r="AI251" s="2"/>
      <c r="AJ251" s="2"/>
      <c r="AK251" s="2"/>
      <c r="AL251" s="2"/>
      <c r="AM251" s="2"/>
      <c r="AN251" s="2">
        <v>0.74</v>
      </c>
      <c r="AO251" s="2">
        <v>1.4999999999999999E-2</v>
      </c>
      <c r="AP251" s="2">
        <v>0.15</v>
      </c>
      <c r="AQ251" s="2">
        <v>0.15</v>
      </c>
      <c r="AR251" s="2"/>
      <c r="AS251" s="2"/>
      <c r="AT251" s="2"/>
      <c r="AU251" s="2"/>
      <c r="AV251" s="2"/>
      <c r="AW251" s="2"/>
      <c r="AX251" s="2"/>
      <c r="AY251" s="2"/>
      <c r="AZ251" s="2"/>
      <c r="BA251" s="15">
        <v>37</v>
      </c>
      <c r="BB251" s="2">
        <v>0.22</v>
      </c>
      <c r="BC251" s="2"/>
      <c r="BD251" s="2"/>
      <c r="BE251" s="2"/>
      <c r="BF251" s="2"/>
      <c r="BG251" s="2"/>
      <c r="BH251" s="2"/>
      <c r="BI251" s="2">
        <v>0.79</v>
      </c>
      <c r="BJ251" s="2">
        <v>1.7000000000000001E-2</v>
      </c>
      <c r="BK251" s="2">
        <v>0.17</v>
      </c>
      <c r="BL251" s="2">
        <v>0.18</v>
      </c>
      <c r="BM251" s="2"/>
      <c r="BN251" s="2"/>
      <c r="BO251" s="2"/>
      <c r="BP251" s="2"/>
      <c r="BQ251" s="2"/>
      <c r="BR251" s="2"/>
      <c r="BS251" s="2"/>
      <c r="BT251" s="2"/>
      <c r="BU251" s="2"/>
      <c r="BV251" s="2">
        <v>0</v>
      </c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15">
        <f>44.5+31.7+12.8</f>
        <v>89</v>
      </c>
      <c r="CR251" s="4">
        <f>(0.19*44.5+0.19*31.7+0.18*12.8)/CQ251</f>
        <v>0.18856179775280899</v>
      </c>
      <c r="CS251" s="2"/>
      <c r="CT251" s="2"/>
      <c r="CU251" s="2"/>
      <c r="CV251" s="2"/>
      <c r="CW251" s="2"/>
      <c r="CX251" s="2"/>
      <c r="CY251" s="4">
        <f>(0.75*44.5+0.79*31.7+0.63*12.8)/CQ251</f>
        <v>0.74698876404494385</v>
      </c>
      <c r="CZ251" s="2">
        <v>1.4999999999999999E-2</v>
      </c>
      <c r="DA251" s="2">
        <v>0.15</v>
      </c>
      <c r="DB251" s="2">
        <v>0.15</v>
      </c>
      <c r="DC251" s="2"/>
      <c r="DD251" s="2"/>
      <c r="DE251" s="2"/>
      <c r="DF251" s="2"/>
      <c r="DG251" s="2"/>
      <c r="DH251" s="2"/>
      <c r="DI251" s="2"/>
      <c r="DJ251" s="2"/>
      <c r="DK251" s="2"/>
      <c r="DL251" s="14" t="s">
        <v>81</v>
      </c>
      <c r="DM251" s="2" t="s">
        <v>81</v>
      </c>
      <c r="DN251" s="2">
        <f t="shared" si="8"/>
        <v>0.7497551546391753</v>
      </c>
      <c r="DO251" s="2">
        <f t="shared" si="9"/>
        <v>1.5188144329896907E-2</v>
      </c>
      <c r="DP251" s="2" t="s">
        <v>211</v>
      </c>
      <c r="DQ251" s="2" t="s">
        <v>3</v>
      </c>
      <c r="DR251" s="15">
        <f t="shared" si="10"/>
        <v>155.19999999999999</v>
      </c>
      <c r="DS251" s="4">
        <f t="shared" si="11"/>
        <v>0.7497551546391753</v>
      </c>
      <c r="DT251" s="18">
        <f t="shared" si="12"/>
        <v>1163.6199999999999</v>
      </c>
      <c r="DU251" s="2"/>
      <c r="DV251" s="15">
        <f t="shared" si="13"/>
        <v>89</v>
      </c>
      <c r="DW251" s="4">
        <f>(BV251*CD251+CQ251*CY251)/DV251</f>
        <v>0.74698876404494385</v>
      </c>
      <c r="DX251" s="15">
        <f>1000*DV251*DW251/100</f>
        <v>664.82</v>
      </c>
      <c r="DY251" s="2"/>
      <c r="DZ251" s="2" t="s">
        <v>3</v>
      </c>
      <c r="EA251" s="2" t="s">
        <v>97</v>
      </c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 t="s">
        <v>97</v>
      </c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 t="s">
        <v>97</v>
      </c>
      <c r="FQ251" s="2" t="s">
        <v>3</v>
      </c>
      <c r="FR251" s="2" t="s">
        <v>183</v>
      </c>
      <c r="FS251" s="2" t="s">
        <v>686</v>
      </c>
      <c r="FT251" s="2"/>
      <c r="FU251" s="2"/>
      <c r="FV251" s="2" t="s">
        <v>3</v>
      </c>
    </row>
    <row r="252" spans="1:178" ht="15.75" customHeight="1" x14ac:dyDescent="0.2">
      <c r="A252" s="14" t="s">
        <v>74</v>
      </c>
      <c r="B252" s="2" t="s">
        <v>164</v>
      </c>
      <c r="C252" s="13" t="s">
        <v>687</v>
      </c>
      <c r="D252" s="2" t="s">
        <v>99</v>
      </c>
      <c r="E252" s="2"/>
      <c r="F252" s="2"/>
      <c r="G252" s="2" t="s">
        <v>78</v>
      </c>
      <c r="H252" s="2" t="s">
        <v>309</v>
      </c>
      <c r="I252" s="2"/>
      <c r="J252" s="2" t="s">
        <v>80</v>
      </c>
      <c r="K252" s="2">
        <v>0</v>
      </c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>
        <v>0</v>
      </c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>
        <v>0.5</v>
      </c>
      <c r="BB252" s="2"/>
      <c r="BC252" s="2"/>
      <c r="BD252" s="2"/>
      <c r="BE252" s="2"/>
      <c r="BF252" s="2"/>
      <c r="BG252" s="2"/>
      <c r="BH252" s="2"/>
      <c r="BI252" s="2">
        <v>0.75</v>
      </c>
      <c r="BJ252" s="2">
        <v>0.04</v>
      </c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>
        <v>0</v>
      </c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>
        <v>0</v>
      </c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14" t="s">
        <v>81</v>
      </c>
      <c r="DM252" s="2" t="s">
        <v>81</v>
      </c>
      <c r="DN252" s="2">
        <f t="shared" si="8"/>
        <v>0.75</v>
      </c>
      <c r="DO252" s="2">
        <f t="shared" si="9"/>
        <v>0.04</v>
      </c>
      <c r="DP252" s="2" t="s">
        <v>175</v>
      </c>
      <c r="DQ252" s="2" t="s">
        <v>3</v>
      </c>
      <c r="DR252" s="2">
        <f t="shared" si="10"/>
        <v>0.5</v>
      </c>
      <c r="DS252" s="2">
        <f t="shared" si="11"/>
        <v>0.75</v>
      </c>
      <c r="DT252" s="15">
        <f t="shared" si="12"/>
        <v>3.75</v>
      </c>
      <c r="DU252" s="2"/>
      <c r="DV252" s="2">
        <f t="shared" si="13"/>
        <v>0</v>
      </c>
      <c r="DW252" s="2"/>
      <c r="DX252" s="2"/>
      <c r="DY252" s="2"/>
      <c r="DZ252" s="2" t="s">
        <v>3</v>
      </c>
      <c r="EA252" s="2" t="s">
        <v>185</v>
      </c>
      <c r="EB252" s="2" t="s">
        <v>176</v>
      </c>
      <c r="EC252" s="15">
        <v>20.742999999999999</v>
      </c>
      <c r="ED252" s="2" t="s">
        <v>176</v>
      </c>
      <c r="EE252" s="2" t="s">
        <v>176</v>
      </c>
      <c r="EF252" s="2" t="s">
        <v>176</v>
      </c>
      <c r="EG252" s="3">
        <v>1910.1000000000004</v>
      </c>
      <c r="EH252" s="2"/>
      <c r="EI252" s="3">
        <v>1910.1000000000004</v>
      </c>
      <c r="EJ252" s="2"/>
      <c r="EK252" s="3">
        <f t="shared" ref="EK252:EK253" si="43">ET252</f>
        <v>0</v>
      </c>
      <c r="EL252" s="3">
        <f t="shared" ref="EL252:EL253" si="44">EC252+FD252</f>
        <v>20.742999999999999</v>
      </c>
      <c r="EM252" s="2" t="s">
        <v>185</v>
      </c>
      <c r="EN252" s="2" t="s">
        <v>176</v>
      </c>
      <c r="EO252" s="2" t="s">
        <v>176</v>
      </c>
      <c r="EP252" s="2" t="s">
        <v>176</v>
      </c>
      <c r="EQ252" s="2" t="s">
        <v>176</v>
      </c>
      <c r="ER252" s="15">
        <f>SUM(DR711:DR714)</f>
        <v>0</v>
      </c>
      <c r="ES252" s="4" t="e">
        <f t="shared" ref="ES252:ES253" si="45">100*(ET252/1000)/ER252</f>
        <v>#DIV/0!</v>
      </c>
      <c r="ET252" s="3">
        <f>SUM(DT711:DT714)</f>
        <v>0</v>
      </c>
      <c r="EU252" s="2">
        <f>COUNT(DT711:DT714)</f>
        <v>0</v>
      </c>
      <c r="EV252" s="2" t="s">
        <v>176</v>
      </c>
      <c r="EW252" s="2" t="s">
        <v>176</v>
      </c>
      <c r="EX252" s="2" t="s">
        <v>176</v>
      </c>
      <c r="EY252" s="2" t="s">
        <v>176</v>
      </c>
      <c r="EZ252" s="2" t="s">
        <v>176</v>
      </c>
      <c r="FA252" s="2" t="s">
        <v>176</v>
      </c>
      <c r="FB252" s="2" t="s">
        <v>176</v>
      </c>
      <c r="FC252" s="2" t="s">
        <v>176</v>
      </c>
      <c r="FD252" s="3">
        <f t="shared" ref="FD252:FD253" si="46">SUM(EP252,ET252,EX252,FB252)</f>
        <v>0</v>
      </c>
      <c r="FE252" s="2" t="s">
        <v>176</v>
      </c>
      <c r="FF252" s="2" t="s">
        <v>176</v>
      </c>
      <c r="FG252" s="2" t="s">
        <v>176</v>
      </c>
      <c r="FH252" s="2" t="s">
        <v>176</v>
      </c>
      <c r="FI252" s="2" t="s">
        <v>176</v>
      </c>
      <c r="FJ252" s="2" t="s">
        <v>176</v>
      </c>
      <c r="FK252" s="2" t="s">
        <v>176</v>
      </c>
      <c r="FL252" s="2" t="s">
        <v>176</v>
      </c>
      <c r="FM252" s="2" t="s">
        <v>176</v>
      </c>
      <c r="FN252" s="2" t="s">
        <v>176</v>
      </c>
      <c r="FO252" s="2" t="s">
        <v>176</v>
      </c>
      <c r="FP252" s="2" t="s">
        <v>185</v>
      </c>
      <c r="FQ252" s="2" t="s">
        <v>3</v>
      </c>
      <c r="FR252" s="2" t="s">
        <v>37</v>
      </c>
      <c r="FS252" s="2" t="s">
        <v>244</v>
      </c>
      <c r="FT252" s="2" t="s">
        <v>208</v>
      </c>
      <c r="FU252" s="2"/>
      <c r="FV252" s="2" t="s">
        <v>3</v>
      </c>
    </row>
    <row r="253" spans="1:178" ht="15.75" customHeight="1" x14ac:dyDescent="0.2">
      <c r="A253" s="14" t="s">
        <v>74</v>
      </c>
      <c r="B253" s="2" t="s">
        <v>164</v>
      </c>
      <c r="C253" s="13" t="s">
        <v>688</v>
      </c>
      <c r="D253" s="2" t="s">
        <v>99</v>
      </c>
      <c r="E253" s="2"/>
      <c r="F253" s="2"/>
      <c r="G253" s="2" t="s">
        <v>78</v>
      </c>
      <c r="H253" s="2" t="s">
        <v>689</v>
      </c>
      <c r="I253" s="2"/>
      <c r="J253" s="2" t="s">
        <v>80</v>
      </c>
      <c r="K253" s="2">
        <v>0</v>
      </c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>
        <v>10.4</v>
      </c>
      <c r="AG253" s="2"/>
      <c r="AH253" s="2"/>
      <c r="AI253" s="2"/>
      <c r="AJ253" s="2"/>
      <c r="AK253" s="2"/>
      <c r="AL253" s="2"/>
      <c r="AM253" s="2"/>
      <c r="AN253" s="2">
        <v>0.76</v>
      </c>
      <c r="AO253" s="19">
        <v>0.05</v>
      </c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>
        <v>4.2</v>
      </c>
      <c r="BB253" s="2"/>
      <c r="BC253" s="2"/>
      <c r="BD253" s="2"/>
      <c r="BE253" s="2"/>
      <c r="BF253" s="2"/>
      <c r="BG253" s="2"/>
      <c r="BH253" s="2"/>
      <c r="BI253" s="2">
        <v>0.74</v>
      </c>
      <c r="BJ253" s="2">
        <v>4.7E-2</v>
      </c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>
        <v>0</v>
      </c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>
        <v>0</v>
      </c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14" t="s">
        <v>81</v>
      </c>
      <c r="DM253" s="2" t="s">
        <v>81</v>
      </c>
      <c r="DN253" s="2">
        <f t="shared" si="8"/>
        <v>0.75424657534246575</v>
      </c>
      <c r="DO253" s="2">
        <f t="shared" si="9"/>
        <v>4.913698630136986E-2</v>
      </c>
      <c r="DP253" s="2" t="s">
        <v>211</v>
      </c>
      <c r="DQ253" s="2" t="s">
        <v>3</v>
      </c>
      <c r="DR253" s="2">
        <f t="shared" si="10"/>
        <v>14.600000000000001</v>
      </c>
      <c r="DS253" s="4">
        <f t="shared" si="11"/>
        <v>0.75424657534246575</v>
      </c>
      <c r="DT253" s="15">
        <f t="shared" si="12"/>
        <v>110.12000000000002</v>
      </c>
      <c r="DU253" s="2"/>
      <c r="DV253" s="2">
        <f t="shared" si="13"/>
        <v>0</v>
      </c>
      <c r="DW253" s="2"/>
      <c r="DX253" s="2"/>
      <c r="DY253" s="2"/>
      <c r="DZ253" s="2" t="s">
        <v>3</v>
      </c>
      <c r="EA253" s="2" t="s">
        <v>469</v>
      </c>
      <c r="EB253" s="2" t="s">
        <v>176</v>
      </c>
      <c r="EC253" s="15">
        <v>155.511</v>
      </c>
      <c r="ED253" s="2" t="s">
        <v>176</v>
      </c>
      <c r="EE253" s="15">
        <v>155.511</v>
      </c>
      <c r="EF253" s="2" t="s">
        <v>176</v>
      </c>
      <c r="EG253" s="3">
        <v>4298.82</v>
      </c>
      <c r="EH253" s="2"/>
      <c r="EI253" s="3">
        <f>EG253-EE253</f>
        <v>4143.3089999999993</v>
      </c>
      <c r="EJ253" s="2"/>
      <c r="EK253" s="3">
        <f t="shared" si="43"/>
        <v>0</v>
      </c>
      <c r="EL253" s="3">
        <f t="shared" si="44"/>
        <v>155.511</v>
      </c>
      <c r="EM253" s="2" t="s">
        <v>469</v>
      </c>
      <c r="EN253" s="2" t="s">
        <v>176</v>
      </c>
      <c r="EO253" s="2" t="s">
        <v>176</v>
      </c>
      <c r="EP253" s="2" t="s">
        <v>176</v>
      </c>
      <c r="EQ253" s="2" t="s">
        <v>176</v>
      </c>
      <c r="ER253" s="15">
        <f>SUM(DR658:DR663)</f>
        <v>0</v>
      </c>
      <c r="ES253" s="4" t="e">
        <f t="shared" si="45"/>
        <v>#DIV/0!</v>
      </c>
      <c r="ET253" s="3">
        <f>SUM(DT658:DT663)</f>
        <v>0</v>
      </c>
      <c r="EU253" s="2">
        <f>COUNT(DT658:DT663)</f>
        <v>0</v>
      </c>
      <c r="EV253" s="2" t="s">
        <v>176</v>
      </c>
      <c r="EW253" s="2" t="s">
        <v>176</v>
      </c>
      <c r="EX253" s="2" t="s">
        <v>176</v>
      </c>
      <c r="EY253" s="2" t="s">
        <v>176</v>
      </c>
      <c r="EZ253" s="2" t="s">
        <v>176</v>
      </c>
      <c r="FA253" s="2" t="s">
        <v>176</v>
      </c>
      <c r="FB253" s="2" t="s">
        <v>176</v>
      </c>
      <c r="FC253" s="2" t="s">
        <v>176</v>
      </c>
      <c r="FD253" s="3">
        <f t="shared" si="46"/>
        <v>0</v>
      </c>
      <c r="FE253" s="2" t="s">
        <v>176</v>
      </c>
      <c r="FF253" s="2" t="s">
        <v>176</v>
      </c>
      <c r="FG253" s="2" t="s">
        <v>176</v>
      </c>
      <c r="FH253" s="2" t="s">
        <v>176</v>
      </c>
      <c r="FI253" s="15">
        <f>SUM(DV658:DV663)</f>
        <v>0</v>
      </c>
      <c r="FJ253" s="4" t="e">
        <f>100*(FK253/1000)/FI253</f>
        <v>#DIV/0!</v>
      </c>
      <c r="FK253" s="3">
        <f>SUM(DX658:DX663)</f>
        <v>0</v>
      </c>
      <c r="FL253" s="2">
        <f>COUNT(DX658:DX663)</f>
        <v>0</v>
      </c>
      <c r="FM253" s="2" t="s">
        <v>176</v>
      </c>
      <c r="FN253" s="2" t="s">
        <v>176</v>
      </c>
      <c r="FO253" s="15">
        <f>SUM(FG253,FK253,FM253,FN253)</f>
        <v>0</v>
      </c>
      <c r="FP253" s="2" t="s">
        <v>469</v>
      </c>
      <c r="FQ253" s="2" t="s">
        <v>3</v>
      </c>
      <c r="FR253" s="2" t="s">
        <v>37</v>
      </c>
      <c r="FS253" s="2" t="s">
        <v>244</v>
      </c>
      <c r="FT253" s="2" t="s">
        <v>208</v>
      </c>
      <c r="FU253" s="2"/>
      <c r="FV253" s="2" t="s">
        <v>3</v>
      </c>
    </row>
    <row r="254" spans="1:178" ht="15.75" customHeight="1" x14ac:dyDescent="0.2">
      <c r="A254" s="14" t="s">
        <v>96</v>
      </c>
      <c r="B254" s="2" t="s">
        <v>124</v>
      </c>
      <c r="C254" s="16" t="s">
        <v>690</v>
      </c>
      <c r="D254" s="2" t="s">
        <v>99</v>
      </c>
      <c r="E254" s="2"/>
      <c r="F254" s="2"/>
      <c r="G254" s="2"/>
      <c r="H254" s="2" t="s">
        <v>79</v>
      </c>
      <c r="I254" s="2"/>
      <c r="J254" s="2"/>
      <c r="K254" s="2">
        <v>0</v>
      </c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>
        <v>0</v>
      </c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>
        <f>6.975+0.026</f>
        <v>7.0009999999999994</v>
      </c>
      <c r="BB254" s="4">
        <f>(0.38*6.975+0.36*0.026)/BA254</f>
        <v>0.37992572489644338</v>
      </c>
      <c r="BC254" s="2">
        <f>(0.2*6.975+0.2*0.026)/BA254</f>
        <v>0.20000000000000004</v>
      </c>
      <c r="BD254" s="2"/>
      <c r="BE254" s="2"/>
      <c r="BF254" s="2"/>
      <c r="BG254" s="2"/>
      <c r="BH254" s="2"/>
      <c r="BI254" s="4">
        <f>(0.24*6.975+0.24*0.026)/BA254</f>
        <v>0.24000000000000002</v>
      </c>
      <c r="BJ254" s="2"/>
      <c r="BK254" s="2">
        <f>(0.2*6.975+0.2*0.026)/BA254</f>
        <v>0.20000000000000004</v>
      </c>
      <c r="BL254" s="2">
        <f>(0.6*6.975+0.6*0.026)/BA254</f>
        <v>0.6</v>
      </c>
      <c r="BM254" s="2"/>
      <c r="BN254" s="2"/>
      <c r="BO254" s="2"/>
      <c r="BP254" s="2"/>
      <c r="BQ254" s="2"/>
      <c r="BR254" s="2"/>
      <c r="BS254" s="2"/>
      <c r="BT254" s="2"/>
      <c r="BU254" s="2"/>
      <c r="BV254" s="2">
        <v>0</v>
      </c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>
        <v>0</v>
      </c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14" t="s">
        <v>100</v>
      </c>
      <c r="DM254" s="2"/>
      <c r="DN254" s="2">
        <f t="shared" si="8"/>
        <v>0.24000000000000002</v>
      </c>
      <c r="DO254" s="2">
        <f t="shared" si="9"/>
        <v>0</v>
      </c>
      <c r="DP254" s="2" t="s">
        <v>691</v>
      </c>
      <c r="DQ254" s="2" t="s">
        <v>3</v>
      </c>
      <c r="DR254" s="2">
        <f t="shared" si="10"/>
        <v>7.0009999999999994</v>
      </c>
      <c r="DS254" s="2">
        <f t="shared" si="11"/>
        <v>0.24000000000000002</v>
      </c>
      <c r="DT254" s="15">
        <f t="shared" si="12"/>
        <v>16.802399999999999</v>
      </c>
      <c r="DU254" s="2"/>
      <c r="DV254" s="2">
        <f t="shared" si="13"/>
        <v>0</v>
      </c>
      <c r="DW254" s="2"/>
      <c r="DX254" s="2"/>
      <c r="DY254" s="2"/>
      <c r="DZ254" s="2" t="s">
        <v>3</v>
      </c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 t="s">
        <v>3</v>
      </c>
      <c r="FR254" s="2" t="s">
        <v>89</v>
      </c>
      <c r="FS254" s="2" t="s">
        <v>162</v>
      </c>
      <c r="FT254" s="2"/>
      <c r="FU254" s="2"/>
      <c r="FV254" s="2" t="s">
        <v>3</v>
      </c>
    </row>
    <row r="255" spans="1:178" ht="15.75" customHeight="1" x14ac:dyDescent="0.2">
      <c r="A255" s="14" t="s">
        <v>96</v>
      </c>
      <c r="B255" s="2" t="s">
        <v>124</v>
      </c>
      <c r="C255" s="21" t="s">
        <v>692</v>
      </c>
      <c r="D255" s="2" t="s">
        <v>109</v>
      </c>
      <c r="E255" s="2"/>
      <c r="F255" s="2"/>
      <c r="G255" s="2"/>
      <c r="H255" s="2" t="s">
        <v>634</v>
      </c>
      <c r="I255" s="2"/>
      <c r="J255" s="2"/>
      <c r="K255" s="2">
        <f>0.843+2.51</f>
        <v>3.3529999999999998</v>
      </c>
      <c r="L255" s="4">
        <f>(0.87*0.843+0.56*2.51)/K255</f>
        <v>0.6379391589621235</v>
      </c>
      <c r="M255" s="4">
        <f>(0.87*0.843+0.24*2.51)/K255</f>
        <v>0.39839248434237995</v>
      </c>
      <c r="N255" s="2"/>
      <c r="O255" s="2"/>
      <c r="P255" s="2"/>
      <c r="Q255" s="2"/>
      <c r="R255" s="4">
        <f>(0.44*0.843+0.3*2.51)/K255</f>
        <v>0.33519832985386216</v>
      </c>
      <c r="S255" s="4">
        <f>(0.22*0.843+0.25*2.51)/K255</f>
        <v>0.24245750074560093</v>
      </c>
      <c r="T255" s="4">
        <f>(0.19*0.843+0.14*2.51)/K255</f>
        <v>0.15257083209066508</v>
      </c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>
        <f>0.493+3.639</f>
        <v>4.1319999999999997</v>
      </c>
      <c r="AG255" s="4">
        <f>(0.35*0.493+0.34*3.639)/AF255</f>
        <v>0.34119312681510167</v>
      </c>
      <c r="AH255" s="4">
        <f>(1.11*0.493+0.36*3.639)/AF255</f>
        <v>0.44948451113262339</v>
      </c>
      <c r="AI255" s="2"/>
      <c r="AJ255" s="2"/>
      <c r="AK255" s="2"/>
      <c r="AL255" s="2"/>
      <c r="AM255" s="4">
        <f>(0.13*0.493+0.21*3.639)/AF255</f>
        <v>0.20045498547918683</v>
      </c>
      <c r="AN255" s="4">
        <f>(0.27*0.493+0.27*3.639)/AF255</f>
        <v>0.27</v>
      </c>
      <c r="AO255" s="4">
        <f>(0.13*0.493+0.11*3.639)/AF255</f>
        <v>0.1123862536302033</v>
      </c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>
        <v>0.73699999999999999</v>
      </c>
      <c r="BB255" s="2">
        <v>0.08</v>
      </c>
      <c r="BC255" s="2">
        <v>0.02</v>
      </c>
      <c r="BD255" s="2"/>
      <c r="BE255" s="2"/>
      <c r="BF255" s="2"/>
      <c r="BG255" s="2"/>
      <c r="BH255" s="2">
        <v>0.05</v>
      </c>
      <c r="BI255" s="2">
        <v>0.42</v>
      </c>
      <c r="BJ255" s="2">
        <v>0.04</v>
      </c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>
        <v>0.84299999999999997</v>
      </c>
      <c r="BW255" s="2">
        <v>0.87</v>
      </c>
      <c r="BX255" s="2">
        <v>0.87</v>
      </c>
      <c r="BY255" s="2"/>
      <c r="BZ255" s="2"/>
      <c r="CA255" s="2"/>
      <c r="CB255" s="2"/>
      <c r="CC255" s="2">
        <v>0.44</v>
      </c>
      <c r="CD255" s="2">
        <v>0.22</v>
      </c>
      <c r="CE255" s="2">
        <v>0.19</v>
      </c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>
        <v>0.49299999999999999</v>
      </c>
      <c r="CR255" s="2">
        <v>0.35</v>
      </c>
      <c r="CS255" s="2">
        <v>1.1100000000000001</v>
      </c>
      <c r="CT255" s="2"/>
      <c r="CU255" s="2"/>
      <c r="CV255" s="2"/>
      <c r="CW255" s="2"/>
      <c r="CX255" s="2">
        <v>0.13</v>
      </c>
      <c r="CY255" s="2">
        <v>0.27</v>
      </c>
      <c r="CZ255" s="2">
        <v>0.13</v>
      </c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14" t="s">
        <v>81</v>
      </c>
      <c r="DM255" s="2" t="s">
        <v>81</v>
      </c>
      <c r="DN255" s="2">
        <f t="shared" si="8"/>
        <v>0.27221357333981999</v>
      </c>
      <c r="DO255" s="2">
        <f t="shared" si="9"/>
        <v>0.12228533203600099</v>
      </c>
      <c r="DP255" s="2" t="s">
        <v>95</v>
      </c>
      <c r="DQ255" s="2" t="s">
        <v>3</v>
      </c>
      <c r="DR255" s="2">
        <f t="shared" si="10"/>
        <v>8.2219999999999995</v>
      </c>
      <c r="DS255" s="4">
        <f t="shared" si="11"/>
        <v>0.27221357333981999</v>
      </c>
      <c r="DT255" s="15">
        <f t="shared" si="12"/>
        <v>22.381399999999999</v>
      </c>
      <c r="DU255" s="2"/>
      <c r="DV255" s="2">
        <f t="shared" si="13"/>
        <v>1.3359999999999999</v>
      </c>
      <c r="DW255" s="4">
        <f t="shared" ref="DW255:DW256" si="47">(BV255*CD255+CQ255*CY255)/DV255</f>
        <v>0.23845059880239525</v>
      </c>
      <c r="DX255" s="15">
        <f t="shared" ref="DX255:DX256" si="48">1000*DV255*DW255/100</f>
        <v>3.1856999999999998</v>
      </c>
      <c r="DY255" s="2"/>
      <c r="DZ255" s="2" t="s">
        <v>3</v>
      </c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 t="s">
        <v>3</v>
      </c>
      <c r="FR255" s="2" t="s">
        <v>183</v>
      </c>
      <c r="FS255" s="2" t="s">
        <v>567</v>
      </c>
      <c r="FT255" s="2"/>
      <c r="FU255" s="2"/>
      <c r="FV255" s="2" t="s">
        <v>3</v>
      </c>
    </row>
    <row r="256" spans="1:178" ht="15.75" customHeight="1" x14ac:dyDescent="0.2">
      <c r="A256" s="14" t="s">
        <v>158</v>
      </c>
      <c r="B256" s="2" t="s">
        <v>133</v>
      </c>
      <c r="C256" s="16" t="s">
        <v>693</v>
      </c>
      <c r="D256" s="2" t="s">
        <v>109</v>
      </c>
      <c r="E256" s="2"/>
      <c r="F256" s="2"/>
      <c r="G256" s="2"/>
      <c r="H256" s="2" t="s">
        <v>694</v>
      </c>
      <c r="I256" s="2"/>
      <c r="J256" s="2"/>
      <c r="K256" s="4">
        <f>9.568+9.581+3.174</f>
        <v>22.323</v>
      </c>
      <c r="L256" s="4">
        <f>(0.08*9.568+0.06*9.581+0.05*3.174)/K256</f>
        <v>6.715047260672849E-2</v>
      </c>
      <c r="M256" s="4">
        <f>(0.219*9.568+0.172*9.581+0.07*3.174)/K256</f>
        <v>0.17764207319804681</v>
      </c>
      <c r="N256" s="2"/>
      <c r="O256" s="2"/>
      <c r="P256" s="2"/>
      <c r="Q256" s="2"/>
      <c r="R256" s="2"/>
      <c r="S256" s="4">
        <f>(0.09*9.568+0.06*9.581+0.05*3.174)/K256</f>
        <v>7.143663486090579E-2</v>
      </c>
      <c r="T256" s="2">
        <v>6.0000000000000001E-3</v>
      </c>
      <c r="U256" s="4">
        <f>(0.252*9.568+0.214*9.581+0.134*3.174)/K256</f>
        <v>0.21891260135286478</v>
      </c>
      <c r="V256" s="4">
        <f>(2.9*9.568+2.2*9.581+1.38*3.174)/K256</f>
        <v>2.3834395018590691</v>
      </c>
      <c r="W256" s="2"/>
      <c r="X256" s="2"/>
      <c r="Y256" s="2"/>
      <c r="Z256" s="2"/>
      <c r="AA256" s="2"/>
      <c r="AB256" s="2"/>
      <c r="AC256" s="2"/>
      <c r="AD256" s="2"/>
      <c r="AE256" s="2"/>
      <c r="AF256" s="2">
        <f>18.759+26.589+1.91+3.399</f>
        <v>50.656999999999996</v>
      </c>
      <c r="AG256" s="4">
        <f>(0.08*18.759+0.05*26.589+0.06*1.91+0.03*3.399)/AF256</f>
        <v>6.0144501253528632E-2</v>
      </c>
      <c r="AH256" s="4">
        <f>(0.233*18.759+0.109*26.589+0.098*1.91+0.08*3.399)/AF256</f>
        <v>0.15255834336814261</v>
      </c>
      <c r="AI256" s="2"/>
      <c r="AJ256" s="2"/>
      <c r="AK256" s="2"/>
      <c r="AL256" s="2"/>
      <c r="AM256" s="2"/>
      <c r="AN256" s="4">
        <f>(0.1*18.759+0.05*26.589+0.07*1.91+0.06*3.399)/AF256</f>
        <v>6.994077817478335E-2</v>
      </c>
      <c r="AO256" s="2">
        <v>6.0000000000000001E-3</v>
      </c>
      <c r="AP256" s="4">
        <f>(2.97*18.759+1.56*26.589+1.32*1.91+0.97*3.399)/AF256</f>
        <v>2.033505734646742</v>
      </c>
      <c r="AQ256" s="4">
        <f>(0.256*18.759+0.193*26.589+0.155*1.91+0.12*3.399)/AF256</f>
        <v>0.20999883530410407</v>
      </c>
      <c r="AR256" s="2"/>
      <c r="AS256" s="2"/>
      <c r="AT256" s="2"/>
      <c r="AU256" s="2"/>
      <c r="AV256" s="2"/>
      <c r="AW256" s="2"/>
      <c r="AX256" s="2"/>
      <c r="AY256" s="2"/>
      <c r="AZ256" s="2"/>
      <c r="BA256" s="2">
        <v>8.2349999999999994</v>
      </c>
      <c r="BB256" s="2">
        <v>6.6000000000000003E-2</v>
      </c>
      <c r="BC256" s="2">
        <v>0.14599999999999999</v>
      </c>
      <c r="BD256" s="2"/>
      <c r="BE256" s="2"/>
      <c r="BF256" s="2"/>
      <c r="BG256" s="2"/>
      <c r="BH256" s="2"/>
      <c r="BI256" s="2">
        <v>7.0000000000000007E-2</v>
      </c>
      <c r="BJ256" s="2">
        <v>6.0000000000000001E-3</v>
      </c>
      <c r="BK256" s="2">
        <v>0.216</v>
      </c>
      <c r="BL256" s="2">
        <v>2.2200000000000002</v>
      </c>
      <c r="BM256" s="2"/>
      <c r="BN256" s="2"/>
      <c r="BO256" s="2"/>
      <c r="BP256" s="2"/>
      <c r="BQ256" s="2"/>
      <c r="BR256" s="2"/>
      <c r="BS256" s="2"/>
      <c r="BT256" s="2"/>
      <c r="BU256" s="2"/>
      <c r="BV256" s="2">
        <v>4.9790000000000001</v>
      </c>
      <c r="BW256" s="2">
        <v>0.05</v>
      </c>
      <c r="BX256" s="2">
        <v>0.14499999999999999</v>
      </c>
      <c r="BY256" s="2"/>
      <c r="BZ256" s="2"/>
      <c r="CA256" s="2"/>
      <c r="CB256" s="2"/>
      <c r="CC256" s="2"/>
      <c r="CD256" s="2">
        <v>0.06</v>
      </c>
      <c r="CE256" s="2">
        <v>6.0000000000000001E-3</v>
      </c>
      <c r="CF256" s="2">
        <v>0.20799999999999999</v>
      </c>
      <c r="CG256" s="2">
        <v>2.0299999999999998</v>
      </c>
      <c r="CH256" s="2"/>
      <c r="CI256" s="2"/>
      <c r="CJ256" s="2"/>
      <c r="CK256" s="2"/>
      <c r="CL256" s="2"/>
      <c r="CM256" s="2"/>
      <c r="CN256" s="2"/>
      <c r="CO256" s="2"/>
      <c r="CP256" s="2"/>
      <c r="CQ256" s="2">
        <v>33.899000000000001</v>
      </c>
      <c r="CR256" s="2">
        <v>0.06</v>
      </c>
      <c r="CS256" s="19">
        <v>0.18</v>
      </c>
      <c r="CT256" s="2"/>
      <c r="CU256" s="2"/>
      <c r="CV256" s="2"/>
      <c r="CW256" s="2"/>
      <c r="CX256" s="2"/>
      <c r="CY256" s="2">
        <v>7.0000000000000007E-2</v>
      </c>
      <c r="CZ256" s="2">
        <v>6.0000000000000001E-3</v>
      </c>
      <c r="DA256" s="2">
        <v>0.20799999999999999</v>
      </c>
      <c r="DB256" s="2">
        <v>2.35</v>
      </c>
      <c r="DC256" s="2"/>
      <c r="DD256" s="2"/>
      <c r="DE256" s="2"/>
      <c r="DF256" s="2"/>
      <c r="DG256" s="2"/>
      <c r="DH256" s="2"/>
      <c r="DI256" s="2"/>
      <c r="DJ256" s="2"/>
      <c r="DK256" s="2"/>
      <c r="DL256" s="14" t="s">
        <v>81</v>
      </c>
      <c r="DM256" s="2" t="s">
        <v>81</v>
      </c>
      <c r="DN256" s="2">
        <f t="shared" si="8"/>
        <v>7.0357938804408063E-2</v>
      </c>
      <c r="DO256" s="2">
        <f t="shared" si="9"/>
        <v>6.000000000000001E-3</v>
      </c>
      <c r="DP256" s="2" t="s">
        <v>150</v>
      </c>
      <c r="DQ256" s="2" t="s">
        <v>3</v>
      </c>
      <c r="DR256" s="4">
        <f t="shared" si="10"/>
        <v>81.214999999999989</v>
      </c>
      <c r="DS256" s="19">
        <f t="shared" si="11"/>
        <v>7.0357938804408063E-2</v>
      </c>
      <c r="DT256" s="15">
        <f t="shared" si="12"/>
        <v>57.141199999999998</v>
      </c>
      <c r="DU256" s="2"/>
      <c r="DV256" s="4">
        <f t="shared" si="13"/>
        <v>38.878</v>
      </c>
      <c r="DW256" s="4">
        <f t="shared" si="47"/>
        <v>6.8719327125880969E-2</v>
      </c>
      <c r="DX256" s="15">
        <f t="shared" si="48"/>
        <v>26.716700000000007</v>
      </c>
      <c r="DY256" s="2"/>
      <c r="DZ256" s="2" t="s">
        <v>3</v>
      </c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 t="s">
        <v>3</v>
      </c>
      <c r="FR256" s="2" t="s">
        <v>89</v>
      </c>
      <c r="FS256" s="2" t="s">
        <v>90</v>
      </c>
      <c r="FT256" s="2" t="s">
        <v>695</v>
      </c>
      <c r="FU256" s="2"/>
      <c r="FV256" s="2" t="s">
        <v>3</v>
      </c>
    </row>
    <row r="257" spans="1:178" ht="15.75" customHeight="1" x14ac:dyDescent="0.2">
      <c r="A257" s="14" t="s">
        <v>96</v>
      </c>
      <c r="B257" s="2" t="s">
        <v>133</v>
      </c>
      <c r="C257" s="16" t="s">
        <v>696</v>
      </c>
      <c r="D257" s="2" t="s">
        <v>99</v>
      </c>
      <c r="E257" s="2"/>
      <c r="F257" s="2"/>
      <c r="G257" s="2"/>
      <c r="H257" s="2" t="s">
        <v>697</v>
      </c>
      <c r="I257" s="2"/>
      <c r="J257" s="2"/>
      <c r="K257" s="2">
        <v>0</v>
      </c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>
        <v>0</v>
      </c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>
        <v>1.4</v>
      </c>
      <c r="BB257" s="2">
        <v>0.7</v>
      </c>
      <c r="BC257" s="2"/>
      <c r="BD257" s="2"/>
      <c r="BE257" s="2"/>
      <c r="BF257" s="2"/>
      <c r="BG257" s="2"/>
      <c r="BH257" s="2"/>
      <c r="BI257" s="2">
        <v>0.7</v>
      </c>
      <c r="BJ257" s="2"/>
      <c r="BK257" s="2">
        <v>1</v>
      </c>
      <c r="BL257" s="2">
        <v>3</v>
      </c>
      <c r="BM257" s="2"/>
      <c r="BN257" s="2"/>
      <c r="BO257" s="2"/>
      <c r="BP257" s="2"/>
      <c r="BQ257" s="2"/>
      <c r="BR257" s="2"/>
      <c r="BS257" s="2"/>
      <c r="BT257" s="2"/>
      <c r="BU257" s="2"/>
      <c r="BV257" s="2">
        <v>0</v>
      </c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>
        <v>0</v>
      </c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14" t="s">
        <v>100</v>
      </c>
      <c r="DM257" s="2"/>
      <c r="DN257" s="2">
        <f t="shared" si="8"/>
        <v>0.7</v>
      </c>
      <c r="DO257" s="2">
        <f t="shared" si="9"/>
        <v>0</v>
      </c>
      <c r="DP257" s="2" t="s">
        <v>698</v>
      </c>
      <c r="DQ257" s="2" t="s">
        <v>3</v>
      </c>
      <c r="DR257" s="2">
        <f t="shared" si="10"/>
        <v>1.4</v>
      </c>
      <c r="DS257" s="2">
        <f t="shared" si="11"/>
        <v>0.7</v>
      </c>
      <c r="DT257" s="15">
        <f t="shared" si="12"/>
        <v>9.7999999999999989</v>
      </c>
      <c r="DU257" s="2"/>
      <c r="DV257" s="2">
        <f t="shared" si="13"/>
        <v>0</v>
      </c>
      <c r="DW257" s="2"/>
      <c r="DX257" s="2"/>
      <c r="DY257" s="2"/>
      <c r="DZ257" s="2" t="s">
        <v>3</v>
      </c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 t="s">
        <v>3</v>
      </c>
      <c r="FR257" s="2" t="s">
        <v>89</v>
      </c>
      <c r="FS257" s="2" t="s">
        <v>123</v>
      </c>
      <c r="FT257" s="2"/>
      <c r="FU257" s="2"/>
      <c r="FV257" s="2" t="s">
        <v>3</v>
      </c>
    </row>
    <row r="258" spans="1:178" ht="15.75" customHeight="1" x14ac:dyDescent="0.2">
      <c r="A258" s="14" t="s">
        <v>96</v>
      </c>
      <c r="B258" s="2" t="s">
        <v>133</v>
      </c>
      <c r="C258" s="16" t="s">
        <v>699</v>
      </c>
      <c r="D258" s="2" t="s">
        <v>99</v>
      </c>
      <c r="E258" s="2"/>
      <c r="F258" s="2"/>
      <c r="G258" s="2"/>
      <c r="H258" s="2" t="s">
        <v>700</v>
      </c>
      <c r="I258" s="2"/>
      <c r="J258" s="2"/>
      <c r="K258" s="2">
        <v>1.2549999999999999</v>
      </c>
      <c r="L258" s="2">
        <v>0.56000000000000005</v>
      </c>
      <c r="M258" s="2"/>
      <c r="N258" s="2"/>
      <c r="O258" s="2"/>
      <c r="P258" s="2"/>
      <c r="Q258" s="2"/>
      <c r="R258" s="2"/>
      <c r="S258" s="2">
        <v>1.0900000000000001</v>
      </c>
      <c r="T258" s="2">
        <v>7.0000000000000007E-2</v>
      </c>
      <c r="U258" s="4">
        <v>0.2</v>
      </c>
      <c r="V258" s="2">
        <v>1.1100000000000001</v>
      </c>
      <c r="W258" s="2"/>
      <c r="X258" s="2"/>
      <c r="Y258" s="2"/>
      <c r="Z258" s="2"/>
      <c r="AA258" s="2"/>
      <c r="AB258" s="2"/>
      <c r="AC258" s="2"/>
      <c r="AD258" s="2"/>
      <c r="AE258" s="2"/>
      <c r="AF258" s="2">
        <v>0.78300000000000003</v>
      </c>
      <c r="AG258" s="2">
        <v>0.53</v>
      </c>
      <c r="AH258" s="2"/>
      <c r="AI258" s="2"/>
      <c r="AJ258" s="2"/>
      <c r="AK258" s="2"/>
      <c r="AL258" s="2"/>
      <c r="AM258" s="2"/>
      <c r="AN258" s="4">
        <v>1</v>
      </c>
      <c r="AO258" s="2">
        <v>0.06</v>
      </c>
      <c r="AP258" s="2">
        <v>0.28999999999999998</v>
      </c>
      <c r="AQ258" s="2">
        <v>0.91</v>
      </c>
      <c r="AR258" s="2"/>
      <c r="AS258" s="2"/>
      <c r="AT258" s="2"/>
      <c r="AU258" s="2"/>
      <c r="AV258" s="2"/>
      <c r="AW258" s="2"/>
      <c r="AX258" s="2"/>
      <c r="AY258" s="2"/>
      <c r="AZ258" s="2"/>
      <c r="BA258" s="2">
        <v>1.0529999999999999</v>
      </c>
      <c r="BB258" s="2">
        <v>0.32</v>
      </c>
      <c r="BC258" s="2"/>
      <c r="BD258" s="2"/>
      <c r="BE258" s="2"/>
      <c r="BF258" s="2"/>
      <c r="BG258" s="2"/>
      <c r="BH258" s="2"/>
      <c r="BI258" s="2">
        <v>0.81</v>
      </c>
      <c r="BJ258" s="2">
        <v>0.06</v>
      </c>
      <c r="BK258" s="4">
        <v>0.5</v>
      </c>
      <c r="BL258" s="2">
        <v>1.06</v>
      </c>
      <c r="BM258" s="2"/>
      <c r="BN258" s="2"/>
      <c r="BO258" s="2"/>
      <c r="BP258" s="2"/>
      <c r="BQ258" s="2"/>
      <c r="BR258" s="2"/>
      <c r="BS258" s="2"/>
      <c r="BT258" s="2"/>
      <c r="BU258" s="2"/>
      <c r="BV258" s="2">
        <v>0</v>
      </c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>
        <v>0</v>
      </c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14" t="s">
        <v>81</v>
      </c>
      <c r="DM258" s="2" t="s">
        <v>81</v>
      </c>
      <c r="DN258" s="2">
        <f t="shared" si="8"/>
        <v>0.97181494661921708</v>
      </c>
      <c r="DO258" s="2">
        <f t="shared" si="9"/>
        <v>6.4060174700744113E-2</v>
      </c>
      <c r="DP258" s="2" t="s">
        <v>701</v>
      </c>
      <c r="DQ258" s="2" t="s">
        <v>3</v>
      </c>
      <c r="DR258" s="2">
        <f t="shared" si="10"/>
        <v>3.0909999999999997</v>
      </c>
      <c r="DS258" s="4">
        <f t="shared" si="11"/>
        <v>0.97181494661921708</v>
      </c>
      <c r="DT258" s="15">
        <f t="shared" si="12"/>
        <v>30.038799999999995</v>
      </c>
      <c r="DU258" s="2"/>
      <c r="DV258" s="2">
        <f t="shared" si="13"/>
        <v>0</v>
      </c>
      <c r="DW258" s="2"/>
      <c r="DX258" s="2"/>
      <c r="DY258" s="2"/>
      <c r="DZ258" s="2" t="s">
        <v>3</v>
      </c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 t="s">
        <v>3</v>
      </c>
      <c r="FR258" s="2" t="s">
        <v>89</v>
      </c>
      <c r="FS258" s="2" t="s">
        <v>123</v>
      </c>
      <c r="FT258" s="2"/>
      <c r="FU258" s="2"/>
      <c r="FV258" s="2" t="s">
        <v>3</v>
      </c>
    </row>
    <row r="259" spans="1:178" ht="15.75" customHeight="1" x14ac:dyDescent="0.2">
      <c r="A259" s="14" t="s">
        <v>96</v>
      </c>
      <c r="B259" s="2" t="s">
        <v>133</v>
      </c>
      <c r="C259" s="16" t="s">
        <v>702</v>
      </c>
      <c r="D259" s="2" t="s">
        <v>99</v>
      </c>
      <c r="E259" s="2"/>
      <c r="F259" s="2"/>
      <c r="G259" s="2"/>
      <c r="H259" s="2" t="s">
        <v>703</v>
      </c>
      <c r="I259" s="2"/>
      <c r="J259" s="2"/>
      <c r="K259" s="19">
        <v>0.28591800000000001</v>
      </c>
      <c r="L259" s="2">
        <v>0.77</v>
      </c>
      <c r="M259" s="2"/>
      <c r="N259" s="2"/>
      <c r="O259" s="2"/>
      <c r="P259" s="2"/>
      <c r="Q259" s="2"/>
      <c r="R259" s="2"/>
      <c r="S259" s="2">
        <v>1.23</v>
      </c>
      <c r="T259" s="19">
        <v>2.8899999999999999E-2</v>
      </c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19">
        <v>0.51318299999999994</v>
      </c>
      <c r="AG259" s="2">
        <v>0.62</v>
      </c>
      <c r="AH259" s="2"/>
      <c r="AI259" s="2"/>
      <c r="AJ259" s="2"/>
      <c r="AK259" s="2"/>
      <c r="AL259" s="2"/>
      <c r="AM259" s="2"/>
      <c r="AN259" s="2">
        <v>1.05</v>
      </c>
      <c r="AO259" s="19">
        <v>2.8899999999999999E-2</v>
      </c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19">
        <v>0.43927899999999998</v>
      </c>
      <c r="BB259" s="2">
        <v>0.41</v>
      </c>
      <c r="BC259" s="2"/>
      <c r="BD259" s="2"/>
      <c r="BE259" s="2"/>
      <c r="BF259" s="2"/>
      <c r="BG259" s="2"/>
      <c r="BH259" s="2"/>
      <c r="BI259" s="2">
        <v>0.65</v>
      </c>
      <c r="BJ259" s="19">
        <v>2.8899999999999999E-2</v>
      </c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>
        <v>0</v>
      </c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>
        <v>0</v>
      </c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14" t="s">
        <v>81</v>
      </c>
      <c r="DM259" s="2" t="s">
        <v>81</v>
      </c>
      <c r="DN259" s="2">
        <f t="shared" si="8"/>
        <v>0.94967024661250998</v>
      </c>
      <c r="DO259" s="2">
        <f t="shared" si="9"/>
        <v>2.8900000000000002E-2</v>
      </c>
      <c r="DP259" s="2" t="s">
        <v>704</v>
      </c>
      <c r="DQ259" s="2" t="s">
        <v>3</v>
      </c>
      <c r="DR259" s="19">
        <f t="shared" si="10"/>
        <v>1.2383799999999998</v>
      </c>
      <c r="DS259" s="4">
        <f t="shared" si="11"/>
        <v>0.94967024661250998</v>
      </c>
      <c r="DT259" s="15">
        <f t="shared" si="12"/>
        <v>11.760526400000002</v>
      </c>
      <c r="DU259" s="2"/>
      <c r="DV259" s="2">
        <f t="shared" si="13"/>
        <v>0</v>
      </c>
      <c r="DW259" s="2"/>
      <c r="DX259" s="2"/>
      <c r="DY259" s="2"/>
      <c r="DZ259" s="2" t="s">
        <v>3</v>
      </c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 t="s">
        <v>3</v>
      </c>
      <c r="FR259" s="2" t="s">
        <v>89</v>
      </c>
      <c r="FS259" s="2" t="s">
        <v>90</v>
      </c>
      <c r="FT259" s="2" t="s">
        <v>162</v>
      </c>
      <c r="FU259" s="2"/>
      <c r="FV259" s="2" t="s">
        <v>3</v>
      </c>
    </row>
    <row r="260" spans="1:178" ht="15.75" customHeight="1" x14ac:dyDescent="0.2">
      <c r="A260" s="14" t="s">
        <v>74</v>
      </c>
      <c r="B260" s="2" t="s">
        <v>164</v>
      </c>
      <c r="C260" s="13" t="s">
        <v>705</v>
      </c>
      <c r="D260" s="2" t="s">
        <v>99</v>
      </c>
      <c r="E260" s="2"/>
      <c r="F260" s="2"/>
      <c r="G260" s="2" t="s">
        <v>78</v>
      </c>
      <c r="H260" s="2" t="s">
        <v>706</v>
      </c>
      <c r="I260" s="2"/>
      <c r="J260" s="2" t="s">
        <v>242</v>
      </c>
      <c r="K260" s="2">
        <v>0</v>
      </c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>
        <v>0</v>
      </c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>
        <v>2.8</v>
      </c>
      <c r="BB260" s="2"/>
      <c r="BC260" s="2"/>
      <c r="BD260" s="2"/>
      <c r="BE260" s="2"/>
      <c r="BF260" s="2"/>
      <c r="BG260" s="2"/>
      <c r="BH260" s="2"/>
      <c r="BI260" s="2">
        <v>1.1100000000000001</v>
      </c>
      <c r="BJ260" s="2">
        <v>4.8000000000000001E-2</v>
      </c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>
        <v>0</v>
      </c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>
        <v>0</v>
      </c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14" t="s">
        <v>81</v>
      </c>
      <c r="DM260" s="2" t="s">
        <v>81</v>
      </c>
      <c r="DN260" s="2">
        <f t="shared" ref="DN260:DN514" si="49">(S260*K260+AN260*AF260+BI260*BA260)/(K260+AF260+BA260)</f>
        <v>1.1100000000000001</v>
      </c>
      <c r="DO260" s="2">
        <f t="shared" ref="DO260:DO514" si="50">(T260*K260+AO260*AF260+BJ260*BA260)/(K260+AF260+BA260)</f>
        <v>4.8000000000000001E-2</v>
      </c>
      <c r="DP260" s="2" t="s">
        <v>175</v>
      </c>
      <c r="DQ260" s="2" t="s">
        <v>3</v>
      </c>
      <c r="DR260" s="2">
        <f t="shared" ref="DR260:DR514" si="51">K260+AF260+BA260</f>
        <v>2.8</v>
      </c>
      <c r="DS260" s="2">
        <f t="shared" ref="DS260:DS514" si="52">(K260*S260+AF260*AN260+BA260*BI260)/DR260</f>
        <v>1.1100000000000001</v>
      </c>
      <c r="DT260" s="15">
        <f t="shared" ref="DT260:DT514" si="53">1000*DR260*DS260/100</f>
        <v>31.080000000000005</v>
      </c>
      <c r="DU260" s="2"/>
      <c r="DV260" s="2">
        <f t="shared" ref="DV260:DV514" si="54">BV260+CQ260</f>
        <v>0</v>
      </c>
      <c r="DW260" s="2"/>
      <c r="DX260" s="2"/>
      <c r="DY260" s="2"/>
      <c r="DZ260" s="2" t="s">
        <v>3</v>
      </c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 t="s">
        <v>3</v>
      </c>
      <c r="FR260" s="2" t="s">
        <v>37</v>
      </c>
      <c r="FS260" s="2" t="s">
        <v>373</v>
      </c>
      <c r="FT260" s="2" t="s">
        <v>373</v>
      </c>
      <c r="FU260" s="2"/>
      <c r="FV260" s="2" t="s">
        <v>3</v>
      </c>
    </row>
    <row r="261" spans="1:178" ht="15.75" customHeight="1" x14ac:dyDescent="0.2">
      <c r="A261" s="12" t="s">
        <v>74</v>
      </c>
      <c r="B261" s="2" t="s">
        <v>75</v>
      </c>
      <c r="C261" s="13" t="s">
        <v>707</v>
      </c>
      <c r="D261" s="2" t="s">
        <v>99</v>
      </c>
      <c r="E261" s="2"/>
      <c r="F261" s="2"/>
      <c r="G261" s="2" t="s">
        <v>78</v>
      </c>
      <c r="H261" s="2" t="s">
        <v>79</v>
      </c>
      <c r="I261" s="2"/>
      <c r="J261" s="2" t="s">
        <v>292</v>
      </c>
      <c r="K261" s="2">
        <v>0</v>
      </c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>
        <v>0</v>
      </c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>
        <v>35</v>
      </c>
      <c r="BB261" s="2"/>
      <c r="BC261" s="2"/>
      <c r="BD261" s="2"/>
      <c r="BE261" s="2"/>
      <c r="BF261" s="2"/>
      <c r="BG261" s="2"/>
      <c r="BH261" s="2"/>
      <c r="BI261" s="2">
        <v>0.65</v>
      </c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>
        <v>0</v>
      </c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>
        <v>0</v>
      </c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14" t="s">
        <v>100</v>
      </c>
      <c r="DM261" s="2"/>
      <c r="DN261" s="2">
        <f t="shared" si="49"/>
        <v>0.65</v>
      </c>
      <c r="DO261" s="2">
        <f t="shared" si="50"/>
        <v>0</v>
      </c>
      <c r="DP261" s="2" t="s">
        <v>113</v>
      </c>
      <c r="DQ261" s="2" t="s">
        <v>3</v>
      </c>
      <c r="DR261" s="2">
        <f t="shared" si="51"/>
        <v>35</v>
      </c>
      <c r="DS261" s="4">
        <f t="shared" si="52"/>
        <v>0.65</v>
      </c>
      <c r="DT261" s="15">
        <f t="shared" si="53"/>
        <v>227.5</v>
      </c>
      <c r="DU261" s="2"/>
      <c r="DV261" s="2">
        <f t="shared" si="54"/>
        <v>0</v>
      </c>
      <c r="DW261" s="2"/>
      <c r="DX261" s="2"/>
      <c r="DY261" s="2"/>
      <c r="DZ261" s="2" t="s">
        <v>3</v>
      </c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 t="s">
        <v>3</v>
      </c>
      <c r="FR261" s="2" t="s">
        <v>37</v>
      </c>
      <c r="FS261" s="2" t="s">
        <v>151</v>
      </c>
      <c r="FT261" s="2" t="s">
        <v>151</v>
      </c>
      <c r="FU261" s="2"/>
      <c r="FV261" s="2" t="s">
        <v>3</v>
      </c>
    </row>
    <row r="262" spans="1:178" ht="15.75" customHeight="1" x14ac:dyDescent="0.2">
      <c r="A262" s="14" t="s">
        <v>96</v>
      </c>
      <c r="B262" s="2" t="s">
        <v>193</v>
      </c>
      <c r="C262" s="16" t="s">
        <v>708</v>
      </c>
      <c r="D262" s="2" t="s">
        <v>99</v>
      </c>
      <c r="E262" s="2"/>
      <c r="F262" s="2"/>
      <c r="G262" s="2"/>
      <c r="H262" s="2" t="s">
        <v>79</v>
      </c>
      <c r="I262" s="2"/>
      <c r="J262" s="2"/>
      <c r="K262" s="2">
        <v>0</v>
      </c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>
        <v>0</v>
      </c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>
        <v>0.64500000000000002</v>
      </c>
      <c r="BB262" s="2">
        <v>0.66</v>
      </c>
      <c r="BC262" s="2">
        <v>0.65</v>
      </c>
      <c r="BD262" s="2"/>
      <c r="BE262" s="2"/>
      <c r="BF262" s="2"/>
      <c r="BG262" s="2"/>
      <c r="BH262" s="2"/>
      <c r="BI262" s="2">
        <v>1.33</v>
      </c>
      <c r="BJ262" s="2">
        <v>0.09</v>
      </c>
      <c r="BK262" s="2">
        <v>0.2</v>
      </c>
      <c r="BL262" s="2">
        <v>0.68</v>
      </c>
      <c r="BM262" s="2"/>
      <c r="BN262" s="2"/>
      <c r="BO262" s="2"/>
      <c r="BP262" s="2"/>
      <c r="BQ262" s="2"/>
      <c r="BR262" s="2"/>
      <c r="BS262" s="2"/>
      <c r="BT262" s="2"/>
      <c r="BU262" s="2"/>
      <c r="BV262" s="2">
        <v>0</v>
      </c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>
        <v>0</v>
      </c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14" t="s">
        <v>81</v>
      </c>
      <c r="DM262" s="2" t="s">
        <v>81</v>
      </c>
      <c r="DN262" s="2">
        <f t="shared" si="49"/>
        <v>1.33</v>
      </c>
      <c r="DO262" s="2">
        <f t="shared" si="50"/>
        <v>0.09</v>
      </c>
      <c r="DP262" s="2" t="s">
        <v>221</v>
      </c>
      <c r="DQ262" s="2" t="s">
        <v>3</v>
      </c>
      <c r="DR262" s="2">
        <f t="shared" si="51"/>
        <v>0.64500000000000002</v>
      </c>
      <c r="DS262" s="2">
        <f t="shared" si="52"/>
        <v>1.33</v>
      </c>
      <c r="DT262" s="15">
        <f t="shared" si="53"/>
        <v>8.5785</v>
      </c>
      <c r="DU262" s="2"/>
      <c r="DV262" s="2">
        <f t="shared" si="54"/>
        <v>0</v>
      </c>
      <c r="DW262" s="2"/>
      <c r="DX262" s="2"/>
      <c r="DY262" s="2"/>
      <c r="DZ262" s="2" t="s">
        <v>3</v>
      </c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 t="s">
        <v>3</v>
      </c>
      <c r="FR262" s="2" t="s">
        <v>89</v>
      </c>
      <c r="FS262" s="2" t="s">
        <v>378</v>
      </c>
      <c r="FT262" s="2"/>
      <c r="FU262" s="2"/>
      <c r="FV262" s="2" t="s">
        <v>3</v>
      </c>
    </row>
    <row r="263" spans="1:178" ht="15.75" customHeight="1" x14ac:dyDescent="0.2">
      <c r="A263" s="14" t="s">
        <v>74</v>
      </c>
      <c r="B263" s="2" t="s">
        <v>164</v>
      </c>
      <c r="C263" s="13" t="s">
        <v>709</v>
      </c>
      <c r="D263" s="2" t="s">
        <v>99</v>
      </c>
      <c r="E263" s="2"/>
      <c r="F263" s="2"/>
      <c r="G263" s="2" t="s">
        <v>78</v>
      </c>
      <c r="H263" s="2" t="s">
        <v>79</v>
      </c>
      <c r="I263" s="2"/>
      <c r="J263" s="2" t="s">
        <v>242</v>
      </c>
      <c r="K263" s="2">
        <v>0</v>
      </c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>
        <v>0</v>
      </c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>
        <v>19.2</v>
      </c>
      <c r="BB263" s="2"/>
      <c r="BC263" s="2"/>
      <c r="BD263" s="2"/>
      <c r="BE263" s="2"/>
      <c r="BF263" s="2"/>
      <c r="BG263" s="2"/>
      <c r="BH263" s="2"/>
      <c r="BI263" s="2">
        <v>0.63</v>
      </c>
      <c r="BJ263" s="2">
        <v>0.1</v>
      </c>
      <c r="BK263" s="2"/>
      <c r="BL263" s="2"/>
      <c r="BM263" s="2"/>
      <c r="BN263" s="2"/>
      <c r="BO263" s="2"/>
      <c r="BP263" s="2"/>
      <c r="BQ263" s="2"/>
      <c r="BR263" s="2"/>
      <c r="BS263" s="2">
        <v>40</v>
      </c>
      <c r="BT263" s="2"/>
      <c r="BU263" s="2"/>
      <c r="BV263" s="2">
        <v>0</v>
      </c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>
        <v>0</v>
      </c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14" t="s">
        <v>100</v>
      </c>
      <c r="DM263" s="2" t="s">
        <v>100</v>
      </c>
      <c r="DN263" s="2">
        <f t="shared" si="49"/>
        <v>0.63</v>
      </c>
      <c r="DO263" s="2">
        <f t="shared" si="50"/>
        <v>0.1</v>
      </c>
      <c r="DP263" s="2" t="s">
        <v>710</v>
      </c>
      <c r="DQ263" s="2" t="s">
        <v>3</v>
      </c>
      <c r="DR263" s="2">
        <f t="shared" si="51"/>
        <v>19.2</v>
      </c>
      <c r="DS263" s="2">
        <f t="shared" si="52"/>
        <v>0.63</v>
      </c>
      <c r="DT263" s="15">
        <f t="shared" si="53"/>
        <v>120.96</v>
      </c>
      <c r="DU263" s="2"/>
      <c r="DV263" s="2">
        <f t="shared" si="54"/>
        <v>0</v>
      </c>
      <c r="DW263" s="2"/>
      <c r="DX263" s="2"/>
      <c r="DY263" s="2"/>
      <c r="DZ263" s="2" t="s">
        <v>3</v>
      </c>
      <c r="EA263" s="2" t="s">
        <v>97</v>
      </c>
      <c r="EB263" s="3">
        <v>9778.7466999999997</v>
      </c>
      <c r="EC263" s="3">
        <v>2131.3321599999999</v>
      </c>
      <c r="ED263" s="3">
        <v>1813.51</v>
      </c>
      <c r="EE263" s="15">
        <v>62.62</v>
      </c>
      <c r="EF263" s="3">
        <v>20457.527211589073</v>
      </c>
      <c r="EG263" s="3">
        <v>3960.53</v>
      </c>
      <c r="EH263" s="3">
        <f t="shared" ref="EH263:EI263" si="55">EF263-ED263</f>
        <v>18644.017211589075</v>
      </c>
      <c r="EI263" s="3">
        <f t="shared" si="55"/>
        <v>3897.9100000000003</v>
      </c>
      <c r="EJ263" s="3">
        <f>SUM(EP263,EX263,FB263)</f>
        <v>0</v>
      </c>
      <c r="EK263" s="3">
        <f>ET263</f>
        <v>0</v>
      </c>
      <c r="EL263" s="3">
        <f>EB263+EC263+FD263</f>
        <v>11910.07886</v>
      </c>
      <c r="EM263" s="2" t="s">
        <v>97</v>
      </c>
      <c r="EN263" s="3">
        <f>SUM(DR683:DR722)</f>
        <v>0</v>
      </c>
      <c r="EO263" s="4" t="e">
        <f>100*(EP263/1000)/EN263</f>
        <v>#DIV/0!</v>
      </c>
      <c r="EP263" s="3">
        <f>SUM(DT683:DT722)</f>
        <v>0</v>
      </c>
      <c r="EQ263" s="2">
        <f>COUNT(DT683:DT722)</f>
        <v>0</v>
      </c>
      <c r="ER263" s="15">
        <f>SUM(DR678:DR682)</f>
        <v>0</v>
      </c>
      <c r="ES263" s="4" t="e">
        <f>100*(ET263/1000)/ER263</f>
        <v>#DIV/0!</v>
      </c>
      <c r="ET263" s="3">
        <f>SUM(DT678:DT682)</f>
        <v>0</v>
      </c>
      <c r="EU263" s="2">
        <f>COUNT(DT678:DT682)</f>
        <v>0</v>
      </c>
      <c r="EV263" s="15">
        <f>SUM(DR676:DR677)</f>
        <v>0</v>
      </c>
      <c r="EW263" s="4" t="e">
        <f>100*(EX263/1000)/EV263</f>
        <v>#DIV/0!</v>
      </c>
      <c r="EX263" s="3">
        <f>SUM(DT676:DT677)</f>
        <v>0</v>
      </c>
      <c r="EY263" s="2">
        <f>COUNT(DT676:DT677)</f>
        <v>0</v>
      </c>
      <c r="EZ263" s="2" t="s">
        <v>176</v>
      </c>
      <c r="FA263" s="2" t="s">
        <v>176</v>
      </c>
      <c r="FB263" s="2" t="s">
        <v>176</v>
      </c>
      <c r="FC263" s="2" t="s">
        <v>176</v>
      </c>
      <c r="FD263" s="3">
        <f>SUM(EP263,ET263,EX263,FB263)</f>
        <v>0</v>
      </c>
      <c r="FE263" s="15">
        <f>SUM(DV683:DV722)</f>
        <v>0</v>
      </c>
      <c r="FF263" s="4" t="e">
        <f>100*(FG263/1000)/FE263</f>
        <v>#DIV/0!</v>
      </c>
      <c r="FG263" s="3">
        <f>SUM(DX683:DX722)</f>
        <v>0</v>
      </c>
      <c r="FH263" s="2">
        <f>COUNT(DX683:DX722)</f>
        <v>0</v>
      </c>
      <c r="FI263" s="2" t="s">
        <v>176</v>
      </c>
      <c r="FJ263" s="2" t="s">
        <v>176</v>
      </c>
      <c r="FK263" s="2" t="s">
        <v>176</v>
      </c>
      <c r="FL263" s="2" t="s">
        <v>176</v>
      </c>
      <c r="FM263" s="15">
        <f>SUM(DX676:DX677)</f>
        <v>0</v>
      </c>
      <c r="FN263" s="2" t="s">
        <v>176</v>
      </c>
      <c r="FO263" s="3">
        <f>SUM(FG263,FK263,FM263,FN263)</f>
        <v>0</v>
      </c>
      <c r="FP263" s="2" t="s">
        <v>97</v>
      </c>
      <c r="FQ263" s="2" t="s">
        <v>3</v>
      </c>
      <c r="FR263" s="2" t="s">
        <v>37</v>
      </c>
      <c r="FS263" s="2" t="s">
        <v>244</v>
      </c>
      <c r="FT263" s="2"/>
      <c r="FU263" s="2"/>
      <c r="FV263" s="2" t="s">
        <v>3</v>
      </c>
    </row>
    <row r="264" spans="1:178" ht="15.75" customHeight="1" x14ac:dyDescent="0.2">
      <c r="A264" s="14" t="s">
        <v>96</v>
      </c>
      <c r="B264" s="2" t="s">
        <v>164</v>
      </c>
      <c r="C264" s="16" t="s">
        <v>711</v>
      </c>
      <c r="D264" s="2" t="s">
        <v>120</v>
      </c>
      <c r="E264" s="2"/>
      <c r="F264" s="2"/>
      <c r="G264" s="2" t="s">
        <v>179</v>
      </c>
      <c r="H264" s="2" t="s">
        <v>250</v>
      </c>
      <c r="I264" s="2"/>
      <c r="J264" s="2" t="s">
        <v>181</v>
      </c>
      <c r="K264" s="2">
        <v>0</v>
      </c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>
        <v>2.6</v>
      </c>
      <c r="AG264" s="4">
        <v>0.1</v>
      </c>
      <c r="AH264" s="2"/>
      <c r="AI264" s="2"/>
      <c r="AJ264" s="2"/>
      <c r="AK264" s="2"/>
      <c r="AL264" s="2"/>
      <c r="AM264" s="2"/>
      <c r="AN264" s="4">
        <v>1.6</v>
      </c>
      <c r="AO264" s="2">
        <v>0.05</v>
      </c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>
        <v>0.9</v>
      </c>
      <c r="BB264" s="4">
        <v>0.1</v>
      </c>
      <c r="BC264" s="2"/>
      <c r="BD264" s="2"/>
      <c r="BE264" s="2"/>
      <c r="BF264" s="2"/>
      <c r="BG264" s="2"/>
      <c r="BH264" s="2"/>
      <c r="BI264" s="4">
        <v>1.17</v>
      </c>
      <c r="BJ264" s="2">
        <v>0.05</v>
      </c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>
        <v>0</v>
      </c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>
        <v>0</v>
      </c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14" t="s">
        <v>81</v>
      </c>
      <c r="DM264" s="2" t="s">
        <v>81</v>
      </c>
      <c r="DN264" s="2">
        <f t="shared" si="49"/>
        <v>1.4894285714285715</v>
      </c>
      <c r="DO264" s="2">
        <f t="shared" si="50"/>
        <v>0.05</v>
      </c>
      <c r="DP264" s="2" t="s">
        <v>251</v>
      </c>
      <c r="DQ264" s="2" t="s">
        <v>3</v>
      </c>
      <c r="DR264" s="2">
        <f t="shared" si="51"/>
        <v>3.5</v>
      </c>
      <c r="DS264" s="4">
        <f t="shared" si="52"/>
        <v>1.4894285714285715</v>
      </c>
      <c r="DT264" s="15">
        <f t="shared" si="53"/>
        <v>52.13</v>
      </c>
      <c r="DU264" s="2"/>
      <c r="DV264" s="2">
        <f t="shared" si="54"/>
        <v>0</v>
      </c>
      <c r="DW264" s="2"/>
      <c r="DX264" s="2"/>
      <c r="DY264" s="2"/>
      <c r="DZ264" s="2" t="s">
        <v>3</v>
      </c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 t="s">
        <v>3</v>
      </c>
      <c r="FR264" s="2" t="s">
        <v>89</v>
      </c>
      <c r="FS264" s="2" t="s">
        <v>137</v>
      </c>
      <c r="FT264" s="2"/>
      <c r="FU264" s="2"/>
      <c r="FV264" s="2" t="s">
        <v>3</v>
      </c>
    </row>
    <row r="265" spans="1:178" ht="15.75" customHeight="1" x14ac:dyDescent="0.2">
      <c r="A265" s="14" t="s">
        <v>74</v>
      </c>
      <c r="B265" s="2" t="s">
        <v>469</v>
      </c>
      <c r="C265" s="13" t="s">
        <v>712</v>
      </c>
      <c r="D265" s="2" t="s">
        <v>99</v>
      </c>
      <c r="E265" s="29">
        <f>-7-30/60</f>
        <v>-7.5</v>
      </c>
      <c r="F265" s="29">
        <f>146+45/60</f>
        <v>146.75</v>
      </c>
      <c r="G265" s="2" t="s">
        <v>78</v>
      </c>
      <c r="H265" s="2" t="s">
        <v>713</v>
      </c>
      <c r="I265" s="2"/>
      <c r="J265" s="2" t="s">
        <v>242</v>
      </c>
      <c r="K265" s="2">
        <v>0</v>
      </c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>
        <v>0</v>
      </c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>
        <v>70</v>
      </c>
      <c r="BB265" s="2"/>
      <c r="BC265" s="2"/>
      <c r="BD265" s="2"/>
      <c r="BE265" s="2"/>
      <c r="BF265" s="2"/>
      <c r="BG265" s="2"/>
      <c r="BH265" s="2"/>
      <c r="BI265" s="2">
        <v>0.68</v>
      </c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>
        <v>0</v>
      </c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>
        <v>0</v>
      </c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14" t="s">
        <v>100</v>
      </c>
      <c r="DM265" s="2"/>
      <c r="DN265" s="2">
        <f t="shared" si="49"/>
        <v>0.68</v>
      </c>
      <c r="DO265" s="2">
        <f t="shared" si="50"/>
        <v>0</v>
      </c>
      <c r="DP265" s="2" t="s">
        <v>320</v>
      </c>
      <c r="DQ265" s="2" t="s">
        <v>3</v>
      </c>
      <c r="DR265" s="2">
        <f t="shared" si="51"/>
        <v>70</v>
      </c>
      <c r="DS265" s="2">
        <f t="shared" si="52"/>
        <v>0.68</v>
      </c>
      <c r="DT265" s="15">
        <f t="shared" si="53"/>
        <v>476</v>
      </c>
      <c r="DU265" s="2"/>
      <c r="DV265" s="2">
        <f t="shared" si="54"/>
        <v>0</v>
      </c>
      <c r="DW265" s="2"/>
      <c r="DX265" s="2"/>
      <c r="DY265" s="2"/>
      <c r="DZ265" s="2" t="s">
        <v>3</v>
      </c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 t="s">
        <v>3</v>
      </c>
      <c r="FR265" s="2" t="s">
        <v>37</v>
      </c>
      <c r="FS265" s="2" t="s">
        <v>235</v>
      </c>
      <c r="FT265" s="2" t="s">
        <v>235</v>
      </c>
      <c r="FU265" s="2"/>
      <c r="FV265" s="2" t="s">
        <v>3</v>
      </c>
    </row>
    <row r="266" spans="1:178" ht="15.75" customHeight="1" x14ac:dyDescent="0.2">
      <c r="A266" s="14" t="s">
        <v>74</v>
      </c>
      <c r="B266" s="2" t="s">
        <v>164</v>
      </c>
      <c r="C266" s="13" t="s">
        <v>714</v>
      </c>
      <c r="D266" s="2" t="s">
        <v>99</v>
      </c>
      <c r="E266" s="2"/>
      <c r="F266" s="2"/>
      <c r="G266" s="2" t="s">
        <v>78</v>
      </c>
      <c r="H266" s="2" t="s">
        <v>715</v>
      </c>
      <c r="I266" s="2"/>
      <c r="J266" s="2" t="s">
        <v>242</v>
      </c>
      <c r="K266" s="2">
        <v>0</v>
      </c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>
        <v>0</v>
      </c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0">
        <v>1</v>
      </c>
      <c r="BB266" s="2"/>
      <c r="BC266" s="2"/>
      <c r="BD266" s="2"/>
      <c r="BE266" s="2"/>
      <c r="BF266" s="2"/>
      <c r="BG266" s="2"/>
      <c r="BH266" s="2"/>
      <c r="BI266" s="20">
        <v>1</v>
      </c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>
        <v>0</v>
      </c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>
        <v>0</v>
      </c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14" t="s">
        <v>100</v>
      </c>
      <c r="DM266" s="2"/>
      <c r="DN266" s="2">
        <f t="shared" si="49"/>
        <v>1</v>
      </c>
      <c r="DO266" s="2">
        <f t="shared" si="50"/>
        <v>0</v>
      </c>
      <c r="DP266" s="2" t="s">
        <v>175</v>
      </c>
      <c r="DQ266" s="2" t="s">
        <v>3</v>
      </c>
      <c r="DR266" s="2">
        <f t="shared" si="51"/>
        <v>1</v>
      </c>
      <c r="DS266" s="2">
        <f t="shared" si="52"/>
        <v>1</v>
      </c>
      <c r="DT266" s="15">
        <f t="shared" si="53"/>
        <v>10</v>
      </c>
      <c r="DU266" s="2"/>
      <c r="DV266" s="2">
        <f t="shared" si="54"/>
        <v>0</v>
      </c>
      <c r="DW266" s="2"/>
      <c r="DX266" s="2"/>
      <c r="DY266" s="2"/>
      <c r="DZ266" s="2" t="s">
        <v>3</v>
      </c>
      <c r="EA266" s="2" t="s">
        <v>393</v>
      </c>
      <c r="EB266" s="2" t="s">
        <v>176</v>
      </c>
      <c r="EC266" s="3">
        <v>1241.2460000000001</v>
      </c>
      <c r="ED266" s="2" t="s">
        <v>176</v>
      </c>
      <c r="EE266" s="2">
        <v>69.3</v>
      </c>
      <c r="EF266" s="2" t="s">
        <v>176</v>
      </c>
      <c r="EG266" s="3">
        <v>1282.6999999999998</v>
      </c>
      <c r="EH266" s="2"/>
      <c r="EI266" s="3">
        <f>EG266-EE266</f>
        <v>1213.3999999999999</v>
      </c>
      <c r="EJ266" s="2"/>
      <c r="EK266" s="3">
        <f>ET266</f>
        <v>963.072</v>
      </c>
      <c r="EL266" s="3">
        <f>EC266+FD266</f>
        <v>2204.3180000000002</v>
      </c>
      <c r="EM266" s="2" t="s">
        <v>393</v>
      </c>
      <c r="EN266" s="2" t="s">
        <v>176</v>
      </c>
      <c r="EO266" s="2" t="s">
        <v>176</v>
      </c>
      <c r="EP266" s="2" t="s">
        <v>176</v>
      </c>
      <c r="EQ266" s="2" t="s">
        <v>176</v>
      </c>
      <c r="ER266" s="15">
        <f>SUM(DR547:DR548)</f>
        <v>188.48</v>
      </c>
      <c r="ES266" s="4">
        <f>100*(ET266/1000)/ER266</f>
        <v>0.510967741935484</v>
      </c>
      <c r="ET266" s="3">
        <f>SUM(DT547:DT548)</f>
        <v>963.072</v>
      </c>
      <c r="EU266" s="2">
        <f>COUNT(DT547:DT548)</f>
        <v>2</v>
      </c>
      <c r="EV266" s="2" t="s">
        <v>176</v>
      </c>
      <c r="EW266" s="2" t="s">
        <v>176</v>
      </c>
      <c r="EX266" s="2" t="s">
        <v>176</v>
      </c>
      <c r="EY266" s="2" t="s">
        <v>176</v>
      </c>
      <c r="EZ266" s="2" t="s">
        <v>176</v>
      </c>
      <c r="FA266" s="2" t="s">
        <v>176</v>
      </c>
      <c r="FB266" s="2" t="s">
        <v>176</v>
      </c>
      <c r="FC266" s="2" t="s">
        <v>176</v>
      </c>
      <c r="FD266" s="3">
        <f>SUM(EP266,ET266,EX266,FB266)</f>
        <v>963.072</v>
      </c>
      <c r="FE266" s="2" t="s">
        <v>176</v>
      </c>
      <c r="FF266" s="2" t="s">
        <v>176</v>
      </c>
      <c r="FG266" s="2" t="s">
        <v>176</v>
      </c>
      <c r="FH266" s="2" t="s">
        <v>176</v>
      </c>
      <c r="FI266" s="15">
        <f>SUM(DV547:DV548)</f>
        <v>147.4</v>
      </c>
      <c r="FJ266" s="4">
        <f>100*(FK266/1000)/FI266</f>
        <v>0.56109905020352768</v>
      </c>
      <c r="FK266" s="3">
        <f>SUM(DX547:DX548)</f>
        <v>827.06</v>
      </c>
      <c r="FL266" s="2">
        <f>COUNT(DX547:DX548)</f>
        <v>1</v>
      </c>
      <c r="FM266" s="2" t="s">
        <v>176</v>
      </c>
      <c r="FN266" s="2" t="s">
        <v>176</v>
      </c>
      <c r="FO266" s="15">
        <f>SUM(FG266,FK266,FM266,FN266)</f>
        <v>827.06</v>
      </c>
      <c r="FP266" s="2" t="s">
        <v>393</v>
      </c>
      <c r="FQ266" s="2" t="s">
        <v>3</v>
      </c>
      <c r="FR266" s="2" t="s">
        <v>37</v>
      </c>
      <c r="FS266" s="2" t="s">
        <v>383</v>
      </c>
      <c r="FT266" s="2" t="s">
        <v>383</v>
      </c>
      <c r="FU266" s="2"/>
      <c r="FV266" s="2" t="s">
        <v>3</v>
      </c>
    </row>
    <row r="267" spans="1:178" ht="15.75" customHeight="1" x14ac:dyDescent="0.2">
      <c r="A267" s="14" t="s">
        <v>96</v>
      </c>
      <c r="B267" s="2" t="s">
        <v>97</v>
      </c>
      <c r="C267" s="32" t="s">
        <v>716</v>
      </c>
      <c r="D267" s="2" t="s">
        <v>99</v>
      </c>
      <c r="E267" s="2"/>
      <c r="F267" s="2"/>
      <c r="G267" s="2"/>
      <c r="H267" s="2" t="s">
        <v>79</v>
      </c>
      <c r="I267" s="2"/>
      <c r="J267" s="2"/>
      <c r="K267" s="2">
        <v>0</v>
      </c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>
        <v>0</v>
      </c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>
        <v>4</v>
      </c>
      <c r="BB267" s="2"/>
      <c r="BC267" s="2"/>
      <c r="BD267" s="2"/>
      <c r="BE267" s="2"/>
      <c r="BF267" s="2"/>
      <c r="BG267" s="2"/>
      <c r="BH267" s="2"/>
      <c r="BI267" s="2">
        <v>0.5</v>
      </c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>
        <v>0</v>
      </c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>
        <v>0</v>
      </c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14" t="s">
        <v>100</v>
      </c>
      <c r="DM267" s="2"/>
      <c r="DN267" s="2">
        <f t="shared" si="49"/>
        <v>0.5</v>
      </c>
      <c r="DO267" s="2">
        <f t="shared" si="50"/>
        <v>0</v>
      </c>
      <c r="DP267" s="2" t="s">
        <v>132</v>
      </c>
      <c r="DQ267" s="2" t="s">
        <v>3</v>
      </c>
      <c r="DR267" s="2">
        <f t="shared" si="51"/>
        <v>4</v>
      </c>
      <c r="DS267" s="2">
        <f t="shared" si="52"/>
        <v>0.5</v>
      </c>
      <c r="DT267" s="15">
        <f t="shared" si="53"/>
        <v>20</v>
      </c>
      <c r="DU267" s="2"/>
      <c r="DV267" s="2">
        <f t="shared" si="54"/>
        <v>0</v>
      </c>
      <c r="DW267" s="2"/>
      <c r="DX267" s="2"/>
      <c r="DY267" s="2"/>
      <c r="DZ267" s="2" t="s">
        <v>3</v>
      </c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 t="s">
        <v>3</v>
      </c>
      <c r="FR267" s="2" t="s">
        <v>89</v>
      </c>
      <c r="FS267" s="2" t="s">
        <v>90</v>
      </c>
      <c r="FT267" s="2"/>
      <c r="FU267" s="2"/>
      <c r="FV267" s="2" t="s">
        <v>3</v>
      </c>
    </row>
    <row r="268" spans="1:178" ht="15.75" customHeight="1" x14ac:dyDescent="0.2">
      <c r="A268" s="14" t="s">
        <v>96</v>
      </c>
      <c r="B268" s="2" t="s">
        <v>193</v>
      </c>
      <c r="C268" s="16" t="s">
        <v>717</v>
      </c>
      <c r="D268" s="2" t="s">
        <v>99</v>
      </c>
      <c r="E268" s="2"/>
      <c r="F268" s="2"/>
      <c r="G268" s="2"/>
      <c r="H268" s="2" t="s">
        <v>79</v>
      </c>
      <c r="I268" s="2"/>
      <c r="J268" s="2"/>
      <c r="K268" s="2">
        <v>0</v>
      </c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>
        <v>0</v>
      </c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>
        <v>1.139</v>
      </c>
      <c r="BB268" s="2">
        <v>0.19</v>
      </c>
      <c r="BC268" s="2"/>
      <c r="BD268" s="2"/>
      <c r="BE268" s="2"/>
      <c r="BF268" s="2"/>
      <c r="BG268" s="2"/>
      <c r="BH268" s="2"/>
      <c r="BI268" s="2">
        <v>0.91</v>
      </c>
      <c r="BJ268" s="2">
        <v>0.02</v>
      </c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>
        <v>0</v>
      </c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>
        <v>0</v>
      </c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14" t="s">
        <v>81</v>
      </c>
      <c r="DM268" s="2" t="s">
        <v>81</v>
      </c>
      <c r="DN268" s="2">
        <f t="shared" si="49"/>
        <v>0.91000000000000014</v>
      </c>
      <c r="DO268" s="2">
        <f t="shared" si="50"/>
        <v>0.02</v>
      </c>
      <c r="DP268" s="2" t="s">
        <v>221</v>
      </c>
      <c r="DQ268" s="2" t="s">
        <v>3</v>
      </c>
      <c r="DR268" s="2">
        <f t="shared" si="51"/>
        <v>1.139</v>
      </c>
      <c r="DS268" s="2">
        <f t="shared" si="52"/>
        <v>0.91000000000000014</v>
      </c>
      <c r="DT268" s="15">
        <f t="shared" si="53"/>
        <v>10.364900000000002</v>
      </c>
      <c r="DU268" s="2"/>
      <c r="DV268" s="2">
        <f t="shared" si="54"/>
        <v>0</v>
      </c>
      <c r="DW268" s="2"/>
      <c r="DX268" s="2"/>
      <c r="DY268" s="2"/>
      <c r="DZ268" s="2" t="s">
        <v>3</v>
      </c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 t="s">
        <v>3</v>
      </c>
      <c r="FR268" s="2" t="s">
        <v>89</v>
      </c>
      <c r="FS268" s="2" t="s">
        <v>378</v>
      </c>
      <c r="FT268" s="2"/>
      <c r="FU268" s="2"/>
      <c r="FV268" s="2" t="s">
        <v>3</v>
      </c>
    </row>
    <row r="269" spans="1:178" ht="15.75" customHeight="1" x14ac:dyDescent="0.2">
      <c r="A269" s="14" t="s">
        <v>74</v>
      </c>
      <c r="B269" s="2" t="s">
        <v>164</v>
      </c>
      <c r="C269" s="13" t="s">
        <v>718</v>
      </c>
      <c r="D269" s="2" t="s">
        <v>99</v>
      </c>
      <c r="E269" s="2"/>
      <c r="F269" s="2"/>
      <c r="G269" s="2" t="s">
        <v>78</v>
      </c>
      <c r="H269" s="2" t="s">
        <v>719</v>
      </c>
      <c r="I269" s="2"/>
      <c r="J269" s="2" t="s">
        <v>242</v>
      </c>
      <c r="K269" s="2">
        <v>0</v>
      </c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>
        <v>0</v>
      </c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>
        <v>5.2</v>
      </c>
      <c r="BB269" s="2"/>
      <c r="BC269" s="2"/>
      <c r="BD269" s="2"/>
      <c r="BE269" s="2"/>
      <c r="BF269" s="2"/>
      <c r="BG269" s="2"/>
      <c r="BH269" s="2"/>
      <c r="BI269" s="2">
        <v>0.8</v>
      </c>
      <c r="BJ269" s="2">
        <v>0.08</v>
      </c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>
        <v>0</v>
      </c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>
        <v>0</v>
      </c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14" t="s">
        <v>81</v>
      </c>
      <c r="DM269" s="2" t="s">
        <v>81</v>
      </c>
      <c r="DN269" s="2">
        <f t="shared" si="49"/>
        <v>0.8</v>
      </c>
      <c r="DO269" s="2">
        <f t="shared" si="50"/>
        <v>0.08</v>
      </c>
      <c r="DP269" s="2" t="s">
        <v>175</v>
      </c>
      <c r="DQ269" s="2" t="s">
        <v>3</v>
      </c>
      <c r="DR269" s="2">
        <f t="shared" si="51"/>
        <v>5.2</v>
      </c>
      <c r="DS269" s="2">
        <f t="shared" si="52"/>
        <v>0.8</v>
      </c>
      <c r="DT269" s="15">
        <f t="shared" si="53"/>
        <v>41.6</v>
      </c>
      <c r="DU269" s="2"/>
      <c r="DV269" s="2">
        <f t="shared" si="54"/>
        <v>0</v>
      </c>
      <c r="DW269" s="2"/>
      <c r="DX269" s="2"/>
      <c r="DY269" s="2"/>
      <c r="DZ269" s="2" t="s">
        <v>3</v>
      </c>
      <c r="EA269" s="2" t="s">
        <v>273</v>
      </c>
      <c r="EB269" s="15">
        <v>11.763</v>
      </c>
      <c r="EC269" s="2" t="s">
        <v>176</v>
      </c>
      <c r="ED269" s="15">
        <v>1.23</v>
      </c>
      <c r="EE269" s="2" t="s">
        <v>176</v>
      </c>
      <c r="EF269" s="15">
        <v>18.425000000000001</v>
      </c>
      <c r="EG269" s="2" t="s">
        <v>176</v>
      </c>
      <c r="EH269" s="15">
        <f t="shared" ref="EH269:EH270" si="56">EF269-ED269</f>
        <v>17.195</v>
      </c>
      <c r="EI269" s="2"/>
      <c r="EJ269" s="2">
        <f t="shared" ref="EJ269:EJ270" si="57">SUM(EP269,EX269,FB269)</f>
        <v>0</v>
      </c>
      <c r="EK269" s="2"/>
      <c r="EL269" s="15">
        <f t="shared" ref="EL269:EL270" si="58">EB269+FD269</f>
        <v>11.763</v>
      </c>
      <c r="EM269" s="2" t="s">
        <v>273</v>
      </c>
      <c r="EN269" s="2">
        <f>DR632</f>
        <v>0</v>
      </c>
      <c r="EO269" s="4" t="e">
        <f t="shared" ref="EO269:EO270" si="59">100*(EP269/1000)/EN269</f>
        <v>#DIV/0!</v>
      </c>
      <c r="EP269" s="2">
        <f>DT632</f>
        <v>0</v>
      </c>
      <c r="EQ269" s="2">
        <f>COUNT(DT632)</f>
        <v>0</v>
      </c>
      <c r="ER269" s="2" t="s">
        <v>176</v>
      </c>
      <c r="ES269" s="2" t="s">
        <v>176</v>
      </c>
      <c r="ET269" s="2" t="s">
        <v>176</v>
      </c>
      <c r="EU269" s="2" t="s">
        <v>176</v>
      </c>
      <c r="EV269" s="2" t="s">
        <v>176</v>
      </c>
      <c r="EW269" s="2" t="s">
        <v>176</v>
      </c>
      <c r="EX269" s="2" t="s">
        <v>176</v>
      </c>
      <c r="EY269" s="2" t="s">
        <v>176</v>
      </c>
      <c r="EZ269" s="2" t="s">
        <v>176</v>
      </c>
      <c r="FA269" s="2" t="s">
        <v>176</v>
      </c>
      <c r="FB269" s="2" t="s">
        <v>176</v>
      </c>
      <c r="FC269" s="2" t="s">
        <v>176</v>
      </c>
      <c r="FD269" s="3">
        <f t="shared" ref="FD269:FD270" si="60">SUM(EP269,ET269,EX269,FB269)</f>
        <v>0</v>
      </c>
      <c r="FE269" s="15">
        <f>DV632</f>
        <v>0</v>
      </c>
      <c r="FF269" s="4" t="e">
        <f>100*(FG269/1000)/FE269</f>
        <v>#DIV/0!</v>
      </c>
      <c r="FG269" s="15">
        <f>DX632</f>
        <v>0</v>
      </c>
      <c r="FH269" s="2">
        <f>COUNT(DX632)</f>
        <v>0</v>
      </c>
      <c r="FI269" s="2" t="s">
        <v>176</v>
      </c>
      <c r="FJ269" s="2" t="s">
        <v>176</v>
      </c>
      <c r="FK269" s="2" t="s">
        <v>176</v>
      </c>
      <c r="FL269" s="2" t="s">
        <v>176</v>
      </c>
      <c r="FM269" s="2" t="s">
        <v>176</v>
      </c>
      <c r="FN269" s="2" t="s">
        <v>176</v>
      </c>
      <c r="FO269" s="3">
        <f>SUM(FG269,FK269,FM269,FN269)</f>
        <v>0</v>
      </c>
      <c r="FP269" s="2" t="s">
        <v>273</v>
      </c>
      <c r="FQ269" s="2" t="s">
        <v>3</v>
      </c>
      <c r="FR269" s="2" t="s">
        <v>37</v>
      </c>
      <c r="FS269" s="2" t="s">
        <v>383</v>
      </c>
      <c r="FT269" s="2" t="s">
        <v>383</v>
      </c>
      <c r="FU269" s="2"/>
      <c r="FV269" s="2" t="s">
        <v>3</v>
      </c>
    </row>
    <row r="270" spans="1:178" ht="15.75" customHeight="1" x14ac:dyDescent="0.2">
      <c r="A270" s="14" t="s">
        <v>96</v>
      </c>
      <c r="B270" s="2" t="s">
        <v>720</v>
      </c>
      <c r="C270" s="16" t="s">
        <v>721</v>
      </c>
      <c r="D270" s="2" t="s">
        <v>99</v>
      </c>
      <c r="E270" s="2"/>
      <c r="F270" s="2"/>
      <c r="G270" s="2"/>
      <c r="H270" s="2" t="s">
        <v>722</v>
      </c>
      <c r="I270" s="2"/>
      <c r="J270" s="2"/>
      <c r="K270" s="2">
        <v>0</v>
      </c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19">
        <v>4.223821</v>
      </c>
      <c r="AG270" s="2">
        <v>0.38</v>
      </c>
      <c r="AH270" s="2">
        <v>0.04</v>
      </c>
      <c r="AI270" s="2"/>
      <c r="AJ270" s="2"/>
      <c r="AK270" s="2"/>
      <c r="AL270" s="2"/>
      <c r="AM270" s="2"/>
      <c r="AN270" s="2">
        <v>0.36</v>
      </c>
      <c r="AO270" s="2">
        <v>0.03</v>
      </c>
      <c r="AP270" s="2">
        <v>0.14000000000000001</v>
      </c>
      <c r="AQ270" s="2">
        <v>0.17</v>
      </c>
      <c r="AR270" s="2"/>
      <c r="AS270" s="2"/>
      <c r="AT270" s="2"/>
      <c r="AU270" s="2"/>
      <c r="AV270" s="2"/>
      <c r="AW270" s="2"/>
      <c r="AX270" s="2"/>
      <c r="AY270" s="2"/>
      <c r="AZ270" s="2"/>
      <c r="BA270" s="19">
        <v>2.0053670000000001</v>
      </c>
      <c r="BB270" s="2">
        <v>0.34</v>
      </c>
      <c r="BC270" s="2">
        <v>0.02</v>
      </c>
      <c r="BD270" s="2"/>
      <c r="BE270" s="2"/>
      <c r="BF270" s="2"/>
      <c r="BG270" s="2"/>
      <c r="BH270" s="2"/>
      <c r="BI270" s="2">
        <v>0.33</v>
      </c>
      <c r="BJ270" s="2">
        <v>0.02</v>
      </c>
      <c r="BK270" s="2">
        <v>0.02</v>
      </c>
      <c r="BL270" s="2">
        <v>0.02</v>
      </c>
      <c r="BM270" s="2"/>
      <c r="BN270" s="2"/>
      <c r="BO270" s="2"/>
      <c r="BP270" s="2"/>
      <c r="BQ270" s="2"/>
      <c r="BR270" s="2"/>
      <c r="BS270" s="2"/>
      <c r="BT270" s="2"/>
      <c r="BU270" s="2"/>
      <c r="BV270" s="2">
        <v>0</v>
      </c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>
        <v>0</v>
      </c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14" t="s">
        <v>81</v>
      </c>
      <c r="DM270" s="14" t="s">
        <v>81</v>
      </c>
      <c r="DN270" s="2">
        <f t="shared" si="49"/>
        <v>0.35034207829335062</v>
      </c>
      <c r="DO270" s="2">
        <f t="shared" si="50"/>
        <v>2.6780692764450192E-2</v>
      </c>
      <c r="DP270" s="2" t="s">
        <v>723</v>
      </c>
      <c r="DQ270" s="2" t="s">
        <v>3</v>
      </c>
      <c r="DR270" s="19">
        <f t="shared" si="51"/>
        <v>6.2291880000000006</v>
      </c>
      <c r="DS270" s="4">
        <f t="shared" si="52"/>
        <v>0.35034207829335062</v>
      </c>
      <c r="DT270" s="15">
        <f t="shared" si="53"/>
        <v>21.823466700000004</v>
      </c>
      <c r="DU270" s="2"/>
      <c r="DV270" s="2">
        <f t="shared" si="54"/>
        <v>0</v>
      </c>
      <c r="DW270" s="2"/>
      <c r="DX270" s="2"/>
      <c r="DY270" s="2"/>
      <c r="DZ270" s="2" t="s">
        <v>3</v>
      </c>
      <c r="EA270" s="2" t="s">
        <v>416</v>
      </c>
      <c r="EB270" s="15">
        <v>840.02</v>
      </c>
      <c r="EC270" s="2" t="s">
        <v>176</v>
      </c>
      <c r="ED270" s="15">
        <v>86.816000000000003</v>
      </c>
      <c r="EE270" s="2" t="s">
        <v>176</v>
      </c>
      <c r="EF270" s="3">
        <v>1481.4634472999999</v>
      </c>
      <c r="EG270" s="2" t="s">
        <v>176</v>
      </c>
      <c r="EH270" s="3">
        <f t="shared" si="56"/>
        <v>1394.6474472999998</v>
      </c>
      <c r="EI270" s="2"/>
      <c r="EJ270" s="3">
        <f t="shared" si="57"/>
        <v>8769.8299076200001</v>
      </c>
      <c r="EK270" s="2"/>
      <c r="EL270" s="3">
        <f t="shared" si="58"/>
        <v>9609.8499076200005</v>
      </c>
      <c r="EM270" s="2" t="s">
        <v>416</v>
      </c>
      <c r="EN270" s="15">
        <f>SUM(DR429:DR436)</f>
        <v>1504.4119114</v>
      </c>
      <c r="EO270" s="4">
        <f t="shared" si="59"/>
        <v>0.58294073858128581</v>
      </c>
      <c r="EP270" s="3">
        <f>SUM(DT429:DT436)</f>
        <v>8769.8299076200001</v>
      </c>
      <c r="EQ270" s="2">
        <f>COUNT(DT429:DT436)</f>
        <v>8</v>
      </c>
      <c r="ER270" s="2" t="s">
        <v>176</v>
      </c>
      <c r="ES270" s="2" t="s">
        <v>176</v>
      </c>
      <c r="ET270" s="2" t="s">
        <v>176</v>
      </c>
      <c r="EU270" s="2" t="s">
        <v>176</v>
      </c>
      <c r="EV270" s="2" t="s">
        <v>176</v>
      </c>
      <c r="EW270" s="2" t="s">
        <v>176</v>
      </c>
      <c r="EX270" s="2" t="s">
        <v>176</v>
      </c>
      <c r="EY270" s="2" t="s">
        <v>176</v>
      </c>
      <c r="EZ270" s="2" t="s">
        <v>176</v>
      </c>
      <c r="FA270" s="2" t="s">
        <v>176</v>
      </c>
      <c r="FB270" s="2" t="s">
        <v>176</v>
      </c>
      <c r="FC270" s="2" t="s">
        <v>176</v>
      </c>
      <c r="FD270" s="3">
        <f t="shared" si="60"/>
        <v>8769.8299076200001</v>
      </c>
      <c r="FE270" s="2" t="s">
        <v>176</v>
      </c>
      <c r="FF270" s="2" t="s">
        <v>176</v>
      </c>
      <c r="FG270" s="2" t="s">
        <v>176</v>
      </c>
      <c r="FH270" s="2" t="s">
        <v>176</v>
      </c>
      <c r="FI270" s="2" t="s">
        <v>176</v>
      </c>
      <c r="FJ270" s="2" t="s">
        <v>176</v>
      </c>
      <c r="FK270" s="2" t="s">
        <v>176</v>
      </c>
      <c r="FL270" s="2" t="s">
        <v>176</v>
      </c>
      <c r="FM270" s="2" t="s">
        <v>176</v>
      </c>
      <c r="FN270" s="2" t="s">
        <v>176</v>
      </c>
      <c r="FO270" s="2" t="s">
        <v>176</v>
      </c>
      <c r="FP270" s="2" t="s">
        <v>416</v>
      </c>
      <c r="FQ270" s="2" t="s">
        <v>3</v>
      </c>
      <c r="FR270" s="2" t="s">
        <v>89</v>
      </c>
      <c r="FS270" s="2" t="s">
        <v>123</v>
      </c>
      <c r="FT270" s="2"/>
      <c r="FU270" s="2"/>
      <c r="FV270" s="2" t="s">
        <v>3</v>
      </c>
    </row>
    <row r="271" spans="1:178" ht="15.75" customHeight="1" x14ac:dyDescent="0.2">
      <c r="A271" s="12" t="s">
        <v>74</v>
      </c>
      <c r="B271" s="27" t="s">
        <v>243</v>
      </c>
      <c r="C271" s="13" t="s">
        <v>724</v>
      </c>
      <c r="D271" s="2" t="s">
        <v>99</v>
      </c>
      <c r="E271" s="2"/>
      <c r="F271" s="2"/>
      <c r="G271" s="2"/>
      <c r="H271" s="2" t="s">
        <v>79</v>
      </c>
      <c r="I271" s="2"/>
      <c r="J271" s="2"/>
      <c r="K271" s="2">
        <v>0</v>
      </c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>
        <v>0</v>
      </c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>
        <v>22.7</v>
      </c>
      <c r="BB271" s="2"/>
      <c r="BC271" s="2"/>
      <c r="BD271" s="2"/>
      <c r="BE271" s="2"/>
      <c r="BF271" s="2"/>
      <c r="BG271" s="2"/>
      <c r="BH271" s="2"/>
      <c r="BI271" s="2" t="s">
        <v>725</v>
      </c>
      <c r="BJ271" s="2">
        <v>0.12</v>
      </c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>
        <v>0</v>
      </c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>
        <v>0</v>
      </c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14" t="s">
        <v>100</v>
      </c>
      <c r="DM271" s="2" t="s">
        <v>100</v>
      </c>
      <c r="DN271" s="2">
        <f t="shared" si="49"/>
        <v>0.81</v>
      </c>
      <c r="DO271" s="2">
        <f t="shared" si="50"/>
        <v>0.12</v>
      </c>
      <c r="DP271" s="2" t="s">
        <v>113</v>
      </c>
      <c r="DQ271" s="2" t="s">
        <v>3</v>
      </c>
      <c r="DR271" s="2">
        <f t="shared" si="51"/>
        <v>22.7</v>
      </c>
      <c r="DS271" s="2">
        <f t="shared" si="52"/>
        <v>0.81</v>
      </c>
      <c r="DT271" s="15">
        <f t="shared" si="53"/>
        <v>183.87</v>
      </c>
      <c r="DU271" s="2"/>
      <c r="DV271" s="2">
        <f t="shared" si="54"/>
        <v>0</v>
      </c>
      <c r="DW271" s="2"/>
      <c r="DX271" s="2"/>
      <c r="DY271" s="2"/>
      <c r="DZ271" s="2" t="s">
        <v>3</v>
      </c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 t="s">
        <v>3</v>
      </c>
      <c r="FR271" s="2" t="s">
        <v>37</v>
      </c>
      <c r="FS271" s="2" t="s">
        <v>235</v>
      </c>
      <c r="FT271" s="2" t="s">
        <v>235</v>
      </c>
      <c r="FU271" s="2"/>
      <c r="FV271" s="2" t="s">
        <v>3</v>
      </c>
    </row>
    <row r="272" spans="1:178" ht="15.75" customHeight="1" x14ac:dyDescent="0.2">
      <c r="A272" s="14" t="s">
        <v>96</v>
      </c>
      <c r="B272" s="27" t="s">
        <v>97</v>
      </c>
      <c r="C272" s="16" t="s">
        <v>726</v>
      </c>
      <c r="D272" s="2" t="s">
        <v>99</v>
      </c>
      <c r="E272" s="2"/>
      <c r="F272" s="2"/>
      <c r="G272" s="2"/>
      <c r="H272" s="2" t="s">
        <v>79</v>
      </c>
      <c r="I272" s="2"/>
      <c r="J272" s="2"/>
      <c r="K272" s="2">
        <v>0</v>
      </c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>
        <v>0</v>
      </c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>
        <v>1.67</v>
      </c>
      <c r="BB272" s="2">
        <v>0.3</v>
      </c>
      <c r="BC272" s="2"/>
      <c r="BD272" s="2"/>
      <c r="BE272" s="2"/>
      <c r="BF272" s="2"/>
      <c r="BG272" s="2"/>
      <c r="BH272" s="2"/>
      <c r="BI272" s="2">
        <v>0.51500000000000001</v>
      </c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>
        <v>0</v>
      </c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>
        <v>0</v>
      </c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14" t="s">
        <v>100</v>
      </c>
      <c r="DM272" s="2"/>
      <c r="DN272" s="2">
        <f t="shared" si="49"/>
        <v>0.51500000000000001</v>
      </c>
      <c r="DO272" s="2">
        <f t="shared" si="50"/>
        <v>0</v>
      </c>
      <c r="DP272" s="2" t="s">
        <v>132</v>
      </c>
      <c r="DQ272" s="2" t="s">
        <v>3</v>
      </c>
      <c r="DR272" s="2">
        <f t="shared" si="51"/>
        <v>1.67</v>
      </c>
      <c r="DS272" s="4">
        <f t="shared" si="52"/>
        <v>0.51500000000000001</v>
      </c>
      <c r="DT272" s="15">
        <f t="shared" si="53"/>
        <v>8.6005000000000003</v>
      </c>
      <c r="DU272" s="2"/>
      <c r="DV272" s="2">
        <f t="shared" si="54"/>
        <v>0</v>
      </c>
      <c r="DW272" s="2"/>
      <c r="DX272" s="2"/>
      <c r="DY272" s="2"/>
      <c r="DZ272" s="2" t="s">
        <v>3</v>
      </c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 t="s">
        <v>3</v>
      </c>
      <c r="FR272" s="2" t="s">
        <v>89</v>
      </c>
      <c r="FS272" s="2" t="s">
        <v>123</v>
      </c>
      <c r="FT272" s="2"/>
      <c r="FU272" s="2"/>
      <c r="FV272" s="2" t="s">
        <v>3</v>
      </c>
    </row>
    <row r="273" spans="1:178" ht="15.75" customHeight="1" x14ac:dyDescent="0.2">
      <c r="A273" s="14" t="s">
        <v>74</v>
      </c>
      <c r="B273" s="27" t="s">
        <v>164</v>
      </c>
      <c r="C273" s="13" t="s">
        <v>727</v>
      </c>
      <c r="D273" s="2" t="s">
        <v>99</v>
      </c>
      <c r="E273" s="2"/>
      <c r="F273" s="2"/>
      <c r="G273" s="2" t="s">
        <v>78</v>
      </c>
      <c r="H273" s="2" t="s">
        <v>607</v>
      </c>
      <c r="I273" s="2"/>
      <c r="J273" s="2" t="s">
        <v>242</v>
      </c>
      <c r="K273" s="2">
        <v>0</v>
      </c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>
        <v>178</v>
      </c>
      <c r="AG273" s="2"/>
      <c r="AH273" s="2"/>
      <c r="AI273" s="2"/>
      <c r="AJ273" s="2"/>
      <c r="AK273" s="2"/>
      <c r="AL273" s="2"/>
      <c r="AM273" s="2"/>
      <c r="AN273" s="2">
        <v>0.64</v>
      </c>
      <c r="AO273" s="2">
        <v>0.04</v>
      </c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>
        <v>34</v>
      </c>
      <c r="BB273" s="2"/>
      <c r="BC273" s="2"/>
      <c r="BD273" s="2"/>
      <c r="BE273" s="2"/>
      <c r="BF273" s="2"/>
      <c r="BG273" s="2"/>
      <c r="BH273" s="2"/>
      <c r="BI273" s="2">
        <v>0.6</v>
      </c>
      <c r="BJ273" s="2">
        <v>4.1000000000000002E-2</v>
      </c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>
        <v>0</v>
      </c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>
        <v>0</v>
      </c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14" t="s">
        <v>81</v>
      </c>
      <c r="DM273" s="2" t="s">
        <v>81</v>
      </c>
      <c r="DN273" s="2">
        <f t="shared" si="49"/>
        <v>0.63358490566037728</v>
      </c>
      <c r="DO273" s="2">
        <f t="shared" si="50"/>
        <v>4.0160377358490561E-2</v>
      </c>
      <c r="DP273" s="2" t="s">
        <v>175</v>
      </c>
      <c r="DQ273" s="2" t="s">
        <v>3</v>
      </c>
      <c r="DR273" s="2">
        <f t="shared" si="51"/>
        <v>212</v>
      </c>
      <c r="DS273" s="4">
        <f t="shared" si="52"/>
        <v>0.63358490566037728</v>
      </c>
      <c r="DT273" s="18">
        <f t="shared" si="53"/>
        <v>1343.1999999999998</v>
      </c>
      <c r="DU273" s="2"/>
      <c r="DV273" s="2">
        <f t="shared" si="54"/>
        <v>0</v>
      </c>
      <c r="DW273" s="2"/>
      <c r="DX273" s="2"/>
      <c r="DY273" s="2"/>
      <c r="DZ273" s="2" t="s">
        <v>3</v>
      </c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 t="s">
        <v>3</v>
      </c>
      <c r="FR273" s="2" t="s">
        <v>37</v>
      </c>
      <c r="FS273" s="2" t="s">
        <v>114</v>
      </c>
      <c r="FT273" s="2" t="s">
        <v>114</v>
      </c>
      <c r="FU273" s="2"/>
      <c r="FV273" s="2" t="s">
        <v>3</v>
      </c>
    </row>
    <row r="274" spans="1:178" ht="15.75" customHeight="1" x14ac:dyDescent="0.2">
      <c r="A274" s="14" t="s">
        <v>96</v>
      </c>
      <c r="B274" s="27" t="s">
        <v>97</v>
      </c>
      <c r="C274" s="16" t="s">
        <v>728</v>
      </c>
      <c r="D274" s="2" t="s">
        <v>99</v>
      </c>
      <c r="E274" s="2"/>
      <c r="F274" s="2"/>
      <c r="G274" s="2"/>
      <c r="H274" s="2" t="s">
        <v>79</v>
      </c>
      <c r="I274" s="2"/>
      <c r="J274" s="2"/>
      <c r="K274" s="2">
        <v>0</v>
      </c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>
        <v>0</v>
      </c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>
        <v>10.35</v>
      </c>
      <c r="BB274" s="2">
        <v>0.42</v>
      </c>
      <c r="BC274" s="2"/>
      <c r="BD274" s="2"/>
      <c r="BE274" s="2"/>
      <c r="BF274" s="2"/>
      <c r="BG274" s="2"/>
      <c r="BH274" s="2"/>
      <c r="BI274" s="2">
        <v>0.74</v>
      </c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>
        <v>0</v>
      </c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>
        <v>0</v>
      </c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14" t="s">
        <v>100</v>
      </c>
      <c r="DM274" s="2"/>
      <c r="DN274" s="2">
        <f t="shared" si="49"/>
        <v>0.74</v>
      </c>
      <c r="DO274" s="2">
        <f t="shared" si="50"/>
        <v>0</v>
      </c>
      <c r="DP274" s="2" t="s">
        <v>132</v>
      </c>
      <c r="DQ274" s="2" t="s">
        <v>3</v>
      </c>
      <c r="DR274" s="2">
        <f t="shared" si="51"/>
        <v>10.35</v>
      </c>
      <c r="DS274" s="2">
        <f t="shared" si="52"/>
        <v>0.74</v>
      </c>
      <c r="DT274" s="15">
        <f t="shared" si="53"/>
        <v>76.59</v>
      </c>
      <c r="DU274" s="2"/>
      <c r="DV274" s="2">
        <f t="shared" si="54"/>
        <v>0</v>
      </c>
      <c r="DW274" s="2"/>
      <c r="DX274" s="2"/>
      <c r="DY274" s="2"/>
      <c r="DZ274" s="2" t="s">
        <v>3</v>
      </c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 t="s">
        <v>3</v>
      </c>
      <c r="FR274" s="2" t="s">
        <v>89</v>
      </c>
      <c r="FS274" s="2" t="s">
        <v>522</v>
      </c>
      <c r="FT274" s="2"/>
      <c r="FU274" s="2"/>
      <c r="FV274" s="2" t="s">
        <v>3</v>
      </c>
    </row>
    <row r="275" spans="1:178" ht="15.75" customHeight="1" x14ac:dyDescent="0.2">
      <c r="A275" s="14" t="s">
        <v>96</v>
      </c>
      <c r="B275" s="27" t="s">
        <v>164</v>
      </c>
      <c r="C275" s="16" t="s">
        <v>729</v>
      </c>
      <c r="D275" s="2" t="s">
        <v>109</v>
      </c>
      <c r="E275" s="2"/>
      <c r="F275" s="2"/>
      <c r="G275" s="2" t="s">
        <v>730</v>
      </c>
      <c r="H275" s="2" t="s">
        <v>367</v>
      </c>
      <c r="I275" s="2"/>
      <c r="J275" s="2" t="s">
        <v>181</v>
      </c>
      <c r="K275" s="15">
        <f>3.3+3.4+15+1.3</f>
        <v>23</v>
      </c>
      <c r="L275" s="2"/>
      <c r="M275" s="2"/>
      <c r="N275" s="2"/>
      <c r="O275" s="2"/>
      <c r="P275" s="2"/>
      <c r="Q275" s="2"/>
      <c r="R275" s="2"/>
      <c r="S275" s="4">
        <f>(1.8*3.3+0/0.72*3.4+2*15+0.84*1.3)/K275</f>
        <v>1.6100869565217391</v>
      </c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15">
        <f>2.8+76+7.8+1.4</f>
        <v>88</v>
      </c>
      <c r="AG275" s="2"/>
      <c r="AH275" s="2"/>
      <c r="AI275" s="2"/>
      <c r="AJ275" s="2"/>
      <c r="AK275" s="2"/>
      <c r="AL275" s="2"/>
      <c r="AM275" s="2"/>
      <c r="AN275" s="4">
        <f>(1.2*2.8+0.52*76+1.9*7.8+1*1.4)/AF275</f>
        <v>0.67159090909090913</v>
      </c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>
        <f>3.2+89+6.3+1.9</f>
        <v>100.4</v>
      </c>
      <c r="BB275" s="2"/>
      <c r="BC275" s="2"/>
      <c r="BD275" s="2"/>
      <c r="BE275" s="2"/>
      <c r="BF275" s="2"/>
      <c r="BG275" s="2"/>
      <c r="BH275" s="2"/>
      <c r="BI275" s="4">
        <f>(1*3.2+0.5*89+2.3*6.3+1.7*1.9)/BA275</f>
        <v>0.65159362549800792</v>
      </c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>
        <f>1.3+1.3</f>
        <v>2.6</v>
      </c>
      <c r="BW275" s="2"/>
      <c r="BX275" s="2"/>
      <c r="BY275" s="2"/>
      <c r="BZ275" s="2"/>
      <c r="CA275" s="2"/>
      <c r="CB275" s="2"/>
      <c r="CC275" s="2"/>
      <c r="CD275" s="4">
        <f>(0.96*1.3+0.84*1.3)/BV275</f>
        <v>0.89999999999999991</v>
      </c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>
        <f>3.3+5.3</f>
        <v>8.6</v>
      </c>
      <c r="CR275" s="2"/>
      <c r="CS275" s="2"/>
      <c r="CT275" s="2"/>
      <c r="CU275" s="2"/>
      <c r="CV275" s="2"/>
      <c r="CW275" s="2"/>
      <c r="CX275" s="2"/>
      <c r="CY275" s="4">
        <f>(0.84*3.3+1.6*5.3)/CQ275</f>
        <v>1.3083720930232559</v>
      </c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14" t="s">
        <v>81</v>
      </c>
      <c r="DM275" s="2"/>
      <c r="DN275" s="2">
        <f t="shared" si="49"/>
        <v>0.76420056764427635</v>
      </c>
      <c r="DO275" s="2">
        <f t="shared" si="50"/>
        <v>0</v>
      </c>
      <c r="DP275" s="2" t="s">
        <v>211</v>
      </c>
      <c r="DQ275" s="2" t="s">
        <v>3</v>
      </c>
      <c r="DR275" s="15">
        <f t="shared" si="51"/>
        <v>211.4</v>
      </c>
      <c r="DS275" s="4">
        <f t="shared" si="52"/>
        <v>0.76420056764427635</v>
      </c>
      <c r="DT275" s="18">
        <f t="shared" si="53"/>
        <v>1615.5200000000002</v>
      </c>
      <c r="DU275" s="2"/>
      <c r="DV275" s="2">
        <f t="shared" si="54"/>
        <v>11.2</v>
      </c>
      <c r="DW275" s="4">
        <f>(BV275*CD275+CQ275*CY275)/DV275</f>
        <v>1.2135714285714287</v>
      </c>
      <c r="DX275" s="15">
        <f>1000*DV275*DW275/100</f>
        <v>135.92000000000002</v>
      </c>
      <c r="DY275" s="2"/>
      <c r="DZ275" s="2" t="s">
        <v>3</v>
      </c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 t="s">
        <v>3</v>
      </c>
      <c r="FR275" s="2" t="s">
        <v>89</v>
      </c>
      <c r="FS275" s="2" t="s">
        <v>137</v>
      </c>
      <c r="FT275" s="2"/>
      <c r="FU275" s="2"/>
      <c r="FV275" s="2" t="s">
        <v>3</v>
      </c>
    </row>
    <row r="276" spans="1:178" ht="15.75" customHeight="1" x14ac:dyDescent="0.2">
      <c r="A276" s="14" t="s">
        <v>96</v>
      </c>
      <c r="B276" s="27" t="s">
        <v>164</v>
      </c>
      <c r="C276" s="28" t="s">
        <v>731</v>
      </c>
      <c r="D276" s="2" t="s">
        <v>99</v>
      </c>
      <c r="E276" s="2"/>
      <c r="F276" s="2"/>
      <c r="G276" s="2" t="s">
        <v>447</v>
      </c>
      <c r="H276" s="2" t="s">
        <v>603</v>
      </c>
      <c r="I276" s="2"/>
      <c r="J276" s="2" t="s">
        <v>181</v>
      </c>
      <c r="K276" s="2">
        <v>3.16</v>
      </c>
      <c r="L276" s="2"/>
      <c r="M276" s="2"/>
      <c r="N276" s="2"/>
      <c r="O276" s="2"/>
      <c r="P276" s="2"/>
      <c r="Q276" s="2"/>
      <c r="R276" s="2"/>
      <c r="S276" s="2">
        <v>0.6</v>
      </c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>
        <v>0</v>
      </c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>
        <v>26.45</v>
      </c>
      <c r="BB276" s="2"/>
      <c r="BC276" s="2"/>
      <c r="BD276" s="2"/>
      <c r="BE276" s="2"/>
      <c r="BF276" s="2"/>
      <c r="BG276" s="2"/>
      <c r="BH276" s="2"/>
      <c r="BI276" s="2">
        <v>0.44</v>
      </c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>
        <v>0</v>
      </c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>
        <v>0</v>
      </c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14" t="s">
        <v>81</v>
      </c>
      <c r="DM276" s="2"/>
      <c r="DN276" s="2">
        <f t="shared" si="49"/>
        <v>0.45707531239446131</v>
      </c>
      <c r="DO276" s="2">
        <f t="shared" si="50"/>
        <v>0</v>
      </c>
      <c r="DP276" s="2" t="s">
        <v>175</v>
      </c>
      <c r="DQ276" s="2" t="s">
        <v>3</v>
      </c>
      <c r="DR276" s="2">
        <f t="shared" si="51"/>
        <v>29.61</v>
      </c>
      <c r="DS276" s="4">
        <f t="shared" si="52"/>
        <v>0.45707531239446131</v>
      </c>
      <c r="DT276" s="15">
        <f t="shared" si="53"/>
        <v>135.34</v>
      </c>
      <c r="DU276" s="2"/>
      <c r="DV276" s="2">
        <f t="shared" si="54"/>
        <v>0</v>
      </c>
      <c r="DW276" s="2"/>
      <c r="DX276" s="2"/>
      <c r="DY276" s="2"/>
      <c r="DZ276" s="2" t="s">
        <v>3</v>
      </c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 t="s">
        <v>3</v>
      </c>
      <c r="FR276" s="2" t="s">
        <v>447</v>
      </c>
      <c r="FS276" s="2" t="s">
        <v>89</v>
      </c>
      <c r="FT276" s="2" t="s">
        <v>137</v>
      </c>
      <c r="FU276" s="2"/>
      <c r="FV276" s="2" t="s">
        <v>3</v>
      </c>
    </row>
    <row r="277" spans="1:178" ht="15.75" customHeight="1" x14ac:dyDescent="0.2">
      <c r="A277" s="14" t="s">
        <v>96</v>
      </c>
      <c r="B277" s="27" t="s">
        <v>97</v>
      </c>
      <c r="C277" s="16" t="s">
        <v>732</v>
      </c>
      <c r="D277" s="2" t="s">
        <v>99</v>
      </c>
      <c r="E277" s="2"/>
      <c r="F277" s="2"/>
      <c r="G277" s="2"/>
      <c r="H277" s="2" t="s">
        <v>79</v>
      </c>
      <c r="I277" s="2"/>
      <c r="J277" s="2"/>
      <c r="K277" s="2">
        <v>0</v>
      </c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>
        <v>0</v>
      </c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>
        <v>2.2000000000000002</v>
      </c>
      <c r="BB277" s="2"/>
      <c r="BC277" s="2"/>
      <c r="BD277" s="2"/>
      <c r="BE277" s="2"/>
      <c r="BF277" s="2"/>
      <c r="BG277" s="2"/>
      <c r="BH277" s="2"/>
      <c r="BI277" s="2">
        <v>0.59</v>
      </c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>
        <v>0</v>
      </c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>
        <v>0</v>
      </c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14" t="s">
        <v>100</v>
      </c>
      <c r="DM277" s="2"/>
      <c r="DN277" s="2">
        <f t="shared" si="49"/>
        <v>0.59</v>
      </c>
      <c r="DO277" s="2">
        <f t="shared" si="50"/>
        <v>0</v>
      </c>
      <c r="DP277" s="2" t="s">
        <v>132</v>
      </c>
      <c r="DQ277" s="2" t="s">
        <v>3</v>
      </c>
      <c r="DR277" s="2">
        <f t="shared" si="51"/>
        <v>2.2000000000000002</v>
      </c>
      <c r="DS277" s="2">
        <f t="shared" si="52"/>
        <v>0.59</v>
      </c>
      <c r="DT277" s="15">
        <f t="shared" si="53"/>
        <v>12.98</v>
      </c>
      <c r="DU277" s="2"/>
      <c r="DV277" s="2">
        <f t="shared" si="54"/>
        <v>0</v>
      </c>
      <c r="DW277" s="2"/>
      <c r="DX277" s="2"/>
      <c r="DY277" s="2"/>
      <c r="DZ277" s="2" t="s">
        <v>3</v>
      </c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 t="s">
        <v>3</v>
      </c>
      <c r="FR277" s="2" t="s">
        <v>89</v>
      </c>
      <c r="FS277" s="2" t="s">
        <v>522</v>
      </c>
      <c r="FT277" s="2"/>
      <c r="FU277" s="2"/>
      <c r="FV277" s="2" t="s">
        <v>3</v>
      </c>
    </row>
    <row r="278" spans="1:178" ht="15.75" customHeight="1" x14ac:dyDescent="0.2">
      <c r="A278" s="14" t="s">
        <v>262</v>
      </c>
      <c r="B278" s="27" t="s">
        <v>85</v>
      </c>
      <c r="C278" s="16" t="s">
        <v>733</v>
      </c>
      <c r="D278" s="2"/>
      <c r="E278" s="2"/>
      <c r="F278" s="2"/>
      <c r="G278" s="2"/>
      <c r="H278" s="2" t="s">
        <v>734</v>
      </c>
      <c r="I278" s="2"/>
      <c r="J278" s="2"/>
      <c r="K278" s="2">
        <v>40.39</v>
      </c>
      <c r="L278" s="4">
        <v>6.3800445654865076E-2</v>
      </c>
      <c r="M278" s="4">
        <v>0.13392820252537757</v>
      </c>
      <c r="N278" s="2"/>
      <c r="O278" s="2"/>
      <c r="P278" s="2"/>
      <c r="Q278" s="2"/>
      <c r="R278" s="2"/>
      <c r="S278" s="4">
        <v>0.1807006684822976</v>
      </c>
      <c r="T278" s="2"/>
      <c r="U278" s="4">
        <v>2.2807774696707104</v>
      </c>
      <c r="V278" s="4">
        <v>1.939513226046051</v>
      </c>
      <c r="W278" s="4">
        <v>0.31708340430799703</v>
      </c>
      <c r="X278" s="2"/>
      <c r="Y278" s="2"/>
      <c r="Z278" s="2"/>
      <c r="AA278" s="2"/>
      <c r="AB278" s="2"/>
      <c r="AC278" s="2"/>
      <c r="AD278" s="2"/>
      <c r="AE278" s="2"/>
      <c r="AF278" s="2">
        <v>128.85</v>
      </c>
      <c r="AG278" s="4">
        <v>7.9450523864959252E-2</v>
      </c>
      <c r="AH278" s="4">
        <v>0.19727657741559956</v>
      </c>
      <c r="AI278" s="2"/>
      <c r="AJ278" s="2"/>
      <c r="AK278" s="2"/>
      <c r="AL278" s="2"/>
      <c r="AM278" s="2"/>
      <c r="AN278" s="4">
        <v>0.19786495925494763</v>
      </c>
      <c r="AO278" s="2"/>
      <c r="AP278" s="4">
        <v>2.8239773504074503</v>
      </c>
      <c r="AQ278" s="4">
        <v>2.193101839348079</v>
      </c>
      <c r="AR278" s="4">
        <v>0.33253596740395808</v>
      </c>
      <c r="AS278" s="2"/>
      <c r="AT278" s="2"/>
      <c r="AU278" s="2"/>
      <c r="AV278" s="2"/>
      <c r="AW278" s="2"/>
      <c r="AX278" s="2"/>
      <c r="AY278" s="2"/>
      <c r="AZ278" s="2"/>
      <c r="BA278" s="2">
        <v>110.55000000000001</v>
      </c>
      <c r="BB278" s="4">
        <v>7.9213025780189947E-2</v>
      </c>
      <c r="BC278" s="4">
        <v>0.17888024423337853</v>
      </c>
      <c r="BD278" s="2"/>
      <c r="BE278" s="2"/>
      <c r="BF278" s="2"/>
      <c r="BG278" s="2"/>
      <c r="BH278" s="2"/>
      <c r="BI278" s="4">
        <v>0.19561736770691995</v>
      </c>
      <c r="BJ278" s="2"/>
      <c r="BK278" s="4">
        <v>2.8650871370420621</v>
      </c>
      <c r="BL278" s="4">
        <v>2.365907978290366</v>
      </c>
      <c r="BM278" s="4">
        <v>0.37799438263229318</v>
      </c>
      <c r="BN278" s="2"/>
      <c r="BO278" s="2"/>
      <c r="BP278" s="2"/>
      <c r="BQ278" s="2"/>
      <c r="BR278" s="2"/>
      <c r="BS278" s="2"/>
      <c r="BT278" s="2"/>
      <c r="BU278" s="2"/>
      <c r="BV278" s="2">
        <v>0</v>
      </c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>
        <v>0</v>
      </c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14" t="s">
        <v>81</v>
      </c>
      <c r="DM278" s="2"/>
      <c r="DN278" s="2">
        <f t="shared" si="49"/>
        <v>0.19449908860216589</v>
      </c>
      <c r="DO278" s="2">
        <f t="shared" si="50"/>
        <v>0</v>
      </c>
      <c r="DP278" s="2" t="s">
        <v>512</v>
      </c>
      <c r="DQ278" s="2" t="s">
        <v>3</v>
      </c>
      <c r="DR278" s="15">
        <f t="shared" si="51"/>
        <v>279.79000000000002</v>
      </c>
      <c r="DS278" s="4">
        <f t="shared" si="52"/>
        <v>0.19449908860216589</v>
      </c>
      <c r="DT278" s="15">
        <f t="shared" si="53"/>
        <v>544.18899999999996</v>
      </c>
      <c r="DU278" s="2"/>
      <c r="DV278" s="2">
        <f t="shared" si="54"/>
        <v>0</v>
      </c>
      <c r="DW278" s="2"/>
      <c r="DX278" s="2"/>
      <c r="DY278" s="2"/>
      <c r="DZ278" s="2" t="s">
        <v>3</v>
      </c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 t="s">
        <v>3</v>
      </c>
      <c r="FR278" s="2" t="s">
        <v>89</v>
      </c>
      <c r="FS278" s="2" t="s">
        <v>90</v>
      </c>
      <c r="FT278" s="2" t="s">
        <v>91</v>
      </c>
      <c r="FU278" s="2" t="s">
        <v>226</v>
      </c>
      <c r="FV278" s="2" t="s">
        <v>3</v>
      </c>
    </row>
    <row r="279" spans="1:178" ht="15.75" customHeight="1" x14ac:dyDescent="0.2">
      <c r="A279" s="12" t="s">
        <v>74</v>
      </c>
      <c r="B279" s="27" t="s">
        <v>411</v>
      </c>
      <c r="C279" s="13" t="s">
        <v>735</v>
      </c>
      <c r="D279" s="2" t="s">
        <v>109</v>
      </c>
      <c r="E279" s="2"/>
      <c r="F279" s="2"/>
      <c r="G279" s="2"/>
      <c r="H279" s="2" t="s">
        <v>79</v>
      </c>
      <c r="I279" s="2"/>
      <c r="J279" s="2"/>
      <c r="K279" s="2">
        <v>0</v>
      </c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>
        <v>0</v>
      </c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15">
        <v>129.99799999999999</v>
      </c>
      <c r="BB279" s="2"/>
      <c r="BC279" s="2"/>
      <c r="BD279" s="2"/>
      <c r="BE279" s="2"/>
      <c r="BF279" s="2"/>
      <c r="BG279" s="2"/>
      <c r="BH279" s="2"/>
      <c r="BI279" s="4">
        <v>0.86440929860459403</v>
      </c>
      <c r="BJ279" s="4">
        <v>6.6948799212295573E-2</v>
      </c>
      <c r="BK279" s="2"/>
      <c r="BL279" s="2"/>
      <c r="BM279" s="2"/>
      <c r="BN279" s="2"/>
      <c r="BO279" s="2"/>
      <c r="BP279" s="15">
        <v>40.305776242711431</v>
      </c>
      <c r="BQ279" s="15">
        <v>15.339164448683825</v>
      </c>
      <c r="BR279" s="2"/>
      <c r="BS279" s="2"/>
      <c r="BT279" s="2"/>
      <c r="BU279" s="2"/>
      <c r="BV279" s="2">
        <v>0</v>
      </c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>
        <v>0</v>
      </c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14" t="s">
        <v>100</v>
      </c>
      <c r="DM279" s="14" t="s">
        <v>100</v>
      </c>
      <c r="DN279" s="2">
        <f t="shared" si="49"/>
        <v>0.86440929860459403</v>
      </c>
      <c r="DO279" s="2">
        <f t="shared" si="50"/>
        <v>6.6948799212295573E-2</v>
      </c>
      <c r="DP279" s="2" t="s">
        <v>413</v>
      </c>
      <c r="DQ279" s="2" t="s">
        <v>3</v>
      </c>
      <c r="DR279" s="15">
        <f t="shared" si="51"/>
        <v>129.99799999999999</v>
      </c>
      <c r="DS279" s="4">
        <f t="shared" si="52"/>
        <v>0.86440929860459403</v>
      </c>
      <c r="DT279" s="18">
        <f t="shared" si="53"/>
        <v>1123.7148</v>
      </c>
      <c r="DU279" s="2"/>
      <c r="DV279" s="2">
        <f t="shared" si="54"/>
        <v>0</v>
      </c>
      <c r="DW279" s="2"/>
      <c r="DX279" s="2"/>
      <c r="DY279" s="2"/>
      <c r="DZ279" s="2" t="s">
        <v>3</v>
      </c>
      <c r="EA279" s="2" t="s">
        <v>720</v>
      </c>
      <c r="EB279" s="2" t="s">
        <v>176</v>
      </c>
      <c r="EC279" s="2" t="s">
        <v>176</v>
      </c>
      <c r="ED279" s="2" t="s">
        <v>176</v>
      </c>
      <c r="EE279" s="2" t="s">
        <v>176</v>
      </c>
      <c r="EF279" s="2" t="s">
        <v>176</v>
      </c>
      <c r="EG279" s="2" t="s">
        <v>176</v>
      </c>
      <c r="EH279" s="2"/>
      <c r="EI279" s="2"/>
      <c r="EJ279" s="15">
        <f>SUM(EP279,EX279,FB279)</f>
        <v>30</v>
      </c>
      <c r="EK279" s="2"/>
      <c r="EL279" s="15">
        <f>FD279</f>
        <v>30</v>
      </c>
      <c r="EM279" s="2" t="s">
        <v>720</v>
      </c>
      <c r="EN279" s="15">
        <f>DR281</f>
        <v>3</v>
      </c>
      <c r="EO279" s="4">
        <f>100*(EP279/1000)/EN279</f>
        <v>1</v>
      </c>
      <c r="EP279" s="15">
        <f>DT281</f>
        <v>30</v>
      </c>
      <c r="EQ279" s="2">
        <f>COUNT(DT281)</f>
        <v>1</v>
      </c>
      <c r="ER279" s="2" t="s">
        <v>176</v>
      </c>
      <c r="ES279" s="2" t="s">
        <v>176</v>
      </c>
      <c r="ET279" s="2" t="s">
        <v>176</v>
      </c>
      <c r="EU279" s="2" t="s">
        <v>176</v>
      </c>
      <c r="EV279" s="2" t="s">
        <v>176</v>
      </c>
      <c r="EW279" s="2" t="s">
        <v>176</v>
      </c>
      <c r="EX279" s="2" t="s">
        <v>176</v>
      </c>
      <c r="EY279" s="2" t="s">
        <v>176</v>
      </c>
      <c r="EZ279" s="2" t="s">
        <v>176</v>
      </c>
      <c r="FA279" s="2" t="s">
        <v>176</v>
      </c>
      <c r="FB279" s="2" t="s">
        <v>176</v>
      </c>
      <c r="FC279" s="2" t="s">
        <v>176</v>
      </c>
      <c r="FD279" s="3">
        <f>SUM(EP279,ET279,EX279,FB279)</f>
        <v>30</v>
      </c>
      <c r="FE279" s="2" t="s">
        <v>176</v>
      </c>
      <c r="FF279" s="2" t="s">
        <v>176</v>
      </c>
      <c r="FG279" s="2" t="s">
        <v>176</v>
      </c>
      <c r="FH279" s="2" t="s">
        <v>176</v>
      </c>
      <c r="FI279" s="2" t="s">
        <v>176</v>
      </c>
      <c r="FJ279" s="2" t="s">
        <v>176</v>
      </c>
      <c r="FK279" s="2" t="s">
        <v>176</v>
      </c>
      <c r="FL279" s="2" t="s">
        <v>176</v>
      </c>
      <c r="FM279" s="2" t="s">
        <v>176</v>
      </c>
      <c r="FN279" s="2" t="s">
        <v>176</v>
      </c>
      <c r="FO279" s="2" t="s">
        <v>176</v>
      </c>
      <c r="FP279" s="2" t="s">
        <v>720</v>
      </c>
      <c r="FQ279" s="2" t="s">
        <v>3</v>
      </c>
      <c r="FR279" s="2" t="s">
        <v>37</v>
      </c>
      <c r="FS279" s="2" t="s">
        <v>414</v>
      </c>
      <c r="FT279" s="2" t="s">
        <v>414</v>
      </c>
      <c r="FU279" s="2"/>
      <c r="FV279" s="2" t="s">
        <v>3</v>
      </c>
    </row>
    <row r="280" spans="1:178" ht="15.75" customHeight="1" x14ac:dyDescent="0.2">
      <c r="A280" s="14" t="s">
        <v>262</v>
      </c>
      <c r="B280" s="27" t="s">
        <v>85</v>
      </c>
      <c r="C280" s="16" t="s">
        <v>736</v>
      </c>
      <c r="D280" s="2"/>
      <c r="E280" s="2"/>
      <c r="F280" s="2"/>
      <c r="G280" s="2"/>
      <c r="H280" s="2" t="s">
        <v>224</v>
      </c>
      <c r="I280" s="2"/>
      <c r="J280" s="2"/>
      <c r="K280" s="2">
        <v>0</v>
      </c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>
        <v>0</v>
      </c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>
        <v>9.5519999999999996</v>
      </c>
      <c r="BB280" s="4">
        <v>6.6691870325387398E-2</v>
      </c>
      <c r="BC280" s="4">
        <v>0.30951319095477386</v>
      </c>
      <c r="BD280" s="2"/>
      <c r="BE280" s="2"/>
      <c r="BF280" s="2"/>
      <c r="BG280" s="2"/>
      <c r="BH280" s="2"/>
      <c r="BI280" s="4">
        <v>0.16168649771652202</v>
      </c>
      <c r="BJ280" s="2"/>
      <c r="BK280" s="4">
        <v>2.514808417085427</v>
      </c>
      <c r="BL280" s="4">
        <v>1.6989572864321607</v>
      </c>
      <c r="BM280" s="4">
        <v>0.22727701005025125</v>
      </c>
      <c r="BN280" s="2"/>
      <c r="BO280" s="2"/>
      <c r="BP280" s="2"/>
      <c r="BQ280" s="2"/>
      <c r="BR280" s="2"/>
      <c r="BS280" s="2"/>
      <c r="BT280" s="2"/>
      <c r="BU280" s="2"/>
      <c r="BV280" s="2">
        <v>0</v>
      </c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>
        <v>0</v>
      </c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14" t="s">
        <v>81</v>
      </c>
      <c r="DM280" s="2"/>
      <c r="DN280" s="2">
        <f t="shared" si="49"/>
        <v>0.16168649771652202</v>
      </c>
      <c r="DO280" s="2">
        <f t="shared" si="50"/>
        <v>0</v>
      </c>
      <c r="DP280" s="2" t="s">
        <v>225</v>
      </c>
      <c r="DQ280" s="2" t="s">
        <v>3</v>
      </c>
      <c r="DR280" s="4">
        <f t="shared" si="51"/>
        <v>9.5519999999999996</v>
      </c>
      <c r="DS280" s="4">
        <f t="shared" si="52"/>
        <v>0.16168649771652202</v>
      </c>
      <c r="DT280" s="15">
        <f t="shared" si="53"/>
        <v>15.444294261882183</v>
      </c>
      <c r="DU280" s="2"/>
      <c r="DV280" s="2">
        <f t="shared" si="54"/>
        <v>0</v>
      </c>
      <c r="DW280" s="2"/>
      <c r="DX280" s="2"/>
      <c r="DY280" s="2"/>
      <c r="DZ280" s="2" t="s">
        <v>3</v>
      </c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 t="s">
        <v>3</v>
      </c>
      <c r="FR280" s="2" t="s">
        <v>89</v>
      </c>
      <c r="FS280" s="2" t="s">
        <v>90</v>
      </c>
      <c r="FT280" s="2" t="s">
        <v>91</v>
      </c>
      <c r="FU280" s="2" t="s">
        <v>226</v>
      </c>
      <c r="FV280" s="2" t="s">
        <v>3</v>
      </c>
    </row>
    <row r="281" spans="1:178" ht="15.75" customHeight="1" x14ac:dyDescent="0.2">
      <c r="A281" s="14" t="s">
        <v>96</v>
      </c>
      <c r="B281" s="5" t="s">
        <v>202</v>
      </c>
      <c r="C281" s="16" t="s">
        <v>737</v>
      </c>
      <c r="D281" s="2"/>
      <c r="E281" s="2"/>
      <c r="F281" s="2"/>
      <c r="G281" s="2"/>
      <c r="H281" s="2" t="s">
        <v>79</v>
      </c>
      <c r="I281" s="2"/>
      <c r="J281" s="2"/>
      <c r="K281" s="2">
        <v>0</v>
      </c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>
        <v>0</v>
      </c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>
        <v>3</v>
      </c>
      <c r="BB281" s="2">
        <v>0.6</v>
      </c>
      <c r="BC281" s="2"/>
      <c r="BD281" s="2"/>
      <c r="BE281" s="2"/>
      <c r="BF281" s="2"/>
      <c r="BG281" s="2"/>
      <c r="BH281" s="2"/>
      <c r="BI281" s="2">
        <v>1</v>
      </c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14" t="s">
        <v>100</v>
      </c>
      <c r="DM281" s="2"/>
      <c r="DN281" s="2">
        <f t="shared" si="49"/>
        <v>1</v>
      </c>
      <c r="DO281" s="2">
        <f t="shared" si="50"/>
        <v>0</v>
      </c>
      <c r="DP281" s="2" t="s">
        <v>204</v>
      </c>
      <c r="DQ281" s="2" t="s">
        <v>3</v>
      </c>
      <c r="DR281" s="2">
        <f t="shared" si="51"/>
        <v>3</v>
      </c>
      <c r="DS281" s="2">
        <f t="shared" si="52"/>
        <v>1</v>
      </c>
      <c r="DT281" s="15">
        <f t="shared" si="53"/>
        <v>30</v>
      </c>
      <c r="DU281" s="2"/>
      <c r="DV281" s="2">
        <f t="shared" si="54"/>
        <v>0</v>
      </c>
      <c r="DW281" s="2"/>
      <c r="DX281" s="2"/>
      <c r="DY281" s="2"/>
      <c r="DZ281" s="2" t="s">
        <v>3</v>
      </c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 t="s">
        <v>3</v>
      </c>
      <c r="FR281" s="2" t="s">
        <v>89</v>
      </c>
      <c r="FS281" s="2" t="s">
        <v>123</v>
      </c>
      <c r="FT281" s="2" t="s">
        <v>205</v>
      </c>
      <c r="FU281" s="2"/>
      <c r="FV281" s="2" t="s">
        <v>3</v>
      </c>
    </row>
    <row r="282" spans="1:178" ht="15.75" customHeight="1" x14ac:dyDescent="0.2">
      <c r="A282" s="14" t="s">
        <v>74</v>
      </c>
      <c r="B282" s="27" t="s">
        <v>164</v>
      </c>
      <c r="C282" s="13" t="s">
        <v>738</v>
      </c>
      <c r="D282" s="2" t="s">
        <v>99</v>
      </c>
      <c r="E282" s="2"/>
      <c r="F282" s="2"/>
      <c r="G282" s="2" t="s">
        <v>78</v>
      </c>
      <c r="H282" s="2" t="s">
        <v>215</v>
      </c>
      <c r="I282" s="2"/>
      <c r="J282" s="2" t="s">
        <v>242</v>
      </c>
      <c r="K282" s="2">
        <v>0</v>
      </c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>
        <v>0</v>
      </c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4">
        <v>1.0100076</v>
      </c>
      <c r="BB282" s="2"/>
      <c r="BC282" s="2"/>
      <c r="BD282" s="2"/>
      <c r="BE282" s="2"/>
      <c r="BF282" s="2"/>
      <c r="BG282" s="2"/>
      <c r="BH282" s="2"/>
      <c r="BI282" s="2">
        <v>0.51</v>
      </c>
      <c r="BJ282" s="2">
        <v>0.04</v>
      </c>
      <c r="BK282" s="2"/>
      <c r="BL282" s="2"/>
      <c r="BM282" s="20"/>
      <c r="BN282" s="20"/>
      <c r="BO282" s="20"/>
      <c r="BP282" s="2"/>
      <c r="BQ282" s="2"/>
      <c r="BR282" s="2"/>
      <c r="BS282" s="2">
        <v>40.200000000000003</v>
      </c>
      <c r="BT282" s="2"/>
      <c r="BU282" s="2"/>
      <c r="BV282" s="2">
        <v>0</v>
      </c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>
        <v>0</v>
      </c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14" t="s">
        <v>100</v>
      </c>
      <c r="DM282" s="2" t="s">
        <v>100</v>
      </c>
      <c r="DN282" s="2">
        <f t="shared" si="49"/>
        <v>0.51</v>
      </c>
      <c r="DO282" s="2">
        <f t="shared" si="50"/>
        <v>0.04</v>
      </c>
      <c r="DP282" s="2" t="s">
        <v>739</v>
      </c>
      <c r="DQ282" s="2" t="s">
        <v>3</v>
      </c>
      <c r="DR282" s="19">
        <f t="shared" si="51"/>
        <v>1.0100076</v>
      </c>
      <c r="DS282" s="2">
        <f t="shared" si="52"/>
        <v>0.51</v>
      </c>
      <c r="DT282" s="15">
        <f t="shared" si="53"/>
        <v>5.1510387600000005</v>
      </c>
      <c r="DU282" s="2"/>
      <c r="DV282" s="2">
        <f t="shared" si="54"/>
        <v>0</v>
      </c>
      <c r="DW282" s="2"/>
      <c r="DX282" s="2"/>
      <c r="DY282" s="2"/>
      <c r="DZ282" s="2" t="s">
        <v>3</v>
      </c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 t="s">
        <v>3</v>
      </c>
      <c r="FR282" s="2" t="s">
        <v>37</v>
      </c>
      <c r="FS282" s="2" t="s">
        <v>114</v>
      </c>
      <c r="FT282" s="2" t="s">
        <v>114</v>
      </c>
      <c r="FU282" s="2"/>
      <c r="FV282" s="2" t="s">
        <v>3</v>
      </c>
    </row>
    <row r="283" spans="1:178" ht="15.75" customHeight="1" x14ac:dyDescent="0.2">
      <c r="A283" s="14" t="s">
        <v>96</v>
      </c>
      <c r="B283" s="27" t="s">
        <v>115</v>
      </c>
      <c r="C283" s="16" t="s">
        <v>740</v>
      </c>
      <c r="D283" s="2" t="s">
        <v>99</v>
      </c>
      <c r="E283" s="2"/>
      <c r="F283" s="2"/>
      <c r="G283" s="2"/>
      <c r="H283" s="2" t="s">
        <v>741</v>
      </c>
      <c r="I283" s="2"/>
      <c r="J283" s="2"/>
      <c r="K283" s="2">
        <v>0</v>
      </c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>
        <v>0</v>
      </c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>
        <v>35</v>
      </c>
      <c r="BB283" s="2">
        <v>0.27</v>
      </c>
      <c r="BC283" s="2"/>
      <c r="BD283" s="2"/>
      <c r="BE283" s="2"/>
      <c r="BF283" s="2"/>
      <c r="BG283" s="2"/>
      <c r="BH283" s="2"/>
      <c r="BI283" s="2">
        <v>0.25</v>
      </c>
      <c r="BJ283" s="2"/>
      <c r="BK283" s="2">
        <v>0.16</v>
      </c>
      <c r="BL283" s="4">
        <v>0.4</v>
      </c>
      <c r="BM283" s="2"/>
      <c r="BN283" s="2"/>
      <c r="BO283" s="2"/>
      <c r="BP283" s="2"/>
      <c r="BQ283" s="2"/>
      <c r="BR283" s="2"/>
      <c r="BS283" s="2"/>
      <c r="BT283" s="2"/>
      <c r="BU283" s="2"/>
      <c r="BV283" s="2">
        <v>0</v>
      </c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>
        <v>0</v>
      </c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14" t="s">
        <v>100</v>
      </c>
      <c r="DM283" s="2"/>
      <c r="DN283" s="2">
        <f t="shared" si="49"/>
        <v>0.25</v>
      </c>
      <c r="DO283" s="2">
        <f t="shared" si="50"/>
        <v>0</v>
      </c>
      <c r="DP283" s="2" t="s">
        <v>742</v>
      </c>
      <c r="DQ283" s="2" t="s">
        <v>3</v>
      </c>
      <c r="DR283" s="2">
        <f t="shared" si="51"/>
        <v>35</v>
      </c>
      <c r="DS283" s="2">
        <f t="shared" si="52"/>
        <v>0.25</v>
      </c>
      <c r="DT283" s="15">
        <f t="shared" si="53"/>
        <v>87.5</v>
      </c>
      <c r="DU283" s="2"/>
      <c r="DV283" s="2">
        <f t="shared" si="54"/>
        <v>0</v>
      </c>
      <c r="DW283" s="2"/>
      <c r="DX283" s="2"/>
      <c r="DY283" s="2"/>
      <c r="DZ283" s="2" t="s">
        <v>3</v>
      </c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 t="s">
        <v>3</v>
      </c>
      <c r="FR283" s="2" t="s">
        <v>89</v>
      </c>
      <c r="FS283" s="2" t="s">
        <v>123</v>
      </c>
      <c r="FT283" s="2"/>
      <c r="FU283" s="2"/>
      <c r="FV283" s="2" t="s">
        <v>3</v>
      </c>
    </row>
    <row r="284" spans="1:178" ht="15.75" customHeight="1" x14ac:dyDescent="0.2">
      <c r="A284" s="14" t="s">
        <v>262</v>
      </c>
      <c r="B284" s="27" t="s">
        <v>85</v>
      </c>
      <c r="C284" s="16" t="s">
        <v>743</v>
      </c>
      <c r="D284" s="2"/>
      <c r="E284" s="2"/>
      <c r="F284" s="2"/>
      <c r="G284" s="2"/>
      <c r="H284" s="2" t="s">
        <v>744</v>
      </c>
      <c r="I284" s="2"/>
      <c r="J284" s="2"/>
      <c r="K284" s="2">
        <v>1.8</v>
      </c>
      <c r="L284" s="4">
        <v>9.9999999999999992E-2</v>
      </c>
      <c r="M284" s="4">
        <v>0.25641949999999997</v>
      </c>
      <c r="N284" s="2"/>
      <c r="O284" s="2"/>
      <c r="P284" s="2"/>
      <c r="Q284" s="2"/>
      <c r="R284" s="2"/>
      <c r="S284" s="4">
        <v>0.155</v>
      </c>
      <c r="T284" s="2"/>
      <c r="U284" s="4">
        <v>2.1433679999999997</v>
      </c>
      <c r="V284" s="4">
        <v>1.5691869999999999</v>
      </c>
      <c r="W284" s="4">
        <v>0.18602549999999998</v>
      </c>
      <c r="X284" s="2"/>
      <c r="Y284" s="2"/>
      <c r="Z284" s="2"/>
      <c r="AA284" s="2"/>
      <c r="AB284" s="2"/>
      <c r="AC284" s="2"/>
      <c r="AD284" s="2"/>
      <c r="AE284" s="2"/>
      <c r="AF284" s="2">
        <v>83.6</v>
      </c>
      <c r="AG284" s="4">
        <v>9.7033492822966513E-2</v>
      </c>
      <c r="AH284" s="4">
        <v>0.29550673205741629</v>
      </c>
      <c r="AI284" s="2"/>
      <c r="AJ284" s="2"/>
      <c r="AK284" s="2"/>
      <c r="AL284" s="2"/>
      <c r="AM284" s="2"/>
      <c r="AN284" s="4">
        <v>0.1505502392344498</v>
      </c>
      <c r="AO284" s="2"/>
      <c r="AP284" s="4">
        <v>2.2980283397129191</v>
      </c>
      <c r="AQ284" s="4">
        <v>1.7584097703349286</v>
      </c>
      <c r="AR284" s="4">
        <v>0.18169152153110046</v>
      </c>
      <c r="AS284" s="2"/>
      <c r="AT284" s="2"/>
      <c r="AU284" s="2"/>
      <c r="AV284" s="2"/>
      <c r="AW284" s="2"/>
      <c r="AX284" s="2"/>
      <c r="AY284" s="2"/>
      <c r="AZ284" s="2"/>
      <c r="BA284" s="2">
        <v>89.4</v>
      </c>
      <c r="BB284" s="4">
        <v>9.7852348993288582E-2</v>
      </c>
      <c r="BC284" s="4">
        <v>0.26753500671140934</v>
      </c>
      <c r="BD284" s="2"/>
      <c r="BE284" s="2"/>
      <c r="BF284" s="2"/>
      <c r="BG284" s="2"/>
      <c r="BH284" s="2"/>
      <c r="BI284" s="4">
        <v>0.1517785234899329</v>
      </c>
      <c r="BJ284" s="2"/>
      <c r="BK284" s="4">
        <v>2.0486345302013418</v>
      </c>
      <c r="BL284" s="4">
        <v>1.5827077315436242</v>
      </c>
      <c r="BM284" s="4">
        <v>0.15843816778523487</v>
      </c>
      <c r="BN284" s="2"/>
      <c r="BO284" s="2"/>
      <c r="BP284" s="2"/>
      <c r="BQ284" s="2"/>
      <c r="BR284" s="2"/>
      <c r="BS284" s="2"/>
      <c r="BT284" s="2"/>
      <c r="BU284" s="2"/>
      <c r="BV284" s="2">
        <v>0</v>
      </c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>
        <v>0</v>
      </c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14" t="s">
        <v>81</v>
      </c>
      <c r="DM284" s="2"/>
      <c r="DN284" s="2">
        <f t="shared" si="49"/>
        <v>0.1512242562929062</v>
      </c>
      <c r="DO284" s="2">
        <f t="shared" si="50"/>
        <v>0</v>
      </c>
      <c r="DP284" s="2" t="s">
        <v>95</v>
      </c>
      <c r="DQ284" s="2" t="s">
        <v>3</v>
      </c>
      <c r="DR284" s="2">
        <f t="shared" si="51"/>
        <v>174.8</v>
      </c>
      <c r="DS284" s="4">
        <f t="shared" si="52"/>
        <v>0.1512242562929062</v>
      </c>
      <c r="DT284" s="15">
        <f t="shared" si="53"/>
        <v>264.34000000000003</v>
      </c>
      <c r="DU284" s="2"/>
      <c r="DV284" s="2">
        <f t="shared" si="54"/>
        <v>0</v>
      </c>
      <c r="DW284" s="2"/>
      <c r="DX284" s="2"/>
      <c r="DY284" s="2"/>
      <c r="DZ284" s="2" t="s">
        <v>3</v>
      </c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 t="s">
        <v>3</v>
      </c>
      <c r="FR284" s="2" t="s">
        <v>89</v>
      </c>
      <c r="FS284" s="2" t="s">
        <v>90</v>
      </c>
      <c r="FT284" s="2" t="s">
        <v>745</v>
      </c>
      <c r="FU284" s="2" t="s">
        <v>226</v>
      </c>
      <c r="FV284" s="2" t="s">
        <v>3</v>
      </c>
    </row>
    <row r="285" spans="1:178" ht="15.75" customHeight="1" x14ac:dyDescent="0.2">
      <c r="A285" s="14" t="s">
        <v>96</v>
      </c>
      <c r="B285" s="27" t="s">
        <v>124</v>
      </c>
      <c r="C285" s="16" t="s">
        <v>746</v>
      </c>
      <c r="D285" s="2" t="s">
        <v>99</v>
      </c>
      <c r="E285" s="2"/>
      <c r="F285" s="2"/>
      <c r="G285" s="2"/>
      <c r="H285" s="2" t="s">
        <v>79</v>
      </c>
      <c r="I285" s="2"/>
      <c r="J285" s="2"/>
      <c r="K285" s="2">
        <v>0</v>
      </c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>
        <v>0</v>
      </c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>
        <v>0.05</v>
      </c>
      <c r="BB285" s="2">
        <v>0.2</v>
      </c>
      <c r="BC285" s="2"/>
      <c r="BD285" s="2"/>
      <c r="BE285" s="2"/>
      <c r="BF285" s="2"/>
      <c r="BG285" s="2"/>
      <c r="BH285" s="2"/>
      <c r="BI285" s="2">
        <v>0.3</v>
      </c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>
        <v>0</v>
      </c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>
        <v>0</v>
      </c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14" t="s">
        <v>100</v>
      </c>
      <c r="DM285" s="2"/>
      <c r="DN285" s="2">
        <f t="shared" si="49"/>
        <v>0.3</v>
      </c>
      <c r="DO285" s="2">
        <f t="shared" si="50"/>
        <v>0</v>
      </c>
      <c r="DP285" s="2" t="s">
        <v>126</v>
      </c>
      <c r="DQ285" s="2" t="s">
        <v>3</v>
      </c>
      <c r="DR285" s="2">
        <f t="shared" si="51"/>
        <v>0.05</v>
      </c>
      <c r="DS285" s="2">
        <f t="shared" si="52"/>
        <v>0.3</v>
      </c>
      <c r="DT285" s="15">
        <f t="shared" si="53"/>
        <v>0.15</v>
      </c>
      <c r="DU285" s="2"/>
      <c r="DV285" s="2">
        <f t="shared" si="54"/>
        <v>0</v>
      </c>
      <c r="DW285" s="2"/>
      <c r="DX285" s="2"/>
      <c r="DY285" s="2"/>
      <c r="DZ285" s="2" t="s">
        <v>3</v>
      </c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 t="s">
        <v>3</v>
      </c>
      <c r="FR285" s="2" t="s">
        <v>89</v>
      </c>
      <c r="FS285" s="2" t="s">
        <v>123</v>
      </c>
      <c r="FT285" s="2"/>
      <c r="FU285" s="2"/>
      <c r="FV285" s="2" t="s">
        <v>3</v>
      </c>
    </row>
    <row r="286" spans="1:178" ht="15.75" customHeight="1" x14ac:dyDescent="0.2">
      <c r="A286" s="14" t="s">
        <v>96</v>
      </c>
      <c r="B286" s="2" t="s">
        <v>189</v>
      </c>
      <c r="C286" s="16" t="s">
        <v>747</v>
      </c>
      <c r="D286" s="2" t="s">
        <v>99</v>
      </c>
      <c r="E286" s="44"/>
      <c r="F286" s="44"/>
      <c r="G286" s="2"/>
      <c r="H286" s="2" t="s">
        <v>748</v>
      </c>
      <c r="I286" s="2"/>
      <c r="J286" s="2"/>
      <c r="K286" s="2">
        <v>0</v>
      </c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>
        <v>0</v>
      </c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>
        <v>4.54</v>
      </c>
      <c r="BB286" s="2">
        <v>1.89</v>
      </c>
      <c r="BC286" s="2"/>
      <c r="BD286" s="2"/>
      <c r="BE286" s="2"/>
      <c r="BF286" s="2"/>
      <c r="BG286" s="2"/>
      <c r="BH286" s="2"/>
      <c r="BI286" s="2">
        <v>0.36</v>
      </c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>
        <v>0</v>
      </c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>
        <v>0</v>
      </c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14" t="s">
        <v>100</v>
      </c>
      <c r="DM286" s="2"/>
      <c r="DN286" s="2">
        <f t="shared" si="49"/>
        <v>0.36</v>
      </c>
      <c r="DO286" s="2">
        <f t="shared" si="50"/>
        <v>0</v>
      </c>
      <c r="DP286" s="2" t="s">
        <v>749</v>
      </c>
      <c r="DQ286" s="2" t="s">
        <v>3</v>
      </c>
      <c r="DR286" s="2">
        <f t="shared" si="51"/>
        <v>4.54</v>
      </c>
      <c r="DS286" s="2">
        <f t="shared" si="52"/>
        <v>0.36</v>
      </c>
      <c r="DT286" s="15">
        <f t="shared" si="53"/>
        <v>16.343999999999998</v>
      </c>
      <c r="DU286" s="2"/>
      <c r="DV286" s="2">
        <f t="shared" si="54"/>
        <v>0</v>
      </c>
      <c r="DW286" s="2"/>
      <c r="DX286" s="2"/>
      <c r="DY286" s="2"/>
      <c r="DZ286" s="2" t="s">
        <v>3</v>
      </c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 t="s">
        <v>3</v>
      </c>
      <c r="FR286" s="2" t="s">
        <v>89</v>
      </c>
      <c r="FS286" s="2" t="s">
        <v>123</v>
      </c>
      <c r="FT286" s="2" t="s">
        <v>192</v>
      </c>
      <c r="FU286" s="2"/>
      <c r="FV286" s="2" t="s">
        <v>3</v>
      </c>
    </row>
    <row r="287" spans="1:178" ht="15.75" customHeight="1" x14ac:dyDescent="0.2">
      <c r="A287" s="12" t="s">
        <v>74</v>
      </c>
      <c r="B287" s="2" t="s">
        <v>750</v>
      </c>
      <c r="C287" s="13" t="s">
        <v>751</v>
      </c>
      <c r="D287" s="34" t="s">
        <v>752</v>
      </c>
      <c r="E287" s="2"/>
      <c r="F287" s="2"/>
      <c r="G287" s="2"/>
      <c r="H287" s="2" t="s">
        <v>753</v>
      </c>
      <c r="I287" s="2"/>
      <c r="J287" s="2" t="s">
        <v>111</v>
      </c>
      <c r="K287" s="35">
        <v>0</v>
      </c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35">
        <v>0</v>
      </c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36">
        <v>11.132599999999998</v>
      </c>
      <c r="BB287" s="2"/>
      <c r="BC287" s="2"/>
      <c r="BD287" s="2"/>
      <c r="BE287" s="2"/>
      <c r="BF287" s="2"/>
      <c r="BG287" s="2"/>
      <c r="BH287" s="2"/>
      <c r="BI287" s="36">
        <v>1.3907478935738282</v>
      </c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35">
        <v>0</v>
      </c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35">
        <v>0</v>
      </c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14" t="s">
        <v>100</v>
      </c>
      <c r="DM287" s="2"/>
      <c r="DN287" s="2">
        <f t="shared" si="49"/>
        <v>1.3907478935738282</v>
      </c>
      <c r="DO287" s="2">
        <f t="shared" si="50"/>
        <v>0</v>
      </c>
      <c r="DP287" s="2"/>
      <c r="DQ287" s="2" t="s">
        <v>3</v>
      </c>
      <c r="DR287" s="15">
        <f t="shared" si="51"/>
        <v>11.132599999999998</v>
      </c>
      <c r="DS287" s="4">
        <f t="shared" si="52"/>
        <v>1.3907478935738282</v>
      </c>
      <c r="DT287" s="15">
        <f t="shared" si="53"/>
        <v>154.82639999999998</v>
      </c>
      <c r="DU287" s="2"/>
      <c r="DV287" s="2">
        <f t="shared" si="54"/>
        <v>0</v>
      </c>
      <c r="DW287" s="2"/>
      <c r="DX287" s="2"/>
      <c r="DY287" s="2"/>
      <c r="DZ287" s="2" t="s">
        <v>3</v>
      </c>
      <c r="EA287" s="2" t="s">
        <v>750</v>
      </c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 t="s">
        <v>750</v>
      </c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 t="s">
        <v>750</v>
      </c>
      <c r="FQ287" s="2" t="s">
        <v>3</v>
      </c>
      <c r="FR287" s="2" t="s">
        <v>37</v>
      </c>
      <c r="FS287" s="2" t="s">
        <v>106</v>
      </c>
      <c r="FT287" s="2" t="s">
        <v>106</v>
      </c>
      <c r="FU287" s="2"/>
      <c r="FV287" s="2" t="s">
        <v>3</v>
      </c>
    </row>
    <row r="288" spans="1:178" ht="15.75" customHeight="1" x14ac:dyDescent="0.2">
      <c r="A288" s="12" t="s">
        <v>74</v>
      </c>
      <c r="B288" s="2" t="s">
        <v>75</v>
      </c>
      <c r="C288" s="13" t="s">
        <v>754</v>
      </c>
      <c r="D288" s="2" t="s">
        <v>99</v>
      </c>
      <c r="E288" s="2"/>
      <c r="F288" s="2"/>
      <c r="G288" s="2" t="s">
        <v>78</v>
      </c>
      <c r="H288" s="2" t="s">
        <v>79</v>
      </c>
      <c r="I288" s="2"/>
      <c r="J288" s="2"/>
      <c r="K288" s="2">
        <v>0</v>
      </c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>
        <v>0</v>
      </c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>
        <v>87</v>
      </c>
      <c r="BB288" s="2"/>
      <c r="BC288" s="2"/>
      <c r="BD288" s="2"/>
      <c r="BE288" s="2"/>
      <c r="BF288" s="2"/>
      <c r="BG288" s="2"/>
      <c r="BH288" s="2"/>
      <c r="BI288" s="2">
        <v>1.37</v>
      </c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>
        <v>0</v>
      </c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>
        <v>0</v>
      </c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14" t="s">
        <v>100</v>
      </c>
      <c r="DM288" s="2"/>
      <c r="DN288" s="2">
        <f t="shared" si="49"/>
        <v>1.37</v>
      </c>
      <c r="DO288" s="2">
        <f t="shared" si="50"/>
        <v>0</v>
      </c>
      <c r="DP288" s="2" t="s">
        <v>113</v>
      </c>
      <c r="DQ288" s="2" t="s">
        <v>3</v>
      </c>
      <c r="DR288" s="2">
        <f t="shared" si="51"/>
        <v>87</v>
      </c>
      <c r="DS288" s="4">
        <f t="shared" si="52"/>
        <v>1.37</v>
      </c>
      <c r="DT288" s="18">
        <f t="shared" si="53"/>
        <v>1191.9000000000001</v>
      </c>
      <c r="DU288" s="2"/>
      <c r="DV288" s="2">
        <f t="shared" si="54"/>
        <v>0</v>
      </c>
      <c r="DW288" s="2"/>
      <c r="DX288" s="2"/>
      <c r="DY288" s="2"/>
      <c r="DZ288" s="2" t="s">
        <v>3</v>
      </c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 t="s">
        <v>3</v>
      </c>
      <c r="FR288" s="2" t="s">
        <v>37</v>
      </c>
      <c r="FS288" s="2" t="s">
        <v>151</v>
      </c>
      <c r="FT288" s="2"/>
      <c r="FU288" s="2"/>
      <c r="FV288" s="2" t="s">
        <v>3</v>
      </c>
    </row>
    <row r="289" spans="1:178" ht="15.75" customHeight="1" x14ac:dyDescent="0.2">
      <c r="A289" s="14" t="s">
        <v>96</v>
      </c>
      <c r="B289" s="2" t="s">
        <v>85</v>
      </c>
      <c r="C289" s="16" t="s">
        <v>755</v>
      </c>
      <c r="D289" s="2" t="s">
        <v>99</v>
      </c>
      <c r="E289" s="2"/>
      <c r="F289" s="2"/>
      <c r="G289" s="2"/>
      <c r="H289" s="2" t="s">
        <v>756</v>
      </c>
      <c r="I289" s="2"/>
      <c r="J289" s="2"/>
      <c r="K289" s="2">
        <v>0</v>
      </c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>
        <v>0</v>
      </c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>
        <v>9.6999999999999993</v>
      </c>
      <c r="BB289" s="4">
        <f>(0.09*8.8+0.08*15.9)/(8.8+15.9)</f>
        <v>8.3562753036437246E-2</v>
      </c>
      <c r="BC289" s="4">
        <f>(0.27*8.8+0.27*15.9)/(8.8+15.9)</f>
        <v>0.26999999999999996</v>
      </c>
      <c r="BD289" s="2"/>
      <c r="BE289" s="2"/>
      <c r="BF289" s="2"/>
      <c r="BG289" s="2"/>
      <c r="BH289" s="2"/>
      <c r="BI289" s="4">
        <f>(0.22*8.8+0.18*15.9)/(8.8+15.9)</f>
        <v>0.19425101214574897</v>
      </c>
      <c r="BJ289" s="2"/>
      <c r="BK289" s="4">
        <f>(2.73*8.8+2.45*15.9)/(8.8+15.9)</f>
        <v>2.5497570850202429</v>
      </c>
      <c r="BL289" s="4">
        <f>(1.28*8.8+1.19*15.9)/(8.8+15.9)</f>
        <v>1.2220647773279352</v>
      </c>
      <c r="BM289" s="2"/>
      <c r="BN289" s="2"/>
      <c r="BO289" s="2"/>
      <c r="BP289" s="2"/>
      <c r="BQ289" s="2"/>
      <c r="BR289" s="2"/>
      <c r="BS289" s="2"/>
      <c r="BT289" s="2"/>
      <c r="BU289" s="2"/>
      <c r="BV289" s="2">
        <v>0</v>
      </c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>
        <v>0</v>
      </c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14" t="s">
        <v>81</v>
      </c>
      <c r="DM289" s="2"/>
      <c r="DN289" s="2">
        <f t="shared" si="49"/>
        <v>0.19425101214574897</v>
      </c>
      <c r="DO289" s="2">
        <f t="shared" si="50"/>
        <v>0</v>
      </c>
      <c r="DP289" s="2" t="s">
        <v>95</v>
      </c>
      <c r="DQ289" s="2" t="s">
        <v>3</v>
      </c>
      <c r="DR289" s="2">
        <f t="shared" si="51"/>
        <v>9.6999999999999993</v>
      </c>
      <c r="DS289" s="4">
        <f t="shared" si="52"/>
        <v>0.19425101214574897</v>
      </c>
      <c r="DT289" s="15">
        <f t="shared" si="53"/>
        <v>18.842348178137648</v>
      </c>
      <c r="DU289" s="2"/>
      <c r="DV289" s="2">
        <f t="shared" si="54"/>
        <v>0</v>
      </c>
      <c r="DW289" s="2"/>
      <c r="DX289" s="2"/>
      <c r="DY289" s="2"/>
      <c r="DZ289" s="2" t="s">
        <v>3</v>
      </c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 t="s">
        <v>3</v>
      </c>
      <c r="FR289" s="2" t="s">
        <v>89</v>
      </c>
      <c r="FS289" s="2" t="s">
        <v>90</v>
      </c>
      <c r="FT289" s="2" t="s">
        <v>91</v>
      </c>
      <c r="FU289" s="2" t="s">
        <v>226</v>
      </c>
      <c r="FV289" s="2" t="s">
        <v>3</v>
      </c>
    </row>
    <row r="290" spans="1:178" ht="15.75" customHeight="1" x14ac:dyDescent="0.2">
      <c r="A290" s="14" t="s">
        <v>96</v>
      </c>
      <c r="B290" s="2" t="s">
        <v>124</v>
      </c>
      <c r="C290" s="21" t="s">
        <v>757</v>
      </c>
      <c r="D290" s="2" t="s">
        <v>99</v>
      </c>
      <c r="E290" s="2"/>
      <c r="F290" s="2"/>
      <c r="G290" s="2"/>
      <c r="H290" s="2" t="s">
        <v>79</v>
      </c>
      <c r="I290" s="2"/>
      <c r="J290" s="2"/>
      <c r="K290" s="2">
        <v>0</v>
      </c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>
        <v>0</v>
      </c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>
        <v>0.114</v>
      </c>
      <c r="BB290" s="2"/>
      <c r="BC290" s="2">
        <v>0.5</v>
      </c>
      <c r="BD290" s="2"/>
      <c r="BE290" s="2"/>
      <c r="BF290" s="2"/>
      <c r="BG290" s="2"/>
      <c r="BH290" s="2"/>
      <c r="BI290" s="2">
        <v>0.45</v>
      </c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>
        <v>0</v>
      </c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>
        <v>0</v>
      </c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14" t="s">
        <v>100</v>
      </c>
      <c r="DM290" s="2"/>
      <c r="DN290" s="2">
        <f t="shared" si="49"/>
        <v>0.45</v>
      </c>
      <c r="DO290" s="2">
        <f t="shared" si="50"/>
        <v>0</v>
      </c>
      <c r="DP290" s="2" t="s">
        <v>126</v>
      </c>
      <c r="DQ290" s="2" t="s">
        <v>3</v>
      </c>
      <c r="DR290" s="2">
        <f t="shared" si="51"/>
        <v>0.114</v>
      </c>
      <c r="DS290" s="2">
        <f t="shared" si="52"/>
        <v>0.45</v>
      </c>
      <c r="DT290" s="15">
        <f t="shared" si="53"/>
        <v>0.51300000000000001</v>
      </c>
      <c r="DU290" s="2"/>
      <c r="DV290" s="2">
        <f t="shared" si="54"/>
        <v>0</v>
      </c>
      <c r="DW290" s="2"/>
      <c r="DX290" s="2"/>
      <c r="DY290" s="2"/>
      <c r="DZ290" s="2" t="s">
        <v>3</v>
      </c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 t="s">
        <v>3</v>
      </c>
      <c r="FR290" s="2" t="s">
        <v>183</v>
      </c>
      <c r="FS290" s="2" t="s">
        <v>758</v>
      </c>
      <c r="FT290" s="2"/>
      <c r="FU290" s="2"/>
      <c r="FV290" s="2" t="s">
        <v>3</v>
      </c>
    </row>
    <row r="291" spans="1:178" ht="15.75" customHeight="1" x14ac:dyDescent="0.2">
      <c r="A291" s="14" t="s">
        <v>96</v>
      </c>
      <c r="B291" s="2" t="s">
        <v>97</v>
      </c>
      <c r="C291" s="16" t="s">
        <v>759</v>
      </c>
      <c r="D291" s="2" t="s">
        <v>99</v>
      </c>
      <c r="E291" s="2"/>
      <c r="F291" s="2"/>
      <c r="G291" s="2"/>
      <c r="H291" s="2" t="s">
        <v>79</v>
      </c>
      <c r="I291" s="2"/>
      <c r="J291" s="2"/>
      <c r="K291" s="2">
        <v>0</v>
      </c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>
        <v>0</v>
      </c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>
        <v>20.863</v>
      </c>
      <c r="BB291" s="2">
        <v>0.43</v>
      </c>
      <c r="BC291" s="2"/>
      <c r="BD291" s="2"/>
      <c r="BE291" s="2"/>
      <c r="BF291" s="2"/>
      <c r="BG291" s="2"/>
      <c r="BH291" s="2"/>
      <c r="BI291" s="2">
        <v>0.88</v>
      </c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>
        <v>0</v>
      </c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>
        <v>0</v>
      </c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14" t="s">
        <v>100</v>
      </c>
      <c r="DM291" s="2"/>
      <c r="DN291" s="2">
        <f t="shared" si="49"/>
        <v>0.88</v>
      </c>
      <c r="DO291" s="2">
        <f t="shared" si="50"/>
        <v>0</v>
      </c>
      <c r="DP291" s="2" t="s">
        <v>132</v>
      </c>
      <c r="DQ291" s="2" t="s">
        <v>3</v>
      </c>
      <c r="DR291" s="4">
        <f t="shared" si="51"/>
        <v>20.863</v>
      </c>
      <c r="DS291" s="2">
        <f t="shared" si="52"/>
        <v>0.88</v>
      </c>
      <c r="DT291" s="15">
        <f t="shared" si="53"/>
        <v>183.59439999999998</v>
      </c>
      <c r="DU291" s="2"/>
      <c r="DV291" s="2">
        <f t="shared" si="54"/>
        <v>0</v>
      </c>
      <c r="DW291" s="2"/>
      <c r="DX291" s="2"/>
      <c r="DY291" s="2"/>
      <c r="DZ291" s="2" t="s">
        <v>3</v>
      </c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 t="s">
        <v>3</v>
      </c>
      <c r="FR291" s="2" t="s">
        <v>89</v>
      </c>
      <c r="FS291" s="2" t="s">
        <v>123</v>
      </c>
      <c r="FT291" s="2"/>
      <c r="FU291" s="2"/>
      <c r="FV291" s="2" t="s">
        <v>3</v>
      </c>
    </row>
    <row r="292" spans="1:178" ht="15.75" customHeight="1" x14ac:dyDescent="0.2">
      <c r="A292" s="14" t="s">
        <v>96</v>
      </c>
      <c r="B292" s="2" t="s">
        <v>124</v>
      </c>
      <c r="C292" s="21" t="s">
        <v>760</v>
      </c>
      <c r="D292" s="2" t="s">
        <v>99</v>
      </c>
      <c r="E292" s="2"/>
      <c r="F292" s="2"/>
      <c r="G292" s="2"/>
      <c r="H292" s="2" t="s">
        <v>79</v>
      </c>
      <c r="I292" s="2"/>
      <c r="J292" s="2"/>
      <c r="K292" s="2">
        <v>0</v>
      </c>
      <c r="L292" s="4"/>
      <c r="M292" s="2"/>
      <c r="N292" s="2"/>
      <c r="O292" s="2"/>
      <c r="P292" s="2"/>
      <c r="Q292" s="2"/>
      <c r="R292" s="2"/>
      <c r="S292" s="4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>
        <v>0</v>
      </c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>
        <v>0.2</v>
      </c>
      <c r="BB292" s="2">
        <v>0.5</v>
      </c>
      <c r="BC292" s="2"/>
      <c r="BD292" s="2"/>
      <c r="BE292" s="2"/>
      <c r="BF292" s="2"/>
      <c r="BG292" s="2"/>
      <c r="BH292" s="2"/>
      <c r="BI292" s="2">
        <v>0.15</v>
      </c>
      <c r="BJ292" s="2">
        <v>0.04</v>
      </c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>
        <v>0</v>
      </c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>
        <v>0</v>
      </c>
      <c r="CR292" s="4"/>
      <c r="CS292" s="2"/>
      <c r="CT292" s="2"/>
      <c r="CU292" s="2"/>
      <c r="CV292" s="2"/>
      <c r="CW292" s="2"/>
      <c r="CX292" s="2"/>
      <c r="CY292" s="4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14" t="s">
        <v>100</v>
      </c>
      <c r="DM292" s="2" t="s">
        <v>100</v>
      </c>
      <c r="DN292" s="2">
        <f t="shared" si="49"/>
        <v>0.15</v>
      </c>
      <c r="DO292" s="2">
        <f t="shared" si="50"/>
        <v>0.04</v>
      </c>
      <c r="DP292" s="2" t="s">
        <v>126</v>
      </c>
      <c r="DQ292" s="2" t="s">
        <v>3</v>
      </c>
      <c r="DR292" s="2">
        <f t="shared" si="51"/>
        <v>0.2</v>
      </c>
      <c r="DS292" s="2">
        <f t="shared" si="52"/>
        <v>0.15</v>
      </c>
      <c r="DT292" s="15">
        <f t="shared" si="53"/>
        <v>0.3</v>
      </c>
      <c r="DU292" s="2"/>
      <c r="DV292" s="2">
        <f t="shared" si="54"/>
        <v>0</v>
      </c>
      <c r="DW292" s="2"/>
      <c r="DX292" s="2"/>
      <c r="DY292" s="2"/>
      <c r="DZ292" s="2" t="s">
        <v>3</v>
      </c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 t="s">
        <v>3</v>
      </c>
      <c r="FR292" s="2" t="s">
        <v>183</v>
      </c>
      <c r="FS292" s="2" t="s">
        <v>567</v>
      </c>
      <c r="FT292" s="2"/>
      <c r="FU292" s="2"/>
      <c r="FV292" s="2" t="s">
        <v>3</v>
      </c>
    </row>
    <row r="293" spans="1:178" ht="15.75" customHeight="1" x14ac:dyDescent="0.2">
      <c r="A293" s="14" t="s">
        <v>96</v>
      </c>
      <c r="B293" s="2" t="s">
        <v>97</v>
      </c>
      <c r="C293" s="16" t="s">
        <v>761</v>
      </c>
      <c r="D293" s="2" t="s">
        <v>99</v>
      </c>
      <c r="E293" s="2"/>
      <c r="F293" s="2"/>
      <c r="G293" s="2"/>
      <c r="H293" s="2" t="s">
        <v>79</v>
      </c>
      <c r="I293" s="2"/>
      <c r="J293" s="2"/>
      <c r="K293" s="2">
        <v>0</v>
      </c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>
        <v>0</v>
      </c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>
        <v>0.56000000000000005</v>
      </c>
      <c r="BB293" s="2">
        <v>0.15</v>
      </c>
      <c r="BC293" s="2"/>
      <c r="BD293" s="2"/>
      <c r="BE293" s="2"/>
      <c r="BF293" s="2"/>
      <c r="BG293" s="2"/>
      <c r="BH293" s="2"/>
      <c r="BI293" s="2">
        <v>0.38</v>
      </c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>
        <v>0</v>
      </c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>
        <v>0</v>
      </c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14" t="s">
        <v>100</v>
      </c>
      <c r="DM293" s="2"/>
      <c r="DN293" s="2">
        <f t="shared" si="49"/>
        <v>0.38</v>
      </c>
      <c r="DO293" s="2">
        <f t="shared" si="50"/>
        <v>0</v>
      </c>
      <c r="DP293" s="2" t="s">
        <v>132</v>
      </c>
      <c r="DQ293" s="2" t="s">
        <v>3</v>
      </c>
      <c r="DR293" s="2">
        <f t="shared" si="51"/>
        <v>0.56000000000000005</v>
      </c>
      <c r="DS293" s="2">
        <f t="shared" si="52"/>
        <v>0.38</v>
      </c>
      <c r="DT293" s="15">
        <f t="shared" si="53"/>
        <v>2.1280000000000001</v>
      </c>
      <c r="DU293" s="2"/>
      <c r="DV293" s="2">
        <f t="shared" si="54"/>
        <v>0</v>
      </c>
      <c r="DW293" s="2"/>
      <c r="DX293" s="2"/>
      <c r="DY293" s="2"/>
      <c r="DZ293" s="2" t="s">
        <v>3</v>
      </c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 t="s">
        <v>3</v>
      </c>
      <c r="FR293" s="2" t="s">
        <v>89</v>
      </c>
      <c r="FS293" s="2" t="s">
        <v>123</v>
      </c>
      <c r="FT293" s="2"/>
      <c r="FU293" s="2"/>
      <c r="FV293" s="2" t="s">
        <v>3</v>
      </c>
    </row>
    <row r="294" spans="1:178" ht="15.75" customHeight="1" x14ac:dyDescent="0.2">
      <c r="A294" s="14" t="s">
        <v>96</v>
      </c>
      <c r="B294" s="2" t="s">
        <v>133</v>
      </c>
      <c r="C294" s="16" t="s">
        <v>762</v>
      </c>
      <c r="D294" s="2" t="s">
        <v>99</v>
      </c>
      <c r="E294" s="2"/>
      <c r="F294" s="2"/>
      <c r="G294" s="2"/>
      <c r="H294" s="2" t="s">
        <v>763</v>
      </c>
      <c r="I294" s="2"/>
      <c r="J294" s="2"/>
      <c r="K294" s="2">
        <v>0</v>
      </c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>
        <v>1.899</v>
      </c>
      <c r="AG294" s="2">
        <v>0.33</v>
      </c>
      <c r="AH294" s="2"/>
      <c r="AI294" s="2"/>
      <c r="AJ294" s="2"/>
      <c r="AK294" s="2"/>
      <c r="AL294" s="2"/>
      <c r="AM294" s="2"/>
      <c r="AN294" s="2">
        <v>0.7</v>
      </c>
      <c r="AO294" s="2">
        <v>3.4000000000000002E-2</v>
      </c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>
        <v>2.403</v>
      </c>
      <c r="BB294" s="2">
        <v>0.35</v>
      </c>
      <c r="BC294" s="2"/>
      <c r="BD294" s="2"/>
      <c r="BE294" s="2"/>
      <c r="BF294" s="2"/>
      <c r="BG294" s="2"/>
      <c r="BH294" s="2"/>
      <c r="BI294" s="2">
        <v>0.86</v>
      </c>
      <c r="BJ294" s="2">
        <v>3.4000000000000002E-2</v>
      </c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>
        <v>0</v>
      </c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>
        <v>0</v>
      </c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14" t="s">
        <v>81</v>
      </c>
      <c r="DM294" s="2" t="s">
        <v>81</v>
      </c>
      <c r="DN294" s="2">
        <f t="shared" si="49"/>
        <v>0.7893723849372386</v>
      </c>
      <c r="DO294" s="2">
        <f t="shared" si="50"/>
        <v>3.4000000000000002E-2</v>
      </c>
      <c r="DP294" s="2" t="s">
        <v>764</v>
      </c>
      <c r="DQ294" s="2" t="s">
        <v>3</v>
      </c>
      <c r="DR294" s="2">
        <f t="shared" si="51"/>
        <v>4.3019999999999996</v>
      </c>
      <c r="DS294" s="4">
        <f t="shared" si="52"/>
        <v>0.7893723849372386</v>
      </c>
      <c r="DT294" s="15">
        <f t="shared" si="53"/>
        <v>33.958800000000004</v>
      </c>
      <c r="DU294" s="2"/>
      <c r="DV294" s="2">
        <f t="shared" si="54"/>
        <v>0</v>
      </c>
      <c r="DW294" s="2"/>
      <c r="DX294" s="2"/>
      <c r="DY294" s="2"/>
      <c r="DZ294" s="2" t="s">
        <v>3</v>
      </c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 t="s">
        <v>3</v>
      </c>
      <c r="FR294" s="2" t="s">
        <v>89</v>
      </c>
      <c r="FS294" s="2" t="s">
        <v>123</v>
      </c>
      <c r="FT294" s="2"/>
      <c r="FU294" s="2"/>
      <c r="FV294" s="2" t="s">
        <v>3</v>
      </c>
    </row>
    <row r="295" spans="1:178" ht="15.75" customHeight="1" x14ac:dyDescent="0.2">
      <c r="A295" s="14" t="s">
        <v>143</v>
      </c>
      <c r="B295" s="2" t="s">
        <v>85</v>
      </c>
      <c r="C295" s="16" t="s">
        <v>765</v>
      </c>
      <c r="D295" s="2"/>
      <c r="E295" s="2"/>
      <c r="F295" s="2"/>
      <c r="G295" s="2"/>
      <c r="H295" s="2" t="s">
        <v>766</v>
      </c>
      <c r="I295" s="2"/>
      <c r="J295" s="2"/>
      <c r="K295" s="2">
        <v>11.7</v>
      </c>
      <c r="L295" s="4">
        <v>4.0000000000000001E-3</v>
      </c>
      <c r="M295" s="4">
        <v>0.02</v>
      </c>
      <c r="N295" s="2"/>
      <c r="O295" s="2"/>
      <c r="P295" s="2"/>
      <c r="Q295" s="2"/>
      <c r="R295" s="2"/>
      <c r="S295" s="4">
        <v>1.4999999999999999E-2</v>
      </c>
      <c r="T295" s="2"/>
      <c r="U295" s="4">
        <v>3.3700000000000006</v>
      </c>
      <c r="V295" s="4">
        <v>1.52</v>
      </c>
      <c r="W295" s="4">
        <v>0.68</v>
      </c>
      <c r="X295" s="2"/>
      <c r="Y295" s="2"/>
      <c r="Z295" s="2"/>
      <c r="AA295" s="2"/>
      <c r="AB295" s="2"/>
      <c r="AC295" s="2"/>
      <c r="AD295" s="2"/>
      <c r="AE295" s="2"/>
      <c r="AF295" s="2">
        <v>71.7</v>
      </c>
      <c r="AG295" s="4">
        <v>2.7E-2</v>
      </c>
      <c r="AH295" s="4">
        <v>0.08</v>
      </c>
      <c r="AI295" s="2"/>
      <c r="AJ295" s="2"/>
      <c r="AK295" s="2"/>
      <c r="AL295" s="2"/>
      <c r="AM295" s="2"/>
      <c r="AN295" s="4">
        <v>0.08</v>
      </c>
      <c r="AO295" s="2"/>
      <c r="AP295" s="4">
        <v>2.57</v>
      </c>
      <c r="AQ295" s="4">
        <v>1.1499999999999999</v>
      </c>
      <c r="AR295" s="4">
        <v>0.37</v>
      </c>
      <c r="AS295" s="2"/>
      <c r="AT295" s="2"/>
      <c r="AU295" s="2"/>
      <c r="AV295" s="2"/>
      <c r="AW295" s="2"/>
      <c r="AX295" s="2"/>
      <c r="AY295" s="2"/>
      <c r="AZ295" s="2"/>
      <c r="BA295" s="2">
        <v>97.9</v>
      </c>
      <c r="BB295" s="4">
        <v>2.5000000000000001E-2</v>
      </c>
      <c r="BC295" s="4">
        <v>0.08</v>
      </c>
      <c r="BD295" s="2"/>
      <c r="BE295" s="2"/>
      <c r="BF295" s="2"/>
      <c r="BG295" s="2"/>
      <c r="BH295" s="2"/>
      <c r="BI295" s="4">
        <v>8.1000000000000003E-2</v>
      </c>
      <c r="BJ295" s="2"/>
      <c r="BK295" s="4">
        <v>2.83</v>
      </c>
      <c r="BL295" s="4">
        <v>1.26</v>
      </c>
      <c r="BM295" s="4">
        <v>0.4</v>
      </c>
      <c r="BN295" s="2"/>
      <c r="BO295" s="2"/>
      <c r="BP295" s="2"/>
      <c r="BQ295" s="2"/>
      <c r="BR295" s="2"/>
      <c r="BS295" s="2"/>
      <c r="BT295" s="2"/>
      <c r="BU295" s="2"/>
      <c r="BV295" s="2">
        <v>0</v>
      </c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>
        <v>28.5</v>
      </c>
      <c r="CR295" s="19">
        <v>4.0000000000000001E-3</v>
      </c>
      <c r="CS295" s="4">
        <v>2.0160000000000001E-2</v>
      </c>
      <c r="CT295" s="2"/>
      <c r="CU295" s="2"/>
      <c r="CV295" s="2"/>
      <c r="CW295" s="2"/>
      <c r="CX295" s="2"/>
      <c r="CY295" s="19">
        <v>1.4999999999999999E-2</v>
      </c>
      <c r="CZ295" s="2"/>
      <c r="DA295" s="4">
        <v>3.03912</v>
      </c>
      <c r="DB295" s="4">
        <v>1.3708800000000001</v>
      </c>
      <c r="DC295" s="4">
        <v>0.61487999999999987</v>
      </c>
      <c r="DD295" s="4"/>
      <c r="DE295" s="4"/>
      <c r="DF295" s="2"/>
      <c r="DG295" s="2"/>
      <c r="DH295" s="2"/>
      <c r="DI295" s="2"/>
      <c r="DJ295" s="2"/>
      <c r="DK295" s="2"/>
      <c r="DL295" s="14" t="s">
        <v>81</v>
      </c>
      <c r="DM295" s="2"/>
      <c r="DN295" s="2">
        <f t="shared" si="49"/>
        <v>7.6345284059569765E-2</v>
      </c>
      <c r="DO295" s="2">
        <f t="shared" si="50"/>
        <v>0</v>
      </c>
      <c r="DP295" s="2" t="s">
        <v>512</v>
      </c>
      <c r="DQ295" s="2" t="s">
        <v>3</v>
      </c>
      <c r="DR295" s="2">
        <f t="shared" si="51"/>
        <v>181.3</v>
      </c>
      <c r="DS295" s="4">
        <f t="shared" si="52"/>
        <v>7.6345284059569765E-2</v>
      </c>
      <c r="DT295" s="15">
        <f t="shared" si="53"/>
        <v>138.41399999999999</v>
      </c>
      <c r="DU295" s="2"/>
      <c r="DV295" s="2">
        <f t="shared" si="54"/>
        <v>28.5</v>
      </c>
      <c r="DW295" s="2">
        <f>(BV295*CD295+CQ295*CY295)/DV295</f>
        <v>1.4999999999999999E-2</v>
      </c>
      <c r="DX295" s="15">
        <f>1000*DV295*DW295/100</f>
        <v>4.2750000000000004</v>
      </c>
      <c r="DY295" s="2"/>
      <c r="DZ295" s="2" t="s">
        <v>3</v>
      </c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 t="s">
        <v>3</v>
      </c>
      <c r="FR295" s="2" t="s">
        <v>89</v>
      </c>
      <c r="FS295" s="2" t="s">
        <v>90</v>
      </c>
      <c r="FT295" s="2" t="s">
        <v>91</v>
      </c>
      <c r="FU295" s="2" t="s">
        <v>92</v>
      </c>
      <c r="FV295" s="2" t="s">
        <v>3</v>
      </c>
    </row>
    <row r="296" spans="1:178" ht="15.75" customHeight="1" x14ac:dyDescent="0.2">
      <c r="A296" s="14" t="s">
        <v>96</v>
      </c>
      <c r="B296" s="2" t="s">
        <v>133</v>
      </c>
      <c r="C296" s="16" t="s">
        <v>767</v>
      </c>
      <c r="D296" s="2" t="s">
        <v>99</v>
      </c>
      <c r="E296" s="2"/>
      <c r="F296" s="2"/>
      <c r="G296" s="2"/>
      <c r="H296" s="2" t="s">
        <v>768</v>
      </c>
      <c r="I296" s="2"/>
      <c r="J296" s="2"/>
      <c r="K296" s="2">
        <v>0</v>
      </c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>
        <v>7.2</v>
      </c>
      <c r="AG296" s="4">
        <v>0.13</v>
      </c>
      <c r="AH296" s="4"/>
      <c r="AI296" s="2"/>
      <c r="AJ296" s="2"/>
      <c r="AK296" s="2"/>
      <c r="AL296" s="2"/>
      <c r="AM296" s="2"/>
      <c r="AN296" s="4">
        <v>0.61</v>
      </c>
      <c r="AO296" s="2">
        <v>0.01</v>
      </c>
      <c r="AP296" s="4">
        <v>0.1</v>
      </c>
      <c r="AQ296" s="4">
        <v>0.36</v>
      </c>
      <c r="AR296" s="2"/>
      <c r="AS296" s="2"/>
      <c r="AT296" s="2"/>
      <c r="AU296" s="2"/>
      <c r="AV296" s="2"/>
      <c r="AW296" s="2"/>
      <c r="AX296" s="2"/>
      <c r="AY296" s="2"/>
      <c r="AZ296" s="2"/>
      <c r="BA296" s="2">
        <v>0.67300000000000004</v>
      </c>
      <c r="BB296" s="4">
        <v>0.08</v>
      </c>
      <c r="BC296" s="4"/>
      <c r="BD296" s="2"/>
      <c r="BE296" s="2"/>
      <c r="BF296" s="2"/>
      <c r="BG296" s="2"/>
      <c r="BH296" s="2"/>
      <c r="BI296" s="4">
        <v>0.27</v>
      </c>
      <c r="BJ296" s="2">
        <v>0.02</v>
      </c>
      <c r="BK296" s="4">
        <v>0.05</v>
      </c>
      <c r="BL296" s="4">
        <v>0.14000000000000001</v>
      </c>
      <c r="BM296" s="2"/>
      <c r="BN296" s="2"/>
      <c r="BO296" s="2"/>
      <c r="BP296" s="2"/>
      <c r="BQ296" s="2"/>
      <c r="BR296" s="2"/>
      <c r="BS296" s="2"/>
      <c r="BT296" s="2"/>
      <c r="BU296" s="2"/>
      <c r="BV296" s="2">
        <v>0</v>
      </c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>
        <v>0</v>
      </c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14" t="s">
        <v>81</v>
      </c>
      <c r="DM296" s="2" t="s">
        <v>81</v>
      </c>
      <c r="DN296" s="2">
        <f t="shared" si="49"/>
        <v>0.58093611075828777</v>
      </c>
      <c r="DO296" s="2">
        <f t="shared" si="50"/>
        <v>1.0854820271815065E-2</v>
      </c>
      <c r="DP296" s="2" t="s">
        <v>769</v>
      </c>
      <c r="DQ296" s="2" t="s">
        <v>3</v>
      </c>
      <c r="DR296" s="2">
        <f t="shared" si="51"/>
        <v>7.8730000000000002</v>
      </c>
      <c r="DS296" s="4">
        <f t="shared" si="52"/>
        <v>0.58093611075828777</v>
      </c>
      <c r="DT296" s="15">
        <f t="shared" si="53"/>
        <v>45.737099999999998</v>
      </c>
      <c r="DU296" s="2"/>
      <c r="DV296" s="2">
        <f t="shared" si="54"/>
        <v>0</v>
      </c>
      <c r="DW296" s="2"/>
      <c r="DX296" s="2"/>
      <c r="DY296" s="2"/>
      <c r="DZ296" s="2" t="s">
        <v>3</v>
      </c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 t="s">
        <v>3</v>
      </c>
      <c r="FR296" s="2" t="s">
        <v>89</v>
      </c>
      <c r="FS296" s="2" t="s">
        <v>123</v>
      </c>
      <c r="FT296" s="2"/>
      <c r="FU296" s="2"/>
      <c r="FV296" s="2" t="s">
        <v>3</v>
      </c>
    </row>
    <row r="297" spans="1:178" ht="15.75" customHeight="1" x14ac:dyDescent="0.2">
      <c r="A297" s="14" t="s">
        <v>96</v>
      </c>
      <c r="B297" s="2" t="s">
        <v>97</v>
      </c>
      <c r="C297" s="16" t="s">
        <v>770</v>
      </c>
      <c r="D297" s="2" t="s">
        <v>99</v>
      </c>
      <c r="E297" s="2"/>
      <c r="F297" s="2"/>
      <c r="G297" s="2"/>
      <c r="H297" s="2" t="s">
        <v>771</v>
      </c>
      <c r="I297" s="2"/>
      <c r="J297" s="2"/>
      <c r="K297" s="2">
        <v>0</v>
      </c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>
        <v>0</v>
      </c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4">
        <v>13.8407</v>
      </c>
      <c r="BB297" s="19">
        <v>0.14000000000000001</v>
      </c>
      <c r="BC297" s="2">
        <v>0.14299999999999999</v>
      </c>
      <c r="BD297" s="2"/>
      <c r="BE297" s="2"/>
      <c r="BF297" s="2"/>
      <c r="BG297" s="2"/>
      <c r="BH297" s="2"/>
      <c r="BI297" s="2">
        <v>0.121</v>
      </c>
      <c r="BJ297" s="2"/>
      <c r="BK297" s="2">
        <v>0.52700000000000002</v>
      </c>
      <c r="BL297" s="2">
        <v>3.2170000000000001</v>
      </c>
      <c r="BM297" s="2"/>
      <c r="BN297" s="2"/>
      <c r="BO297" s="2"/>
      <c r="BP297" s="2"/>
      <c r="BQ297" s="2"/>
      <c r="BR297" s="2"/>
      <c r="BS297" s="2"/>
      <c r="BT297" s="2"/>
      <c r="BU297" s="2"/>
      <c r="BV297" s="2">
        <v>0</v>
      </c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>
        <v>0</v>
      </c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14" t="s">
        <v>100</v>
      </c>
      <c r="DM297" s="2"/>
      <c r="DN297" s="2">
        <f t="shared" si="49"/>
        <v>0.12099999999999998</v>
      </c>
      <c r="DO297" s="2">
        <f t="shared" si="50"/>
        <v>0</v>
      </c>
      <c r="DP297" s="2" t="s">
        <v>772</v>
      </c>
      <c r="DQ297" s="2" t="s">
        <v>3</v>
      </c>
      <c r="DR297" s="4">
        <f t="shared" si="51"/>
        <v>13.8407</v>
      </c>
      <c r="DS297" s="4">
        <f t="shared" si="52"/>
        <v>0.12099999999999998</v>
      </c>
      <c r="DT297" s="15">
        <f t="shared" si="53"/>
        <v>16.747246999999998</v>
      </c>
      <c r="DU297" s="2"/>
      <c r="DV297" s="2">
        <f t="shared" si="54"/>
        <v>0</v>
      </c>
      <c r="DW297" s="2"/>
      <c r="DX297" s="2"/>
      <c r="DY297" s="2"/>
      <c r="DZ297" s="2" t="s">
        <v>3</v>
      </c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 t="s">
        <v>3</v>
      </c>
      <c r="FR297" s="2" t="s">
        <v>89</v>
      </c>
      <c r="FS297" s="2" t="s">
        <v>90</v>
      </c>
      <c r="FT297" s="2" t="s">
        <v>91</v>
      </c>
      <c r="FU297" s="2"/>
      <c r="FV297" s="2" t="s">
        <v>3</v>
      </c>
    </row>
    <row r="298" spans="1:178" ht="15.75" customHeight="1" x14ac:dyDescent="0.2">
      <c r="A298" s="14" t="s">
        <v>74</v>
      </c>
      <c r="B298" s="2" t="s">
        <v>469</v>
      </c>
      <c r="C298" s="13" t="s">
        <v>773</v>
      </c>
      <c r="D298" s="2" t="s">
        <v>99</v>
      </c>
      <c r="E298" s="29">
        <f>-8-46.444/60</f>
        <v>-8.7740666666666662</v>
      </c>
      <c r="F298" s="29">
        <f>147+44.454/60</f>
        <v>147.74090000000001</v>
      </c>
      <c r="G298" s="2" t="s">
        <v>78</v>
      </c>
      <c r="H298" s="2" t="s">
        <v>774</v>
      </c>
      <c r="I298" s="2"/>
      <c r="J298" s="2" t="s">
        <v>775</v>
      </c>
      <c r="K298" s="2">
        <v>0</v>
      </c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>
        <v>0</v>
      </c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>
        <v>162.5</v>
      </c>
      <c r="BB298" s="2"/>
      <c r="BC298" s="2"/>
      <c r="BD298" s="2"/>
      <c r="BE298" s="2"/>
      <c r="BF298" s="2"/>
      <c r="BG298" s="2"/>
      <c r="BH298" s="2"/>
      <c r="BI298" s="2">
        <v>0.94</v>
      </c>
      <c r="BJ298" s="2">
        <v>0.09</v>
      </c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>
        <v>0</v>
      </c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>
        <v>0</v>
      </c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14" t="s">
        <v>81</v>
      </c>
      <c r="DM298" s="2" t="s">
        <v>81</v>
      </c>
      <c r="DN298" s="2">
        <f t="shared" si="49"/>
        <v>0.94</v>
      </c>
      <c r="DO298" s="2">
        <f t="shared" si="50"/>
        <v>0.09</v>
      </c>
      <c r="DP298" s="2" t="s">
        <v>211</v>
      </c>
      <c r="DQ298" s="2" t="s">
        <v>3</v>
      </c>
      <c r="DR298" s="2">
        <f t="shared" si="51"/>
        <v>162.5</v>
      </c>
      <c r="DS298" s="2">
        <f t="shared" si="52"/>
        <v>0.94</v>
      </c>
      <c r="DT298" s="18">
        <f t="shared" si="53"/>
        <v>1527.5</v>
      </c>
      <c r="DU298" s="2"/>
      <c r="DV298" s="2">
        <f t="shared" si="54"/>
        <v>0</v>
      </c>
      <c r="DW298" s="2"/>
      <c r="DX298" s="2"/>
      <c r="DY298" s="2"/>
      <c r="DZ298" s="2" t="s">
        <v>3</v>
      </c>
      <c r="EA298" s="2" t="s">
        <v>469</v>
      </c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 t="s">
        <v>469</v>
      </c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 t="s">
        <v>469</v>
      </c>
      <c r="FQ298" s="2" t="s">
        <v>3</v>
      </c>
      <c r="FR298" s="2" t="s">
        <v>37</v>
      </c>
      <c r="FS298" s="2" t="s">
        <v>114</v>
      </c>
      <c r="FT298" s="2" t="s">
        <v>114</v>
      </c>
      <c r="FU298" s="2"/>
      <c r="FV298" s="2" t="s">
        <v>3</v>
      </c>
    </row>
    <row r="299" spans="1:178" ht="15.75" customHeight="1" x14ac:dyDescent="0.2">
      <c r="A299" s="12" t="s">
        <v>74</v>
      </c>
      <c r="B299" s="2" t="s">
        <v>75</v>
      </c>
      <c r="C299" s="13" t="s">
        <v>776</v>
      </c>
      <c r="D299" s="2" t="s">
        <v>139</v>
      </c>
      <c r="E299" s="2"/>
      <c r="F299" s="2"/>
      <c r="G299" s="2" t="s">
        <v>78</v>
      </c>
      <c r="H299" s="2" t="s">
        <v>304</v>
      </c>
      <c r="I299" s="2"/>
      <c r="J299" s="2" t="s">
        <v>141</v>
      </c>
      <c r="K299" s="2">
        <v>0</v>
      </c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>
        <v>0</v>
      </c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>
        <v>34.31</v>
      </c>
      <c r="BB299" s="2"/>
      <c r="BC299" s="2"/>
      <c r="BD299" s="2"/>
      <c r="BE299" s="2"/>
      <c r="BF299" s="2"/>
      <c r="BG299" s="2"/>
      <c r="BH299" s="2"/>
      <c r="BI299" s="2">
        <v>1.1100000000000001</v>
      </c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>
        <v>0</v>
      </c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>
        <v>0</v>
      </c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14" t="s">
        <v>100</v>
      </c>
      <c r="DM299" s="2"/>
      <c r="DN299" s="2">
        <f t="shared" si="49"/>
        <v>1.1100000000000001</v>
      </c>
      <c r="DO299" s="2">
        <f t="shared" si="50"/>
        <v>0</v>
      </c>
      <c r="DP299" s="2" t="s">
        <v>113</v>
      </c>
      <c r="DQ299" s="2" t="s">
        <v>3</v>
      </c>
      <c r="DR299" s="2">
        <f t="shared" si="51"/>
        <v>34.31</v>
      </c>
      <c r="DS299" s="4">
        <f t="shared" si="52"/>
        <v>1.1100000000000001</v>
      </c>
      <c r="DT299" s="15">
        <f t="shared" si="53"/>
        <v>380.84100000000007</v>
      </c>
      <c r="DU299" s="2"/>
      <c r="DV299" s="2">
        <f t="shared" si="54"/>
        <v>0</v>
      </c>
      <c r="DW299" s="2"/>
      <c r="DX299" s="2"/>
      <c r="DY299" s="2"/>
      <c r="DZ299" s="2" t="s">
        <v>3</v>
      </c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 t="s">
        <v>3</v>
      </c>
      <c r="FR299" s="2" t="s">
        <v>37</v>
      </c>
      <c r="FS299" s="2" t="s">
        <v>114</v>
      </c>
      <c r="FT299" s="2" t="s">
        <v>114</v>
      </c>
      <c r="FU299" s="2"/>
      <c r="FV299" s="2" t="s">
        <v>3</v>
      </c>
    </row>
    <row r="300" spans="1:178" ht="15.75" customHeight="1" x14ac:dyDescent="0.2">
      <c r="A300" s="12" t="s">
        <v>74</v>
      </c>
      <c r="B300" s="2" t="s">
        <v>655</v>
      </c>
      <c r="C300" s="13" t="s">
        <v>777</v>
      </c>
      <c r="D300" s="2" t="s">
        <v>109</v>
      </c>
      <c r="E300" s="2"/>
      <c r="F300" s="2"/>
      <c r="G300" s="2"/>
      <c r="H300" s="2" t="s">
        <v>778</v>
      </c>
      <c r="I300" s="2"/>
      <c r="J300" s="2" t="s">
        <v>80</v>
      </c>
      <c r="K300" s="2">
        <v>0</v>
      </c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>
        <v>0</v>
      </c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>
        <v>70</v>
      </c>
      <c r="BB300" s="2"/>
      <c r="BC300" s="2"/>
      <c r="BD300" s="2"/>
      <c r="BE300" s="2"/>
      <c r="BF300" s="2"/>
      <c r="BG300" s="2"/>
      <c r="BH300" s="2"/>
      <c r="BI300" s="2">
        <v>1</v>
      </c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>
        <v>0</v>
      </c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>
        <v>0</v>
      </c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14" t="s">
        <v>100</v>
      </c>
      <c r="DM300" s="2"/>
      <c r="DN300" s="2">
        <f t="shared" si="49"/>
        <v>1</v>
      </c>
      <c r="DO300" s="2">
        <f t="shared" si="50"/>
        <v>0</v>
      </c>
      <c r="DP300" s="2" t="s">
        <v>779</v>
      </c>
      <c r="DQ300" s="2" t="s">
        <v>3</v>
      </c>
      <c r="DR300" s="2">
        <f t="shared" si="51"/>
        <v>70</v>
      </c>
      <c r="DS300" s="2">
        <f t="shared" si="52"/>
        <v>1</v>
      </c>
      <c r="DT300" s="15">
        <f t="shared" si="53"/>
        <v>700</v>
      </c>
      <c r="DU300" s="2"/>
      <c r="DV300" s="2">
        <f t="shared" si="54"/>
        <v>0</v>
      </c>
      <c r="DW300" s="2"/>
      <c r="DX300" s="2"/>
      <c r="DY300" s="2"/>
      <c r="DZ300" s="2" t="s">
        <v>3</v>
      </c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 t="s">
        <v>3</v>
      </c>
      <c r="FR300" s="2" t="s">
        <v>37</v>
      </c>
      <c r="FS300" s="2" t="s">
        <v>114</v>
      </c>
      <c r="FT300" s="2" t="s">
        <v>114</v>
      </c>
      <c r="FU300" s="2"/>
      <c r="FV300" s="2" t="s">
        <v>3</v>
      </c>
    </row>
    <row r="301" spans="1:178" ht="15.75" customHeight="1" x14ac:dyDescent="0.2">
      <c r="A301" s="12" t="s">
        <v>74</v>
      </c>
      <c r="B301" s="2" t="s">
        <v>655</v>
      </c>
      <c r="C301" s="13" t="s">
        <v>780</v>
      </c>
      <c r="D301" s="2" t="s">
        <v>99</v>
      </c>
      <c r="E301" s="2"/>
      <c r="F301" s="2"/>
      <c r="G301" s="2"/>
      <c r="H301" s="2" t="s">
        <v>79</v>
      </c>
      <c r="I301" s="2"/>
      <c r="J301" s="2" t="s">
        <v>781</v>
      </c>
      <c r="K301" s="2">
        <v>0</v>
      </c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>
        <v>0</v>
      </c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>
        <v>33.200000000000003</v>
      </c>
      <c r="BB301" s="2"/>
      <c r="BC301" s="2"/>
      <c r="BD301" s="2"/>
      <c r="BE301" s="2"/>
      <c r="BF301" s="2"/>
      <c r="BG301" s="2"/>
      <c r="BH301" s="2"/>
      <c r="BI301" s="2">
        <v>1.1299999999999999</v>
      </c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>
        <v>0</v>
      </c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>
        <v>0</v>
      </c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14" t="s">
        <v>100</v>
      </c>
      <c r="DM301" s="2"/>
      <c r="DN301" s="2">
        <f t="shared" si="49"/>
        <v>1.1299999999999999</v>
      </c>
      <c r="DO301" s="2">
        <f t="shared" si="50"/>
        <v>0</v>
      </c>
      <c r="DP301" s="2" t="s">
        <v>501</v>
      </c>
      <c r="DQ301" s="2" t="s">
        <v>3</v>
      </c>
      <c r="DR301" s="2">
        <f t="shared" si="51"/>
        <v>33.200000000000003</v>
      </c>
      <c r="DS301" s="2">
        <f t="shared" si="52"/>
        <v>1.1299999999999999</v>
      </c>
      <c r="DT301" s="15">
        <f t="shared" si="53"/>
        <v>375.16</v>
      </c>
      <c r="DU301" s="2"/>
      <c r="DV301" s="2">
        <f t="shared" si="54"/>
        <v>0</v>
      </c>
      <c r="DW301" s="2"/>
      <c r="DX301" s="2"/>
      <c r="DY301" s="2"/>
      <c r="DZ301" s="2" t="s">
        <v>3</v>
      </c>
      <c r="EA301" s="2" t="s">
        <v>655</v>
      </c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 t="s">
        <v>655</v>
      </c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 t="s">
        <v>655</v>
      </c>
      <c r="FQ301" s="2" t="s">
        <v>3</v>
      </c>
      <c r="FR301" s="2" t="s">
        <v>37</v>
      </c>
      <c r="FS301" s="2" t="s">
        <v>114</v>
      </c>
      <c r="FT301" s="2" t="s">
        <v>114</v>
      </c>
      <c r="FU301" s="2"/>
      <c r="FV301" s="2" t="s">
        <v>3</v>
      </c>
    </row>
    <row r="302" spans="1:178" ht="15.75" customHeight="1" x14ac:dyDescent="0.2">
      <c r="A302" s="12" t="s">
        <v>74</v>
      </c>
      <c r="B302" s="2" t="s">
        <v>75</v>
      </c>
      <c r="C302" s="13" t="s">
        <v>782</v>
      </c>
      <c r="D302" s="2" t="s">
        <v>99</v>
      </c>
      <c r="E302" s="2"/>
      <c r="F302" s="2"/>
      <c r="G302" s="2" t="s">
        <v>78</v>
      </c>
      <c r="H302" s="2" t="s">
        <v>270</v>
      </c>
      <c r="I302" s="2"/>
      <c r="J302" s="2" t="s">
        <v>141</v>
      </c>
      <c r="K302" s="19">
        <v>0.42720000000000002</v>
      </c>
      <c r="L302" s="2"/>
      <c r="M302" s="2"/>
      <c r="N302" s="2"/>
      <c r="O302" s="2"/>
      <c r="P302" s="2"/>
      <c r="Q302" s="2"/>
      <c r="R302" s="2"/>
      <c r="S302" s="2">
        <v>1.1100000000000001</v>
      </c>
      <c r="T302" s="2">
        <v>0.05</v>
      </c>
      <c r="U302" s="2"/>
      <c r="V302" s="2"/>
      <c r="W302" s="2"/>
      <c r="X302" s="2"/>
      <c r="Y302" s="2"/>
      <c r="Z302" s="2"/>
      <c r="AA302" s="4">
        <v>23</v>
      </c>
      <c r="AB302" s="2"/>
      <c r="AC302" s="2"/>
      <c r="AD302" s="2"/>
      <c r="AE302" s="2"/>
      <c r="AF302" s="19">
        <v>0.63239999999999996</v>
      </c>
      <c r="AG302" s="2"/>
      <c r="AH302" s="2"/>
      <c r="AI302" s="2"/>
      <c r="AJ302" s="2"/>
      <c r="AK302" s="2"/>
      <c r="AL302" s="2"/>
      <c r="AM302" s="2"/>
      <c r="AN302" s="4">
        <v>1</v>
      </c>
      <c r="AO302" s="2">
        <v>0.04</v>
      </c>
      <c r="AP302" s="2"/>
      <c r="AQ302" s="2"/>
      <c r="AR302" s="2"/>
      <c r="AS302" s="2"/>
      <c r="AT302" s="2"/>
      <c r="AU302" s="2"/>
      <c r="AV302" s="2">
        <v>22.11</v>
      </c>
      <c r="AW302" s="2"/>
      <c r="AX302" s="2"/>
      <c r="AY302" s="2"/>
      <c r="AZ302" s="2"/>
      <c r="BA302" s="2">
        <v>0</v>
      </c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>
        <v>0</v>
      </c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>
        <v>0</v>
      </c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14" t="s">
        <v>81</v>
      </c>
      <c r="DM302" s="2" t="s">
        <v>81</v>
      </c>
      <c r="DN302" s="2">
        <f t="shared" si="49"/>
        <v>1.0443488108720271</v>
      </c>
      <c r="DO302" s="2">
        <f t="shared" si="50"/>
        <v>4.4031710079275199E-2</v>
      </c>
      <c r="DP302" s="2" t="s">
        <v>271</v>
      </c>
      <c r="DQ302" s="2" t="s">
        <v>3</v>
      </c>
      <c r="DR302" s="19">
        <f t="shared" si="51"/>
        <v>1.0596000000000001</v>
      </c>
      <c r="DS302" s="4">
        <f t="shared" si="52"/>
        <v>1.0443488108720271</v>
      </c>
      <c r="DT302" s="15">
        <f t="shared" si="53"/>
        <v>11.06592</v>
      </c>
      <c r="DU302" s="2"/>
      <c r="DV302" s="2">
        <f t="shared" si="54"/>
        <v>0</v>
      </c>
      <c r="DW302" s="2"/>
      <c r="DX302" s="2"/>
      <c r="DY302" s="2"/>
      <c r="DZ302" s="2" t="s">
        <v>3</v>
      </c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 t="s">
        <v>3</v>
      </c>
      <c r="FR302" s="2" t="s">
        <v>37</v>
      </c>
      <c r="FS302" s="2" t="s">
        <v>106</v>
      </c>
      <c r="FT302" s="2"/>
      <c r="FU302" s="2"/>
      <c r="FV302" s="2" t="s">
        <v>3</v>
      </c>
    </row>
    <row r="303" spans="1:178" ht="15.75" customHeight="1" x14ac:dyDescent="0.2">
      <c r="A303" s="14" t="s">
        <v>96</v>
      </c>
      <c r="B303" s="2" t="s">
        <v>133</v>
      </c>
      <c r="C303" s="16" t="s">
        <v>783</v>
      </c>
      <c r="D303" s="2" t="s">
        <v>99</v>
      </c>
      <c r="E303" s="2"/>
      <c r="F303" s="2"/>
      <c r="G303" s="2"/>
      <c r="H303" s="2" t="s">
        <v>430</v>
      </c>
      <c r="I303" s="2"/>
      <c r="J303" s="2"/>
      <c r="K303" s="2">
        <v>0</v>
      </c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>
        <v>0</v>
      </c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>
        <v>0.2</v>
      </c>
      <c r="BB303" s="2"/>
      <c r="BC303" s="2"/>
      <c r="BD303" s="2"/>
      <c r="BE303" s="2"/>
      <c r="BF303" s="2"/>
      <c r="BG303" s="2"/>
      <c r="BH303" s="2"/>
      <c r="BI303" s="2">
        <v>0.85</v>
      </c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>
        <v>0</v>
      </c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>
        <v>0</v>
      </c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14" t="s">
        <v>100</v>
      </c>
      <c r="DM303" s="2"/>
      <c r="DN303" s="2">
        <f t="shared" si="49"/>
        <v>0.85</v>
      </c>
      <c r="DO303" s="2">
        <f t="shared" si="50"/>
        <v>0</v>
      </c>
      <c r="DP303" s="2" t="s">
        <v>784</v>
      </c>
      <c r="DQ303" s="2" t="s">
        <v>3</v>
      </c>
      <c r="DR303" s="2">
        <f t="shared" si="51"/>
        <v>0.2</v>
      </c>
      <c r="DS303" s="2">
        <f t="shared" si="52"/>
        <v>0.85</v>
      </c>
      <c r="DT303" s="15">
        <f t="shared" si="53"/>
        <v>1.7</v>
      </c>
      <c r="DU303" s="2"/>
      <c r="DV303" s="2">
        <f t="shared" si="54"/>
        <v>0</v>
      </c>
      <c r="DW303" s="2"/>
      <c r="DX303" s="2"/>
      <c r="DY303" s="2"/>
      <c r="DZ303" s="2" t="s">
        <v>3</v>
      </c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 t="s">
        <v>3</v>
      </c>
      <c r="FR303" s="2" t="s">
        <v>89</v>
      </c>
      <c r="FS303" s="2" t="s">
        <v>137</v>
      </c>
      <c r="FT303" s="2"/>
      <c r="FU303" s="2"/>
      <c r="FV303" s="2" t="s">
        <v>3</v>
      </c>
    </row>
    <row r="304" spans="1:178" ht="15.75" customHeight="1" x14ac:dyDescent="0.2">
      <c r="A304" s="12" t="s">
        <v>74</v>
      </c>
      <c r="B304" s="2" t="s">
        <v>75</v>
      </c>
      <c r="C304" s="13" t="s">
        <v>785</v>
      </c>
      <c r="D304" s="2" t="s">
        <v>109</v>
      </c>
      <c r="E304" s="2"/>
      <c r="F304" s="2"/>
      <c r="G304" s="2" t="s">
        <v>78</v>
      </c>
      <c r="H304" s="2" t="s">
        <v>786</v>
      </c>
      <c r="I304" s="2"/>
      <c r="J304" s="2" t="s">
        <v>141</v>
      </c>
      <c r="K304" s="2">
        <v>2.823</v>
      </c>
      <c r="L304" s="2"/>
      <c r="M304" s="2"/>
      <c r="N304" s="2"/>
      <c r="O304" s="2"/>
      <c r="P304" s="2"/>
      <c r="Q304" s="2"/>
      <c r="R304" s="2"/>
      <c r="S304" s="2">
        <v>1.1299999999999999</v>
      </c>
      <c r="T304" s="2"/>
      <c r="U304" s="2"/>
      <c r="V304" s="2"/>
      <c r="W304" s="2"/>
      <c r="X304" s="2"/>
      <c r="Y304" s="2"/>
      <c r="Z304" s="2"/>
      <c r="AA304" s="2">
        <v>39.49</v>
      </c>
      <c r="AB304" s="2"/>
      <c r="AC304" s="2"/>
      <c r="AD304" s="2"/>
      <c r="AE304" s="15">
        <f>100*(11.473-7.115)/11.473</f>
        <v>37.984833957988322</v>
      </c>
      <c r="AF304" s="2">
        <v>7.1150000000000002</v>
      </c>
      <c r="AG304" s="2"/>
      <c r="AH304" s="2"/>
      <c r="AI304" s="2"/>
      <c r="AJ304" s="2"/>
      <c r="AK304" s="2"/>
      <c r="AL304" s="2"/>
      <c r="AM304" s="2"/>
      <c r="AN304" s="2">
        <v>1.04</v>
      </c>
      <c r="AO304" s="2"/>
      <c r="AP304" s="2"/>
      <c r="AQ304" s="2"/>
      <c r="AR304" s="2"/>
      <c r="AS304" s="2"/>
      <c r="AT304" s="2"/>
      <c r="AU304" s="2"/>
      <c r="AV304" s="2">
        <v>33.19</v>
      </c>
      <c r="AW304" s="2"/>
      <c r="AX304" s="2"/>
      <c r="AY304" s="2"/>
      <c r="AZ304" s="15">
        <f>100*(5.027-3.117)/5.027</f>
        <v>37.994827929182414</v>
      </c>
      <c r="BA304" s="2">
        <v>3.117</v>
      </c>
      <c r="BB304" s="2"/>
      <c r="BC304" s="2"/>
      <c r="BD304" s="2"/>
      <c r="BE304" s="2"/>
      <c r="BF304" s="2"/>
      <c r="BG304" s="2"/>
      <c r="BH304" s="2"/>
      <c r="BI304" s="2">
        <v>0.95</v>
      </c>
      <c r="BJ304" s="2"/>
      <c r="BK304" s="2"/>
      <c r="BL304" s="2"/>
      <c r="BM304" s="2"/>
      <c r="BN304" s="2"/>
      <c r="BO304" s="2"/>
      <c r="BP304" s="2"/>
      <c r="BQ304" s="2">
        <v>37.950000000000003</v>
      </c>
      <c r="BR304" s="2"/>
      <c r="BS304" s="2"/>
      <c r="BT304" s="2"/>
      <c r="BU304" s="2"/>
      <c r="BV304" s="2">
        <v>0</v>
      </c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>
        <v>0</v>
      </c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14" t="s">
        <v>81</v>
      </c>
      <c r="DM304" s="2"/>
      <c r="DN304" s="2">
        <f t="shared" si="49"/>
        <v>1.0379731903485254</v>
      </c>
      <c r="DO304" s="2">
        <f t="shared" si="50"/>
        <v>0</v>
      </c>
      <c r="DP304" s="2" t="s">
        <v>787</v>
      </c>
      <c r="DQ304" s="2" t="s">
        <v>3</v>
      </c>
      <c r="DR304" s="2">
        <f t="shared" si="51"/>
        <v>13.055</v>
      </c>
      <c r="DS304" s="4">
        <f t="shared" si="52"/>
        <v>1.0379731903485254</v>
      </c>
      <c r="DT304" s="15">
        <f t="shared" si="53"/>
        <v>135.50739999999999</v>
      </c>
      <c r="DU304" s="2"/>
      <c r="DV304" s="2">
        <f t="shared" si="54"/>
        <v>0</v>
      </c>
      <c r="DW304" s="2"/>
      <c r="DX304" s="2"/>
      <c r="DY304" s="2"/>
      <c r="DZ304" s="2" t="s">
        <v>3</v>
      </c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 t="s">
        <v>3</v>
      </c>
      <c r="FR304" s="2" t="s">
        <v>37</v>
      </c>
      <c r="FS304" s="2" t="s">
        <v>151</v>
      </c>
      <c r="FT304" s="2"/>
      <c r="FU304" s="2"/>
      <c r="FV304" s="2" t="s">
        <v>3</v>
      </c>
    </row>
    <row r="305" spans="1:178" ht="15.75" customHeight="1" x14ac:dyDescent="0.2">
      <c r="A305" s="14" t="s">
        <v>222</v>
      </c>
      <c r="B305" s="2" t="s">
        <v>85</v>
      </c>
      <c r="C305" s="16" t="s">
        <v>788</v>
      </c>
      <c r="D305" s="2"/>
      <c r="E305" s="2"/>
      <c r="F305" s="2"/>
      <c r="G305" s="2"/>
      <c r="H305" s="2" t="s">
        <v>789</v>
      </c>
      <c r="I305" s="2"/>
      <c r="J305" s="2"/>
      <c r="K305" s="2">
        <v>8.94</v>
      </c>
      <c r="L305" s="2">
        <v>3.5000000000000003E-2</v>
      </c>
      <c r="M305" s="4">
        <v>8.9414739999999993E-2</v>
      </c>
      <c r="N305" s="2"/>
      <c r="O305" s="2"/>
      <c r="P305" s="2"/>
      <c r="Q305" s="2"/>
      <c r="R305" s="2"/>
      <c r="S305" s="2">
        <v>8.2000000000000003E-2</v>
      </c>
      <c r="T305" s="2"/>
      <c r="U305" s="4">
        <v>2.5079153999999999</v>
      </c>
      <c r="V305" s="4">
        <v>2.2111462</v>
      </c>
      <c r="W305" s="4">
        <v>0.45153944000000001</v>
      </c>
      <c r="X305" s="2"/>
      <c r="Y305" s="2"/>
      <c r="Z305" s="2"/>
      <c r="AA305" s="2"/>
      <c r="AB305" s="2"/>
      <c r="AC305" s="2"/>
      <c r="AD305" s="2"/>
      <c r="AE305" s="2"/>
      <c r="AF305" s="2">
        <v>6.95</v>
      </c>
      <c r="AG305" s="2">
        <v>1.4999999999999999E-2</v>
      </c>
      <c r="AH305" s="4">
        <v>3.722781E-2</v>
      </c>
      <c r="AI305" s="2"/>
      <c r="AJ305" s="2"/>
      <c r="AK305" s="2"/>
      <c r="AL305" s="2"/>
      <c r="AM305" s="2"/>
      <c r="AN305" s="2">
        <v>5.6000000000000001E-2</v>
      </c>
      <c r="AO305" s="2"/>
      <c r="AP305" s="4">
        <v>1.0441700999999999</v>
      </c>
      <c r="AQ305" s="4">
        <v>0.92061029999999999</v>
      </c>
      <c r="AR305" s="4">
        <v>0.18799836</v>
      </c>
      <c r="AS305" s="2"/>
      <c r="AT305" s="2"/>
      <c r="AU305" s="2"/>
      <c r="AV305" s="2"/>
      <c r="AW305" s="2"/>
      <c r="AX305" s="2"/>
      <c r="AY305" s="2"/>
      <c r="AZ305" s="2"/>
      <c r="BA305" s="2">
        <v>0</v>
      </c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>
        <v>0</v>
      </c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4">
        <v>4.5578099999999999</v>
      </c>
      <c r="CR305" s="4">
        <v>2.9148595329822911E-2</v>
      </c>
      <c r="CS305" s="4">
        <v>6.7996000000000001E-2</v>
      </c>
      <c r="CT305" s="2"/>
      <c r="CU305" s="2"/>
      <c r="CV305" s="2"/>
      <c r="CW305" s="2"/>
      <c r="CX305" s="2"/>
      <c r="CY305" s="4">
        <v>0.11240231217618901</v>
      </c>
      <c r="CZ305" s="2"/>
      <c r="DA305" s="4">
        <v>1.90716</v>
      </c>
      <c r="DB305" s="4">
        <v>1.6814800000000001</v>
      </c>
      <c r="DC305" s="4">
        <v>0.34337600000000001</v>
      </c>
      <c r="DD305" s="4"/>
      <c r="DE305" s="4"/>
      <c r="DF305" s="2"/>
      <c r="DG305" s="2"/>
      <c r="DH305" s="2"/>
      <c r="DI305" s="2"/>
      <c r="DJ305" s="2"/>
      <c r="DK305" s="2"/>
      <c r="DL305" s="14" t="s">
        <v>81</v>
      </c>
      <c r="DM305" s="2"/>
      <c r="DN305" s="2">
        <f t="shared" si="49"/>
        <v>7.0628067967275013E-2</v>
      </c>
      <c r="DO305" s="2">
        <f t="shared" si="50"/>
        <v>0</v>
      </c>
      <c r="DP305" s="2" t="s">
        <v>150</v>
      </c>
      <c r="DQ305" s="2" t="s">
        <v>3</v>
      </c>
      <c r="DR305" s="2">
        <f t="shared" si="51"/>
        <v>15.89</v>
      </c>
      <c r="DS305" s="4">
        <f t="shared" si="52"/>
        <v>7.0628067967275013E-2</v>
      </c>
      <c r="DT305" s="15">
        <f t="shared" si="53"/>
        <v>11.222799999999999</v>
      </c>
      <c r="DU305" s="2"/>
      <c r="DV305" s="4">
        <f t="shared" si="54"/>
        <v>4.5578099999999999</v>
      </c>
      <c r="DW305" s="4">
        <f>(BV305*CD305+CQ305*CY305)/DV305</f>
        <v>0.11240231217618903</v>
      </c>
      <c r="DX305" s="15">
        <f>1000*DV305*DW305/100</f>
        <v>5.1230838245975612</v>
      </c>
      <c r="DY305" s="2"/>
      <c r="DZ305" s="2" t="s">
        <v>3</v>
      </c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 t="s">
        <v>3</v>
      </c>
      <c r="FR305" s="2" t="s">
        <v>89</v>
      </c>
      <c r="FS305" s="2" t="s">
        <v>90</v>
      </c>
      <c r="FT305" s="2" t="s">
        <v>91</v>
      </c>
      <c r="FU305" s="2" t="s">
        <v>226</v>
      </c>
      <c r="FV305" s="2" t="s">
        <v>3</v>
      </c>
    </row>
    <row r="306" spans="1:178" ht="15.75" customHeight="1" x14ac:dyDescent="0.2">
      <c r="A306" s="12" t="s">
        <v>74</v>
      </c>
      <c r="B306" s="2" t="s">
        <v>243</v>
      </c>
      <c r="C306" s="13" t="s">
        <v>790</v>
      </c>
      <c r="D306" s="2" t="s">
        <v>99</v>
      </c>
      <c r="E306" s="2"/>
      <c r="F306" s="2"/>
      <c r="G306" s="2"/>
      <c r="H306" s="2" t="s">
        <v>79</v>
      </c>
      <c r="I306" s="2"/>
      <c r="J306" s="2"/>
      <c r="K306" s="2">
        <v>0</v>
      </c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>
        <v>0</v>
      </c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15">
        <f>(5+5.6)*0.9072</f>
        <v>9.61632</v>
      </c>
      <c r="BB306" s="2"/>
      <c r="BC306" s="2"/>
      <c r="BD306" s="2"/>
      <c r="BE306" s="2"/>
      <c r="BF306" s="2"/>
      <c r="BG306" s="2"/>
      <c r="BH306" s="2"/>
      <c r="BI306" s="4">
        <f>(0.98*5+1.08*5.6)/(5+5.6)</f>
        <v>1.0328301886792453</v>
      </c>
      <c r="BJ306" s="4">
        <f>(0.1*5+0.11*5.6)/(5+5.6)</f>
        <v>0.10528301886792454</v>
      </c>
      <c r="BK306" s="2"/>
      <c r="BL306" s="2"/>
      <c r="BM306" s="2"/>
      <c r="BN306" s="2"/>
      <c r="BO306" s="2"/>
      <c r="BP306" s="4">
        <f>(0.59*5+0.67*5.6)/(5+5.6)</f>
        <v>0.63226415094339627</v>
      </c>
      <c r="BQ306" s="4">
        <f>(22.05*5+29.45*5.6)/(5+5.6)</f>
        <v>25.959433962264146</v>
      </c>
      <c r="BR306" s="2"/>
      <c r="BS306" s="2"/>
      <c r="BT306" s="2"/>
      <c r="BU306" s="2"/>
      <c r="BV306" s="2">
        <v>0</v>
      </c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>
        <v>0</v>
      </c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14" t="s">
        <v>100</v>
      </c>
      <c r="DM306" s="2" t="s">
        <v>100</v>
      </c>
      <c r="DN306" s="2">
        <f t="shared" si="49"/>
        <v>1.0328301886792453</v>
      </c>
      <c r="DO306" s="2">
        <f t="shared" si="50"/>
        <v>0.10528301886792454</v>
      </c>
      <c r="DP306" s="2" t="s">
        <v>791</v>
      </c>
      <c r="DQ306" s="2" t="s">
        <v>3</v>
      </c>
      <c r="DR306" s="19">
        <f t="shared" si="51"/>
        <v>9.61632</v>
      </c>
      <c r="DS306" s="4">
        <f t="shared" si="52"/>
        <v>1.0328301886792453</v>
      </c>
      <c r="DT306" s="15">
        <f t="shared" si="53"/>
        <v>99.320255999999986</v>
      </c>
      <c r="DU306" s="2"/>
      <c r="DV306" s="2">
        <f t="shared" si="54"/>
        <v>0</v>
      </c>
      <c r="DW306" s="2"/>
      <c r="DX306" s="2"/>
      <c r="DY306" s="2"/>
      <c r="DZ306" s="2" t="s">
        <v>3</v>
      </c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 t="s">
        <v>3</v>
      </c>
      <c r="FR306" s="2" t="s">
        <v>37</v>
      </c>
      <c r="FS306" s="2" t="s">
        <v>235</v>
      </c>
      <c r="FT306" s="2" t="s">
        <v>235</v>
      </c>
      <c r="FU306" s="2"/>
      <c r="FV306" s="2" t="s">
        <v>3</v>
      </c>
    </row>
    <row r="307" spans="1:178" ht="15.75" customHeight="1" x14ac:dyDescent="0.2">
      <c r="A307" s="14" t="s">
        <v>143</v>
      </c>
      <c r="B307" s="2" t="s">
        <v>85</v>
      </c>
      <c r="C307" s="16" t="s">
        <v>792</v>
      </c>
      <c r="D307" s="2"/>
      <c r="E307" s="2"/>
      <c r="F307" s="2"/>
      <c r="G307" s="2"/>
      <c r="H307" s="2" t="s">
        <v>129</v>
      </c>
      <c r="I307" s="2"/>
      <c r="J307" s="2"/>
      <c r="K307" s="2">
        <v>41.219512195121951</v>
      </c>
      <c r="L307" s="4">
        <v>4.1922045008979877E-2</v>
      </c>
      <c r="M307" s="4">
        <v>0.11830024688183685</v>
      </c>
      <c r="N307" s="2"/>
      <c r="O307" s="2"/>
      <c r="P307" s="2"/>
      <c r="Q307" s="2"/>
      <c r="R307" s="2"/>
      <c r="S307" s="4">
        <v>0.14966186100017109</v>
      </c>
      <c r="T307" s="2"/>
      <c r="U307" s="4">
        <v>2.9807424278466153</v>
      </c>
      <c r="V307" s="4">
        <v>1.3451946547541811</v>
      </c>
      <c r="W307" s="4">
        <v>0.41246986798309898</v>
      </c>
      <c r="X307" s="4">
        <v>0.71239310651893939</v>
      </c>
      <c r="Y307" s="4">
        <v>0.16511935921815282</v>
      </c>
      <c r="Z307" s="2"/>
      <c r="AA307" s="2"/>
      <c r="AB307" s="2"/>
      <c r="AC307" s="2"/>
      <c r="AD307" s="2"/>
      <c r="AE307" s="2"/>
      <c r="AF307" s="2">
        <v>448.17073170731715</v>
      </c>
      <c r="AG307" s="4">
        <v>4.7858752859494494E-2</v>
      </c>
      <c r="AH307" s="4">
        <v>0.13637585901501129</v>
      </c>
      <c r="AI307" s="2"/>
      <c r="AJ307" s="2"/>
      <c r="AK307" s="2"/>
      <c r="AL307" s="2"/>
      <c r="AM307" s="2"/>
      <c r="AN307" s="4">
        <v>0.15804702543942561</v>
      </c>
      <c r="AO307" s="2"/>
      <c r="AP307" s="4">
        <v>3.0244988103390766</v>
      </c>
      <c r="AQ307" s="4">
        <v>1.3588634576408731</v>
      </c>
      <c r="AR307" s="4">
        <v>0.38528676780752713</v>
      </c>
      <c r="AS307" s="4">
        <v>0.68211025831433703</v>
      </c>
      <c r="AT307" s="4">
        <v>0.15242641278390434</v>
      </c>
      <c r="AU307" s="2"/>
      <c r="AV307" s="2"/>
      <c r="AW307" s="2"/>
      <c r="AX307" s="2"/>
      <c r="AY307" s="2"/>
      <c r="AZ307" s="2"/>
      <c r="BA307" s="2">
        <v>174.8780487804878</v>
      </c>
      <c r="BB307" s="4">
        <v>4.6050533759498698E-2</v>
      </c>
      <c r="BC307" s="4">
        <v>0.1344426792077984</v>
      </c>
      <c r="BD307" s="2"/>
      <c r="BE307" s="2"/>
      <c r="BF307" s="2"/>
      <c r="BG307" s="2"/>
      <c r="BH307" s="2"/>
      <c r="BI307" s="4">
        <v>0.14536417897999226</v>
      </c>
      <c r="BJ307" s="2"/>
      <c r="BK307" s="4">
        <v>2.9999942299113873</v>
      </c>
      <c r="BL307" s="4">
        <v>1.3460010755739806</v>
      </c>
      <c r="BM307" s="4">
        <v>0.39759064686851359</v>
      </c>
      <c r="BN307" s="4">
        <v>0.69063700184573018</v>
      </c>
      <c r="BO307" s="4">
        <v>0.15356300629004638</v>
      </c>
      <c r="BP307" s="2"/>
      <c r="BQ307" s="2"/>
      <c r="BR307" s="2"/>
      <c r="BS307" s="2"/>
      <c r="BT307" s="2"/>
      <c r="BU307" s="2"/>
      <c r="BV307" s="2">
        <v>18.780487804878049</v>
      </c>
      <c r="BW307" s="4">
        <v>3.974572461373875E-2</v>
      </c>
      <c r="BX307" s="4">
        <v>8.5354036883116893E-2</v>
      </c>
      <c r="BY307" s="2"/>
      <c r="BZ307" s="2"/>
      <c r="CA307" s="2"/>
      <c r="CB307" s="2"/>
      <c r="CC307" s="2"/>
      <c r="CD307" s="4">
        <v>0.14658796805375993</v>
      </c>
      <c r="CE307" s="2"/>
      <c r="CF307" s="4">
        <v>2.4069101681818181</v>
      </c>
      <c r="CG307" s="4">
        <v>1.0970836370129871</v>
      </c>
      <c r="CH307" s="4">
        <v>0.35463405246753255</v>
      </c>
      <c r="CI307" s="4">
        <v>0.60876095642857142</v>
      </c>
      <c r="CJ307" s="4">
        <v>0.14019707064935064</v>
      </c>
      <c r="CK307" s="2"/>
      <c r="CL307" s="2"/>
      <c r="CM307" s="2"/>
      <c r="CN307" s="2"/>
      <c r="CO307" s="2"/>
      <c r="CP307" s="2"/>
      <c r="CQ307" s="2">
        <v>264.75609756097566</v>
      </c>
      <c r="CR307" s="4">
        <v>3.4326876001730081E-2</v>
      </c>
      <c r="CS307" s="4">
        <v>8.3690077088564338E-2</v>
      </c>
      <c r="CT307" s="2"/>
      <c r="CU307" s="2"/>
      <c r="CV307" s="2"/>
      <c r="CW307" s="2"/>
      <c r="CX307" s="2"/>
      <c r="CY307" s="4">
        <v>0.13893424180897254</v>
      </c>
      <c r="CZ307" s="2"/>
      <c r="DA307" s="4">
        <v>2.4052624669237512</v>
      </c>
      <c r="DB307" s="4">
        <v>1.1512607897369789</v>
      </c>
      <c r="DC307" s="4">
        <v>0.35214145811532527</v>
      </c>
      <c r="DD307" s="4">
        <v>0.56599523489674441</v>
      </c>
      <c r="DE307" s="4">
        <v>0.13766484105959487</v>
      </c>
      <c r="DF307" s="2"/>
      <c r="DG307" s="2"/>
      <c r="DH307" s="2"/>
      <c r="DI307" s="2"/>
      <c r="DJ307" s="2"/>
      <c r="DK307" s="2"/>
      <c r="DL307" s="14" t="s">
        <v>81</v>
      </c>
      <c r="DM307" s="2"/>
      <c r="DN307" s="2">
        <f t="shared" si="49"/>
        <v>0.15418776577294949</v>
      </c>
      <c r="DO307" s="2">
        <f t="shared" si="50"/>
        <v>0</v>
      </c>
      <c r="DP307" s="2" t="s">
        <v>95</v>
      </c>
      <c r="DQ307" s="2" t="s">
        <v>3</v>
      </c>
      <c r="DR307" s="15">
        <f t="shared" si="51"/>
        <v>664.26829268292693</v>
      </c>
      <c r="DS307" s="4">
        <f t="shared" si="52"/>
        <v>0.15418776577294949</v>
      </c>
      <c r="DT307" s="15">
        <f t="shared" si="53"/>
        <v>1024.2204392259218</v>
      </c>
      <c r="DU307" s="2"/>
      <c r="DV307" s="15">
        <f t="shared" si="54"/>
        <v>283.53658536585374</v>
      </c>
      <c r="DW307" s="2">
        <f>(BV307*CD307+CQ307*CY307)/DV307</f>
        <v>0.1394411983000251</v>
      </c>
      <c r="DX307" s="15">
        <f>1000*DV307*DW307/100</f>
        <v>395.36681225312009</v>
      </c>
      <c r="DY307" s="2"/>
      <c r="DZ307" s="2" t="s">
        <v>3</v>
      </c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 t="s">
        <v>3</v>
      </c>
      <c r="FR307" s="2" t="s">
        <v>89</v>
      </c>
      <c r="FS307" s="2" t="s">
        <v>90</v>
      </c>
      <c r="FT307" s="2" t="s">
        <v>91</v>
      </c>
      <c r="FU307" s="2" t="s">
        <v>92</v>
      </c>
      <c r="FV307" s="2" t="s">
        <v>3</v>
      </c>
    </row>
    <row r="308" spans="1:178" ht="15.75" customHeight="1" x14ac:dyDescent="0.2">
      <c r="A308" s="14" t="s">
        <v>84</v>
      </c>
      <c r="B308" s="2" t="s">
        <v>85</v>
      </c>
      <c r="C308" s="16" t="s">
        <v>793</v>
      </c>
      <c r="D308" s="2"/>
      <c r="E308" s="2"/>
      <c r="F308" s="2"/>
      <c r="G308" s="2"/>
      <c r="H308" s="2" t="s">
        <v>671</v>
      </c>
      <c r="I308" s="2"/>
      <c r="J308" s="2"/>
      <c r="K308" s="2">
        <v>27.2</v>
      </c>
      <c r="L308" s="4">
        <v>1.5542233663308669E-2</v>
      </c>
      <c r="M308" s="4">
        <v>3.5934696000000002E-2</v>
      </c>
      <c r="N308" s="2"/>
      <c r="O308" s="2"/>
      <c r="P308" s="2"/>
      <c r="Q308" s="2"/>
      <c r="R308" s="2"/>
      <c r="S308" s="4">
        <v>0.11240231217618901</v>
      </c>
      <c r="T308" s="2"/>
      <c r="U308" s="4">
        <v>1.9450644500000001</v>
      </c>
      <c r="V308" s="4">
        <v>0.97660031000000003</v>
      </c>
      <c r="W308" s="4">
        <v>0.33240054400000002</v>
      </c>
      <c r="X308" s="2"/>
      <c r="Y308" s="2"/>
      <c r="Z308" s="2"/>
      <c r="AA308" s="2"/>
      <c r="AB308" s="2"/>
      <c r="AC308" s="2"/>
      <c r="AD308" s="2"/>
      <c r="AE308" s="2"/>
      <c r="AF308" s="2">
        <v>9.4</v>
      </c>
      <c r="AG308" s="4">
        <v>1.5542233663308669E-2</v>
      </c>
      <c r="AH308" s="4">
        <v>4.0959000000000002E-2</v>
      </c>
      <c r="AI308" s="2"/>
      <c r="AJ308" s="2"/>
      <c r="AK308" s="2"/>
      <c r="AL308" s="2"/>
      <c r="AM308" s="2"/>
      <c r="AN308" s="4">
        <v>0.11240231217618901</v>
      </c>
      <c r="AO308" s="2"/>
      <c r="AP308" s="4">
        <v>2.2170187499999998</v>
      </c>
      <c r="AQ308" s="4">
        <v>1.11314625</v>
      </c>
      <c r="AR308" s="4">
        <v>0.37887599999999999</v>
      </c>
      <c r="AS308" s="2"/>
      <c r="AT308" s="2"/>
      <c r="AU308" s="2"/>
      <c r="AV308" s="2"/>
      <c r="AW308" s="2"/>
      <c r="AX308" s="2"/>
      <c r="AY308" s="2"/>
      <c r="AZ308" s="2"/>
      <c r="BA308" s="15">
        <v>5</v>
      </c>
      <c r="BB308" s="4">
        <v>1.5542233663308669E-2</v>
      </c>
      <c r="BC308" s="4">
        <v>3.2221080000000006E-2</v>
      </c>
      <c r="BD308" s="2"/>
      <c r="BE308" s="2"/>
      <c r="BF308" s="2"/>
      <c r="BG308" s="2"/>
      <c r="BH308" s="2"/>
      <c r="BI308" s="4">
        <v>0.11240231217618901</v>
      </c>
      <c r="BJ308" s="2"/>
      <c r="BK308" s="4">
        <v>1.7440547500000001</v>
      </c>
      <c r="BL308" s="4">
        <v>0.87567505000000012</v>
      </c>
      <c r="BM308" s="4">
        <v>0.29804912</v>
      </c>
      <c r="BN308" s="2"/>
      <c r="BO308" s="2"/>
      <c r="BP308" s="2"/>
      <c r="BQ308" s="2"/>
      <c r="BR308" s="2"/>
      <c r="BS308" s="2"/>
      <c r="BT308" s="2"/>
      <c r="BU308" s="2"/>
      <c r="BV308" s="2">
        <v>0</v>
      </c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>
        <v>0</v>
      </c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14" t="s">
        <v>81</v>
      </c>
      <c r="DM308" s="2"/>
      <c r="DN308" s="2">
        <f t="shared" si="49"/>
        <v>0.11240231217618901</v>
      </c>
      <c r="DO308" s="2">
        <f t="shared" si="50"/>
        <v>0</v>
      </c>
      <c r="DP308" s="2" t="s">
        <v>95</v>
      </c>
      <c r="DQ308" s="2" t="s">
        <v>3</v>
      </c>
      <c r="DR308" s="15">
        <f t="shared" si="51"/>
        <v>41.6</v>
      </c>
      <c r="DS308" s="4">
        <f t="shared" si="52"/>
        <v>0.11240231217618901</v>
      </c>
      <c r="DT308" s="15">
        <f t="shared" si="53"/>
        <v>46.759361865294629</v>
      </c>
      <c r="DU308" s="2"/>
      <c r="DV308" s="2">
        <f t="shared" si="54"/>
        <v>0</v>
      </c>
      <c r="DW308" s="2"/>
      <c r="DX308" s="2"/>
      <c r="DY308" s="2"/>
      <c r="DZ308" s="2" t="s">
        <v>3</v>
      </c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 t="s">
        <v>3</v>
      </c>
      <c r="FR308" s="2" t="s">
        <v>89</v>
      </c>
      <c r="FS308" s="2" t="s">
        <v>90</v>
      </c>
      <c r="FT308" s="2" t="s">
        <v>91</v>
      </c>
      <c r="FU308" s="2" t="s">
        <v>92</v>
      </c>
      <c r="FV308" s="2" t="s">
        <v>3</v>
      </c>
    </row>
    <row r="309" spans="1:178" ht="15.75" customHeight="1" x14ac:dyDescent="0.2">
      <c r="A309" s="14" t="s">
        <v>74</v>
      </c>
      <c r="B309" s="2" t="s">
        <v>164</v>
      </c>
      <c r="C309" s="13" t="s">
        <v>794</v>
      </c>
      <c r="D309" s="2" t="s">
        <v>99</v>
      </c>
      <c r="E309" s="2"/>
      <c r="F309" s="2"/>
      <c r="G309" s="2" t="s">
        <v>78</v>
      </c>
      <c r="H309" s="2" t="s">
        <v>795</v>
      </c>
      <c r="I309" s="2"/>
      <c r="J309" s="2" t="s">
        <v>242</v>
      </c>
      <c r="K309" s="2">
        <v>11.68</v>
      </c>
      <c r="L309" s="2"/>
      <c r="M309" s="2"/>
      <c r="N309" s="2"/>
      <c r="O309" s="2"/>
      <c r="P309" s="2"/>
      <c r="Q309" s="2"/>
      <c r="R309" s="2"/>
      <c r="S309" s="2">
        <v>0.99</v>
      </c>
      <c r="T309" s="2">
        <v>0.06</v>
      </c>
      <c r="U309" s="2"/>
      <c r="V309" s="2"/>
      <c r="W309" s="2"/>
      <c r="X309" s="2"/>
      <c r="Y309" s="2"/>
      <c r="Z309" s="2"/>
      <c r="AA309" s="2">
        <v>11.4</v>
      </c>
      <c r="AB309" s="2"/>
      <c r="AC309" s="2"/>
      <c r="AD309" s="2"/>
      <c r="AE309" s="2"/>
      <c r="AF309" s="2">
        <v>42.96</v>
      </c>
      <c r="AG309" s="2"/>
      <c r="AH309" s="2"/>
      <c r="AI309" s="2"/>
      <c r="AJ309" s="2"/>
      <c r="AK309" s="2"/>
      <c r="AL309" s="2"/>
      <c r="AM309" s="2"/>
      <c r="AN309" s="2">
        <v>0.91</v>
      </c>
      <c r="AO309" s="2">
        <v>0.06</v>
      </c>
      <c r="AP309" s="2"/>
      <c r="AQ309" s="2"/>
      <c r="AR309" s="2"/>
      <c r="AS309" s="2"/>
      <c r="AT309" s="2"/>
      <c r="AU309" s="2"/>
      <c r="AV309" s="2">
        <v>11.9</v>
      </c>
      <c r="AW309" s="2"/>
      <c r="AX309" s="2"/>
      <c r="AY309" s="2"/>
      <c r="AZ309" s="2"/>
      <c r="BA309" s="2">
        <v>16.260000000000002</v>
      </c>
      <c r="BB309" s="2"/>
      <c r="BC309" s="2"/>
      <c r="BD309" s="2"/>
      <c r="BE309" s="2"/>
      <c r="BF309" s="2"/>
      <c r="BG309" s="2"/>
      <c r="BH309" s="2"/>
      <c r="BI309" s="2">
        <v>0.88</v>
      </c>
      <c r="BJ309" s="2">
        <v>0.06</v>
      </c>
      <c r="BK309" s="2"/>
      <c r="BL309" s="2"/>
      <c r="BM309" s="2"/>
      <c r="BN309" s="2"/>
      <c r="BO309" s="2"/>
      <c r="BP309" s="2"/>
      <c r="BQ309" s="2">
        <v>11.8</v>
      </c>
      <c r="BR309" s="2"/>
      <c r="BS309" s="2"/>
      <c r="BT309" s="2"/>
      <c r="BU309" s="2"/>
      <c r="BV309" s="2">
        <v>0</v>
      </c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>
        <v>0</v>
      </c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14" t="s">
        <v>81</v>
      </c>
      <c r="DM309" s="2" t="s">
        <v>81</v>
      </c>
      <c r="DN309" s="2">
        <f t="shared" si="49"/>
        <v>0.91629901269393521</v>
      </c>
      <c r="DO309" s="2">
        <f t="shared" si="50"/>
        <v>5.9999999999999991E-2</v>
      </c>
      <c r="DP309" s="2" t="s">
        <v>796</v>
      </c>
      <c r="DQ309" s="2" t="s">
        <v>3</v>
      </c>
      <c r="DR309" s="2">
        <f t="shared" si="51"/>
        <v>70.900000000000006</v>
      </c>
      <c r="DS309" s="4">
        <f t="shared" si="52"/>
        <v>0.91629901269393521</v>
      </c>
      <c r="DT309" s="15">
        <f t="shared" si="53"/>
        <v>649.65600000000006</v>
      </c>
      <c r="DU309" s="2"/>
      <c r="DV309" s="2">
        <f t="shared" si="54"/>
        <v>0</v>
      </c>
      <c r="DW309" s="2"/>
      <c r="DX309" s="2"/>
      <c r="DY309" s="2"/>
      <c r="DZ309" s="2" t="s">
        <v>3</v>
      </c>
      <c r="EA309" s="2" t="s">
        <v>421</v>
      </c>
      <c r="EB309" s="2" t="s">
        <v>176</v>
      </c>
      <c r="EC309" s="3">
        <v>7286.1580000000004</v>
      </c>
      <c r="ED309" s="2" t="s">
        <v>176</v>
      </c>
      <c r="EE309" s="3">
        <v>1300.2860000000001</v>
      </c>
      <c r="EF309" s="2" t="s">
        <v>176</v>
      </c>
      <c r="EG309" s="3">
        <v>15016.018720000004</v>
      </c>
      <c r="EH309" s="2"/>
      <c r="EI309" s="3">
        <f>EG309-EE309</f>
        <v>13715.732720000004</v>
      </c>
      <c r="EJ309" s="2"/>
      <c r="EK309" s="3">
        <f>ET309</f>
        <v>0</v>
      </c>
      <c r="EL309" s="3">
        <f>EC309+FD309</f>
        <v>7286.1580000000004</v>
      </c>
      <c r="EM309" s="2" t="s">
        <v>421</v>
      </c>
      <c r="EN309" s="2" t="s">
        <v>176</v>
      </c>
      <c r="EO309" s="2" t="s">
        <v>176</v>
      </c>
      <c r="EP309" s="2" t="s">
        <v>176</v>
      </c>
      <c r="EQ309" s="2" t="s">
        <v>176</v>
      </c>
      <c r="ER309" s="15">
        <f>SUM(DR673:DR676)</f>
        <v>0</v>
      </c>
      <c r="ES309" s="4" t="e">
        <f>100*(ET309/1000)/ER309</f>
        <v>#DIV/0!</v>
      </c>
      <c r="ET309" s="3">
        <f>SUM(DT673:DT676)</f>
        <v>0</v>
      </c>
      <c r="EU309" s="2">
        <f>COUNT(DT673:DT676)</f>
        <v>0</v>
      </c>
      <c r="EV309" s="2" t="s">
        <v>176</v>
      </c>
      <c r="EW309" s="2" t="s">
        <v>176</v>
      </c>
      <c r="EX309" s="2" t="s">
        <v>176</v>
      </c>
      <c r="EY309" s="2" t="s">
        <v>176</v>
      </c>
      <c r="EZ309" s="2" t="s">
        <v>176</v>
      </c>
      <c r="FA309" s="2" t="s">
        <v>176</v>
      </c>
      <c r="FB309" s="2" t="s">
        <v>176</v>
      </c>
      <c r="FC309" s="2" t="s">
        <v>176</v>
      </c>
      <c r="FD309" s="3">
        <f>SUM(EP309,ET309,EX309,FB309)</f>
        <v>0</v>
      </c>
      <c r="FE309" s="2" t="s">
        <v>176</v>
      </c>
      <c r="FF309" s="2" t="s">
        <v>176</v>
      </c>
      <c r="FG309" s="2" t="s">
        <v>176</v>
      </c>
      <c r="FH309" s="2" t="s">
        <v>176</v>
      </c>
      <c r="FI309" s="15">
        <f>SUM(DV673:DV676)</f>
        <v>0</v>
      </c>
      <c r="FJ309" s="4" t="e">
        <f>100*(FK309/1000)/FI309</f>
        <v>#DIV/0!</v>
      </c>
      <c r="FK309" s="3">
        <f>SUM(DX673:DX676)</f>
        <v>0</v>
      </c>
      <c r="FL309" s="2">
        <f>COUNT(DX673:DX676)</f>
        <v>0</v>
      </c>
      <c r="FM309" s="2" t="s">
        <v>176</v>
      </c>
      <c r="FN309" s="2" t="s">
        <v>176</v>
      </c>
      <c r="FO309" s="3">
        <f>SUM(FG309,FK309,FM309,FN309)</f>
        <v>0</v>
      </c>
      <c r="FP309" s="2" t="s">
        <v>421</v>
      </c>
      <c r="FQ309" s="2" t="s">
        <v>3</v>
      </c>
      <c r="FR309" s="2" t="s">
        <v>37</v>
      </c>
      <c r="FS309" s="2" t="s">
        <v>797</v>
      </c>
      <c r="FT309" s="2" t="s">
        <v>797</v>
      </c>
      <c r="FU309" s="2"/>
      <c r="FV309" s="2" t="s">
        <v>3</v>
      </c>
    </row>
    <row r="310" spans="1:178" ht="15.75" customHeight="1" x14ac:dyDescent="0.2">
      <c r="A310" s="14" t="s">
        <v>74</v>
      </c>
      <c r="B310" s="2" t="s">
        <v>164</v>
      </c>
      <c r="C310" s="13" t="s">
        <v>798</v>
      </c>
      <c r="D310" s="2" t="s">
        <v>99</v>
      </c>
      <c r="E310" s="2"/>
      <c r="F310" s="2"/>
      <c r="G310" s="2" t="s">
        <v>78</v>
      </c>
      <c r="H310" s="2" t="s">
        <v>79</v>
      </c>
      <c r="I310" s="2"/>
      <c r="J310" s="2" t="s">
        <v>80</v>
      </c>
      <c r="K310" s="2">
        <v>137</v>
      </c>
      <c r="L310" s="2"/>
      <c r="M310" s="2"/>
      <c r="N310" s="2"/>
      <c r="O310" s="2"/>
      <c r="P310" s="2"/>
      <c r="Q310" s="2"/>
      <c r="R310" s="2"/>
      <c r="S310" s="2">
        <v>0.7</v>
      </c>
      <c r="T310" s="2">
        <v>3.9E-2</v>
      </c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>
        <v>168</v>
      </c>
      <c r="AG310" s="2"/>
      <c r="AH310" s="2"/>
      <c r="AI310" s="2"/>
      <c r="AJ310" s="2"/>
      <c r="AK310" s="2"/>
      <c r="AL310" s="2"/>
      <c r="AM310" s="2"/>
      <c r="AN310" s="2">
        <v>0.68</v>
      </c>
      <c r="AO310" s="2">
        <v>4.1000000000000002E-2</v>
      </c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>
        <v>0</v>
      </c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>
        <v>0</v>
      </c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>
        <v>0</v>
      </c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14" t="s">
        <v>81</v>
      </c>
      <c r="DM310" s="2" t="s">
        <v>81</v>
      </c>
      <c r="DN310" s="2">
        <f t="shared" si="49"/>
        <v>0.688983606557377</v>
      </c>
      <c r="DO310" s="2">
        <f t="shared" si="50"/>
        <v>4.0101639344262294E-2</v>
      </c>
      <c r="DP310" s="2" t="s">
        <v>175</v>
      </c>
      <c r="DQ310" s="2" t="s">
        <v>3</v>
      </c>
      <c r="DR310" s="2">
        <f t="shared" si="51"/>
        <v>305</v>
      </c>
      <c r="DS310" s="4">
        <f t="shared" si="52"/>
        <v>0.688983606557377</v>
      </c>
      <c r="DT310" s="18">
        <f t="shared" si="53"/>
        <v>2101.4</v>
      </c>
      <c r="DU310" s="2"/>
      <c r="DV310" s="2">
        <f t="shared" si="54"/>
        <v>0</v>
      </c>
      <c r="DW310" s="2"/>
      <c r="DX310" s="2"/>
      <c r="DY310" s="2"/>
      <c r="DZ310" s="2" t="s">
        <v>3</v>
      </c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 t="s">
        <v>3</v>
      </c>
      <c r="FR310" s="2" t="s">
        <v>37</v>
      </c>
      <c r="FS310" s="2" t="s">
        <v>114</v>
      </c>
      <c r="FT310" s="2" t="s">
        <v>114</v>
      </c>
      <c r="FU310" s="2"/>
      <c r="FV310" s="2" t="s">
        <v>3</v>
      </c>
    </row>
    <row r="311" spans="1:178" ht="15.75" customHeight="1" x14ac:dyDescent="0.2">
      <c r="A311" s="14" t="s">
        <v>262</v>
      </c>
      <c r="B311" s="2" t="s">
        <v>85</v>
      </c>
      <c r="C311" s="16" t="s">
        <v>799</v>
      </c>
      <c r="D311" s="2"/>
      <c r="E311" s="2"/>
      <c r="F311" s="2"/>
      <c r="G311" s="2"/>
      <c r="H311" s="2" t="s">
        <v>94</v>
      </c>
      <c r="I311" s="2"/>
      <c r="J311" s="2"/>
      <c r="K311" s="2">
        <v>84.3</v>
      </c>
      <c r="L311" s="4">
        <v>5.6619217081850533E-2</v>
      </c>
      <c r="M311" s="4">
        <v>0.17425822064056937</v>
      </c>
      <c r="N311" s="2"/>
      <c r="O311" s="2"/>
      <c r="P311" s="2"/>
      <c r="Q311" s="2"/>
      <c r="R311" s="2"/>
      <c r="S311" s="4">
        <v>0.10510083036773428</v>
      </c>
      <c r="T311" s="2"/>
      <c r="U311" s="4">
        <v>2.6258794306049822</v>
      </c>
      <c r="V311" s="4">
        <v>2.1737101779359431</v>
      </c>
      <c r="W311" s="4">
        <v>0.39030861209964413</v>
      </c>
      <c r="X311" s="4">
        <v>0.582597153024911</v>
      </c>
      <c r="Y311" s="4">
        <v>0.1655417793594306</v>
      </c>
      <c r="Z311" s="2"/>
      <c r="AA311" s="2"/>
      <c r="AB311" s="2"/>
      <c r="AC311" s="2"/>
      <c r="AD311" s="2"/>
      <c r="AE311" s="2"/>
      <c r="AF311" s="2">
        <v>30</v>
      </c>
      <c r="AG311" s="4">
        <v>4.2799999999999991E-2</v>
      </c>
      <c r="AH311" s="4">
        <v>0.1350733333333333</v>
      </c>
      <c r="AI311" s="2"/>
      <c r="AJ311" s="2"/>
      <c r="AK311" s="2"/>
      <c r="AL311" s="2"/>
      <c r="AM311" s="2"/>
      <c r="AN311" s="4">
        <v>8.5466666666666663E-2</v>
      </c>
      <c r="AO311" s="2"/>
      <c r="AP311" s="4">
        <v>2.6803599999999999</v>
      </c>
      <c r="AQ311" s="4">
        <v>2.4053333333333331</v>
      </c>
      <c r="AR311" s="4">
        <v>0.46384666666666663</v>
      </c>
      <c r="AS311" s="4">
        <v>0.6744066666666666</v>
      </c>
      <c r="AT311" s="4">
        <v>0.19972666666666669</v>
      </c>
      <c r="AU311" s="2"/>
      <c r="AV311" s="2"/>
      <c r="AW311" s="2"/>
      <c r="AX311" s="2"/>
      <c r="AY311" s="2"/>
      <c r="AZ311" s="2"/>
      <c r="BA311" s="2">
        <v>11.600000000000001</v>
      </c>
      <c r="BB311" s="4">
        <v>6.0344827586206892E-2</v>
      </c>
      <c r="BC311" s="4">
        <v>0.1709896551724138</v>
      </c>
      <c r="BD311" s="2"/>
      <c r="BE311" s="2"/>
      <c r="BF311" s="2"/>
      <c r="BG311" s="2"/>
      <c r="BH311" s="2"/>
      <c r="BI311" s="4">
        <v>0.11724137931034483</v>
      </c>
      <c r="BJ311" s="2"/>
      <c r="BK311" s="4">
        <v>2.5390772413793101</v>
      </c>
      <c r="BL311" s="4">
        <v>2.0909958620689655</v>
      </c>
      <c r="BM311" s="4">
        <v>0.37359655172413792</v>
      </c>
      <c r="BN311" s="4">
        <v>0.55869724137931032</v>
      </c>
      <c r="BO311" s="4">
        <v>0.15827931034482759</v>
      </c>
      <c r="BP311" s="2"/>
      <c r="BQ311" s="2"/>
      <c r="BR311" s="2"/>
      <c r="BS311" s="2"/>
      <c r="BT311" s="2"/>
      <c r="BU311" s="2"/>
      <c r="BV311" s="2">
        <v>2.8</v>
      </c>
      <c r="BW311" s="4">
        <v>0.02</v>
      </c>
      <c r="BX311" s="4">
        <v>5.28E-2</v>
      </c>
      <c r="BY311" s="2"/>
      <c r="BZ311" s="2"/>
      <c r="CA311" s="2"/>
      <c r="CB311" s="2"/>
      <c r="CC311" s="2"/>
      <c r="CD311" s="4">
        <v>0.04</v>
      </c>
      <c r="CE311" s="2"/>
      <c r="CF311" s="4">
        <v>2.0116800000000001</v>
      </c>
      <c r="CG311" s="4">
        <v>2.0169600000000001</v>
      </c>
      <c r="CH311" s="4">
        <v>0.4224</v>
      </c>
      <c r="CI311" s="4">
        <v>0.59664000000000006</v>
      </c>
      <c r="CJ311" s="4">
        <v>0.18480000000000002</v>
      </c>
      <c r="CK311" s="2"/>
      <c r="CL311" s="2"/>
      <c r="CM311" s="2"/>
      <c r="CN311" s="2"/>
      <c r="CO311" s="2"/>
      <c r="CP311" s="2"/>
      <c r="CQ311" s="2">
        <v>19.5</v>
      </c>
      <c r="CR311" s="4">
        <v>0.02</v>
      </c>
      <c r="CS311" s="4">
        <v>4.8300000000000003E-2</v>
      </c>
      <c r="CT311" s="2"/>
      <c r="CU311" s="2"/>
      <c r="CV311" s="2"/>
      <c r="CW311" s="2"/>
      <c r="CX311" s="2"/>
      <c r="CY311" s="4">
        <v>0.05</v>
      </c>
      <c r="CZ311" s="2"/>
      <c r="DA311" s="4">
        <v>1.8402299999999998</v>
      </c>
      <c r="DB311" s="4">
        <v>1.8450600000000001</v>
      </c>
      <c r="DC311" s="4">
        <v>0.38640000000000002</v>
      </c>
      <c r="DD311" s="4">
        <v>0.54579</v>
      </c>
      <c r="DE311" s="4">
        <v>0.16905000000000001</v>
      </c>
      <c r="DF311" s="2"/>
      <c r="DG311" s="2"/>
      <c r="DH311" s="2"/>
      <c r="DI311" s="2"/>
      <c r="DJ311" s="2"/>
      <c r="DK311" s="2"/>
      <c r="DL311" s="14" t="s">
        <v>81</v>
      </c>
      <c r="DM311" s="2"/>
      <c r="DN311" s="2">
        <f t="shared" si="49"/>
        <v>0.10154090548054009</v>
      </c>
      <c r="DO311" s="2">
        <f t="shared" si="50"/>
        <v>0</v>
      </c>
      <c r="DP311" s="2" t="s">
        <v>95</v>
      </c>
      <c r="DQ311" s="2" t="s">
        <v>3</v>
      </c>
      <c r="DR311" s="2">
        <f t="shared" si="51"/>
        <v>125.9</v>
      </c>
      <c r="DS311" s="4">
        <f t="shared" si="52"/>
        <v>0.10154090548054009</v>
      </c>
      <c r="DT311" s="15">
        <f t="shared" si="53"/>
        <v>127.83999999999997</v>
      </c>
      <c r="DU311" s="2"/>
      <c r="DV311" s="2">
        <f t="shared" si="54"/>
        <v>22.3</v>
      </c>
      <c r="DW311" s="19">
        <f>(BV311*CD311+CQ311*CY311)/DV311</f>
        <v>4.8744394618834085E-2</v>
      </c>
      <c r="DX311" s="15">
        <f>1000*DV311*DW311/100</f>
        <v>10.87</v>
      </c>
      <c r="DY311" s="2"/>
      <c r="DZ311" s="2" t="s">
        <v>3</v>
      </c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 t="s">
        <v>3</v>
      </c>
      <c r="FR311" s="2" t="s">
        <v>89</v>
      </c>
      <c r="FS311" s="2" t="s">
        <v>90</v>
      </c>
      <c r="FT311" s="2" t="s">
        <v>91</v>
      </c>
      <c r="FU311" s="2" t="s">
        <v>226</v>
      </c>
      <c r="FV311" s="2" t="s">
        <v>3</v>
      </c>
    </row>
    <row r="312" spans="1:178" ht="15.75" customHeight="1" x14ac:dyDescent="0.2">
      <c r="A312" s="14" t="s">
        <v>143</v>
      </c>
      <c r="B312" s="2" t="s">
        <v>85</v>
      </c>
      <c r="C312" s="16" t="s">
        <v>800</v>
      </c>
      <c r="D312" s="2"/>
      <c r="E312" s="2"/>
      <c r="F312" s="2"/>
      <c r="G312" s="2"/>
      <c r="H312" s="2" t="s">
        <v>801</v>
      </c>
      <c r="I312" s="2"/>
      <c r="J312" s="2"/>
      <c r="K312" s="2">
        <v>158.05847953216374</v>
      </c>
      <c r="L312" s="4">
        <v>4.0597956748293522E-2</v>
      </c>
      <c r="M312" s="4">
        <v>0.14943690360130235</v>
      </c>
      <c r="N312" s="2"/>
      <c r="O312" s="2"/>
      <c r="P312" s="2"/>
      <c r="Q312" s="2"/>
      <c r="R312" s="2"/>
      <c r="S312" s="4">
        <v>0.1477916834409066</v>
      </c>
      <c r="T312" s="2"/>
      <c r="U312" s="4">
        <v>2.7918750695093979</v>
      </c>
      <c r="V312" s="4">
        <v>1.4293515323464554</v>
      </c>
      <c r="W312" s="4">
        <v>0.3598952825193133</v>
      </c>
      <c r="X312" s="2"/>
      <c r="Y312" s="2"/>
      <c r="Z312" s="2"/>
      <c r="AA312" s="2"/>
      <c r="AB312" s="2"/>
      <c r="AC312" s="2"/>
      <c r="AD312" s="2"/>
      <c r="AE312" s="2"/>
      <c r="AF312" s="2">
        <v>191.12280701754383</v>
      </c>
      <c r="AG312" s="4">
        <v>4.3611616243099526E-2</v>
      </c>
      <c r="AH312" s="4">
        <v>0.14836226488980137</v>
      </c>
      <c r="AI312" s="2"/>
      <c r="AJ312" s="2"/>
      <c r="AK312" s="2"/>
      <c r="AL312" s="2"/>
      <c r="AM312" s="2"/>
      <c r="AN312" s="4">
        <v>0.15204825645479994</v>
      </c>
      <c r="AO312" s="2"/>
      <c r="AP312" s="4">
        <v>1.5520134426094139</v>
      </c>
      <c r="AQ312" s="4">
        <v>0.81297937432676814</v>
      </c>
      <c r="AR312" s="4">
        <v>0.12185858504972867</v>
      </c>
      <c r="AS312" s="4"/>
      <c r="AT312" s="4"/>
      <c r="AU312" s="2"/>
      <c r="AV312" s="2"/>
      <c r="AW312" s="2"/>
      <c r="AX312" s="2"/>
      <c r="AY312" s="2"/>
      <c r="AZ312" s="2"/>
      <c r="BA312" s="2">
        <v>33.89473684210526</v>
      </c>
      <c r="BB312" s="4">
        <v>9.242958399360128E-2</v>
      </c>
      <c r="BC312" s="4">
        <v>6.3006893782608694E-2</v>
      </c>
      <c r="BD312" s="2"/>
      <c r="BE312" s="2"/>
      <c r="BF312" s="2"/>
      <c r="BG312" s="2"/>
      <c r="BH312" s="2"/>
      <c r="BI312" s="4">
        <v>0.19547316805783027</v>
      </c>
      <c r="BJ312" s="2"/>
      <c r="BK312" s="4">
        <v>0.56653257434782611</v>
      </c>
      <c r="BL312" s="4">
        <v>0.29925627198260873</v>
      </c>
      <c r="BM312" s="4">
        <v>3.3880862092000003E-2</v>
      </c>
      <c r="BN312" s="2"/>
      <c r="BO312" s="2"/>
      <c r="BP312" s="2"/>
      <c r="BQ312" s="2"/>
      <c r="BR312" s="2"/>
      <c r="BS312" s="2"/>
      <c r="BT312" s="2"/>
      <c r="BU312" s="2"/>
      <c r="BV312" s="2">
        <v>0</v>
      </c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>
        <v>0</v>
      </c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14" t="s">
        <v>81</v>
      </c>
      <c r="DM312" s="2"/>
      <c r="DN312" s="2">
        <f t="shared" si="49"/>
        <v>0.15413423533050072</v>
      </c>
      <c r="DO312" s="2">
        <f t="shared" si="50"/>
        <v>0</v>
      </c>
      <c r="DP312" s="2" t="s">
        <v>302</v>
      </c>
      <c r="DQ312" s="2" t="s">
        <v>3</v>
      </c>
      <c r="DR312" s="15">
        <f t="shared" si="51"/>
        <v>383.07602339181284</v>
      </c>
      <c r="DS312" s="4">
        <f t="shared" si="52"/>
        <v>0.15413423533050072</v>
      </c>
      <c r="DT312" s="15">
        <f t="shared" si="53"/>
        <v>590.45129938946081</v>
      </c>
      <c r="DU312" s="2"/>
      <c r="DV312" s="2">
        <f t="shared" si="54"/>
        <v>0</v>
      </c>
      <c r="DW312" s="2"/>
      <c r="DX312" s="2"/>
      <c r="DY312" s="2"/>
      <c r="DZ312" s="2" t="s">
        <v>3</v>
      </c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 t="s">
        <v>3</v>
      </c>
      <c r="FR312" s="2" t="s">
        <v>89</v>
      </c>
      <c r="FS312" s="2" t="s">
        <v>90</v>
      </c>
      <c r="FT312" s="2" t="s">
        <v>91</v>
      </c>
      <c r="FU312" s="2" t="s">
        <v>92</v>
      </c>
      <c r="FV312" s="2" t="s">
        <v>3</v>
      </c>
    </row>
    <row r="313" spans="1:178" ht="15.75" customHeight="1" x14ac:dyDescent="0.2">
      <c r="A313" s="12" t="s">
        <v>74</v>
      </c>
      <c r="B313" s="2" t="s">
        <v>75</v>
      </c>
      <c r="C313" s="13" t="s">
        <v>802</v>
      </c>
      <c r="D313" s="2" t="s">
        <v>99</v>
      </c>
      <c r="E313" s="2"/>
      <c r="F313" s="2"/>
      <c r="G313" s="2" t="s">
        <v>78</v>
      </c>
      <c r="H313" s="2" t="s">
        <v>79</v>
      </c>
      <c r="I313" s="2"/>
      <c r="J313" s="2" t="s">
        <v>292</v>
      </c>
      <c r="K313" s="2">
        <v>0</v>
      </c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>
        <v>0</v>
      </c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>
        <v>24</v>
      </c>
      <c r="BB313" s="2"/>
      <c r="BC313" s="2"/>
      <c r="BD313" s="2"/>
      <c r="BE313" s="2"/>
      <c r="BF313" s="2"/>
      <c r="BG313" s="2"/>
      <c r="BH313" s="2"/>
      <c r="BI313" s="2">
        <v>1.68</v>
      </c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>
        <v>0</v>
      </c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>
        <v>0</v>
      </c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14" t="s">
        <v>100</v>
      </c>
      <c r="DM313" s="2"/>
      <c r="DN313" s="2">
        <f t="shared" si="49"/>
        <v>1.68</v>
      </c>
      <c r="DO313" s="2">
        <f t="shared" si="50"/>
        <v>0</v>
      </c>
      <c r="DP313" s="2" t="s">
        <v>113</v>
      </c>
      <c r="DQ313" s="2" t="s">
        <v>3</v>
      </c>
      <c r="DR313" s="2">
        <f t="shared" si="51"/>
        <v>24</v>
      </c>
      <c r="DS313" s="4">
        <f t="shared" si="52"/>
        <v>1.68</v>
      </c>
      <c r="DT313" s="15">
        <f t="shared" si="53"/>
        <v>403.2</v>
      </c>
      <c r="DU313" s="2"/>
      <c r="DV313" s="2">
        <f t="shared" si="54"/>
        <v>0</v>
      </c>
      <c r="DW313" s="2"/>
      <c r="DX313" s="2"/>
      <c r="DY313" s="2"/>
      <c r="DZ313" s="2" t="s">
        <v>3</v>
      </c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 t="s">
        <v>3</v>
      </c>
      <c r="FR313" s="2" t="s">
        <v>37</v>
      </c>
      <c r="FS313" s="2" t="s">
        <v>151</v>
      </c>
      <c r="FT313" s="2"/>
      <c r="FU313" s="2"/>
      <c r="FV313" s="2" t="s">
        <v>3</v>
      </c>
    </row>
    <row r="314" spans="1:178" ht="15.75" customHeight="1" x14ac:dyDescent="0.2">
      <c r="A314" s="14" t="s">
        <v>96</v>
      </c>
      <c r="B314" s="2" t="s">
        <v>97</v>
      </c>
      <c r="C314" s="16" t="s">
        <v>803</v>
      </c>
      <c r="D314" s="2" t="s">
        <v>804</v>
      </c>
      <c r="E314" s="2"/>
      <c r="F314" s="2"/>
      <c r="G314" s="2"/>
      <c r="H314" s="2" t="s">
        <v>536</v>
      </c>
      <c r="I314" s="2"/>
      <c r="J314" s="2"/>
      <c r="K314" s="2">
        <v>0</v>
      </c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>
        <v>206.8</v>
      </c>
      <c r="AG314" s="2">
        <v>0.5</v>
      </c>
      <c r="AH314" s="2">
        <v>0.2</v>
      </c>
      <c r="AI314" s="2"/>
      <c r="AJ314" s="2"/>
      <c r="AK314" s="2"/>
      <c r="AL314" s="2"/>
      <c r="AM314" s="2"/>
      <c r="AN314" s="2">
        <v>0.3</v>
      </c>
      <c r="AO314" s="2">
        <v>0.01</v>
      </c>
      <c r="AP314" s="15">
        <v>2</v>
      </c>
      <c r="AQ314" s="15">
        <v>5</v>
      </c>
      <c r="AR314" s="2"/>
      <c r="AS314" s="2"/>
      <c r="AT314" s="2"/>
      <c r="AU314" s="2"/>
      <c r="AV314" s="2"/>
      <c r="AW314" s="2"/>
      <c r="AX314" s="2"/>
      <c r="AY314" s="2"/>
      <c r="AZ314" s="2"/>
      <c r="BA314" s="2">
        <v>0</v>
      </c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>
        <v>0</v>
      </c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>
        <v>0</v>
      </c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14" t="s">
        <v>81</v>
      </c>
      <c r="DM314" s="2" t="s">
        <v>81</v>
      </c>
      <c r="DN314" s="2">
        <f t="shared" si="49"/>
        <v>0.3</v>
      </c>
      <c r="DO314" s="2">
        <f t="shared" si="50"/>
        <v>0.01</v>
      </c>
      <c r="DP314" s="2" t="s">
        <v>211</v>
      </c>
      <c r="DQ314" s="2" t="s">
        <v>3</v>
      </c>
      <c r="DR314" s="2">
        <f t="shared" si="51"/>
        <v>206.8</v>
      </c>
      <c r="DS314" s="2">
        <f t="shared" si="52"/>
        <v>0.3</v>
      </c>
      <c r="DT314" s="15">
        <f t="shared" si="53"/>
        <v>620.4</v>
      </c>
      <c r="DU314" s="2"/>
      <c r="DV314" s="2">
        <f t="shared" si="54"/>
        <v>0</v>
      </c>
      <c r="DW314" s="2"/>
      <c r="DX314" s="2"/>
      <c r="DY314" s="2"/>
      <c r="DZ314" s="2" t="s">
        <v>3</v>
      </c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 t="s">
        <v>3</v>
      </c>
      <c r="FR314" s="2" t="s">
        <v>89</v>
      </c>
      <c r="FS314" s="2" t="s">
        <v>123</v>
      </c>
      <c r="FT314" s="2" t="s">
        <v>640</v>
      </c>
      <c r="FU314" s="2"/>
      <c r="FV314" s="2" t="s">
        <v>3</v>
      </c>
    </row>
    <row r="315" spans="1:178" ht="15.75" customHeight="1" x14ac:dyDescent="0.2">
      <c r="A315" s="14" t="s">
        <v>96</v>
      </c>
      <c r="B315" s="2" t="s">
        <v>189</v>
      </c>
      <c r="C315" s="16" t="s">
        <v>805</v>
      </c>
      <c r="D315" s="2" t="s">
        <v>99</v>
      </c>
      <c r="E315" s="43">
        <v>47.8</v>
      </c>
      <c r="F315" s="43">
        <v>-91.8</v>
      </c>
      <c r="G315" s="2"/>
      <c r="H315" s="2" t="s">
        <v>246</v>
      </c>
      <c r="I315" s="2"/>
      <c r="J315" s="2"/>
      <c r="K315" s="2">
        <v>291.39999999999998</v>
      </c>
      <c r="L315" s="2">
        <v>0.63</v>
      </c>
      <c r="M315" s="4">
        <f>(0.08*327.4+0.08*881.4+0.059*767.6+0.042*131.1+0.033*57.5)/(327.4+881.4+767.6+131.1+57.5)</f>
        <v>6.9005127020785234E-2</v>
      </c>
      <c r="N315" s="4">
        <f>(2.19*327.4+2.02*881.4+1.58*767.6+1.42*131.1+1.19*57.5)/(327.4+881.4+767.6+131.1+57.5)</f>
        <v>1.8313297921478058</v>
      </c>
      <c r="O315" s="2"/>
      <c r="P315" s="2"/>
      <c r="Q315" s="2"/>
      <c r="R315" s="2"/>
      <c r="S315" s="4">
        <v>0.2</v>
      </c>
      <c r="T315" s="19">
        <f>(0.01048*327.4+0.01019*881.4+0.00805*767.6+0.01031*131.1+0.00929*57.5)/(327.4+881.4+767.6+131.1+57.5)</f>
        <v>9.4584822170900688E-3</v>
      </c>
      <c r="U315" s="4">
        <f>(0.141*327.4+0.148*881.4+0.116*767.6+0.071*131.1+0.052*57.5)/(327.4+881.4+767.6+131.1+57.5)</f>
        <v>0.1283835103926097</v>
      </c>
      <c r="V315" s="4">
        <f>(0.328*327.4+0.336*881.4+0.262*767.6+0.164*131.1+0.126*57.5)/(327.4+881.4+767.6+131.1+57.5)</f>
        <v>0.29256083140877603</v>
      </c>
      <c r="W315" s="2"/>
      <c r="X315" s="2"/>
      <c r="Y315" s="2"/>
      <c r="Z315" s="2"/>
      <c r="AA315" s="2"/>
      <c r="AB315" s="2"/>
      <c r="AC315" s="2"/>
      <c r="AD315" s="2"/>
      <c r="AE315" s="2"/>
      <c r="AF315" s="2">
        <v>818.3</v>
      </c>
      <c r="AG315" s="4">
        <v>0.56999999999999995</v>
      </c>
      <c r="AH315" s="4">
        <f t="shared" ref="AH315:AH316" si="61">(0.08*327.4+0.08*881.4+0.059*767.6+0.042*131.1+0.033*57.5)/(327.4+881.4+767.6+131.1+57.5)</f>
        <v>6.9005127020785234E-2</v>
      </c>
      <c r="AI315" s="4">
        <f t="shared" ref="AI315:AI316" si="62">(2.19*327.4+2.02*881.4+1.58*767.6+1.42*131.1+1.19*57.5)/(327.4+881.4+767.6+131.1+57.5)</f>
        <v>1.8313297921478058</v>
      </c>
      <c r="AJ315" s="2"/>
      <c r="AK315" s="2"/>
      <c r="AL315" s="2"/>
      <c r="AM315" s="2"/>
      <c r="AN315" s="4">
        <v>0.18</v>
      </c>
      <c r="AO315" s="19">
        <f t="shared" ref="AO315:AO316" si="63">(0.01048*327.4+0.01019*881.4+0.00805*767.6+0.01031*131.1+0.00929*57.5)/(327.4+881.4+767.6+131.1+57.5)</f>
        <v>9.4584822170900688E-3</v>
      </c>
      <c r="AP315" s="4">
        <f t="shared" ref="AP315:AP316" si="64">(0.141*327.4+0.148*881.4+0.116*767.6+0.071*131.1+0.052*57.5)/(327.4+881.4+767.6+131.1+57.5)</f>
        <v>0.1283835103926097</v>
      </c>
      <c r="AQ315" s="4">
        <f t="shared" ref="AQ315:AQ316" si="65">(0.328*327.4+0.336*881.4+0.262*767.6+0.164*131.1+0.126*57.5)/(327.4+881.4+767.6+131.1+57.5)</f>
        <v>0.29256083140877603</v>
      </c>
      <c r="AR315" s="2"/>
      <c r="AS315" s="2"/>
      <c r="AT315" s="2"/>
      <c r="AU315" s="2"/>
      <c r="AV315" s="2"/>
      <c r="AW315" s="2"/>
      <c r="AX315" s="2"/>
      <c r="AY315" s="2"/>
      <c r="AZ315" s="2"/>
      <c r="BA315" s="2">
        <v>534.1</v>
      </c>
      <c r="BB315" s="4">
        <v>0.5</v>
      </c>
      <c r="BC315" s="4">
        <f t="shared" ref="BC315:BC316" si="66">(0.08*327.4+0.08*881.4+0.059*767.6+0.042*131.1+0.033*57.5)/(327.4+881.4+767.6+131.1+57.5)</f>
        <v>6.9005127020785234E-2</v>
      </c>
      <c r="BD315" s="4">
        <f t="shared" ref="BD315:BD316" si="67">(2.19*327.4+2.02*881.4+1.58*767.6+1.42*131.1+1.19*57.5)/(327.4+881.4+767.6+131.1+57.5)</f>
        <v>1.8313297921478058</v>
      </c>
      <c r="BE315" s="2"/>
      <c r="BF315" s="2"/>
      <c r="BG315" s="2"/>
      <c r="BH315" s="2"/>
      <c r="BI315" s="4">
        <v>0.16</v>
      </c>
      <c r="BJ315" s="19">
        <f t="shared" ref="BJ315:BJ316" si="68">(0.01048*327.4+0.01019*881.4+0.00805*767.6+0.01031*131.1+0.00929*57.5)/(327.4+881.4+767.6+131.1+57.5)</f>
        <v>9.4584822170900688E-3</v>
      </c>
      <c r="BK315" s="4">
        <f t="shared" ref="BK315:BK316" si="69">(0.141*327.4+0.148*881.4+0.116*767.6+0.071*131.1+0.052*57.5)/(327.4+881.4+767.6+131.1+57.5)</f>
        <v>0.1283835103926097</v>
      </c>
      <c r="BL315" s="4">
        <f t="shared" ref="BL315:BL316" si="70">(0.328*327.4+0.336*881.4+0.262*767.6+0.164*131.1+0.126*57.5)/(327.4+881.4+767.6+131.1+57.5)</f>
        <v>0.29256083140877603</v>
      </c>
      <c r="BM315" s="2"/>
      <c r="BN315" s="2"/>
      <c r="BO315" s="2"/>
      <c r="BP315" s="2"/>
      <c r="BQ315" s="2"/>
      <c r="BR315" s="2"/>
      <c r="BS315" s="2"/>
      <c r="BT315" s="2"/>
      <c r="BU315" s="2"/>
      <c r="BV315" s="2">
        <v>0</v>
      </c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>
        <v>0</v>
      </c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14" t="s">
        <v>81</v>
      </c>
      <c r="DM315" s="2" t="s">
        <v>81</v>
      </c>
      <c r="DN315" s="2">
        <f t="shared" si="49"/>
        <v>0.17704708602019711</v>
      </c>
      <c r="DO315" s="2">
        <f t="shared" si="50"/>
        <v>9.4584822170900706E-3</v>
      </c>
      <c r="DP315" s="2" t="s">
        <v>211</v>
      </c>
      <c r="DQ315" s="2" t="s">
        <v>3</v>
      </c>
      <c r="DR315" s="3">
        <f t="shared" si="51"/>
        <v>1643.7999999999997</v>
      </c>
      <c r="DS315" s="4">
        <f t="shared" si="52"/>
        <v>0.17704708602019711</v>
      </c>
      <c r="DT315" s="18">
        <f t="shared" si="53"/>
        <v>2910.3</v>
      </c>
      <c r="DU315" s="2"/>
      <c r="DV315" s="2">
        <f t="shared" si="54"/>
        <v>0</v>
      </c>
      <c r="DW315" s="2"/>
      <c r="DX315" s="2"/>
      <c r="DY315" s="2"/>
      <c r="DZ315" s="2" t="s">
        <v>3</v>
      </c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 t="s">
        <v>3</v>
      </c>
      <c r="FR315" s="2" t="s">
        <v>89</v>
      </c>
      <c r="FS315" s="2" t="s">
        <v>123</v>
      </c>
      <c r="FT315" s="2" t="s">
        <v>192</v>
      </c>
      <c r="FU315" s="2"/>
      <c r="FV315" s="2" t="s">
        <v>3</v>
      </c>
    </row>
    <row r="316" spans="1:178" ht="15.75" customHeight="1" x14ac:dyDescent="0.2">
      <c r="A316" s="14" t="s">
        <v>96</v>
      </c>
      <c r="B316" s="2" t="s">
        <v>189</v>
      </c>
      <c r="C316" s="16" t="s">
        <v>806</v>
      </c>
      <c r="D316" s="2" t="s">
        <v>99</v>
      </c>
      <c r="E316" s="43">
        <v>47.8</v>
      </c>
      <c r="F316" s="43">
        <v>-91.8</v>
      </c>
      <c r="G316" s="2"/>
      <c r="H316" s="2" t="s">
        <v>246</v>
      </c>
      <c r="I316" s="2"/>
      <c r="J316" s="2"/>
      <c r="K316" s="2">
        <v>0</v>
      </c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>
        <v>93.1</v>
      </c>
      <c r="AG316" s="2">
        <v>0.48</v>
      </c>
      <c r="AH316" s="4">
        <f t="shared" si="61"/>
        <v>6.9005127020785234E-2</v>
      </c>
      <c r="AI316" s="4">
        <f t="shared" si="62"/>
        <v>1.8313297921478058</v>
      </c>
      <c r="AJ316" s="2"/>
      <c r="AK316" s="2"/>
      <c r="AL316" s="2"/>
      <c r="AM316" s="2"/>
      <c r="AN316" s="2">
        <v>0.17</v>
      </c>
      <c r="AO316" s="19">
        <f t="shared" si="63"/>
        <v>9.4584822170900688E-3</v>
      </c>
      <c r="AP316" s="4">
        <f t="shared" si="64"/>
        <v>0.1283835103926097</v>
      </c>
      <c r="AQ316" s="4">
        <f t="shared" si="65"/>
        <v>0.29256083140877603</v>
      </c>
      <c r="AR316" s="2"/>
      <c r="AS316" s="2"/>
      <c r="AT316" s="2"/>
      <c r="AU316" s="2"/>
      <c r="AV316" s="2"/>
      <c r="AW316" s="2"/>
      <c r="AX316" s="2"/>
      <c r="AY316" s="2"/>
      <c r="AZ316" s="2"/>
      <c r="BA316" s="2">
        <v>29.3</v>
      </c>
      <c r="BB316" s="2">
        <v>0.43</v>
      </c>
      <c r="BC316" s="4">
        <f t="shared" si="66"/>
        <v>6.9005127020785234E-2</v>
      </c>
      <c r="BD316" s="4">
        <f t="shared" si="67"/>
        <v>1.8313297921478058</v>
      </c>
      <c r="BE316" s="2"/>
      <c r="BF316" s="2"/>
      <c r="BG316" s="2"/>
      <c r="BH316" s="2"/>
      <c r="BI316" s="2">
        <v>0.15</v>
      </c>
      <c r="BJ316" s="19">
        <f t="shared" si="68"/>
        <v>9.4584822170900688E-3</v>
      </c>
      <c r="BK316" s="4">
        <f t="shared" si="69"/>
        <v>0.1283835103926097</v>
      </c>
      <c r="BL316" s="4">
        <f t="shared" si="70"/>
        <v>0.29256083140877603</v>
      </c>
      <c r="BM316" s="2"/>
      <c r="BN316" s="2"/>
      <c r="BO316" s="2"/>
      <c r="BP316" s="2"/>
      <c r="BQ316" s="2"/>
      <c r="BR316" s="2"/>
      <c r="BS316" s="2"/>
      <c r="BT316" s="2"/>
      <c r="BU316" s="2"/>
      <c r="BV316" s="2">
        <v>0</v>
      </c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>
        <v>0</v>
      </c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14" t="s">
        <v>81</v>
      </c>
      <c r="DM316" s="2" t="s">
        <v>81</v>
      </c>
      <c r="DN316" s="2">
        <f t="shared" si="49"/>
        <v>0.16521241830065361</v>
      </c>
      <c r="DO316" s="2">
        <f t="shared" si="50"/>
        <v>9.4584822170900688E-3</v>
      </c>
      <c r="DP316" s="2" t="s">
        <v>211</v>
      </c>
      <c r="DQ316" s="2" t="s">
        <v>3</v>
      </c>
      <c r="DR316" s="2">
        <f t="shared" si="51"/>
        <v>122.39999999999999</v>
      </c>
      <c r="DS316" s="4">
        <f t="shared" si="52"/>
        <v>0.16521241830065361</v>
      </c>
      <c r="DT316" s="15">
        <f t="shared" si="53"/>
        <v>202.22</v>
      </c>
      <c r="DU316" s="2"/>
      <c r="DV316" s="2">
        <f t="shared" si="54"/>
        <v>0</v>
      </c>
      <c r="DW316" s="2"/>
      <c r="DX316" s="2"/>
      <c r="DY316" s="2"/>
      <c r="DZ316" s="2" t="s">
        <v>3</v>
      </c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 t="s">
        <v>3</v>
      </c>
      <c r="FR316" s="2" t="s">
        <v>89</v>
      </c>
      <c r="FS316" s="2" t="s">
        <v>123</v>
      </c>
      <c r="FT316" s="2" t="s">
        <v>192</v>
      </c>
      <c r="FU316" s="2"/>
      <c r="FV316" s="2" t="s">
        <v>3</v>
      </c>
    </row>
    <row r="317" spans="1:178" ht="15.75" customHeight="1" x14ac:dyDescent="0.2">
      <c r="A317" s="12" t="s">
        <v>74</v>
      </c>
      <c r="B317" s="2" t="s">
        <v>206</v>
      </c>
      <c r="C317" s="13" t="s">
        <v>807</v>
      </c>
      <c r="D317" s="2" t="s">
        <v>99</v>
      </c>
      <c r="E317" s="2"/>
      <c r="F317" s="2"/>
      <c r="G317" s="2"/>
      <c r="H317" s="2" t="s">
        <v>79</v>
      </c>
      <c r="I317" s="2"/>
      <c r="J317" s="2"/>
      <c r="K317" s="2">
        <v>0</v>
      </c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>
        <v>50.758000000000003</v>
      </c>
      <c r="AG317" s="2"/>
      <c r="AH317" s="2"/>
      <c r="AI317" s="2"/>
      <c r="AJ317" s="2"/>
      <c r="AK317" s="2"/>
      <c r="AL317" s="2"/>
      <c r="AM317" s="2"/>
      <c r="AN317" s="2">
        <v>1.29</v>
      </c>
      <c r="AO317" s="4">
        <f>(1.29/1.4)*0.06</f>
        <v>5.5285714285714285E-2</v>
      </c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>
        <v>84.162999999999997</v>
      </c>
      <c r="BB317" s="2"/>
      <c r="BC317" s="2"/>
      <c r="BD317" s="2"/>
      <c r="BE317" s="2"/>
      <c r="BF317" s="2"/>
      <c r="BG317" s="2"/>
      <c r="BH317" s="2"/>
      <c r="BI317" s="2">
        <v>1.21</v>
      </c>
      <c r="BJ317" s="4">
        <f>(1.35/1.4)*0.05</f>
        <v>4.8214285714285723E-2</v>
      </c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>
        <v>0</v>
      </c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>
        <v>0</v>
      </c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14" t="s">
        <v>81</v>
      </c>
      <c r="DM317" s="2" t="s">
        <v>81</v>
      </c>
      <c r="DN317" s="2">
        <f t="shared" si="49"/>
        <v>1.240096426797904</v>
      </c>
      <c r="DO317" s="2">
        <f t="shared" si="50"/>
        <v>5.0874594868743302E-2</v>
      </c>
      <c r="DP317" s="2" t="s">
        <v>808</v>
      </c>
      <c r="DQ317" s="2" t="s">
        <v>3</v>
      </c>
      <c r="DR317" s="15">
        <f t="shared" si="51"/>
        <v>134.92099999999999</v>
      </c>
      <c r="DS317" s="4">
        <f t="shared" si="52"/>
        <v>1.240096426797904</v>
      </c>
      <c r="DT317" s="18">
        <f t="shared" si="53"/>
        <v>1673.1505000000002</v>
      </c>
      <c r="DU317" s="2"/>
      <c r="DV317" s="2">
        <f t="shared" si="54"/>
        <v>0</v>
      </c>
      <c r="DW317" s="2"/>
      <c r="DX317" s="2"/>
      <c r="DY317" s="2"/>
      <c r="DZ317" s="2" t="s">
        <v>3</v>
      </c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 t="s">
        <v>3</v>
      </c>
      <c r="FR317" s="2" t="s">
        <v>37</v>
      </c>
      <c r="FS317" s="2" t="s">
        <v>235</v>
      </c>
      <c r="FT317" s="2" t="s">
        <v>235</v>
      </c>
      <c r="FU317" s="2"/>
      <c r="FV317" s="2" t="s">
        <v>3</v>
      </c>
    </row>
    <row r="318" spans="1:178" ht="15.75" customHeight="1" x14ac:dyDescent="0.2">
      <c r="A318" s="14" t="s">
        <v>96</v>
      </c>
      <c r="B318" s="2" t="s">
        <v>133</v>
      </c>
      <c r="C318" s="16" t="s">
        <v>809</v>
      </c>
      <c r="D318" s="2" t="s">
        <v>99</v>
      </c>
      <c r="E318" s="2"/>
      <c r="F318" s="2"/>
      <c r="G318" s="2"/>
      <c r="H318" s="2" t="s">
        <v>768</v>
      </c>
      <c r="I318" s="2"/>
      <c r="J318" s="2"/>
      <c r="K318" s="2">
        <v>0</v>
      </c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>
        <v>27.9</v>
      </c>
      <c r="AG318" s="2">
        <v>0.43</v>
      </c>
      <c r="AH318" s="2">
        <v>0.05</v>
      </c>
      <c r="AI318" s="2"/>
      <c r="AJ318" s="2"/>
      <c r="AK318" s="2"/>
      <c r="AL318" s="2"/>
      <c r="AM318" s="2"/>
      <c r="AN318" s="2">
        <v>0.18</v>
      </c>
      <c r="AO318" s="2"/>
      <c r="AP318" s="2">
        <v>0.05</v>
      </c>
      <c r="AQ318" s="2">
        <v>0.14000000000000001</v>
      </c>
      <c r="AR318" s="2"/>
      <c r="AS318" s="2"/>
      <c r="AT318" s="2"/>
      <c r="AU318" s="2"/>
      <c r="AV318" s="2"/>
      <c r="AW318" s="2"/>
      <c r="AX318" s="2"/>
      <c r="AY318" s="2"/>
      <c r="AZ318" s="2"/>
      <c r="BA318" s="2">
        <v>5.3</v>
      </c>
      <c r="BB318" s="2">
        <v>0.48</v>
      </c>
      <c r="BC318" s="2">
        <v>0.04</v>
      </c>
      <c r="BD318" s="2"/>
      <c r="BE318" s="2"/>
      <c r="BF318" s="2"/>
      <c r="BG318" s="2"/>
      <c r="BH318" s="2"/>
      <c r="BI318" s="2">
        <v>0.18</v>
      </c>
      <c r="BJ318" s="2"/>
      <c r="BK318" s="2">
        <v>0.06</v>
      </c>
      <c r="BL318" s="2">
        <v>0.15</v>
      </c>
      <c r="BM318" s="2"/>
      <c r="BN318" s="2"/>
      <c r="BO318" s="2"/>
      <c r="BP318" s="2"/>
      <c r="BQ318" s="2"/>
      <c r="BR318" s="2"/>
      <c r="BS318" s="2"/>
      <c r="BT318" s="2"/>
      <c r="BU318" s="2"/>
      <c r="BV318" s="2">
        <v>0</v>
      </c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>
        <v>0</v>
      </c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14" t="s">
        <v>81</v>
      </c>
      <c r="DM318" s="2"/>
      <c r="DN318" s="2">
        <f t="shared" si="49"/>
        <v>0.18</v>
      </c>
      <c r="DO318" s="2">
        <f t="shared" si="50"/>
        <v>0</v>
      </c>
      <c r="DP318" s="2" t="s">
        <v>769</v>
      </c>
      <c r="DQ318" s="2" t="s">
        <v>3</v>
      </c>
      <c r="DR318" s="2">
        <f t="shared" si="51"/>
        <v>33.199999999999996</v>
      </c>
      <c r="DS318" s="2">
        <f t="shared" si="52"/>
        <v>0.18</v>
      </c>
      <c r="DT318" s="15">
        <f t="shared" si="53"/>
        <v>59.759999999999984</v>
      </c>
      <c r="DU318" s="2"/>
      <c r="DV318" s="2">
        <f t="shared" si="54"/>
        <v>0</v>
      </c>
      <c r="DW318" s="2"/>
      <c r="DX318" s="2"/>
      <c r="DY318" s="2"/>
      <c r="DZ318" s="2" t="s">
        <v>3</v>
      </c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 t="s">
        <v>3</v>
      </c>
      <c r="FR318" s="2" t="s">
        <v>89</v>
      </c>
      <c r="FS318" s="2" t="s">
        <v>123</v>
      </c>
      <c r="FT318" s="2"/>
      <c r="FU318" s="2"/>
      <c r="FV318" s="2" t="s">
        <v>3</v>
      </c>
    </row>
    <row r="319" spans="1:178" ht="15.75" customHeight="1" x14ac:dyDescent="0.2">
      <c r="A319" s="14" t="s">
        <v>96</v>
      </c>
      <c r="B319" s="2" t="s">
        <v>133</v>
      </c>
      <c r="C319" s="16" t="s">
        <v>810</v>
      </c>
      <c r="D319" s="2" t="s">
        <v>99</v>
      </c>
      <c r="E319" s="2"/>
      <c r="F319" s="2"/>
      <c r="G319" s="2"/>
      <c r="H319" s="2" t="s">
        <v>703</v>
      </c>
      <c r="I319" s="2"/>
      <c r="J319" s="2"/>
      <c r="K319" s="2">
        <v>0</v>
      </c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>
        <v>4.2789999999999999</v>
      </c>
      <c r="AG319" s="2"/>
      <c r="AH319" s="2"/>
      <c r="AI319" s="2"/>
      <c r="AJ319" s="2"/>
      <c r="AK319" s="2"/>
      <c r="AL319" s="2"/>
      <c r="AM319" s="2"/>
      <c r="AN319" s="2">
        <v>0.875</v>
      </c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>
        <v>1.01</v>
      </c>
      <c r="BB319" s="2"/>
      <c r="BC319" s="2"/>
      <c r="BD319" s="2"/>
      <c r="BE319" s="2"/>
      <c r="BF319" s="2"/>
      <c r="BG319" s="2"/>
      <c r="BH319" s="2"/>
      <c r="BI319" s="2">
        <v>0.83899999999999997</v>
      </c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>
        <v>0</v>
      </c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>
        <v>0</v>
      </c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14" t="s">
        <v>81</v>
      </c>
      <c r="DM319" s="2"/>
      <c r="DN319" s="2">
        <f t="shared" si="49"/>
        <v>0.86812535450935913</v>
      </c>
      <c r="DO319" s="2">
        <f t="shared" si="50"/>
        <v>0</v>
      </c>
      <c r="DP319" s="2" t="s">
        <v>811</v>
      </c>
      <c r="DQ319" s="2" t="s">
        <v>3</v>
      </c>
      <c r="DR319" s="2">
        <f t="shared" si="51"/>
        <v>5.2889999999999997</v>
      </c>
      <c r="DS319" s="4">
        <f t="shared" si="52"/>
        <v>0.86812535450935913</v>
      </c>
      <c r="DT319" s="15">
        <f t="shared" si="53"/>
        <v>45.915150000000004</v>
      </c>
      <c r="DU319" s="2"/>
      <c r="DV319" s="2">
        <f t="shared" si="54"/>
        <v>0</v>
      </c>
      <c r="DW319" s="2"/>
      <c r="DX319" s="2"/>
      <c r="DY319" s="2"/>
      <c r="DZ319" s="2" t="s">
        <v>3</v>
      </c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 t="s">
        <v>3</v>
      </c>
      <c r="FR319" s="2" t="s">
        <v>89</v>
      </c>
      <c r="FS319" s="2" t="s">
        <v>378</v>
      </c>
      <c r="FT319" s="2"/>
      <c r="FU319" s="2"/>
      <c r="FV319" s="2" t="s">
        <v>3</v>
      </c>
    </row>
    <row r="320" spans="1:178" ht="15.75" customHeight="1" x14ac:dyDescent="0.2">
      <c r="A320" s="14" t="s">
        <v>96</v>
      </c>
      <c r="B320" s="2" t="s">
        <v>164</v>
      </c>
      <c r="C320" s="16" t="s">
        <v>812</v>
      </c>
      <c r="D320" s="2" t="s">
        <v>99</v>
      </c>
      <c r="E320" s="2"/>
      <c r="F320" s="2"/>
      <c r="G320" s="2" t="s">
        <v>78</v>
      </c>
      <c r="H320" s="2" t="s">
        <v>813</v>
      </c>
      <c r="I320" s="2"/>
      <c r="J320" s="2" t="s">
        <v>181</v>
      </c>
      <c r="K320" s="2">
        <v>0</v>
      </c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>
        <v>0</v>
      </c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>
        <v>9.4E-2</v>
      </c>
      <c r="BB320" s="15">
        <v>1</v>
      </c>
      <c r="BC320" s="2"/>
      <c r="BD320" s="2"/>
      <c r="BE320" s="2"/>
      <c r="BF320" s="2"/>
      <c r="BG320" s="2"/>
      <c r="BH320" s="2"/>
      <c r="BI320" s="2">
        <v>0.8</v>
      </c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>
        <v>0</v>
      </c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>
        <v>0</v>
      </c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14" t="s">
        <v>100</v>
      </c>
      <c r="DM320" s="2"/>
      <c r="DN320" s="2">
        <f t="shared" si="49"/>
        <v>0.8</v>
      </c>
      <c r="DO320" s="2">
        <f t="shared" si="50"/>
        <v>0</v>
      </c>
      <c r="DP320" s="2" t="s">
        <v>814</v>
      </c>
      <c r="DQ320" s="2" t="s">
        <v>3</v>
      </c>
      <c r="DR320" s="2">
        <f t="shared" si="51"/>
        <v>9.4E-2</v>
      </c>
      <c r="DS320" s="2">
        <f t="shared" si="52"/>
        <v>0.8</v>
      </c>
      <c r="DT320" s="15">
        <f t="shared" si="53"/>
        <v>0.752</v>
      </c>
      <c r="DU320" s="2"/>
      <c r="DV320" s="2">
        <f t="shared" si="54"/>
        <v>0</v>
      </c>
      <c r="DW320" s="2"/>
      <c r="DX320" s="2"/>
      <c r="DY320" s="2"/>
      <c r="DZ320" s="2" t="s">
        <v>3</v>
      </c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 t="s">
        <v>3</v>
      </c>
      <c r="FR320" s="2" t="s">
        <v>89</v>
      </c>
      <c r="FS320" s="2" t="s">
        <v>815</v>
      </c>
      <c r="FT320" s="2"/>
      <c r="FU320" s="2"/>
      <c r="FV320" s="2" t="s">
        <v>3</v>
      </c>
    </row>
    <row r="321" spans="1:178" ht="15.75" customHeight="1" x14ac:dyDescent="0.2">
      <c r="A321" s="14" t="s">
        <v>96</v>
      </c>
      <c r="B321" s="2" t="s">
        <v>189</v>
      </c>
      <c r="C321" s="16" t="s">
        <v>816</v>
      </c>
      <c r="D321" s="2" t="s">
        <v>99</v>
      </c>
      <c r="E321" s="43">
        <v>47.63</v>
      </c>
      <c r="F321" s="43">
        <v>-91.9</v>
      </c>
      <c r="G321" s="2"/>
      <c r="H321" s="2" t="s">
        <v>748</v>
      </c>
      <c r="I321" s="2"/>
      <c r="J321" s="2"/>
      <c r="K321" s="2">
        <v>0</v>
      </c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>
        <v>0</v>
      </c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18">
        <f>772+330+4.54</f>
        <v>1106.54</v>
      </c>
      <c r="BB321" s="4">
        <f>(0.46*772+0.86*330+1.89*4.54)/BA321</f>
        <v>0.58515787951633025</v>
      </c>
      <c r="BC321" s="2">
        <v>4.4999999999999998E-2</v>
      </c>
      <c r="BD321" s="2"/>
      <c r="BE321" s="2"/>
      <c r="BF321" s="2"/>
      <c r="BG321" s="2"/>
      <c r="BH321" s="2"/>
      <c r="BI321" s="4">
        <f>(0.12*772+0.19*330+0.36*4.54)/BA321</f>
        <v>0.14186057440309432</v>
      </c>
      <c r="BJ321" s="2">
        <v>8.0000000000000002E-3</v>
      </c>
      <c r="BK321" s="2">
        <v>5.5E-2</v>
      </c>
      <c r="BL321" s="2">
        <v>0.157</v>
      </c>
      <c r="BM321" s="2"/>
      <c r="BN321" s="2"/>
      <c r="BO321" s="2"/>
      <c r="BP321" s="2"/>
      <c r="BQ321" s="2"/>
      <c r="BR321" s="2"/>
      <c r="BS321" s="2"/>
      <c r="BT321" s="2"/>
      <c r="BU321" s="2"/>
      <c r="BV321" s="2">
        <v>0</v>
      </c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>
        <v>0</v>
      </c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14" t="s">
        <v>100</v>
      </c>
      <c r="DM321" s="2" t="s">
        <v>100</v>
      </c>
      <c r="DN321" s="2">
        <f t="shared" si="49"/>
        <v>0.14186057440309432</v>
      </c>
      <c r="DO321" s="2">
        <f t="shared" si="50"/>
        <v>8.0000000000000002E-3</v>
      </c>
      <c r="DP321" s="2" t="s">
        <v>817</v>
      </c>
      <c r="DQ321" s="2" t="s">
        <v>3</v>
      </c>
      <c r="DR321" s="3">
        <f t="shared" si="51"/>
        <v>1106.54</v>
      </c>
      <c r="DS321" s="4">
        <f t="shared" si="52"/>
        <v>0.14186057440309432</v>
      </c>
      <c r="DT321" s="18">
        <f t="shared" si="53"/>
        <v>1569.7439999999999</v>
      </c>
      <c r="DU321" s="2"/>
      <c r="DV321" s="2">
        <f t="shared" si="54"/>
        <v>0</v>
      </c>
      <c r="DW321" s="2"/>
      <c r="DX321" s="2"/>
      <c r="DY321" s="2"/>
      <c r="DZ321" s="2" t="s">
        <v>3</v>
      </c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 t="s">
        <v>3</v>
      </c>
      <c r="FR321" s="2" t="s">
        <v>89</v>
      </c>
      <c r="FS321" s="2" t="s">
        <v>123</v>
      </c>
      <c r="FT321" s="2" t="s">
        <v>192</v>
      </c>
      <c r="FU321" s="2"/>
      <c r="FV321" s="2" t="s">
        <v>3</v>
      </c>
    </row>
    <row r="322" spans="1:178" ht="15.75" customHeight="1" x14ac:dyDescent="0.2">
      <c r="A322" s="14" t="s">
        <v>222</v>
      </c>
      <c r="B322" s="2" t="s">
        <v>85</v>
      </c>
      <c r="C322" s="16" t="s">
        <v>818</v>
      </c>
      <c r="D322" s="2"/>
      <c r="E322" s="2"/>
      <c r="F322" s="2"/>
      <c r="G322" s="2"/>
      <c r="H322" s="2" t="s">
        <v>454</v>
      </c>
      <c r="I322" s="2"/>
      <c r="J322" s="2"/>
      <c r="K322" s="2">
        <v>0</v>
      </c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>
        <v>14.51</v>
      </c>
      <c r="AG322" s="4">
        <v>2.9148595329822911E-2</v>
      </c>
      <c r="AH322" s="4">
        <v>5.2186929999999999E-2</v>
      </c>
      <c r="AI322" s="2"/>
      <c r="AJ322" s="2"/>
      <c r="AK322" s="2"/>
      <c r="AL322" s="2"/>
      <c r="AM322" s="2"/>
      <c r="AN322" s="4">
        <v>0.11240231217618901</v>
      </c>
      <c r="AO322" s="2"/>
      <c r="AP322" s="4">
        <v>1.4637452999999998</v>
      </c>
      <c r="AQ322" s="4">
        <v>1.2905359000000001</v>
      </c>
      <c r="AR322" s="4">
        <v>0.26354107999999998</v>
      </c>
      <c r="AS322" s="4"/>
      <c r="AT322" s="4"/>
      <c r="AU322" s="2"/>
      <c r="AV322" s="2"/>
      <c r="AW322" s="2"/>
      <c r="AX322" s="2"/>
      <c r="AY322" s="2"/>
      <c r="AZ322" s="2"/>
      <c r="BA322" s="2">
        <v>2.96</v>
      </c>
      <c r="BB322" s="4">
        <v>2.9148595329822911E-2</v>
      </c>
      <c r="BC322" s="4">
        <v>5.2186929999999999E-2</v>
      </c>
      <c r="BD322" s="2"/>
      <c r="BE322" s="2"/>
      <c r="BF322" s="2"/>
      <c r="BG322" s="2"/>
      <c r="BH322" s="2"/>
      <c r="BI322" s="4">
        <v>0.11240231217618901</v>
      </c>
      <c r="BJ322" s="2"/>
      <c r="BK322" s="4">
        <v>1.4637452999999998</v>
      </c>
      <c r="BL322" s="4">
        <v>1.2905359000000001</v>
      </c>
      <c r="BM322" s="4">
        <v>0.26354107999999998</v>
      </c>
      <c r="BN322" s="2"/>
      <c r="BO322" s="2"/>
      <c r="BP322" s="2"/>
      <c r="BQ322" s="2"/>
      <c r="BR322" s="2"/>
      <c r="BS322" s="2"/>
      <c r="BT322" s="2"/>
      <c r="BU322" s="2"/>
      <c r="BV322" s="2">
        <v>0</v>
      </c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>
        <v>0</v>
      </c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14" t="s">
        <v>81</v>
      </c>
      <c r="DM322" s="2"/>
      <c r="DN322" s="2">
        <f t="shared" si="49"/>
        <v>0.11240231217618901</v>
      </c>
      <c r="DO322" s="2">
        <f t="shared" si="50"/>
        <v>0</v>
      </c>
      <c r="DP322" s="2" t="s">
        <v>122</v>
      </c>
      <c r="DQ322" s="2" t="s">
        <v>3</v>
      </c>
      <c r="DR322" s="2">
        <f t="shared" si="51"/>
        <v>17.47</v>
      </c>
      <c r="DS322" s="4">
        <f t="shared" si="52"/>
        <v>0.11240231217618901</v>
      </c>
      <c r="DT322" s="15">
        <f t="shared" si="53"/>
        <v>19.636683937180223</v>
      </c>
      <c r="DU322" s="2"/>
      <c r="DV322" s="2">
        <f t="shared" si="54"/>
        <v>0</v>
      </c>
      <c r="DW322" s="2"/>
      <c r="DX322" s="2"/>
      <c r="DY322" s="2"/>
      <c r="DZ322" s="2" t="s">
        <v>3</v>
      </c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 t="s">
        <v>3</v>
      </c>
      <c r="FR322" s="2" t="s">
        <v>89</v>
      </c>
      <c r="FS322" s="2" t="s">
        <v>90</v>
      </c>
      <c r="FT322" s="2" t="s">
        <v>91</v>
      </c>
      <c r="FU322" s="2" t="s">
        <v>226</v>
      </c>
      <c r="FV322" s="2" t="s">
        <v>3</v>
      </c>
    </row>
    <row r="323" spans="1:178" ht="15.75" customHeight="1" x14ac:dyDescent="0.2">
      <c r="A323" s="14" t="s">
        <v>96</v>
      </c>
      <c r="B323" s="2" t="s">
        <v>236</v>
      </c>
      <c r="C323" s="16" t="s">
        <v>819</v>
      </c>
      <c r="D323" s="2"/>
      <c r="E323" s="2"/>
      <c r="F323" s="2"/>
      <c r="G323" s="2"/>
      <c r="H323" s="2" t="s">
        <v>820</v>
      </c>
      <c r="I323" s="2"/>
      <c r="J323" s="2"/>
      <c r="K323" s="2">
        <v>28.4</v>
      </c>
      <c r="L323" s="2">
        <v>0.11</v>
      </c>
      <c r="M323" s="4">
        <v>0.28859999999999997</v>
      </c>
      <c r="N323" s="2"/>
      <c r="O323" s="2"/>
      <c r="P323" s="2"/>
      <c r="Q323" s="2"/>
      <c r="R323" s="2"/>
      <c r="S323" s="2">
        <v>0.14000000000000001</v>
      </c>
      <c r="T323" s="2">
        <v>0.05</v>
      </c>
      <c r="U323" s="4">
        <v>1.7862</v>
      </c>
      <c r="V323" s="4">
        <v>1.3922999999999999</v>
      </c>
      <c r="W323" s="4">
        <v>0.15209999999999999</v>
      </c>
      <c r="X323" s="4">
        <v>0.156</v>
      </c>
      <c r="Y323" s="4">
        <v>0.12479999999999999</v>
      </c>
      <c r="Z323" s="2"/>
      <c r="AA323" s="2"/>
      <c r="AB323" s="2"/>
      <c r="AC323" s="2"/>
      <c r="AD323" s="2"/>
      <c r="AE323" s="2"/>
      <c r="AF323" s="2">
        <v>15.4</v>
      </c>
      <c r="AG323" s="2">
        <v>0.11</v>
      </c>
      <c r="AH323" s="4">
        <v>0.28119999999999995</v>
      </c>
      <c r="AI323" s="2"/>
      <c r="AJ323" s="2"/>
      <c r="AK323" s="2"/>
      <c r="AL323" s="2"/>
      <c r="AM323" s="2"/>
      <c r="AN323" s="2">
        <v>0.14000000000000001</v>
      </c>
      <c r="AO323" s="2">
        <v>0.05</v>
      </c>
      <c r="AP323" s="4">
        <v>1.7403999999999999</v>
      </c>
      <c r="AQ323" s="4">
        <v>1.3565999999999998</v>
      </c>
      <c r="AR323" s="4">
        <v>0.1482</v>
      </c>
      <c r="AS323" s="4">
        <v>0.152</v>
      </c>
      <c r="AT323" s="4">
        <v>0.1216</v>
      </c>
      <c r="AU323" s="2"/>
      <c r="AV323" s="2"/>
      <c r="AW323" s="2"/>
      <c r="AX323" s="2"/>
      <c r="AY323" s="2"/>
      <c r="AZ323" s="2"/>
      <c r="BA323" s="2">
        <v>13.4</v>
      </c>
      <c r="BB323" s="2">
        <v>0.11</v>
      </c>
      <c r="BC323" s="4">
        <v>0.26882985074626864</v>
      </c>
      <c r="BD323" s="2"/>
      <c r="BE323" s="2"/>
      <c r="BF323" s="2"/>
      <c r="BG323" s="2"/>
      <c r="BH323" s="2"/>
      <c r="BI323" s="2">
        <v>0.14000000000000001</v>
      </c>
      <c r="BJ323" s="2">
        <v>0.05</v>
      </c>
      <c r="BK323" s="4">
        <v>1.6638388059701492</v>
      </c>
      <c r="BL323" s="4">
        <v>1.2969223880597014</v>
      </c>
      <c r="BM323" s="4">
        <v>0.14168059701492536</v>
      </c>
      <c r="BN323" s="4">
        <v>0.1453134328358209</v>
      </c>
      <c r="BO323" s="4">
        <v>0.11625074626865671</v>
      </c>
      <c r="BP323" s="2"/>
      <c r="BQ323" s="2"/>
      <c r="BR323" s="2"/>
      <c r="BS323" s="2"/>
      <c r="BT323" s="2"/>
      <c r="BU323" s="2"/>
      <c r="BV323" s="2">
        <v>10.9</v>
      </c>
      <c r="BW323" s="2">
        <v>0.11</v>
      </c>
      <c r="BX323" s="4">
        <v>0.27379999999999999</v>
      </c>
      <c r="BY323" s="2"/>
      <c r="BZ323" s="2"/>
      <c r="CA323" s="2"/>
      <c r="CB323" s="2"/>
      <c r="CC323" s="2"/>
      <c r="CD323" s="2">
        <v>0.14000000000000001</v>
      </c>
      <c r="CE323" s="2">
        <v>0.05</v>
      </c>
      <c r="CF323" s="4">
        <v>1.6946000000000001</v>
      </c>
      <c r="CG323" s="4">
        <v>1.3209</v>
      </c>
      <c r="CH323" s="4">
        <v>0.14430000000000001</v>
      </c>
      <c r="CI323" s="4">
        <v>0.14800000000000002</v>
      </c>
      <c r="CJ323" s="4">
        <v>0.11840000000000001</v>
      </c>
      <c r="CK323" s="2"/>
      <c r="CL323" s="2"/>
      <c r="CM323" s="2"/>
      <c r="CN323" s="2"/>
      <c r="CO323" s="2"/>
      <c r="CP323" s="2"/>
      <c r="CQ323" s="2">
        <v>5.6</v>
      </c>
      <c r="CR323" s="2">
        <v>0.11</v>
      </c>
      <c r="CS323" s="4">
        <v>0.26639999999999997</v>
      </c>
      <c r="CT323" s="2"/>
      <c r="CU323" s="2"/>
      <c r="CV323" s="2"/>
      <c r="CW323" s="2"/>
      <c r="CX323" s="2"/>
      <c r="CY323" s="2">
        <v>0.14000000000000001</v>
      </c>
      <c r="CZ323" s="2">
        <v>0.05</v>
      </c>
      <c r="DA323" s="4">
        <v>1.6488</v>
      </c>
      <c r="DB323" s="4">
        <v>1.2851999999999999</v>
      </c>
      <c r="DC323" s="4">
        <v>0.1404</v>
      </c>
      <c r="DD323" s="4">
        <v>0.14400000000000002</v>
      </c>
      <c r="DE323" s="4">
        <v>0.11520000000000001</v>
      </c>
      <c r="DF323" s="2"/>
      <c r="DG323" s="2"/>
      <c r="DH323" s="2"/>
      <c r="DI323" s="2"/>
      <c r="DJ323" s="2"/>
      <c r="DK323" s="2"/>
      <c r="DL323" s="14" t="s">
        <v>81</v>
      </c>
      <c r="DM323" s="2" t="s">
        <v>81</v>
      </c>
      <c r="DN323" s="2">
        <f t="shared" si="49"/>
        <v>0.13999999999999999</v>
      </c>
      <c r="DO323" s="2">
        <f t="shared" si="50"/>
        <v>0.05</v>
      </c>
      <c r="DP323" s="2" t="s">
        <v>95</v>
      </c>
      <c r="DQ323" s="2" t="s">
        <v>3</v>
      </c>
      <c r="DR323" s="2">
        <f t="shared" si="51"/>
        <v>57.199999999999996</v>
      </c>
      <c r="DS323" s="2">
        <f t="shared" si="52"/>
        <v>0.13999999999999999</v>
      </c>
      <c r="DT323" s="15">
        <f t="shared" si="53"/>
        <v>80.079999999999984</v>
      </c>
      <c r="DU323" s="2"/>
      <c r="DV323" s="2">
        <f t="shared" si="54"/>
        <v>16.5</v>
      </c>
      <c r="DW323" s="4">
        <f>(BV323*CD323+CQ323*CY323)/DV323</f>
        <v>0.14000000000000004</v>
      </c>
      <c r="DX323" s="15">
        <f>1000*DV323*DW323/100</f>
        <v>23.100000000000005</v>
      </c>
      <c r="DY323" s="2"/>
      <c r="DZ323" s="2" t="s">
        <v>3</v>
      </c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 t="s">
        <v>3</v>
      </c>
      <c r="FR323" s="2" t="s">
        <v>89</v>
      </c>
      <c r="FS323" s="2" t="s">
        <v>90</v>
      </c>
      <c r="FT323" s="2" t="s">
        <v>91</v>
      </c>
      <c r="FU323" s="2"/>
      <c r="FV323" s="2" t="s">
        <v>3</v>
      </c>
    </row>
    <row r="324" spans="1:178" ht="15.75" customHeight="1" x14ac:dyDescent="0.2">
      <c r="A324" s="14" t="s">
        <v>96</v>
      </c>
      <c r="B324" s="2" t="s">
        <v>133</v>
      </c>
      <c r="C324" s="16" t="s">
        <v>821</v>
      </c>
      <c r="D324" s="2" t="s">
        <v>99</v>
      </c>
      <c r="E324" s="2"/>
      <c r="F324" s="2"/>
      <c r="G324" s="2"/>
      <c r="H324" s="2" t="s">
        <v>703</v>
      </c>
      <c r="I324" s="2"/>
      <c r="J324" s="2"/>
      <c r="K324" s="2">
        <v>9.0530000000000008</v>
      </c>
      <c r="L324" s="2"/>
      <c r="M324" s="2"/>
      <c r="N324" s="2"/>
      <c r="O324" s="2"/>
      <c r="P324" s="2"/>
      <c r="Q324" s="2"/>
      <c r="R324" s="2"/>
      <c r="S324" s="4">
        <f>0.47*(58.69/(58.69+32.07))</f>
        <v>0.30392573821066549</v>
      </c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>
        <v>35.332999999999998</v>
      </c>
      <c r="AG324" s="2"/>
      <c r="AH324" s="2"/>
      <c r="AI324" s="2"/>
      <c r="AJ324" s="2"/>
      <c r="AK324" s="2"/>
      <c r="AL324" s="2"/>
      <c r="AM324" s="2"/>
      <c r="AN324" s="4">
        <f>0.47*(58.69/(58.69+32.07))</f>
        <v>0.30392573821066549</v>
      </c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>
        <v>11.811999999999999</v>
      </c>
      <c r="BB324" s="2"/>
      <c r="BC324" s="2"/>
      <c r="BD324" s="2"/>
      <c r="BE324" s="2"/>
      <c r="BF324" s="2"/>
      <c r="BG324" s="2"/>
      <c r="BH324" s="2"/>
      <c r="BI324" s="4">
        <f>0.47*(58.69/(58.69+32.07))</f>
        <v>0.30392573821066549</v>
      </c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>
        <v>0</v>
      </c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>
        <v>0</v>
      </c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14" t="s">
        <v>81</v>
      </c>
      <c r="DM324" s="2"/>
      <c r="DN324" s="2">
        <f t="shared" si="49"/>
        <v>0.30392573821066554</v>
      </c>
      <c r="DO324" s="2">
        <f t="shared" si="50"/>
        <v>0</v>
      </c>
      <c r="DP324" s="2" t="s">
        <v>462</v>
      </c>
      <c r="DQ324" s="2" t="s">
        <v>3</v>
      </c>
      <c r="DR324" s="4">
        <f t="shared" si="51"/>
        <v>56.197999999999993</v>
      </c>
      <c r="DS324" s="4">
        <f t="shared" si="52"/>
        <v>0.30392573821066554</v>
      </c>
      <c r="DT324" s="15">
        <f t="shared" si="53"/>
        <v>170.80018635962981</v>
      </c>
      <c r="DU324" s="2"/>
      <c r="DV324" s="2">
        <f t="shared" si="54"/>
        <v>0</v>
      </c>
      <c r="DW324" s="2"/>
      <c r="DX324" s="2"/>
      <c r="DY324" s="2"/>
      <c r="DZ324" s="2" t="s">
        <v>3</v>
      </c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 t="s">
        <v>3</v>
      </c>
      <c r="FR324" s="2" t="s">
        <v>89</v>
      </c>
      <c r="FS324" s="2" t="s">
        <v>378</v>
      </c>
      <c r="FT324" s="2"/>
      <c r="FU324" s="2"/>
      <c r="FV324" s="2" t="s">
        <v>3</v>
      </c>
    </row>
    <row r="325" spans="1:178" ht="15.75" customHeight="1" x14ac:dyDescent="0.2">
      <c r="A325" s="12" t="s">
        <v>74</v>
      </c>
      <c r="B325" s="2" t="s">
        <v>75</v>
      </c>
      <c r="C325" s="13" t="s">
        <v>822</v>
      </c>
      <c r="D325" s="2" t="s">
        <v>99</v>
      </c>
      <c r="E325" s="2"/>
      <c r="F325" s="2"/>
      <c r="G325" s="2" t="s">
        <v>78</v>
      </c>
      <c r="H325" s="2" t="s">
        <v>823</v>
      </c>
      <c r="I325" s="2"/>
      <c r="J325" s="2" t="s">
        <v>80</v>
      </c>
      <c r="K325" s="2">
        <v>0</v>
      </c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15">
        <v>198.863</v>
      </c>
      <c r="AG325" s="2"/>
      <c r="AH325" s="2"/>
      <c r="AI325" s="2"/>
      <c r="AJ325" s="2"/>
      <c r="AK325" s="2"/>
      <c r="AL325" s="2"/>
      <c r="AM325" s="2"/>
      <c r="AN325" s="2">
        <v>0.86</v>
      </c>
      <c r="AO325" s="2">
        <v>0.05</v>
      </c>
      <c r="AP325" s="2"/>
      <c r="AQ325" s="2"/>
      <c r="AR325" s="2"/>
      <c r="AS325" s="2"/>
      <c r="AT325" s="2"/>
      <c r="AU325" s="4">
        <f>2.02*(2*52/(2*52+3*16.001))</f>
        <v>1.3820779853029219</v>
      </c>
      <c r="AV325" s="15">
        <v>26</v>
      </c>
      <c r="AW325" s="2">
        <v>25.49</v>
      </c>
      <c r="AX325" s="2"/>
      <c r="AY325" s="2"/>
      <c r="AZ325" s="2"/>
      <c r="BA325" s="2">
        <v>0</v>
      </c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>
        <v>0</v>
      </c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15">
        <v>126.27</v>
      </c>
      <c r="CR325" s="2"/>
      <c r="CS325" s="2"/>
      <c r="CT325" s="2"/>
      <c r="CU325" s="2"/>
      <c r="CV325" s="2"/>
      <c r="CW325" s="2"/>
      <c r="CX325" s="2"/>
      <c r="CY325" s="2">
        <v>0.95</v>
      </c>
      <c r="CZ325" s="2">
        <v>0.06</v>
      </c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14" t="s">
        <v>81</v>
      </c>
      <c r="DM325" s="2" t="s">
        <v>81</v>
      </c>
      <c r="DN325" s="2">
        <f t="shared" si="49"/>
        <v>0.86</v>
      </c>
      <c r="DO325" s="2">
        <f t="shared" si="50"/>
        <v>0.05</v>
      </c>
      <c r="DP325" s="2" t="s">
        <v>824</v>
      </c>
      <c r="DQ325" s="2" t="s">
        <v>3</v>
      </c>
      <c r="DR325" s="15">
        <f t="shared" si="51"/>
        <v>198.863</v>
      </c>
      <c r="DS325" s="4">
        <f t="shared" si="52"/>
        <v>0.86</v>
      </c>
      <c r="DT325" s="18">
        <f t="shared" si="53"/>
        <v>1710.2218</v>
      </c>
      <c r="DU325" s="2"/>
      <c r="DV325" s="15">
        <f t="shared" si="54"/>
        <v>126.27</v>
      </c>
      <c r="DW325" s="4">
        <f>(BV325*CD325+CQ325*CY325)/DV325</f>
        <v>0.95</v>
      </c>
      <c r="DX325" s="18">
        <f>1000*DV325*DW325/100</f>
        <v>1199.5650000000001</v>
      </c>
      <c r="DY325" s="2"/>
      <c r="DZ325" s="2" t="s">
        <v>3</v>
      </c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 t="s">
        <v>3</v>
      </c>
      <c r="FR325" s="2" t="s">
        <v>37</v>
      </c>
      <c r="FS325" s="2" t="s">
        <v>151</v>
      </c>
      <c r="FT325" s="2" t="s">
        <v>151</v>
      </c>
      <c r="FU325" s="2"/>
      <c r="FV325" s="2" t="s">
        <v>3</v>
      </c>
    </row>
    <row r="326" spans="1:178" ht="15.75" customHeight="1" x14ac:dyDescent="0.2">
      <c r="A326" s="14" t="s">
        <v>526</v>
      </c>
      <c r="B326" s="2" t="s">
        <v>189</v>
      </c>
      <c r="C326" s="21" t="s">
        <v>825</v>
      </c>
      <c r="D326" s="2" t="s">
        <v>99</v>
      </c>
      <c r="E326" s="44"/>
      <c r="F326" s="44"/>
      <c r="G326" s="2"/>
      <c r="H326" s="2" t="s">
        <v>79</v>
      </c>
      <c r="I326" s="2"/>
      <c r="J326" s="2"/>
      <c r="K326" s="2">
        <v>0</v>
      </c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>
        <v>0</v>
      </c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15">
        <f>2*0.9072</f>
        <v>1.8144</v>
      </c>
      <c r="BB326" s="2">
        <v>0.13</v>
      </c>
      <c r="BC326" s="2"/>
      <c r="BD326" s="2"/>
      <c r="BE326" s="2"/>
      <c r="BF326" s="2"/>
      <c r="BG326" s="2">
        <v>3.3</v>
      </c>
      <c r="BH326" s="2"/>
      <c r="BI326" s="2">
        <v>0.46</v>
      </c>
      <c r="BJ326" s="2">
        <v>0.28000000000000003</v>
      </c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>
        <v>0</v>
      </c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>
        <v>0</v>
      </c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14" t="s">
        <v>100</v>
      </c>
      <c r="DM326" s="2" t="s">
        <v>100</v>
      </c>
      <c r="DN326" s="2">
        <f t="shared" si="49"/>
        <v>0.46</v>
      </c>
      <c r="DO326" s="2">
        <f t="shared" si="50"/>
        <v>0.28000000000000003</v>
      </c>
      <c r="DP326" s="2" t="s">
        <v>826</v>
      </c>
      <c r="DQ326" s="2" t="s">
        <v>3</v>
      </c>
      <c r="DR326" s="19">
        <f t="shared" si="51"/>
        <v>1.8144</v>
      </c>
      <c r="DS326" s="2">
        <f t="shared" si="52"/>
        <v>0.46</v>
      </c>
      <c r="DT326" s="15">
        <f t="shared" si="53"/>
        <v>8.3462399999999999</v>
      </c>
      <c r="DU326" s="2"/>
      <c r="DV326" s="2">
        <f t="shared" si="54"/>
        <v>0</v>
      </c>
      <c r="DW326" s="2"/>
      <c r="DX326" s="2"/>
      <c r="DY326" s="2"/>
      <c r="DZ326" s="2" t="s">
        <v>3</v>
      </c>
      <c r="EA326" s="2" t="s">
        <v>189</v>
      </c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 t="s">
        <v>189</v>
      </c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 t="s">
        <v>189</v>
      </c>
      <c r="FQ326" s="2" t="s">
        <v>3</v>
      </c>
      <c r="FR326" s="2" t="s">
        <v>183</v>
      </c>
      <c r="FS326" s="2" t="s">
        <v>529</v>
      </c>
      <c r="FT326" s="2" t="s">
        <v>530</v>
      </c>
      <c r="FU326" s="2"/>
      <c r="FV326" s="2" t="s">
        <v>3</v>
      </c>
    </row>
    <row r="327" spans="1:178" ht="15.75" customHeight="1" x14ac:dyDescent="0.2">
      <c r="A327" s="14" t="s">
        <v>96</v>
      </c>
      <c r="B327" s="2" t="s">
        <v>164</v>
      </c>
      <c r="C327" s="16" t="s">
        <v>827</v>
      </c>
      <c r="D327" s="2" t="s">
        <v>99</v>
      </c>
      <c r="E327" s="2"/>
      <c r="F327" s="2"/>
      <c r="G327" s="2" t="s">
        <v>179</v>
      </c>
      <c r="H327" s="2" t="s">
        <v>828</v>
      </c>
      <c r="I327" s="2"/>
      <c r="J327" s="2" t="s">
        <v>181</v>
      </c>
      <c r="K327" s="2">
        <v>0</v>
      </c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>
        <v>0</v>
      </c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>
        <v>0.22700000000000001</v>
      </c>
      <c r="BB327" s="2">
        <v>0.06</v>
      </c>
      <c r="BC327" s="2"/>
      <c r="BD327" s="2"/>
      <c r="BE327" s="2"/>
      <c r="BF327" s="2"/>
      <c r="BG327" s="2"/>
      <c r="BH327" s="2"/>
      <c r="BI327" s="2">
        <v>1.7</v>
      </c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>
        <v>0</v>
      </c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>
        <v>0</v>
      </c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14" t="s">
        <v>81</v>
      </c>
      <c r="DM327" s="2"/>
      <c r="DN327" s="2">
        <f t="shared" si="49"/>
        <v>1.7</v>
      </c>
      <c r="DO327" s="2">
        <f t="shared" si="50"/>
        <v>0</v>
      </c>
      <c r="DP327" s="2" t="s">
        <v>175</v>
      </c>
      <c r="DQ327" s="2" t="s">
        <v>3</v>
      </c>
      <c r="DR327" s="2">
        <f t="shared" si="51"/>
        <v>0.22700000000000001</v>
      </c>
      <c r="DS327" s="2">
        <f t="shared" si="52"/>
        <v>1.7</v>
      </c>
      <c r="DT327" s="15">
        <f t="shared" si="53"/>
        <v>3.859</v>
      </c>
      <c r="DU327" s="2"/>
      <c r="DV327" s="2">
        <f t="shared" si="54"/>
        <v>0</v>
      </c>
      <c r="DW327" s="2"/>
      <c r="DX327" s="2"/>
      <c r="DY327" s="2"/>
      <c r="DZ327" s="2" t="s">
        <v>3</v>
      </c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 t="s">
        <v>3</v>
      </c>
      <c r="FR327" s="2" t="s">
        <v>89</v>
      </c>
      <c r="FS327" s="2" t="s">
        <v>137</v>
      </c>
      <c r="FT327" s="2"/>
      <c r="FU327" s="2"/>
      <c r="FV327" s="2" t="s">
        <v>3</v>
      </c>
    </row>
    <row r="328" spans="1:178" ht="15.75" customHeight="1" x14ac:dyDescent="0.2">
      <c r="A328" s="14" t="s">
        <v>96</v>
      </c>
      <c r="B328" s="2" t="s">
        <v>189</v>
      </c>
      <c r="C328" s="16" t="s">
        <v>829</v>
      </c>
      <c r="D328" s="2" t="s">
        <v>99</v>
      </c>
      <c r="E328" s="43">
        <v>57.78501</v>
      </c>
      <c r="F328" s="43">
        <v>-136.30894000000001</v>
      </c>
      <c r="G328" s="2"/>
      <c r="H328" s="2" t="s">
        <v>79</v>
      </c>
      <c r="I328" s="2"/>
      <c r="J328" s="2"/>
      <c r="K328" s="2">
        <v>0</v>
      </c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>
        <v>0</v>
      </c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>
        <v>8.0000000000000002E-3</v>
      </c>
      <c r="BB328" s="2">
        <v>0.88</v>
      </c>
      <c r="BC328" s="2"/>
      <c r="BD328" s="2"/>
      <c r="BE328" s="2"/>
      <c r="BF328" s="2"/>
      <c r="BG328" s="2"/>
      <c r="BH328" s="2"/>
      <c r="BI328" s="2">
        <v>1.57</v>
      </c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>
        <v>0</v>
      </c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>
        <v>0</v>
      </c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14" t="s">
        <v>100</v>
      </c>
      <c r="DM328" s="2"/>
      <c r="DN328" s="2">
        <f t="shared" si="49"/>
        <v>1.57</v>
      </c>
      <c r="DO328" s="2">
        <f t="shared" si="50"/>
        <v>0</v>
      </c>
      <c r="DP328" s="2" t="s">
        <v>257</v>
      </c>
      <c r="DQ328" s="2" t="s">
        <v>3</v>
      </c>
      <c r="DR328" s="2">
        <f t="shared" si="51"/>
        <v>8.0000000000000002E-3</v>
      </c>
      <c r="DS328" s="2">
        <f t="shared" si="52"/>
        <v>1.57</v>
      </c>
      <c r="DT328" s="15">
        <f t="shared" si="53"/>
        <v>0.12560000000000002</v>
      </c>
      <c r="DU328" s="2"/>
      <c r="DV328" s="2">
        <f t="shared" si="54"/>
        <v>0</v>
      </c>
      <c r="DW328" s="2"/>
      <c r="DX328" s="2"/>
      <c r="DY328" s="2"/>
      <c r="DZ328" s="2" t="s">
        <v>3</v>
      </c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 t="s">
        <v>3</v>
      </c>
      <c r="FR328" s="2" t="s">
        <v>89</v>
      </c>
      <c r="FS328" s="2" t="s">
        <v>123</v>
      </c>
      <c r="FT328" s="2" t="s">
        <v>474</v>
      </c>
      <c r="FU328" s="2"/>
      <c r="FV328" s="2" t="s">
        <v>3</v>
      </c>
    </row>
    <row r="329" spans="1:178" ht="15.75" customHeight="1" x14ac:dyDescent="0.2">
      <c r="A329" s="14" t="s">
        <v>96</v>
      </c>
      <c r="B329" s="2" t="s">
        <v>193</v>
      </c>
      <c r="C329" s="16" t="s">
        <v>830</v>
      </c>
      <c r="D329" s="2" t="s">
        <v>99</v>
      </c>
      <c r="E329" s="2"/>
      <c r="F329" s="2"/>
      <c r="G329" s="2"/>
      <c r="H329" s="2" t="s">
        <v>79</v>
      </c>
      <c r="I329" s="2"/>
      <c r="J329" s="2"/>
      <c r="K329" s="2">
        <v>0</v>
      </c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>
        <v>0</v>
      </c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>
        <v>0.16900000000000001</v>
      </c>
      <c r="BB329" s="2">
        <v>0.19</v>
      </c>
      <c r="BC329" s="2"/>
      <c r="BD329" s="2"/>
      <c r="BE329" s="2"/>
      <c r="BF329" s="2"/>
      <c r="BG329" s="2"/>
      <c r="BH329" s="2"/>
      <c r="BI329" s="2">
        <v>1.29</v>
      </c>
      <c r="BJ329" s="2">
        <v>0.02</v>
      </c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>
        <v>0</v>
      </c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>
        <v>0</v>
      </c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14" t="s">
        <v>100</v>
      </c>
      <c r="DM329" s="2" t="s">
        <v>100</v>
      </c>
      <c r="DN329" s="2">
        <f t="shared" si="49"/>
        <v>1.29</v>
      </c>
      <c r="DO329" s="2">
        <f t="shared" si="50"/>
        <v>0.02</v>
      </c>
      <c r="DP329" s="2" t="s">
        <v>521</v>
      </c>
      <c r="DQ329" s="2" t="s">
        <v>3</v>
      </c>
      <c r="DR329" s="2">
        <f t="shared" si="51"/>
        <v>0.16900000000000001</v>
      </c>
      <c r="DS329" s="2">
        <f t="shared" si="52"/>
        <v>1.29</v>
      </c>
      <c r="DT329" s="15">
        <f t="shared" si="53"/>
        <v>2.1801000000000004</v>
      </c>
      <c r="DU329" s="2"/>
      <c r="DV329" s="2">
        <f t="shared" si="54"/>
        <v>0</v>
      </c>
      <c r="DW329" s="2"/>
      <c r="DX329" s="2"/>
      <c r="DY329" s="2"/>
      <c r="DZ329" s="2" t="s">
        <v>3</v>
      </c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 t="s">
        <v>3</v>
      </c>
      <c r="FR329" s="2" t="s">
        <v>89</v>
      </c>
      <c r="FS329" s="2" t="s">
        <v>123</v>
      </c>
      <c r="FT329" s="2"/>
      <c r="FU329" s="2"/>
      <c r="FV329" s="2" t="s">
        <v>3</v>
      </c>
    </row>
    <row r="330" spans="1:178" ht="15.75" customHeight="1" x14ac:dyDescent="0.2">
      <c r="A330" s="12" t="s">
        <v>74</v>
      </c>
      <c r="B330" s="2" t="s">
        <v>75</v>
      </c>
      <c r="C330" s="13" t="s">
        <v>831</v>
      </c>
      <c r="D330" s="2" t="s">
        <v>109</v>
      </c>
      <c r="E330" s="2"/>
      <c r="F330" s="2"/>
      <c r="G330" s="2" t="s">
        <v>78</v>
      </c>
      <c r="H330" s="2" t="s">
        <v>786</v>
      </c>
      <c r="I330" s="2"/>
      <c r="J330" s="2" t="s">
        <v>141</v>
      </c>
      <c r="K330" s="2">
        <v>0</v>
      </c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15">
        <f>100*(63.657-39.46734)/63.657</f>
        <v>37.999999999999993</v>
      </c>
      <c r="AF330" s="4">
        <v>39.46734</v>
      </c>
      <c r="AG330" s="2"/>
      <c r="AH330" s="2"/>
      <c r="AI330" s="2"/>
      <c r="AJ330" s="2"/>
      <c r="AK330" s="2"/>
      <c r="AL330" s="2"/>
      <c r="AM330" s="2"/>
      <c r="AN330" s="2">
        <v>0.88</v>
      </c>
      <c r="AO330" s="2"/>
      <c r="AP330" s="2"/>
      <c r="AQ330" s="2"/>
      <c r="AR330" s="2"/>
      <c r="AS330" s="2"/>
      <c r="AT330" s="2"/>
      <c r="AU330" s="2"/>
      <c r="AV330" s="2">
        <v>44.23</v>
      </c>
      <c r="AW330" s="2"/>
      <c r="AX330" s="2"/>
      <c r="AY330" s="2"/>
      <c r="AZ330" s="15">
        <f>100*(4.673-2.89726)/4.673</f>
        <v>37.999999999999993</v>
      </c>
      <c r="BA330" s="4">
        <v>2.8972600000000002</v>
      </c>
      <c r="BB330" s="2"/>
      <c r="BC330" s="2"/>
      <c r="BD330" s="2"/>
      <c r="BE330" s="2"/>
      <c r="BF330" s="2"/>
      <c r="BG330" s="2"/>
      <c r="BH330" s="2"/>
      <c r="BI330" s="4">
        <v>1.3</v>
      </c>
      <c r="BJ330" s="2"/>
      <c r="BK330" s="2"/>
      <c r="BL330" s="2"/>
      <c r="BM330" s="2"/>
      <c r="BN330" s="2"/>
      <c r="BO330" s="2"/>
      <c r="BP330" s="2"/>
      <c r="BQ330" s="4">
        <v>12.9</v>
      </c>
      <c r="BR330" s="2"/>
      <c r="BS330" s="2"/>
      <c r="BT330" s="2"/>
      <c r="BU330" s="2"/>
      <c r="BV330" s="2">
        <v>0</v>
      </c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>
        <v>0</v>
      </c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14" t="s">
        <v>81</v>
      </c>
      <c r="DM330" s="2"/>
      <c r="DN330" s="2">
        <f t="shared" si="49"/>
        <v>0.90872325479291682</v>
      </c>
      <c r="DO330" s="2">
        <f t="shared" si="50"/>
        <v>0</v>
      </c>
      <c r="DP330" s="2" t="s">
        <v>787</v>
      </c>
      <c r="DQ330" s="2" t="s">
        <v>3</v>
      </c>
      <c r="DR330" s="4">
        <f t="shared" si="51"/>
        <v>42.364600000000003</v>
      </c>
      <c r="DS330" s="4">
        <f t="shared" si="52"/>
        <v>0.90872325479291682</v>
      </c>
      <c r="DT330" s="15">
        <f t="shared" si="53"/>
        <v>384.9769720000001</v>
      </c>
      <c r="DU330" s="2"/>
      <c r="DV330" s="2">
        <f t="shared" si="54"/>
        <v>0</v>
      </c>
      <c r="DW330" s="2"/>
      <c r="DX330" s="2"/>
      <c r="DY330" s="2"/>
      <c r="DZ330" s="2" t="s">
        <v>3</v>
      </c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 t="s">
        <v>3</v>
      </c>
      <c r="FR330" s="2" t="s">
        <v>37</v>
      </c>
      <c r="FS330" s="2" t="s">
        <v>151</v>
      </c>
      <c r="FT330" s="2"/>
      <c r="FU330" s="2"/>
      <c r="FV330" s="2" t="s">
        <v>3</v>
      </c>
    </row>
    <row r="331" spans="1:178" ht="15.75" customHeight="1" x14ac:dyDescent="0.2">
      <c r="A331" s="12" t="s">
        <v>74</v>
      </c>
      <c r="B331" s="2" t="s">
        <v>305</v>
      </c>
      <c r="C331" s="13" t="s">
        <v>832</v>
      </c>
      <c r="D331" s="2" t="s">
        <v>109</v>
      </c>
      <c r="E331" s="2"/>
      <c r="F331" s="2"/>
      <c r="G331" s="2"/>
      <c r="H331" s="2" t="s">
        <v>833</v>
      </c>
      <c r="I331" s="2"/>
      <c r="J331" s="2" t="s">
        <v>80</v>
      </c>
      <c r="K331" s="2">
        <f>3.96+11.98+9.09+4.47+1.9+1.54+0.58+0.09+0.58</f>
        <v>34.19</v>
      </c>
      <c r="L331" s="2"/>
      <c r="M331" s="2"/>
      <c r="N331" s="2"/>
      <c r="O331" s="2"/>
      <c r="P331" s="2"/>
      <c r="Q331" s="2"/>
      <c r="R331" s="2"/>
      <c r="S331" s="4">
        <f>(1.13*3.96+0.88*11.98+1.15*9.09+0.88*4.47+1.06*1.9+1.17*1.54+1.33*0.58+1.26*0.09+1.33*0.58)/K331</f>
        <v>1.0200731207955542</v>
      </c>
      <c r="T331" s="4">
        <f>(0.15*3.96+0.14*11.98+0.11*9.09+0.11*4.47+0.11*1.9+0.11*1.54+0.13*0.58+0.14*0.09+0.13*0.58)/K331</f>
        <v>0.12590231061713955</v>
      </c>
      <c r="U331" s="2"/>
      <c r="V331" s="2"/>
      <c r="W331" s="2"/>
      <c r="X331" s="2"/>
      <c r="Y331" s="2"/>
      <c r="Z331" s="2"/>
      <c r="AA331" s="15">
        <f>(46.79*3.96+47.44*11.98+45.43*9.09+44.09*4.47+43.27*1.9+41.86*1.54+41.7*0.58+47.2*0.09+41.7*0.58)/K331</f>
        <v>45.713892951155309</v>
      </c>
      <c r="AB331" s="2"/>
      <c r="AC331" s="2"/>
      <c r="AD331" s="2"/>
      <c r="AE331" s="2"/>
      <c r="AF331" s="2">
        <f>0+2.5+2.51+6.02+0.43+0.19</f>
        <v>11.649999999999999</v>
      </c>
      <c r="AG331" s="2"/>
      <c r="AH331" s="2"/>
      <c r="AI331" s="2"/>
      <c r="AJ331" s="2"/>
      <c r="AK331" s="2"/>
      <c r="AL331" s="2"/>
      <c r="AM331" s="2"/>
      <c r="AN331" s="4">
        <f>(0+0.84*2.5+1.18*2.51+0.81*6.02+0.93*0.43+1.19*0.19)/AF331</f>
        <v>0.90678111587982846</v>
      </c>
      <c r="AO331" s="4">
        <f>(0+0.14*2.5+0.11*2.51+0.1*6.02+0.11*0.43+0.11*0.19)/AF331</f>
        <v>0.11127038626609441</v>
      </c>
      <c r="AP331" s="2"/>
      <c r="AQ331" s="2"/>
      <c r="AR331" s="2"/>
      <c r="AS331" s="2"/>
      <c r="AT331" s="2"/>
      <c r="AU331" s="2"/>
      <c r="AV331" s="15">
        <f>(0+47.01*2.5+45.01*2.51+43.22*6.02+43.68*0.43+41.58*0.19)/AF331</f>
        <v>44.409193133047211</v>
      </c>
      <c r="AW331" s="2"/>
      <c r="AX331" s="2"/>
      <c r="AY331" s="2"/>
      <c r="AZ331" s="2"/>
      <c r="BA331" s="2">
        <f>3.76+0.57+1.71+2.41+0.34+0</f>
        <v>8.7899999999999991</v>
      </c>
      <c r="BB331" s="2"/>
      <c r="BC331" s="2"/>
      <c r="BD331" s="2"/>
      <c r="BE331" s="2"/>
      <c r="BF331" s="2"/>
      <c r="BG331" s="2"/>
      <c r="BH331" s="2"/>
      <c r="BI331" s="4">
        <f>(1.16*3.76+0.9*0.57+0.98*1.71+0.74*2.41+0.96*0.34+0)/BA331</f>
        <v>0.98523321956769039</v>
      </c>
      <c r="BJ331" s="4">
        <f>(0.15*3.76+0.16*0.57+0.12*1.71+0.1*2.41+0.12*0.34+0)/BA331</f>
        <v>0.12994311717861207</v>
      </c>
      <c r="BK331" s="2"/>
      <c r="BL331" s="2"/>
      <c r="BM331" s="2"/>
      <c r="BN331" s="2"/>
      <c r="BO331" s="2"/>
      <c r="BP331" s="2"/>
      <c r="BQ331" s="15">
        <f>(46.33*3.76+47.09*0.57+45.02*1.71+43.13*2.41+43.93*0.34+0)/BA331</f>
        <v>45.154243458475541</v>
      </c>
      <c r="BR331" s="2"/>
      <c r="BS331" s="2"/>
      <c r="BT331" s="2"/>
      <c r="BU331" s="2"/>
      <c r="BV331" s="2">
        <f>3.5+2.2+0.8+1.1+0.8</f>
        <v>8.4</v>
      </c>
      <c r="BW331" s="2"/>
      <c r="BX331" s="2"/>
      <c r="BY331" s="2"/>
      <c r="BZ331" s="2"/>
      <c r="CA331" s="2"/>
      <c r="CB331" s="2"/>
      <c r="CC331" s="2"/>
      <c r="CD331" s="4">
        <f>(1.08*3.5+1.05*2.2+1.04*0.8+1.17*1.1+1.32*0.8)/BV331</f>
        <v>1.1029761904761906</v>
      </c>
      <c r="CE331" s="4">
        <f>(0.14*3.5+0.14*2.2+0.12*0.8+0.11*1.1+0.12*0.8)/BV331</f>
        <v>0.13226190476190477</v>
      </c>
      <c r="CF331" s="2"/>
      <c r="CG331" s="2"/>
      <c r="CH331" s="2"/>
      <c r="CI331" s="2"/>
      <c r="CJ331" s="2"/>
      <c r="CK331" s="2"/>
      <c r="CL331" s="15">
        <f>(44.56*3.5+45*2.2+41.36*0.8+40.69*1.1+39.43*0.8)/BV331</f>
        <v>43.375119047619052</v>
      </c>
      <c r="CM331" s="2"/>
      <c r="CN331" s="2"/>
      <c r="CO331" s="2"/>
      <c r="CP331" s="2"/>
      <c r="CQ331" s="2">
        <f>0+0.4+0.5+0.2+0.1</f>
        <v>1.2000000000000002</v>
      </c>
      <c r="CR331" s="2"/>
      <c r="CS331" s="2"/>
      <c r="CT331" s="2"/>
      <c r="CU331" s="2"/>
      <c r="CV331" s="2"/>
      <c r="CW331" s="2"/>
      <c r="CX331" s="2"/>
      <c r="CY331" s="4">
        <f>(0+1.12*0.4+1.03*0.5+1.1*0.2+1.4*0.1)/CQ331</f>
        <v>1.1024999999999998</v>
      </c>
      <c r="CZ331" s="4">
        <f>(0+0.13*0.4+0.12*0.5+0.13*0.2+0.13*0.1)/CQ331</f>
        <v>0.12583333333333332</v>
      </c>
      <c r="DA331" s="2"/>
      <c r="DB331" s="2"/>
      <c r="DC331" s="2"/>
      <c r="DD331" s="2"/>
      <c r="DE331" s="2"/>
      <c r="DF331" s="2"/>
      <c r="DG331" s="15">
        <f>(0+44.14*0.4+40.16*0.5+41.17*0.2+39.52*0.1)/CQ331</f>
        <v>41.601666666666667</v>
      </c>
      <c r="DH331" s="2"/>
      <c r="DI331" s="2"/>
      <c r="DJ331" s="2"/>
      <c r="DK331" s="2"/>
      <c r="DL331" s="14" t="s">
        <v>81</v>
      </c>
      <c r="DM331" s="2" t="s">
        <v>81</v>
      </c>
      <c r="DN331" s="2">
        <f t="shared" si="49"/>
        <v>0.99030752333882477</v>
      </c>
      <c r="DO331" s="2">
        <f t="shared" si="50"/>
        <v>0.12343218012081275</v>
      </c>
      <c r="DP331" s="2" t="s">
        <v>834</v>
      </c>
      <c r="DQ331" s="2" t="s">
        <v>3</v>
      </c>
      <c r="DR331" s="2">
        <f t="shared" si="51"/>
        <v>54.629999999999995</v>
      </c>
      <c r="DS331" s="4">
        <f t="shared" si="52"/>
        <v>0.99030752333882477</v>
      </c>
      <c r="DT331" s="15">
        <f t="shared" si="53"/>
        <v>541.00499999999988</v>
      </c>
      <c r="DU331" s="2"/>
      <c r="DV331" s="2">
        <f t="shared" si="54"/>
        <v>9.6000000000000014</v>
      </c>
      <c r="DW331" s="4">
        <f t="shared" ref="DW331:DW335" si="71">(BV331*CD331+CQ331*CY331)/DV331</f>
        <v>1.1029166666666665</v>
      </c>
      <c r="DX331" s="15">
        <f t="shared" ref="DX331:DX335" si="72">1000*DV331*DW331/100</f>
        <v>105.88</v>
      </c>
      <c r="DY331" s="2"/>
      <c r="DZ331" s="2" t="s">
        <v>3</v>
      </c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 t="s">
        <v>3</v>
      </c>
      <c r="FR331" s="2" t="s">
        <v>37</v>
      </c>
      <c r="FS331" s="2" t="s">
        <v>235</v>
      </c>
      <c r="FT331" s="2" t="s">
        <v>235</v>
      </c>
      <c r="FU331" s="2"/>
      <c r="FV331" s="2" t="s">
        <v>3</v>
      </c>
    </row>
    <row r="332" spans="1:178" ht="15.75" customHeight="1" x14ac:dyDescent="0.2">
      <c r="A332" s="12" t="s">
        <v>74</v>
      </c>
      <c r="B332" s="2" t="s">
        <v>305</v>
      </c>
      <c r="C332" s="13" t="s">
        <v>835</v>
      </c>
      <c r="D332" s="2" t="s">
        <v>109</v>
      </c>
      <c r="E332" s="2"/>
      <c r="F332" s="2"/>
      <c r="G332" s="2"/>
      <c r="H332" s="2" t="s">
        <v>833</v>
      </c>
      <c r="I332" s="2"/>
      <c r="J332" s="2" t="s">
        <v>80</v>
      </c>
      <c r="K332" s="2">
        <f>31.06+21.37</f>
        <v>52.43</v>
      </c>
      <c r="L332" s="2"/>
      <c r="M332" s="2"/>
      <c r="N332" s="2"/>
      <c r="O332" s="2"/>
      <c r="P332" s="2"/>
      <c r="Q332" s="2"/>
      <c r="R332" s="2"/>
      <c r="S332" s="4">
        <f>(1.01*31.06+1.15*21.37)/K332</f>
        <v>1.0670627503337784</v>
      </c>
      <c r="T332" s="4">
        <f>(0.13*31.06+0.12*21.37)/K332</f>
        <v>0.12592408926187298</v>
      </c>
      <c r="U332" s="2"/>
      <c r="V332" s="2"/>
      <c r="W332" s="2"/>
      <c r="X332" s="2"/>
      <c r="Y332" s="2"/>
      <c r="Z332" s="2"/>
      <c r="AA332" s="15">
        <f>(44.44*31.06+43.13*21.37)/K332</f>
        <v>43.906055693305355</v>
      </c>
      <c r="AB332" s="2"/>
      <c r="AC332" s="2"/>
      <c r="AD332" s="2"/>
      <c r="AE332" s="2"/>
      <c r="AF332" s="2">
        <f>8.82+13.35</f>
        <v>22.17</v>
      </c>
      <c r="AG332" s="2"/>
      <c r="AH332" s="2"/>
      <c r="AI332" s="2"/>
      <c r="AJ332" s="2"/>
      <c r="AK332" s="2"/>
      <c r="AL332" s="2"/>
      <c r="AM332" s="2"/>
      <c r="AN332" s="4">
        <f>(0.95*8.82+0.99*13.35)/AF332</f>
        <v>0.97408660351826792</v>
      </c>
      <c r="AO332" s="4">
        <f>(0.12*8.82+0.11*13.35)/AF332</f>
        <v>0.113978349120433</v>
      </c>
      <c r="AP332" s="2"/>
      <c r="AQ332" s="2"/>
      <c r="AR332" s="2"/>
      <c r="AS332" s="2"/>
      <c r="AT332" s="2"/>
      <c r="AU332" s="2"/>
      <c r="AV332" s="15">
        <f>(43.35*8.82+41.6*13.35)/AF332</f>
        <v>42.29621109607578</v>
      </c>
      <c r="AW332" s="2"/>
      <c r="AX332" s="2"/>
      <c r="AY332" s="2"/>
      <c r="AZ332" s="2"/>
      <c r="BA332" s="2">
        <f>11.58+3.85</f>
        <v>15.43</v>
      </c>
      <c r="BB332" s="2"/>
      <c r="BC332" s="2"/>
      <c r="BD332" s="2"/>
      <c r="BE332" s="2"/>
      <c r="BF332" s="2"/>
      <c r="BG332" s="2"/>
      <c r="BH332" s="2"/>
      <c r="BI332" s="4">
        <f>(0.88*11.58+1.05*3.85)/BA332</f>
        <v>0.92241736876215175</v>
      </c>
      <c r="BJ332" s="4">
        <f>(0.13*11.58+0.11*3.85)/BA332</f>
        <v>0.12500972132209981</v>
      </c>
      <c r="BK332" s="2"/>
      <c r="BL332" s="2"/>
      <c r="BM332" s="2"/>
      <c r="BN332" s="2"/>
      <c r="BO332" s="2"/>
      <c r="BP332" s="2"/>
      <c r="BQ332" s="15">
        <f>(43.53*11.58+40.88*3.85)/BA332</f>
        <v>42.86878807517823</v>
      </c>
      <c r="BR332" s="2"/>
      <c r="BS332" s="2"/>
      <c r="BT332" s="2"/>
      <c r="BU332" s="2"/>
      <c r="BV332" s="2">
        <f>12.9+13.2</f>
        <v>26.1</v>
      </c>
      <c r="BW332" s="2"/>
      <c r="BX332" s="2"/>
      <c r="BY332" s="2"/>
      <c r="BZ332" s="2"/>
      <c r="CA332" s="2"/>
      <c r="CB332" s="2"/>
      <c r="CC332" s="2"/>
      <c r="CD332" s="4">
        <f>(1.17*12.9+1.21*13.2)/BV332</f>
        <v>1.1902298850574711</v>
      </c>
      <c r="CE332" s="4">
        <f>(0.13*12.9+0.12*13.2)/BV332</f>
        <v>0.12494252873563218</v>
      </c>
      <c r="CF332" s="2"/>
      <c r="CG332" s="2"/>
      <c r="CH332" s="2"/>
      <c r="CI332" s="2"/>
      <c r="CJ332" s="2"/>
      <c r="CK332" s="2"/>
      <c r="CL332" s="15">
        <f>(41.91*12.9+41.16*13.2)/BV332</f>
        <v>41.530689655172409</v>
      </c>
      <c r="CM332" s="2"/>
      <c r="CN332" s="2"/>
      <c r="CO332" s="2"/>
      <c r="CP332" s="2"/>
      <c r="CQ332" s="2">
        <f>2.9+5</f>
        <v>7.9</v>
      </c>
      <c r="CR332" s="2"/>
      <c r="CS332" s="2"/>
      <c r="CT332" s="2"/>
      <c r="CU332" s="2"/>
      <c r="CV332" s="2"/>
      <c r="CW332" s="2"/>
      <c r="CX332" s="2"/>
      <c r="CY332" s="4">
        <f>(1.13*2.9+1.14*5)/CQ332</f>
        <v>1.1363291139240503</v>
      </c>
      <c r="CZ332" s="4">
        <f>(0.12*2.9+0.12*5)/CQ332</f>
        <v>0.12</v>
      </c>
      <c r="DA332" s="2"/>
      <c r="DB332" s="2"/>
      <c r="DC332" s="2"/>
      <c r="DD332" s="2"/>
      <c r="DE332" s="2"/>
      <c r="DF332" s="2"/>
      <c r="DG332" s="15">
        <f>(40.62*12.9+39.72*5)/CQ332</f>
        <v>91.468101265822781</v>
      </c>
      <c r="DH332" s="2"/>
      <c r="DI332" s="2"/>
      <c r="DJ332" s="2"/>
      <c r="DK332" s="2"/>
      <c r="DL332" s="14" t="s">
        <v>81</v>
      </c>
      <c r="DM332" s="2" t="s">
        <v>81</v>
      </c>
      <c r="DN332" s="2">
        <f t="shared" si="49"/>
        <v>1.0193768743752083</v>
      </c>
      <c r="DO332" s="2">
        <f t="shared" si="50"/>
        <v>0.12282572475841388</v>
      </c>
      <c r="DP332" s="2" t="s">
        <v>834</v>
      </c>
      <c r="DQ332" s="2" t="s">
        <v>3</v>
      </c>
      <c r="DR332" s="2">
        <f t="shared" si="51"/>
        <v>90.03</v>
      </c>
      <c r="DS332" s="4">
        <f t="shared" si="52"/>
        <v>1.0193768743752083</v>
      </c>
      <c r="DT332" s="15">
        <f t="shared" si="53"/>
        <v>917.745</v>
      </c>
      <c r="DU332" s="2"/>
      <c r="DV332" s="2">
        <f t="shared" si="54"/>
        <v>34</v>
      </c>
      <c r="DW332" s="4">
        <f t="shared" si="71"/>
        <v>1.1777058823529409</v>
      </c>
      <c r="DX332" s="15">
        <f t="shared" si="72"/>
        <v>400.4199999999999</v>
      </c>
      <c r="DY332" s="2"/>
      <c r="DZ332" s="2" t="s">
        <v>3</v>
      </c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 t="s">
        <v>3</v>
      </c>
      <c r="FR332" s="2" t="s">
        <v>37</v>
      </c>
      <c r="FS332" s="2" t="s">
        <v>235</v>
      </c>
      <c r="FT332" s="2" t="s">
        <v>235</v>
      </c>
      <c r="FU332" s="2"/>
      <c r="FV332" s="2" t="s">
        <v>3</v>
      </c>
    </row>
    <row r="333" spans="1:178" ht="15.75" customHeight="1" x14ac:dyDescent="0.2">
      <c r="A333" s="12" t="s">
        <v>74</v>
      </c>
      <c r="B333" s="2" t="s">
        <v>305</v>
      </c>
      <c r="C333" s="13" t="s">
        <v>836</v>
      </c>
      <c r="D333" s="2" t="s">
        <v>109</v>
      </c>
      <c r="E333" s="2"/>
      <c r="F333" s="2"/>
      <c r="G333" s="2"/>
      <c r="H333" s="2" t="s">
        <v>833</v>
      </c>
      <c r="I333" s="2"/>
      <c r="J333" s="2" t="s">
        <v>80</v>
      </c>
      <c r="K333" s="2">
        <f>0+10.54+16.01</f>
        <v>26.55</v>
      </c>
      <c r="L333" s="2"/>
      <c r="M333" s="2"/>
      <c r="N333" s="2"/>
      <c r="O333" s="2"/>
      <c r="P333" s="2"/>
      <c r="Q333" s="2"/>
      <c r="R333" s="2"/>
      <c r="S333" s="4">
        <f>(0+1.03*10.54+0.94*16.01)/K333</f>
        <v>0.97572881355932195</v>
      </c>
      <c r="T333" s="4">
        <f>(0+0.13*10.54+0.15*16.01)/K333</f>
        <v>0.14206026365348398</v>
      </c>
      <c r="U333" s="2"/>
      <c r="V333" s="2"/>
      <c r="W333" s="2"/>
      <c r="X333" s="2"/>
      <c r="Y333" s="2"/>
      <c r="Z333" s="2"/>
      <c r="AA333" s="15">
        <f>(0+44.31*10.54+46.9*16.01)/K333</f>
        <v>45.871804143126177</v>
      </c>
      <c r="AB333" s="2"/>
      <c r="AC333" s="2"/>
      <c r="AD333" s="2"/>
      <c r="AE333" s="2"/>
      <c r="AF333" s="2">
        <f>7.49+3.03+1.7</f>
        <v>12.219999999999999</v>
      </c>
      <c r="AG333" s="2"/>
      <c r="AH333" s="2"/>
      <c r="AI333" s="2"/>
      <c r="AJ333" s="2"/>
      <c r="AK333" s="2"/>
      <c r="AL333" s="2"/>
      <c r="AM333" s="2"/>
      <c r="AN333" s="4">
        <f>(1*7.49+0.81*3.03+0.83*1.7)/AF333</f>
        <v>0.92923895253682498</v>
      </c>
      <c r="AO333" s="4">
        <f>(0.13*7.49+0.13*3.03+0.15*1.7)/AF333</f>
        <v>0.13278232405891979</v>
      </c>
      <c r="AP333" s="2"/>
      <c r="AQ333" s="2"/>
      <c r="AR333" s="2"/>
      <c r="AS333" s="2"/>
      <c r="AT333" s="2"/>
      <c r="AU333" s="2"/>
      <c r="AV333" s="15">
        <f>(45.67*7.49+43.75*3.03+46.65*1.7)/AF333</f>
        <v>45.33026186579378</v>
      </c>
      <c r="AW333" s="2"/>
      <c r="AX333" s="2"/>
      <c r="AY333" s="2"/>
      <c r="AZ333" s="2"/>
      <c r="BA333" s="2">
        <f>7.42+0.86+0.09</f>
        <v>8.3699999999999992</v>
      </c>
      <c r="BB333" s="2"/>
      <c r="BC333" s="2"/>
      <c r="BD333" s="2"/>
      <c r="BE333" s="2"/>
      <c r="BF333" s="2"/>
      <c r="BG333" s="2"/>
      <c r="BH333" s="2"/>
      <c r="BI333" s="4">
        <f>(0.75*7.42+0.67*0.86+0.75*0.09)/BA333</f>
        <v>0.74178016726403828</v>
      </c>
      <c r="BJ333" s="4">
        <f>(0.14*7.42+0.14*0.86+0.14*0.09)/BA333</f>
        <v>0.14000000000000004</v>
      </c>
      <c r="BK333" s="2"/>
      <c r="BL333" s="2"/>
      <c r="BM333" s="2"/>
      <c r="BN333" s="2"/>
      <c r="BO333" s="2"/>
      <c r="BP333" s="2"/>
      <c r="BQ333" s="15">
        <f>(45.42*7.42+41.05*0.86+43.59*0.09)/BA333</f>
        <v>44.951314217443255</v>
      </c>
      <c r="BR333" s="2"/>
      <c r="BS333" s="2"/>
      <c r="BT333" s="2"/>
      <c r="BU333" s="2"/>
      <c r="BV333" s="2">
        <f>4.6+4.5</f>
        <v>9.1</v>
      </c>
      <c r="BW333" s="2"/>
      <c r="BX333" s="2"/>
      <c r="BY333" s="2"/>
      <c r="BZ333" s="2"/>
      <c r="CA333" s="2"/>
      <c r="CB333" s="2"/>
      <c r="CC333" s="2"/>
      <c r="CD333" s="4">
        <f>(1.2*4.6+1.15*4.5)/BV333</f>
        <v>1.1752747252747253</v>
      </c>
      <c r="CE333" s="4">
        <f>(0.14*4.6+0.16*4.5)/BV333</f>
        <v>0.1498901098901099</v>
      </c>
      <c r="CF333" s="2"/>
      <c r="CG333" s="2"/>
      <c r="CH333" s="2"/>
      <c r="CI333" s="2"/>
      <c r="CJ333" s="2"/>
      <c r="CK333" s="2"/>
      <c r="CL333" s="15">
        <f>(42.68*4.6+44.29*4.5)/BV333</f>
        <v>43.476153846153849</v>
      </c>
      <c r="CM333" s="2"/>
      <c r="CN333" s="2"/>
      <c r="CO333" s="2"/>
      <c r="CP333" s="2"/>
      <c r="CQ333" s="2">
        <f>0.5+0.3</f>
        <v>0.8</v>
      </c>
      <c r="CR333" s="2"/>
      <c r="CS333" s="2"/>
      <c r="CT333" s="2"/>
      <c r="CU333" s="2"/>
      <c r="CV333" s="2"/>
      <c r="CW333" s="2"/>
      <c r="CX333" s="2"/>
      <c r="CY333" s="4">
        <f>(1.16*0.5+1.14*0.3)/CQ333</f>
        <v>1.1524999999999999</v>
      </c>
      <c r="CZ333" s="4">
        <f>(0.13*0.5+0.13*0.3)/CQ333</f>
        <v>0.13</v>
      </c>
      <c r="DA333" s="2"/>
      <c r="DB333" s="2"/>
      <c r="DC333" s="2"/>
      <c r="DD333" s="2"/>
      <c r="DE333" s="2"/>
      <c r="DF333" s="2"/>
      <c r="DG333" s="15">
        <f>(42.29*0.5+44.22*0.3)/CQ333</f>
        <v>43.013750000000002</v>
      </c>
      <c r="DH333" s="2"/>
      <c r="DI333" s="2"/>
      <c r="DJ333" s="2"/>
      <c r="DK333" s="2"/>
      <c r="DL333" s="14" t="s">
        <v>81</v>
      </c>
      <c r="DM333" s="2" t="s">
        <v>81</v>
      </c>
      <c r="DN333" s="2">
        <f t="shared" si="49"/>
        <v>0.92213831141281299</v>
      </c>
      <c r="DO333" s="2">
        <f t="shared" si="50"/>
        <v>0.1392893508697497</v>
      </c>
      <c r="DP333" s="2" t="s">
        <v>834</v>
      </c>
      <c r="DQ333" s="2" t="s">
        <v>3</v>
      </c>
      <c r="DR333" s="2">
        <f t="shared" si="51"/>
        <v>47.139999999999993</v>
      </c>
      <c r="DS333" s="4">
        <f t="shared" si="52"/>
        <v>0.92213831141281299</v>
      </c>
      <c r="DT333" s="15">
        <f t="shared" si="53"/>
        <v>434.69599999999997</v>
      </c>
      <c r="DU333" s="2"/>
      <c r="DV333" s="2">
        <f t="shared" si="54"/>
        <v>9.9</v>
      </c>
      <c r="DW333" s="4">
        <f t="shared" si="71"/>
        <v>1.1734343434343435</v>
      </c>
      <c r="DX333" s="15">
        <f t="shared" si="72"/>
        <v>116.17</v>
      </c>
      <c r="DY333" s="2"/>
      <c r="DZ333" s="2" t="s">
        <v>3</v>
      </c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 t="s">
        <v>3</v>
      </c>
      <c r="FR333" s="2" t="s">
        <v>37</v>
      </c>
      <c r="FS333" s="2" t="s">
        <v>235</v>
      </c>
      <c r="FT333" s="2" t="s">
        <v>235</v>
      </c>
      <c r="FU333" s="2"/>
      <c r="FV333" s="2" t="s">
        <v>3</v>
      </c>
    </row>
    <row r="334" spans="1:178" ht="15.75" customHeight="1" x14ac:dyDescent="0.2">
      <c r="A334" s="14" t="s">
        <v>262</v>
      </c>
      <c r="B334" s="2" t="s">
        <v>85</v>
      </c>
      <c r="C334" s="16" t="s">
        <v>837</v>
      </c>
      <c r="D334" s="2"/>
      <c r="E334" s="2"/>
      <c r="F334" s="2"/>
      <c r="G334" s="2"/>
      <c r="H334" s="2" t="s">
        <v>838</v>
      </c>
      <c r="I334" s="2"/>
      <c r="J334" s="2"/>
      <c r="K334" s="2">
        <v>105.4</v>
      </c>
      <c r="L334" s="4">
        <v>3.3529411764705877E-2</v>
      </c>
      <c r="M334" s="4">
        <v>0.10157647058823531</v>
      </c>
      <c r="N334" s="2"/>
      <c r="O334" s="2"/>
      <c r="P334" s="2"/>
      <c r="Q334" s="2"/>
      <c r="R334" s="2"/>
      <c r="S334" s="4">
        <v>0.13176470588235295</v>
      </c>
      <c r="T334" s="2"/>
      <c r="U334" s="4">
        <v>2.4494876470588234</v>
      </c>
      <c r="V334" s="4">
        <v>2.4063635294117645</v>
      </c>
      <c r="W334" s="4">
        <v>0.45139588235294115</v>
      </c>
      <c r="X334" s="2"/>
      <c r="Y334" s="2"/>
      <c r="Z334" s="2"/>
      <c r="AA334" s="2"/>
      <c r="AB334" s="2"/>
      <c r="AC334" s="2"/>
      <c r="AD334" s="2"/>
      <c r="AE334" s="2"/>
      <c r="AF334" s="2">
        <v>158.19999999999999</v>
      </c>
      <c r="AG334" s="4">
        <v>3.7054361567635904E-2</v>
      </c>
      <c r="AH334" s="4">
        <v>0.11504788874841972</v>
      </c>
      <c r="AI334" s="2"/>
      <c r="AJ334" s="2"/>
      <c r="AK334" s="2"/>
      <c r="AL334" s="2"/>
      <c r="AM334" s="2"/>
      <c r="AN334" s="4">
        <v>0.13352718078381798</v>
      </c>
      <c r="AO334" s="2"/>
      <c r="AP334" s="4">
        <v>2.2530583059418459</v>
      </c>
      <c r="AQ334" s="4">
        <v>2.0524148672566374</v>
      </c>
      <c r="AR334" s="4">
        <v>0.37078108723135278</v>
      </c>
      <c r="AS334" s="4"/>
      <c r="AT334" s="4"/>
      <c r="AU334" s="2"/>
      <c r="AV334" s="2"/>
      <c r="AW334" s="2"/>
      <c r="AX334" s="2"/>
      <c r="AY334" s="2"/>
      <c r="AZ334" s="2"/>
      <c r="BA334" s="2">
        <v>215.8</v>
      </c>
      <c r="BB334" s="4">
        <v>4.2845227062094524E-2</v>
      </c>
      <c r="BC334" s="4">
        <v>0.14017957367933273</v>
      </c>
      <c r="BD334" s="2"/>
      <c r="BE334" s="2"/>
      <c r="BF334" s="2"/>
      <c r="BG334" s="2"/>
      <c r="BH334" s="2"/>
      <c r="BI334" s="4">
        <v>0.13642261353104726</v>
      </c>
      <c r="BJ334" s="2"/>
      <c r="BK334" s="4">
        <v>2.0018118906394808</v>
      </c>
      <c r="BL334" s="4">
        <v>1.5408547729379054</v>
      </c>
      <c r="BM334" s="4">
        <v>0.25143550509731233</v>
      </c>
      <c r="BN334" s="2"/>
      <c r="BO334" s="2"/>
      <c r="BP334" s="2"/>
      <c r="BQ334" s="2"/>
      <c r="BR334" s="2"/>
      <c r="BS334" s="2"/>
      <c r="BT334" s="2"/>
      <c r="BU334" s="2"/>
      <c r="BV334" s="2">
        <v>15.8</v>
      </c>
      <c r="BW334" s="4">
        <v>0.03</v>
      </c>
      <c r="BX334" s="4">
        <v>6.2859999999999999E-2</v>
      </c>
      <c r="BY334" s="2"/>
      <c r="BZ334" s="2"/>
      <c r="CA334" s="2"/>
      <c r="CB334" s="2"/>
      <c r="CC334" s="2"/>
      <c r="CD334" s="4">
        <v>0.13</v>
      </c>
      <c r="CE334" s="2"/>
      <c r="CF334" s="4">
        <v>1.9621300000000002</v>
      </c>
      <c r="CG334" s="4">
        <v>2.0654000000000003</v>
      </c>
      <c r="CH334" s="4">
        <v>0.39961000000000002</v>
      </c>
      <c r="CI334" s="2"/>
      <c r="CJ334" s="2"/>
      <c r="CK334" s="2"/>
      <c r="CL334" s="2"/>
      <c r="CM334" s="2"/>
      <c r="CN334" s="2"/>
      <c r="CO334" s="2"/>
      <c r="CP334" s="2"/>
      <c r="CQ334" s="2">
        <v>31.8</v>
      </c>
      <c r="CR334" s="4">
        <v>0.03</v>
      </c>
      <c r="CS334" s="4">
        <v>5.9779999999999993E-2</v>
      </c>
      <c r="CT334" s="2"/>
      <c r="CU334" s="2"/>
      <c r="CV334" s="2"/>
      <c r="CW334" s="2"/>
      <c r="CX334" s="2"/>
      <c r="CY334" s="4">
        <v>0.13</v>
      </c>
      <c r="CZ334" s="2"/>
      <c r="DA334" s="4">
        <v>1.8659899999999998</v>
      </c>
      <c r="DB334" s="4">
        <v>1.9641999999999999</v>
      </c>
      <c r="DC334" s="4">
        <v>0.38002999999999992</v>
      </c>
      <c r="DD334" s="2"/>
      <c r="DE334" s="2"/>
      <c r="DF334" s="2"/>
      <c r="DG334" s="2"/>
      <c r="DH334" s="2"/>
      <c r="DI334" s="2"/>
      <c r="DJ334" s="2"/>
      <c r="DK334" s="2"/>
      <c r="DL334" s="14" t="s">
        <v>81</v>
      </c>
      <c r="DM334" s="2"/>
      <c r="DN334" s="2">
        <f t="shared" si="49"/>
        <v>0.13444305381727156</v>
      </c>
      <c r="DO334" s="2">
        <f t="shared" si="50"/>
        <v>0</v>
      </c>
      <c r="DP334" s="2" t="s">
        <v>95</v>
      </c>
      <c r="DQ334" s="2" t="s">
        <v>3</v>
      </c>
      <c r="DR334" s="2">
        <f t="shared" si="51"/>
        <v>479.40000000000003</v>
      </c>
      <c r="DS334" s="4">
        <f t="shared" si="52"/>
        <v>0.13444305381727156</v>
      </c>
      <c r="DT334" s="15">
        <f t="shared" si="53"/>
        <v>644.52</v>
      </c>
      <c r="DU334" s="2"/>
      <c r="DV334" s="2">
        <f t="shared" si="54"/>
        <v>47.6</v>
      </c>
      <c r="DW334" s="2">
        <f t="shared" si="71"/>
        <v>0.13</v>
      </c>
      <c r="DX334" s="15">
        <f t="shared" si="72"/>
        <v>61.88</v>
      </c>
      <c r="DY334" s="2"/>
      <c r="DZ334" s="2" t="s">
        <v>3</v>
      </c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 t="s">
        <v>3</v>
      </c>
      <c r="FR334" s="2" t="s">
        <v>89</v>
      </c>
      <c r="FS334" s="2" t="s">
        <v>90</v>
      </c>
      <c r="FT334" s="2" t="s">
        <v>91</v>
      </c>
      <c r="FU334" s="2" t="s">
        <v>226</v>
      </c>
      <c r="FV334" s="2" t="s">
        <v>3</v>
      </c>
    </row>
    <row r="335" spans="1:178" ht="15.75" customHeight="1" x14ac:dyDescent="0.2">
      <c r="A335" s="14" t="s">
        <v>127</v>
      </c>
      <c r="B335" s="2" t="s">
        <v>85</v>
      </c>
      <c r="C335" s="16" t="s">
        <v>839</v>
      </c>
      <c r="D335" s="2" t="s">
        <v>109</v>
      </c>
      <c r="E335" s="2"/>
      <c r="F335" s="2"/>
      <c r="G335" s="2"/>
      <c r="H335" s="2" t="s">
        <v>145</v>
      </c>
      <c r="I335" s="2"/>
      <c r="J335" s="2"/>
      <c r="K335" s="3">
        <v>1067.7</v>
      </c>
      <c r="L335" s="4">
        <v>0.1</v>
      </c>
      <c r="M335" s="4">
        <v>0.1794</v>
      </c>
      <c r="N335" s="2"/>
      <c r="O335" s="2"/>
      <c r="P335" s="2"/>
      <c r="Q335" s="2"/>
      <c r="R335" s="2"/>
      <c r="S335" s="2">
        <v>0.19</v>
      </c>
      <c r="T335" s="2"/>
      <c r="U335" s="4">
        <v>1.16472</v>
      </c>
      <c r="V335" s="4">
        <v>1.3303199999999999</v>
      </c>
      <c r="W335" s="4">
        <v>8.5559999999999997E-2</v>
      </c>
      <c r="X335" s="4"/>
      <c r="Y335" s="4"/>
      <c r="Z335" s="2"/>
      <c r="AA335" s="2"/>
      <c r="AB335" s="2"/>
      <c r="AC335" s="2"/>
      <c r="AD335" s="2"/>
      <c r="AE335" s="2"/>
      <c r="AF335" s="3">
        <v>1789.2</v>
      </c>
      <c r="AG335" s="4">
        <v>0.1</v>
      </c>
      <c r="AH335" s="4">
        <v>0.15859999999999999</v>
      </c>
      <c r="AI335" s="2"/>
      <c r="AJ335" s="2"/>
      <c r="AK335" s="2"/>
      <c r="AL335" s="2"/>
      <c r="AM335" s="2"/>
      <c r="AN335" s="2">
        <v>0.19</v>
      </c>
      <c r="AO335" s="2"/>
      <c r="AP335" s="4">
        <v>1.0296799999999999</v>
      </c>
      <c r="AQ335" s="4">
        <v>1.17608</v>
      </c>
      <c r="AR335" s="4">
        <v>7.5639999999999999E-2</v>
      </c>
      <c r="AS335" s="4"/>
      <c r="AT335" s="4"/>
      <c r="AU335" s="2"/>
      <c r="AV335" s="2"/>
      <c r="AW335" s="2"/>
      <c r="AX335" s="2"/>
      <c r="AY335" s="2"/>
      <c r="AZ335" s="2"/>
      <c r="BA335" s="2">
        <v>826.6</v>
      </c>
      <c r="BB335" s="4">
        <v>0.1</v>
      </c>
      <c r="BC335" s="4">
        <v>0.14235</v>
      </c>
      <c r="BD335" s="2"/>
      <c r="BE335" s="2"/>
      <c r="BF335" s="2"/>
      <c r="BG335" s="2"/>
      <c r="BH335" s="2"/>
      <c r="BI335" s="2">
        <v>0.19</v>
      </c>
      <c r="BJ335" s="2"/>
      <c r="BK335" s="4">
        <v>0.92418</v>
      </c>
      <c r="BL335" s="4">
        <v>1.05558</v>
      </c>
      <c r="BM335" s="4">
        <v>6.7889999999999992E-2</v>
      </c>
      <c r="BN335" s="4"/>
      <c r="BO335" s="4"/>
      <c r="BP335" s="2"/>
      <c r="BQ335" s="2"/>
      <c r="BR335" s="2"/>
      <c r="BS335" s="2"/>
      <c r="BT335" s="2"/>
      <c r="BU335" s="2"/>
      <c r="BV335" s="2">
        <v>750.9</v>
      </c>
      <c r="BW335" s="4">
        <v>0.1</v>
      </c>
      <c r="BX335" s="4">
        <v>0.1976</v>
      </c>
      <c r="BY335" s="2"/>
      <c r="BZ335" s="2"/>
      <c r="CA335" s="2"/>
      <c r="CB335" s="2"/>
      <c r="CC335" s="2"/>
      <c r="CD335" s="2">
        <v>0.19</v>
      </c>
      <c r="CE335" s="2"/>
      <c r="CF335" s="4">
        <v>1.28288</v>
      </c>
      <c r="CG335" s="4">
        <v>1.4652799999999999</v>
      </c>
      <c r="CH335" s="4">
        <v>9.4240000000000004E-2</v>
      </c>
      <c r="CI335" s="4"/>
      <c r="CJ335" s="4"/>
      <c r="CK335" s="2"/>
      <c r="CL335" s="2"/>
      <c r="CM335" s="2"/>
      <c r="CN335" s="2"/>
      <c r="CO335" s="2"/>
      <c r="CP335" s="2"/>
      <c r="CQ335" s="2">
        <v>449.4</v>
      </c>
      <c r="CR335" s="4">
        <v>0.1</v>
      </c>
      <c r="CS335" s="4">
        <v>0.20085</v>
      </c>
      <c r="CT335" s="2"/>
      <c r="CU335" s="2"/>
      <c r="CV335" s="2"/>
      <c r="CW335" s="2"/>
      <c r="CX335" s="2"/>
      <c r="CY335" s="2">
        <v>0.19</v>
      </c>
      <c r="CZ335" s="2"/>
      <c r="DA335" s="4">
        <v>1.3039799999999999</v>
      </c>
      <c r="DB335" s="4">
        <v>1.4893799999999999</v>
      </c>
      <c r="DC335" s="4">
        <v>9.579E-2</v>
      </c>
      <c r="DD335" s="4"/>
      <c r="DE335" s="4"/>
      <c r="DF335" s="2"/>
      <c r="DG335" s="2"/>
      <c r="DH335" s="2"/>
      <c r="DI335" s="2"/>
      <c r="DJ335" s="2"/>
      <c r="DK335" s="2"/>
      <c r="DL335" s="14" t="s">
        <v>81</v>
      </c>
      <c r="DM335" s="2"/>
      <c r="DN335" s="2">
        <f t="shared" si="49"/>
        <v>0.19</v>
      </c>
      <c r="DO335" s="2">
        <f t="shared" si="50"/>
        <v>0</v>
      </c>
      <c r="DP335" s="2" t="s">
        <v>95</v>
      </c>
      <c r="DQ335" s="2" t="s">
        <v>3</v>
      </c>
      <c r="DR335" s="3">
        <f t="shared" si="51"/>
        <v>3683.5</v>
      </c>
      <c r="DS335" s="4">
        <f t="shared" si="52"/>
        <v>0.19</v>
      </c>
      <c r="DT335" s="18">
        <f t="shared" si="53"/>
        <v>6998.65</v>
      </c>
      <c r="DU335" s="2"/>
      <c r="DV335" s="3">
        <f t="shared" si="54"/>
        <v>1200.3</v>
      </c>
      <c r="DW335" s="2">
        <f t="shared" si="71"/>
        <v>0.19</v>
      </c>
      <c r="DX335" s="3">
        <f t="shared" si="72"/>
        <v>2280.5700000000002</v>
      </c>
      <c r="DY335" s="2"/>
      <c r="DZ335" s="2" t="s">
        <v>3</v>
      </c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 t="s">
        <v>3</v>
      </c>
      <c r="FR335" s="2" t="s">
        <v>89</v>
      </c>
      <c r="FS335" s="2" t="s">
        <v>90</v>
      </c>
      <c r="FT335" s="2" t="s">
        <v>162</v>
      </c>
      <c r="FU335" s="2" t="s">
        <v>130</v>
      </c>
      <c r="FV335" s="2" t="s">
        <v>3</v>
      </c>
    </row>
    <row r="336" spans="1:178" ht="15.75" customHeight="1" x14ac:dyDescent="0.2">
      <c r="A336" s="14" t="s">
        <v>96</v>
      </c>
      <c r="B336" s="2" t="s">
        <v>193</v>
      </c>
      <c r="C336" s="16" t="s">
        <v>840</v>
      </c>
      <c r="D336" s="2" t="s">
        <v>99</v>
      </c>
      <c r="E336" s="2"/>
      <c r="F336" s="2"/>
      <c r="G336" s="2"/>
      <c r="H336" s="2" t="s">
        <v>79</v>
      </c>
      <c r="I336" s="2"/>
      <c r="J336" s="2"/>
      <c r="K336" s="2">
        <v>0</v>
      </c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>
        <v>0</v>
      </c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>
        <v>0.21299999999999999</v>
      </c>
      <c r="BB336" s="4">
        <v>0.2</v>
      </c>
      <c r="BC336" s="2"/>
      <c r="BD336" s="2"/>
      <c r="BE336" s="2"/>
      <c r="BF336" s="2"/>
      <c r="BG336" s="2"/>
      <c r="BH336" s="2"/>
      <c r="BI336" s="4">
        <v>1.4</v>
      </c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>
        <v>0</v>
      </c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>
        <v>0</v>
      </c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14" t="s">
        <v>100</v>
      </c>
      <c r="DM336" s="2"/>
      <c r="DN336" s="2">
        <f t="shared" si="49"/>
        <v>1.4</v>
      </c>
      <c r="DO336" s="2">
        <f t="shared" si="50"/>
        <v>0</v>
      </c>
      <c r="DP336" s="2" t="s">
        <v>195</v>
      </c>
      <c r="DQ336" s="2" t="s">
        <v>3</v>
      </c>
      <c r="DR336" s="2">
        <f t="shared" si="51"/>
        <v>0.21299999999999999</v>
      </c>
      <c r="DS336" s="2">
        <f t="shared" si="52"/>
        <v>1.4</v>
      </c>
      <c r="DT336" s="15">
        <f t="shared" si="53"/>
        <v>2.9819999999999998</v>
      </c>
      <c r="DU336" s="2"/>
      <c r="DV336" s="2">
        <f t="shared" si="54"/>
        <v>0</v>
      </c>
      <c r="DW336" s="2"/>
      <c r="DX336" s="2"/>
      <c r="DY336" s="2"/>
      <c r="DZ336" s="2" t="s">
        <v>3</v>
      </c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 t="s">
        <v>3</v>
      </c>
      <c r="FR336" s="2" t="s">
        <v>89</v>
      </c>
      <c r="FS336" s="2" t="s">
        <v>123</v>
      </c>
      <c r="FT336" s="2"/>
      <c r="FU336" s="2"/>
      <c r="FV336" s="2" t="s">
        <v>3</v>
      </c>
    </row>
    <row r="337" spans="1:178" ht="15.75" customHeight="1" x14ac:dyDescent="0.2">
      <c r="A337" s="14" t="s">
        <v>127</v>
      </c>
      <c r="B337" s="2" t="s">
        <v>85</v>
      </c>
      <c r="C337" s="16" t="s">
        <v>841</v>
      </c>
      <c r="D337" s="2" t="s">
        <v>99</v>
      </c>
      <c r="E337" s="2"/>
      <c r="F337" s="2"/>
      <c r="G337" s="2"/>
      <c r="H337" s="2" t="s">
        <v>842</v>
      </c>
      <c r="I337" s="2"/>
      <c r="J337" s="2"/>
      <c r="K337" s="2">
        <v>0</v>
      </c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>
        <v>0</v>
      </c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>
        <v>39.700000000000003</v>
      </c>
      <c r="BB337" s="2">
        <v>8.5000000000000006E-2</v>
      </c>
      <c r="BC337" s="2"/>
      <c r="BD337" s="2"/>
      <c r="BE337" s="2"/>
      <c r="BF337" s="2"/>
      <c r="BG337" s="2"/>
      <c r="BH337" s="2"/>
      <c r="BI337" s="2">
        <v>0.22</v>
      </c>
      <c r="BJ337" s="2"/>
      <c r="BK337" s="2">
        <v>0.22</v>
      </c>
      <c r="BL337" s="2">
        <v>0.33</v>
      </c>
      <c r="BM337" s="2"/>
      <c r="BN337" s="2"/>
      <c r="BO337" s="2"/>
      <c r="BP337" s="2"/>
      <c r="BQ337" s="2"/>
      <c r="BR337" s="2"/>
      <c r="BS337" s="2"/>
      <c r="BT337" s="2"/>
      <c r="BU337" s="2"/>
      <c r="BV337" s="2">
        <v>0</v>
      </c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>
        <v>0</v>
      </c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14" t="s">
        <v>81</v>
      </c>
      <c r="DM337" s="2"/>
      <c r="DN337" s="2">
        <f t="shared" si="49"/>
        <v>0.21999999999999997</v>
      </c>
      <c r="DO337" s="2">
        <f t="shared" si="50"/>
        <v>0</v>
      </c>
      <c r="DP337" s="2" t="s">
        <v>501</v>
      </c>
      <c r="DQ337" s="2" t="s">
        <v>3</v>
      </c>
      <c r="DR337" s="2">
        <f t="shared" si="51"/>
        <v>39.700000000000003</v>
      </c>
      <c r="DS337" s="4">
        <f t="shared" si="52"/>
        <v>0.21999999999999997</v>
      </c>
      <c r="DT337" s="15">
        <f t="shared" si="53"/>
        <v>87.339999999999975</v>
      </c>
      <c r="DU337" s="2"/>
      <c r="DV337" s="2">
        <f t="shared" si="54"/>
        <v>0</v>
      </c>
      <c r="DW337" s="2"/>
      <c r="DX337" s="2"/>
      <c r="DY337" s="2"/>
      <c r="DZ337" s="2" t="s">
        <v>3</v>
      </c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 t="s">
        <v>3</v>
      </c>
      <c r="FR337" s="2" t="s">
        <v>89</v>
      </c>
      <c r="FS337" s="2" t="s">
        <v>90</v>
      </c>
      <c r="FT337" s="2" t="s">
        <v>162</v>
      </c>
      <c r="FU337" s="2" t="s">
        <v>130</v>
      </c>
      <c r="FV337" s="2" t="s">
        <v>3</v>
      </c>
    </row>
    <row r="338" spans="1:178" ht="15.75" customHeight="1" x14ac:dyDescent="0.2">
      <c r="A338" s="12" t="s">
        <v>74</v>
      </c>
      <c r="B338" s="2" t="s">
        <v>185</v>
      </c>
      <c r="C338" s="13" t="s">
        <v>843</v>
      </c>
      <c r="D338" s="2" t="s">
        <v>99</v>
      </c>
      <c r="E338" s="2"/>
      <c r="F338" s="2"/>
      <c r="G338" s="2"/>
      <c r="H338" s="2" t="s">
        <v>79</v>
      </c>
      <c r="I338" s="2"/>
      <c r="J338" s="2"/>
      <c r="K338" s="2">
        <v>0</v>
      </c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>
        <v>0</v>
      </c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>
        <v>244.6</v>
      </c>
      <c r="BB338" s="2"/>
      <c r="BC338" s="2"/>
      <c r="BD338" s="2"/>
      <c r="BE338" s="2"/>
      <c r="BF338" s="2"/>
      <c r="BG338" s="2"/>
      <c r="BH338" s="2"/>
      <c r="BI338" s="2">
        <v>0.7</v>
      </c>
      <c r="BJ338" s="2"/>
      <c r="BK338" s="2"/>
      <c r="BL338" s="2"/>
      <c r="BM338" s="2"/>
      <c r="BN338" s="2"/>
      <c r="BO338" s="2"/>
      <c r="BP338" s="2">
        <v>1.1599999999999999</v>
      </c>
      <c r="BQ338" s="2">
        <v>21.47</v>
      </c>
      <c r="BR338" s="2"/>
      <c r="BS338" s="2"/>
      <c r="BT338" s="2"/>
      <c r="BU338" s="2"/>
      <c r="BV338" s="2">
        <v>0</v>
      </c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>
        <v>0</v>
      </c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14" t="s">
        <v>100</v>
      </c>
      <c r="DM338" s="2"/>
      <c r="DN338" s="2">
        <f t="shared" si="49"/>
        <v>0.70000000000000007</v>
      </c>
      <c r="DO338" s="2">
        <f t="shared" si="50"/>
        <v>0</v>
      </c>
      <c r="DP338" s="2" t="s">
        <v>113</v>
      </c>
      <c r="DQ338" s="2" t="s">
        <v>3</v>
      </c>
      <c r="DR338" s="2">
        <f t="shared" si="51"/>
        <v>244.6</v>
      </c>
      <c r="DS338" s="2">
        <f t="shared" si="52"/>
        <v>0.70000000000000007</v>
      </c>
      <c r="DT338" s="18">
        <f t="shared" si="53"/>
        <v>1712.2000000000003</v>
      </c>
      <c r="DU338" s="2"/>
      <c r="DV338" s="2">
        <f t="shared" si="54"/>
        <v>0</v>
      </c>
      <c r="DW338" s="2"/>
      <c r="DX338" s="2"/>
      <c r="DY338" s="2"/>
      <c r="DZ338" s="2" t="s">
        <v>3</v>
      </c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 t="s">
        <v>3</v>
      </c>
      <c r="FR338" s="2" t="s">
        <v>37</v>
      </c>
      <c r="FS338" s="2" t="s">
        <v>235</v>
      </c>
      <c r="FT338" s="2" t="s">
        <v>235</v>
      </c>
      <c r="FU338" s="2"/>
      <c r="FV338" s="2" t="s">
        <v>3</v>
      </c>
    </row>
    <row r="339" spans="1:178" ht="15.75" customHeight="1" x14ac:dyDescent="0.2">
      <c r="A339" s="14" t="s">
        <v>96</v>
      </c>
      <c r="B339" s="2" t="s">
        <v>97</v>
      </c>
      <c r="C339" s="16" t="s">
        <v>844</v>
      </c>
      <c r="D339" s="2" t="s">
        <v>99</v>
      </c>
      <c r="E339" s="2"/>
      <c r="F339" s="2"/>
      <c r="G339" s="2"/>
      <c r="H339" s="2" t="s">
        <v>79</v>
      </c>
      <c r="I339" s="2"/>
      <c r="J339" s="2"/>
      <c r="K339" s="2">
        <v>0</v>
      </c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>
        <v>0</v>
      </c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>
        <v>13.1</v>
      </c>
      <c r="BB339" s="2">
        <v>0.2</v>
      </c>
      <c r="BC339" s="2"/>
      <c r="BD339" s="2"/>
      <c r="BE339" s="2"/>
      <c r="BF339" s="2"/>
      <c r="BG339" s="2"/>
      <c r="BH339" s="2"/>
      <c r="BI339" s="2">
        <v>0.24</v>
      </c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>
        <v>0</v>
      </c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>
        <v>0</v>
      </c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14" t="s">
        <v>100</v>
      </c>
      <c r="DM339" s="2"/>
      <c r="DN339" s="2">
        <f t="shared" si="49"/>
        <v>0.24</v>
      </c>
      <c r="DO339" s="2">
        <f t="shared" si="50"/>
        <v>0</v>
      </c>
      <c r="DP339" s="2" t="s">
        <v>132</v>
      </c>
      <c r="DQ339" s="2" t="s">
        <v>3</v>
      </c>
      <c r="DR339" s="2">
        <f t="shared" si="51"/>
        <v>13.1</v>
      </c>
      <c r="DS339" s="2">
        <f t="shared" si="52"/>
        <v>0.24</v>
      </c>
      <c r="DT339" s="15">
        <f t="shared" si="53"/>
        <v>31.44</v>
      </c>
      <c r="DU339" s="2"/>
      <c r="DV339" s="2">
        <f t="shared" si="54"/>
        <v>0</v>
      </c>
      <c r="DW339" s="2"/>
      <c r="DX339" s="2"/>
      <c r="DY339" s="2"/>
      <c r="DZ339" s="2" t="s">
        <v>3</v>
      </c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 t="s">
        <v>3</v>
      </c>
      <c r="FR339" s="2" t="s">
        <v>89</v>
      </c>
      <c r="FS339" s="2" t="s">
        <v>90</v>
      </c>
      <c r="FT339" s="2"/>
      <c r="FU339" s="2"/>
      <c r="FV339" s="2" t="s">
        <v>3</v>
      </c>
    </row>
    <row r="340" spans="1:178" ht="15.75" customHeight="1" x14ac:dyDescent="0.2">
      <c r="A340" s="14" t="s">
        <v>96</v>
      </c>
      <c r="B340" s="2" t="s">
        <v>97</v>
      </c>
      <c r="C340" s="16" t="s">
        <v>845</v>
      </c>
      <c r="D340" s="2" t="s">
        <v>99</v>
      </c>
      <c r="E340" s="2"/>
      <c r="F340" s="2"/>
      <c r="G340" s="2"/>
      <c r="H340" s="2" t="s">
        <v>79</v>
      </c>
      <c r="I340" s="2"/>
      <c r="J340" s="2"/>
      <c r="K340" s="2">
        <v>0</v>
      </c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>
        <v>0</v>
      </c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>
        <v>8.16</v>
      </c>
      <c r="BB340" s="2">
        <v>2.9</v>
      </c>
      <c r="BC340" s="2">
        <v>2.2000000000000002</v>
      </c>
      <c r="BD340" s="2">
        <v>5.2</v>
      </c>
      <c r="BE340" s="2"/>
      <c r="BF340" s="2"/>
      <c r="BG340" s="2"/>
      <c r="BH340" s="2"/>
      <c r="BI340" s="2">
        <v>5.0999999999999996</v>
      </c>
      <c r="BJ340" s="2">
        <v>0.23</v>
      </c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>
        <v>0</v>
      </c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>
        <v>0</v>
      </c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14" t="s">
        <v>100</v>
      </c>
      <c r="DM340" s="2" t="s">
        <v>100</v>
      </c>
      <c r="DN340" s="2">
        <f t="shared" si="49"/>
        <v>5.0999999999999996</v>
      </c>
      <c r="DO340" s="2">
        <f t="shared" si="50"/>
        <v>0.23</v>
      </c>
      <c r="DP340" s="2" t="s">
        <v>132</v>
      </c>
      <c r="DQ340" s="2" t="s">
        <v>3</v>
      </c>
      <c r="DR340" s="2">
        <f t="shared" si="51"/>
        <v>8.16</v>
      </c>
      <c r="DS340" s="2">
        <f t="shared" si="52"/>
        <v>5.0999999999999996</v>
      </c>
      <c r="DT340" s="15">
        <f t="shared" si="53"/>
        <v>416.16</v>
      </c>
      <c r="DU340" s="2"/>
      <c r="DV340" s="2">
        <f t="shared" si="54"/>
        <v>0</v>
      </c>
      <c r="DW340" s="2"/>
      <c r="DX340" s="2"/>
      <c r="DY340" s="2"/>
      <c r="DZ340" s="2" t="s">
        <v>3</v>
      </c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 t="s">
        <v>3</v>
      </c>
      <c r="FR340" s="2" t="s">
        <v>89</v>
      </c>
      <c r="FS340" s="2" t="s">
        <v>90</v>
      </c>
      <c r="FT340" s="2"/>
      <c r="FU340" s="2"/>
      <c r="FV340" s="2" t="s">
        <v>3</v>
      </c>
    </row>
    <row r="341" spans="1:178" ht="15.75" customHeight="1" x14ac:dyDescent="0.2">
      <c r="A341" s="14" t="s">
        <v>96</v>
      </c>
      <c r="B341" s="2" t="s">
        <v>97</v>
      </c>
      <c r="C341" s="16" t="s">
        <v>846</v>
      </c>
      <c r="D341" s="2" t="s">
        <v>99</v>
      </c>
      <c r="E341" s="2"/>
      <c r="F341" s="2"/>
      <c r="G341" s="2"/>
      <c r="H341" s="2" t="s">
        <v>79</v>
      </c>
      <c r="I341" s="2"/>
      <c r="J341" s="2"/>
      <c r="K341" s="2">
        <v>0</v>
      </c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>
        <v>0</v>
      </c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>
        <v>0.71</v>
      </c>
      <c r="BB341" s="2">
        <v>2.06</v>
      </c>
      <c r="BC341" s="2">
        <v>2.2000000000000002</v>
      </c>
      <c r="BD341" s="2">
        <v>5.2</v>
      </c>
      <c r="BE341" s="2"/>
      <c r="BF341" s="2"/>
      <c r="BG341" s="2"/>
      <c r="BH341" s="2"/>
      <c r="BI341" s="2">
        <v>3.23</v>
      </c>
      <c r="BJ341" s="2">
        <v>0.15</v>
      </c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>
        <v>0</v>
      </c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>
        <v>0</v>
      </c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14" t="s">
        <v>100</v>
      </c>
      <c r="DM341" s="2" t="s">
        <v>100</v>
      </c>
      <c r="DN341" s="2">
        <f t="shared" si="49"/>
        <v>3.23</v>
      </c>
      <c r="DO341" s="2">
        <f t="shared" si="50"/>
        <v>0.15</v>
      </c>
      <c r="DP341" s="2" t="s">
        <v>132</v>
      </c>
      <c r="DQ341" s="2" t="s">
        <v>3</v>
      </c>
      <c r="DR341" s="2">
        <f t="shared" si="51"/>
        <v>0.71</v>
      </c>
      <c r="DS341" s="2">
        <f t="shared" si="52"/>
        <v>3.23</v>
      </c>
      <c r="DT341" s="15">
        <f t="shared" si="53"/>
        <v>22.933000000000003</v>
      </c>
      <c r="DU341" s="2"/>
      <c r="DV341" s="2">
        <f t="shared" si="54"/>
        <v>0</v>
      </c>
      <c r="DW341" s="2"/>
      <c r="DX341" s="2"/>
      <c r="DY341" s="2"/>
      <c r="DZ341" s="2" t="s">
        <v>3</v>
      </c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 t="s">
        <v>3</v>
      </c>
      <c r="FR341" s="2" t="s">
        <v>89</v>
      </c>
      <c r="FS341" s="2" t="s">
        <v>90</v>
      </c>
      <c r="FT341" s="2"/>
      <c r="FU341" s="2"/>
      <c r="FV341" s="2" t="s">
        <v>3</v>
      </c>
    </row>
    <row r="342" spans="1:178" ht="15.75" customHeight="1" x14ac:dyDescent="0.2">
      <c r="A342" s="14" t="s">
        <v>96</v>
      </c>
      <c r="B342" s="2" t="s">
        <v>97</v>
      </c>
      <c r="C342" s="16" t="s">
        <v>847</v>
      </c>
      <c r="D342" s="2" t="s">
        <v>99</v>
      </c>
      <c r="E342" s="2"/>
      <c r="F342" s="2"/>
      <c r="G342" s="2"/>
      <c r="H342" s="2" t="s">
        <v>79</v>
      </c>
      <c r="I342" s="2"/>
      <c r="J342" s="2"/>
      <c r="K342" s="2">
        <v>0</v>
      </c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>
        <v>0</v>
      </c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>
        <v>131.19999999999999</v>
      </c>
      <c r="BB342" s="2">
        <v>0.17</v>
      </c>
      <c r="BC342" s="2"/>
      <c r="BD342" s="2"/>
      <c r="BE342" s="2"/>
      <c r="BF342" s="2"/>
      <c r="BG342" s="2"/>
      <c r="BH342" s="2"/>
      <c r="BI342" s="2">
        <v>0.33</v>
      </c>
      <c r="BJ342" s="2">
        <v>1.4E-2</v>
      </c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>
        <v>0</v>
      </c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>
        <v>0</v>
      </c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14" t="s">
        <v>100</v>
      </c>
      <c r="DM342" s="2" t="s">
        <v>100</v>
      </c>
      <c r="DN342" s="2">
        <f t="shared" si="49"/>
        <v>0.33</v>
      </c>
      <c r="DO342" s="2">
        <f t="shared" si="50"/>
        <v>1.4E-2</v>
      </c>
      <c r="DP342" s="2" t="s">
        <v>132</v>
      </c>
      <c r="DQ342" s="2" t="s">
        <v>3</v>
      </c>
      <c r="DR342" s="2">
        <f t="shared" si="51"/>
        <v>131.19999999999999</v>
      </c>
      <c r="DS342" s="2">
        <f t="shared" si="52"/>
        <v>0.33</v>
      </c>
      <c r="DT342" s="15">
        <f t="shared" si="53"/>
        <v>432.96</v>
      </c>
      <c r="DU342" s="2"/>
      <c r="DV342" s="2">
        <f t="shared" si="54"/>
        <v>0</v>
      </c>
      <c r="DW342" s="2"/>
      <c r="DX342" s="2"/>
      <c r="DY342" s="2"/>
      <c r="DZ342" s="2" t="s">
        <v>3</v>
      </c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 t="s">
        <v>3</v>
      </c>
      <c r="FR342" s="2" t="s">
        <v>89</v>
      </c>
      <c r="FS342" s="2" t="s">
        <v>90</v>
      </c>
      <c r="FT342" s="2"/>
      <c r="FU342" s="2"/>
      <c r="FV342" s="2" t="s">
        <v>3</v>
      </c>
    </row>
    <row r="343" spans="1:178" ht="15.75" customHeight="1" x14ac:dyDescent="0.2">
      <c r="A343" s="12" t="s">
        <v>74</v>
      </c>
      <c r="B343" s="2" t="s">
        <v>115</v>
      </c>
      <c r="C343" s="13" t="s">
        <v>848</v>
      </c>
      <c r="D343" s="2" t="s">
        <v>99</v>
      </c>
      <c r="E343" s="2"/>
      <c r="F343" s="2"/>
      <c r="G343" s="2"/>
      <c r="H343" s="2" t="s">
        <v>79</v>
      </c>
      <c r="I343" s="2"/>
      <c r="J343" s="2"/>
      <c r="K343" s="2">
        <v>0</v>
      </c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>
        <v>0</v>
      </c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>
        <v>49.966000000000001</v>
      </c>
      <c r="BB343" s="2"/>
      <c r="BC343" s="2"/>
      <c r="BD343" s="2"/>
      <c r="BE343" s="2"/>
      <c r="BF343" s="2"/>
      <c r="BG343" s="2"/>
      <c r="BH343" s="2"/>
      <c r="BI343" s="2">
        <v>1.26</v>
      </c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>
        <v>0</v>
      </c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>
        <v>0</v>
      </c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14" t="s">
        <v>100</v>
      </c>
      <c r="DM343" s="2"/>
      <c r="DN343" s="2">
        <f t="shared" si="49"/>
        <v>1.26</v>
      </c>
      <c r="DO343" s="2">
        <f t="shared" si="50"/>
        <v>0</v>
      </c>
      <c r="DP343" s="2" t="s">
        <v>117</v>
      </c>
      <c r="DQ343" s="2" t="s">
        <v>3</v>
      </c>
      <c r="DR343" s="4">
        <f t="shared" si="51"/>
        <v>49.966000000000001</v>
      </c>
      <c r="DS343" s="2">
        <f t="shared" si="52"/>
        <v>1.26</v>
      </c>
      <c r="DT343" s="15">
        <f t="shared" si="53"/>
        <v>629.57159999999999</v>
      </c>
      <c r="DU343" s="2"/>
      <c r="DV343" s="2">
        <f t="shared" si="54"/>
        <v>0</v>
      </c>
      <c r="DW343" s="2"/>
      <c r="DX343" s="2"/>
      <c r="DY343" s="2"/>
      <c r="DZ343" s="2" t="s">
        <v>3</v>
      </c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 t="s">
        <v>3</v>
      </c>
      <c r="FR343" s="2" t="s">
        <v>37</v>
      </c>
      <c r="FS343" s="2" t="s">
        <v>106</v>
      </c>
      <c r="FT343" s="2"/>
      <c r="FU343" s="2"/>
      <c r="FV343" s="2" t="s">
        <v>3</v>
      </c>
    </row>
    <row r="344" spans="1:178" ht="15.75" customHeight="1" x14ac:dyDescent="0.2">
      <c r="A344" s="12" t="s">
        <v>74</v>
      </c>
      <c r="B344" s="2" t="s">
        <v>75</v>
      </c>
      <c r="C344" s="13" t="s">
        <v>849</v>
      </c>
      <c r="D344" s="2" t="s">
        <v>99</v>
      </c>
      <c r="E344" s="2"/>
      <c r="F344" s="2"/>
      <c r="G344" s="2" t="s">
        <v>78</v>
      </c>
      <c r="H344" s="2" t="s">
        <v>228</v>
      </c>
      <c r="I344" s="2"/>
      <c r="J344" s="2" t="s">
        <v>141</v>
      </c>
      <c r="K344" s="2">
        <v>0</v>
      </c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>
        <v>0</v>
      </c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>
        <v>43</v>
      </c>
      <c r="BB344" s="2"/>
      <c r="BC344" s="2"/>
      <c r="BD344" s="2"/>
      <c r="BE344" s="2"/>
      <c r="BF344" s="2"/>
      <c r="BG344" s="2"/>
      <c r="BH344" s="2"/>
      <c r="BI344" s="2">
        <v>0.8</v>
      </c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>
        <v>0</v>
      </c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>
        <v>0</v>
      </c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14" t="s">
        <v>81</v>
      </c>
      <c r="DM344" s="2"/>
      <c r="DN344" s="2">
        <f t="shared" si="49"/>
        <v>0.79999999999999993</v>
      </c>
      <c r="DO344" s="2">
        <f t="shared" si="50"/>
        <v>0</v>
      </c>
      <c r="DP344" s="2" t="s">
        <v>82</v>
      </c>
      <c r="DQ344" s="2" t="s">
        <v>3</v>
      </c>
      <c r="DR344" s="2">
        <f t="shared" si="51"/>
        <v>43</v>
      </c>
      <c r="DS344" s="4">
        <f t="shared" si="52"/>
        <v>0.79999999999999993</v>
      </c>
      <c r="DT344" s="15">
        <f t="shared" si="53"/>
        <v>344</v>
      </c>
      <c r="DU344" s="2"/>
      <c r="DV344" s="2">
        <f t="shared" si="54"/>
        <v>0</v>
      </c>
      <c r="DW344" s="2"/>
      <c r="DX344" s="2"/>
      <c r="DY344" s="2"/>
      <c r="DZ344" s="2" t="s">
        <v>3</v>
      </c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 t="s">
        <v>3</v>
      </c>
      <c r="FR344" s="2" t="s">
        <v>37</v>
      </c>
      <c r="FS344" s="2" t="s">
        <v>229</v>
      </c>
      <c r="FT344" s="2" t="s">
        <v>106</v>
      </c>
      <c r="FU344" s="2"/>
      <c r="FV344" s="2" t="s">
        <v>3</v>
      </c>
    </row>
    <row r="345" spans="1:178" ht="15.75" customHeight="1" x14ac:dyDescent="0.2">
      <c r="A345" s="12" t="s">
        <v>74</v>
      </c>
      <c r="B345" s="2" t="s">
        <v>115</v>
      </c>
      <c r="C345" s="13" t="s">
        <v>850</v>
      </c>
      <c r="D345" s="2" t="s">
        <v>99</v>
      </c>
      <c r="E345" s="2"/>
      <c r="F345" s="2"/>
      <c r="G345" s="2"/>
      <c r="H345" s="2" t="s">
        <v>79</v>
      </c>
      <c r="I345" s="2"/>
      <c r="J345" s="2"/>
      <c r="K345" s="2">
        <v>0</v>
      </c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>
        <v>0</v>
      </c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>
        <v>38.6</v>
      </c>
      <c r="BB345" s="2"/>
      <c r="BC345" s="2"/>
      <c r="BD345" s="2"/>
      <c r="BE345" s="2"/>
      <c r="BF345" s="2"/>
      <c r="BG345" s="2"/>
      <c r="BH345" s="2"/>
      <c r="BI345" s="2">
        <v>1.1000000000000001</v>
      </c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>
        <v>0</v>
      </c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>
        <v>0</v>
      </c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14" t="s">
        <v>100</v>
      </c>
      <c r="DM345" s="2"/>
      <c r="DN345" s="2">
        <f t="shared" si="49"/>
        <v>1.1000000000000001</v>
      </c>
      <c r="DO345" s="2">
        <f t="shared" si="50"/>
        <v>0</v>
      </c>
      <c r="DP345" s="2" t="s">
        <v>113</v>
      </c>
      <c r="DQ345" s="2" t="s">
        <v>3</v>
      </c>
      <c r="DR345" s="2">
        <f t="shared" si="51"/>
        <v>38.6</v>
      </c>
      <c r="DS345" s="2">
        <f t="shared" si="52"/>
        <v>1.1000000000000001</v>
      </c>
      <c r="DT345" s="15">
        <f t="shared" si="53"/>
        <v>424.6</v>
      </c>
      <c r="DU345" s="2"/>
      <c r="DV345" s="2">
        <f t="shared" si="54"/>
        <v>0</v>
      </c>
      <c r="DW345" s="2"/>
      <c r="DX345" s="2"/>
      <c r="DY345" s="2"/>
      <c r="DZ345" s="2" t="s">
        <v>3</v>
      </c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 t="s">
        <v>3</v>
      </c>
      <c r="FR345" s="2" t="s">
        <v>37</v>
      </c>
      <c r="FS345" s="2" t="s">
        <v>188</v>
      </c>
      <c r="FT345" s="2" t="s">
        <v>188</v>
      </c>
      <c r="FU345" s="2"/>
      <c r="FV345" s="2" t="s">
        <v>3</v>
      </c>
    </row>
    <row r="346" spans="1:178" ht="15.75" customHeight="1" x14ac:dyDescent="0.2">
      <c r="A346" s="12" t="s">
        <v>74</v>
      </c>
      <c r="B346" s="2" t="s">
        <v>115</v>
      </c>
      <c r="C346" s="13" t="s">
        <v>851</v>
      </c>
      <c r="D346" s="2" t="s">
        <v>99</v>
      </c>
      <c r="E346" s="2"/>
      <c r="F346" s="2"/>
      <c r="G346" s="2"/>
      <c r="H346" s="2" t="s">
        <v>79</v>
      </c>
      <c r="I346" s="2"/>
      <c r="J346" s="2"/>
      <c r="K346" s="2">
        <v>0</v>
      </c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>
        <v>0</v>
      </c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>
        <f>31-6.9</f>
        <v>24.1</v>
      </c>
      <c r="BB346" s="2"/>
      <c r="BC346" s="2"/>
      <c r="BD346" s="2"/>
      <c r="BE346" s="2"/>
      <c r="BF346" s="2"/>
      <c r="BG346" s="2"/>
      <c r="BH346" s="2"/>
      <c r="BI346" s="2">
        <v>1.3</v>
      </c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>
        <v>0</v>
      </c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>
        <v>0</v>
      </c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14" t="s">
        <v>100</v>
      </c>
      <c r="DM346" s="2"/>
      <c r="DN346" s="2">
        <f t="shared" si="49"/>
        <v>1.3</v>
      </c>
      <c r="DO346" s="2">
        <f t="shared" si="50"/>
        <v>0</v>
      </c>
      <c r="DP346" s="2" t="s">
        <v>113</v>
      </c>
      <c r="DQ346" s="2" t="s">
        <v>3</v>
      </c>
      <c r="DR346" s="2">
        <f t="shared" si="51"/>
        <v>24.1</v>
      </c>
      <c r="DS346" s="2">
        <f t="shared" si="52"/>
        <v>1.3</v>
      </c>
      <c r="DT346" s="15">
        <f t="shared" si="53"/>
        <v>313.3</v>
      </c>
      <c r="DU346" s="2"/>
      <c r="DV346" s="2">
        <f t="shared" si="54"/>
        <v>0</v>
      </c>
      <c r="DW346" s="2"/>
      <c r="DX346" s="2"/>
      <c r="DY346" s="2"/>
      <c r="DZ346" s="2" t="s">
        <v>3</v>
      </c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 t="s">
        <v>3</v>
      </c>
      <c r="FR346" s="2" t="s">
        <v>37</v>
      </c>
      <c r="FS346" s="2" t="s">
        <v>106</v>
      </c>
      <c r="FT346" s="2"/>
      <c r="FU346" s="2"/>
      <c r="FV346" s="2" t="s">
        <v>3</v>
      </c>
    </row>
    <row r="347" spans="1:178" ht="15.75" customHeight="1" x14ac:dyDescent="0.2">
      <c r="A347" s="12" t="s">
        <v>74</v>
      </c>
      <c r="B347" s="2" t="s">
        <v>115</v>
      </c>
      <c r="C347" s="13" t="s">
        <v>852</v>
      </c>
      <c r="D347" s="2" t="s">
        <v>99</v>
      </c>
      <c r="E347" s="2"/>
      <c r="F347" s="2"/>
      <c r="G347" s="2"/>
      <c r="H347" s="2" t="s">
        <v>853</v>
      </c>
      <c r="I347" s="2"/>
      <c r="J347" s="2"/>
      <c r="K347" s="2">
        <v>0</v>
      </c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>
        <v>0</v>
      </c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>
        <f>40.287+17.716</f>
        <v>58.003</v>
      </c>
      <c r="BB347" s="2"/>
      <c r="BC347" s="2"/>
      <c r="BD347" s="2"/>
      <c r="BE347" s="2"/>
      <c r="BF347" s="2"/>
      <c r="BG347" s="2"/>
      <c r="BH347" s="2"/>
      <c r="BI347" s="4">
        <f>(1.79*40.287+1.73*17.716)/BA347</f>
        <v>1.771674051342172</v>
      </c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>
        <v>0</v>
      </c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>
        <v>0</v>
      </c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14" t="s">
        <v>100</v>
      </c>
      <c r="DM347" s="2"/>
      <c r="DN347" s="2">
        <f t="shared" si="49"/>
        <v>1.771674051342172</v>
      </c>
      <c r="DO347" s="2">
        <f t="shared" si="50"/>
        <v>0</v>
      </c>
      <c r="DP347" s="2" t="s">
        <v>854</v>
      </c>
      <c r="DQ347" s="2" t="s">
        <v>3</v>
      </c>
      <c r="DR347" s="4">
        <f t="shared" si="51"/>
        <v>58.003</v>
      </c>
      <c r="DS347" s="4">
        <f t="shared" si="52"/>
        <v>1.771674051342172</v>
      </c>
      <c r="DT347" s="18">
        <f t="shared" si="53"/>
        <v>1027.6241</v>
      </c>
      <c r="DU347" s="2"/>
      <c r="DV347" s="2">
        <f t="shared" si="54"/>
        <v>0</v>
      </c>
      <c r="DW347" s="2"/>
      <c r="DX347" s="2"/>
      <c r="DY347" s="2"/>
      <c r="DZ347" s="2" t="s">
        <v>3</v>
      </c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 t="s">
        <v>3</v>
      </c>
      <c r="FR347" s="2" t="s">
        <v>37</v>
      </c>
      <c r="FS347" s="2" t="s">
        <v>106</v>
      </c>
      <c r="FT347" s="2"/>
      <c r="FU347" s="2"/>
      <c r="FV347" s="2" t="s">
        <v>3</v>
      </c>
    </row>
    <row r="348" spans="1:178" ht="15.75" customHeight="1" x14ac:dyDescent="0.2">
      <c r="A348" s="14" t="s">
        <v>222</v>
      </c>
      <c r="B348" s="2" t="s">
        <v>85</v>
      </c>
      <c r="C348" s="16" t="s">
        <v>855</v>
      </c>
      <c r="D348" s="2"/>
      <c r="E348" s="2"/>
      <c r="F348" s="2"/>
      <c r="G348" s="2"/>
      <c r="H348" s="2" t="s">
        <v>145</v>
      </c>
      <c r="I348" s="2"/>
      <c r="J348" s="2"/>
      <c r="K348" s="2">
        <v>21.2</v>
      </c>
      <c r="L348" s="4">
        <v>2.9148595329822911E-2</v>
      </c>
      <c r="M348" s="4">
        <v>5.6096699999999999E-2</v>
      </c>
      <c r="N348" s="2"/>
      <c r="O348" s="2"/>
      <c r="P348" s="2"/>
      <c r="Q348" s="2"/>
      <c r="R348" s="2"/>
      <c r="S348" s="4">
        <v>0.11240231217618901</v>
      </c>
      <c r="T348" s="2"/>
      <c r="U348" s="4">
        <v>1.9977501000000002</v>
      </c>
      <c r="V348" s="4">
        <v>1.7613503000000001</v>
      </c>
      <c r="W348" s="4">
        <v>0.35968636000000004</v>
      </c>
      <c r="X348" s="2"/>
      <c r="Y348" s="2"/>
      <c r="Z348" s="2"/>
      <c r="AA348" s="2"/>
      <c r="AB348" s="2"/>
      <c r="AC348" s="2"/>
      <c r="AD348" s="2"/>
      <c r="AE348" s="2"/>
      <c r="AF348" s="2">
        <v>0</v>
      </c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>
        <v>0</v>
      </c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>
        <v>11.9</v>
      </c>
      <c r="BW348" s="4">
        <v>2.9148595329822911E-2</v>
      </c>
      <c r="BX348" s="4">
        <v>7.0715840000000002E-2</v>
      </c>
      <c r="BY348" s="2"/>
      <c r="BZ348" s="2"/>
      <c r="CA348" s="2"/>
      <c r="CB348" s="2"/>
      <c r="CC348" s="2"/>
      <c r="CD348" s="4">
        <v>0.11240231217618901</v>
      </c>
      <c r="CE348" s="2"/>
      <c r="CF348" s="4">
        <v>1.9834464000000001</v>
      </c>
      <c r="CG348" s="4">
        <v>1.7487392000000002</v>
      </c>
      <c r="CH348" s="4">
        <v>0.35711104000000005</v>
      </c>
      <c r="CI348" s="2"/>
      <c r="CJ348" s="2"/>
      <c r="CK348" s="2"/>
      <c r="CL348" s="2"/>
      <c r="CM348" s="2"/>
      <c r="CN348" s="2"/>
      <c r="CO348" s="2"/>
      <c r="CP348" s="2"/>
      <c r="CQ348" s="2">
        <v>0</v>
      </c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14" t="s">
        <v>81</v>
      </c>
      <c r="DM348" s="2"/>
      <c r="DN348" s="2">
        <f t="shared" si="49"/>
        <v>0.11240231217618901</v>
      </c>
      <c r="DO348" s="2">
        <f t="shared" si="50"/>
        <v>0</v>
      </c>
      <c r="DP348" s="2" t="s">
        <v>95</v>
      </c>
      <c r="DQ348" s="2" t="s">
        <v>3</v>
      </c>
      <c r="DR348" s="2">
        <f t="shared" si="51"/>
        <v>21.2</v>
      </c>
      <c r="DS348" s="4">
        <f t="shared" si="52"/>
        <v>0.11240231217618901</v>
      </c>
      <c r="DT348" s="15">
        <f t="shared" si="53"/>
        <v>23.829290181352071</v>
      </c>
      <c r="DU348" s="2"/>
      <c r="DV348" s="2">
        <f t="shared" si="54"/>
        <v>11.9</v>
      </c>
      <c r="DW348" s="4">
        <f>(BV348*CD348+CQ348*CY348)/DV348</f>
        <v>0.112402312176189</v>
      </c>
      <c r="DX348" s="15">
        <f>1000*DV348*DW348/100</f>
        <v>13.375875148966491</v>
      </c>
      <c r="DY348" s="2"/>
      <c r="DZ348" s="2" t="s">
        <v>3</v>
      </c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 t="s">
        <v>3</v>
      </c>
      <c r="FR348" s="2" t="s">
        <v>89</v>
      </c>
      <c r="FS348" s="2" t="s">
        <v>90</v>
      </c>
      <c r="FT348" s="2" t="s">
        <v>91</v>
      </c>
      <c r="FU348" s="2" t="s">
        <v>226</v>
      </c>
      <c r="FV348" s="2" t="s">
        <v>3</v>
      </c>
    </row>
    <row r="349" spans="1:178" ht="15.75" customHeight="1" x14ac:dyDescent="0.2">
      <c r="A349" s="14" t="s">
        <v>96</v>
      </c>
      <c r="B349" s="2" t="s">
        <v>189</v>
      </c>
      <c r="C349" s="16" t="s">
        <v>856</v>
      </c>
      <c r="D349" s="2" t="s">
        <v>99</v>
      </c>
      <c r="E349" s="45">
        <v>45.38</v>
      </c>
      <c r="F349" s="45">
        <v>-109.9</v>
      </c>
      <c r="G349" s="2"/>
      <c r="H349" s="2" t="s">
        <v>79</v>
      </c>
      <c r="I349" s="22"/>
      <c r="J349" s="2"/>
      <c r="K349" s="2">
        <v>0</v>
      </c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>
        <v>0</v>
      </c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3">
        <f>145*0.9072</f>
        <v>131.54400000000001</v>
      </c>
      <c r="BB349" s="2">
        <v>0.28999999999999998</v>
      </c>
      <c r="BC349" s="2"/>
      <c r="BD349" s="2"/>
      <c r="BE349" s="2"/>
      <c r="BF349" s="2"/>
      <c r="BG349" s="2"/>
      <c r="BH349" s="2"/>
      <c r="BI349" s="2">
        <v>0.31</v>
      </c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>
        <v>0</v>
      </c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>
        <v>0</v>
      </c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14" t="s">
        <v>100</v>
      </c>
      <c r="DM349" s="2"/>
      <c r="DN349" s="2">
        <f t="shared" si="49"/>
        <v>0.31</v>
      </c>
      <c r="DO349" s="2">
        <f t="shared" si="50"/>
        <v>0</v>
      </c>
      <c r="DP349" s="2" t="s">
        <v>857</v>
      </c>
      <c r="DQ349" s="2" t="s">
        <v>3</v>
      </c>
      <c r="DR349" s="15">
        <f t="shared" si="51"/>
        <v>131.54400000000001</v>
      </c>
      <c r="DS349" s="2">
        <f t="shared" si="52"/>
        <v>0.31</v>
      </c>
      <c r="DT349" s="15">
        <f t="shared" si="53"/>
        <v>407.78640000000001</v>
      </c>
      <c r="DU349" s="2"/>
      <c r="DV349" s="2">
        <f t="shared" si="54"/>
        <v>0</v>
      </c>
      <c r="DW349" s="2"/>
      <c r="DX349" s="2"/>
      <c r="DY349" s="2"/>
      <c r="DZ349" s="2" t="s">
        <v>3</v>
      </c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 t="s">
        <v>3</v>
      </c>
      <c r="FR349" s="2" t="s">
        <v>89</v>
      </c>
      <c r="FS349" s="2" t="s">
        <v>90</v>
      </c>
      <c r="FT349" s="2" t="s">
        <v>91</v>
      </c>
      <c r="FU349" s="2"/>
      <c r="FV349" s="2" t="s">
        <v>3</v>
      </c>
    </row>
    <row r="350" spans="1:178" ht="15.75" customHeight="1" x14ac:dyDescent="0.2">
      <c r="A350" s="14" t="s">
        <v>74</v>
      </c>
      <c r="B350" s="2" t="s">
        <v>164</v>
      </c>
      <c r="C350" s="13" t="s">
        <v>858</v>
      </c>
      <c r="D350" s="2" t="s">
        <v>99</v>
      </c>
      <c r="E350" s="2"/>
      <c r="F350" s="2"/>
      <c r="G350" s="2" t="s">
        <v>78</v>
      </c>
      <c r="H350" s="2" t="s">
        <v>859</v>
      </c>
      <c r="I350" s="2"/>
      <c r="J350" s="2" t="s">
        <v>242</v>
      </c>
      <c r="K350" s="2">
        <v>0</v>
      </c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>
        <v>0.46</v>
      </c>
      <c r="AG350" s="2"/>
      <c r="AH350" s="2"/>
      <c r="AI350" s="2"/>
      <c r="AJ350" s="2"/>
      <c r="AK350" s="2"/>
      <c r="AL350" s="2"/>
      <c r="AM350" s="2"/>
      <c r="AN350" s="2">
        <v>1.1200000000000001</v>
      </c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>
        <v>0.37</v>
      </c>
      <c r="BB350" s="2"/>
      <c r="BC350" s="2"/>
      <c r="BD350" s="2"/>
      <c r="BE350" s="2"/>
      <c r="BF350" s="2"/>
      <c r="BG350" s="2"/>
      <c r="BH350" s="2"/>
      <c r="BI350" s="2">
        <v>1.1499999999999999</v>
      </c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>
        <v>0</v>
      </c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>
        <v>0</v>
      </c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14" t="s">
        <v>81</v>
      </c>
      <c r="DM350" s="2"/>
      <c r="DN350" s="2">
        <f t="shared" si="49"/>
        <v>1.1333734939759037</v>
      </c>
      <c r="DO350" s="2">
        <f t="shared" si="50"/>
        <v>0</v>
      </c>
      <c r="DP350" s="2" t="s">
        <v>175</v>
      </c>
      <c r="DQ350" s="2" t="s">
        <v>3</v>
      </c>
      <c r="DR350" s="2">
        <f t="shared" si="51"/>
        <v>0.83000000000000007</v>
      </c>
      <c r="DS350" s="4">
        <f t="shared" si="52"/>
        <v>1.1333734939759037</v>
      </c>
      <c r="DT350" s="15">
        <f t="shared" si="53"/>
        <v>9.4070000000000018</v>
      </c>
      <c r="DU350" s="2"/>
      <c r="DV350" s="2">
        <f t="shared" si="54"/>
        <v>0</v>
      </c>
      <c r="DW350" s="2"/>
      <c r="DX350" s="2"/>
      <c r="DY350" s="2"/>
      <c r="DZ350" s="2" t="s">
        <v>3</v>
      </c>
      <c r="EA350" s="2" t="s">
        <v>860</v>
      </c>
      <c r="EB350" s="15">
        <v>16.998999999999999</v>
      </c>
      <c r="EC350" s="15">
        <v>113.73399999999999</v>
      </c>
      <c r="ED350" s="2" t="s">
        <v>176</v>
      </c>
      <c r="EE350" s="15">
        <v>112.934</v>
      </c>
      <c r="EF350" s="2" t="s">
        <v>176</v>
      </c>
      <c r="EG350" s="3">
        <v>2169</v>
      </c>
      <c r="EH350" s="2"/>
      <c r="EI350" s="3">
        <f>EG350-EE350</f>
        <v>2056.0659999999998</v>
      </c>
      <c r="EJ350" s="2"/>
      <c r="EK350" s="3">
        <f>ET350</f>
        <v>0</v>
      </c>
      <c r="EL350" s="3">
        <f>EB350+EC350+FD350</f>
        <v>130.733</v>
      </c>
      <c r="EM350" s="2" t="s">
        <v>860</v>
      </c>
      <c r="EN350" s="2" t="s">
        <v>176</v>
      </c>
      <c r="EO350" s="2" t="s">
        <v>176</v>
      </c>
      <c r="EP350" s="2" t="s">
        <v>176</v>
      </c>
      <c r="EQ350" s="2" t="s">
        <v>176</v>
      </c>
      <c r="ER350" s="15">
        <f>SUM(DR713:DR714)</f>
        <v>0</v>
      </c>
      <c r="ES350" s="4" t="e">
        <f>100*(ET350/1000)/ER350</f>
        <v>#DIV/0!</v>
      </c>
      <c r="ET350" s="3">
        <f>SUM(DT713:DT714)</f>
        <v>0</v>
      </c>
      <c r="EU350" s="2">
        <f>COUNT(DT713:DT714)</f>
        <v>0</v>
      </c>
      <c r="EV350" s="2" t="s">
        <v>176</v>
      </c>
      <c r="EW350" s="2" t="s">
        <v>176</v>
      </c>
      <c r="EX350" s="2" t="s">
        <v>176</v>
      </c>
      <c r="EY350" s="2" t="s">
        <v>176</v>
      </c>
      <c r="EZ350" s="2" t="s">
        <v>176</v>
      </c>
      <c r="FA350" s="2" t="s">
        <v>176</v>
      </c>
      <c r="FB350" s="2" t="s">
        <v>176</v>
      </c>
      <c r="FC350" s="2" t="s">
        <v>176</v>
      </c>
      <c r="FD350" s="3">
        <f>SUM(EP350,ET350,EX350,FB350)</f>
        <v>0</v>
      </c>
      <c r="FE350" s="2" t="s">
        <v>176</v>
      </c>
      <c r="FF350" s="2" t="s">
        <v>176</v>
      </c>
      <c r="FG350" s="2" t="s">
        <v>176</v>
      </c>
      <c r="FH350" s="2" t="s">
        <v>176</v>
      </c>
      <c r="FI350" s="2" t="s">
        <v>176</v>
      </c>
      <c r="FJ350" s="2" t="s">
        <v>176</v>
      </c>
      <c r="FK350" s="2" t="s">
        <v>176</v>
      </c>
      <c r="FL350" s="2" t="s">
        <v>176</v>
      </c>
      <c r="FM350" s="2" t="s">
        <v>176</v>
      </c>
      <c r="FN350" s="2" t="s">
        <v>176</v>
      </c>
      <c r="FO350" s="2" t="s">
        <v>176</v>
      </c>
      <c r="FP350" s="2" t="s">
        <v>860</v>
      </c>
      <c r="FQ350" s="2" t="s">
        <v>3</v>
      </c>
      <c r="FR350" s="2" t="s">
        <v>37</v>
      </c>
      <c r="FS350" s="2" t="s">
        <v>383</v>
      </c>
      <c r="FT350" s="2" t="s">
        <v>383</v>
      </c>
      <c r="FU350" s="2"/>
      <c r="FV350" s="2" t="s">
        <v>3</v>
      </c>
    </row>
    <row r="351" spans="1:178" ht="15.75" customHeight="1" x14ac:dyDescent="0.2">
      <c r="A351" s="14" t="s">
        <v>96</v>
      </c>
      <c r="B351" s="2" t="s">
        <v>164</v>
      </c>
      <c r="C351" s="16" t="s">
        <v>861</v>
      </c>
      <c r="D351" s="2" t="s">
        <v>99</v>
      </c>
      <c r="E351" s="2"/>
      <c r="F351" s="2"/>
      <c r="G351" s="2" t="s">
        <v>179</v>
      </c>
      <c r="H351" s="2" t="s">
        <v>862</v>
      </c>
      <c r="I351" s="2"/>
      <c r="J351" s="2" t="s">
        <v>181</v>
      </c>
      <c r="K351" s="2">
        <v>0</v>
      </c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>
        <v>0</v>
      </c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19">
        <v>2.2302</v>
      </c>
      <c r="BB351" s="2"/>
      <c r="BC351" s="2"/>
      <c r="BD351" s="2"/>
      <c r="BE351" s="2"/>
      <c r="BF351" s="2"/>
      <c r="BG351" s="2"/>
      <c r="BH351" s="2"/>
      <c r="BI351" s="2">
        <v>0.52</v>
      </c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>
        <v>0</v>
      </c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>
        <v>0</v>
      </c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14" t="s">
        <v>81</v>
      </c>
      <c r="DM351" s="2"/>
      <c r="DN351" s="2">
        <f t="shared" si="49"/>
        <v>0.52</v>
      </c>
      <c r="DO351" s="2">
        <f t="shared" si="50"/>
        <v>0</v>
      </c>
      <c r="DP351" s="2" t="s">
        <v>175</v>
      </c>
      <c r="DQ351" s="2" t="s">
        <v>3</v>
      </c>
      <c r="DR351" s="4">
        <f t="shared" si="51"/>
        <v>2.2302</v>
      </c>
      <c r="DS351" s="2">
        <f t="shared" si="52"/>
        <v>0.52</v>
      </c>
      <c r="DT351" s="15">
        <f t="shared" si="53"/>
        <v>11.59704</v>
      </c>
      <c r="DU351" s="2"/>
      <c r="DV351" s="2">
        <f t="shared" si="54"/>
        <v>0</v>
      </c>
      <c r="DW351" s="2"/>
      <c r="DX351" s="2"/>
      <c r="DY351" s="2"/>
      <c r="DZ351" s="2" t="s">
        <v>3</v>
      </c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 t="s">
        <v>3</v>
      </c>
      <c r="FR351" s="2" t="s">
        <v>89</v>
      </c>
      <c r="FS351" s="2" t="s">
        <v>137</v>
      </c>
      <c r="FT351" s="2"/>
      <c r="FU351" s="2"/>
      <c r="FV351" s="2" t="s">
        <v>3</v>
      </c>
    </row>
    <row r="352" spans="1:178" ht="15.75" customHeight="1" x14ac:dyDescent="0.2">
      <c r="A352" s="20" t="s">
        <v>487</v>
      </c>
      <c r="B352" s="2" t="s">
        <v>164</v>
      </c>
      <c r="C352" s="21" t="s">
        <v>863</v>
      </c>
      <c r="D352" s="2" t="s">
        <v>99</v>
      </c>
      <c r="E352" s="2"/>
      <c r="F352" s="2"/>
      <c r="G352" s="2" t="s">
        <v>78</v>
      </c>
      <c r="H352" s="2" t="s">
        <v>166</v>
      </c>
      <c r="I352" s="2"/>
      <c r="J352" s="2" t="s">
        <v>167</v>
      </c>
      <c r="K352" s="2">
        <v>0</v>
      </c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15">
        <v>4</v>
      </c>
      <c r="AG352" s="2">
        <v>0.37</v>
      </c>
      <c r="AH352" s="2"/>
      <c r="AI352" s="2"/>
      <c r="AJ352" s="2"/>
      <c r="AK352" s="2"/>
      <c r="AL352" s="2"/>
      <c r="AM352" s="2"/>
      <c r="AN352" s="2">
        <v>0.13</v>
      </c>
      <c r="AO352" s="4">
        <v>0.1</v>
      </c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>
        <v>1.3</v>
      </c>
      <c r="BB352" s="2">
        <v>0.31</v>
      </c>
      <c r="BC352" s="2"/>
      <c r="BD352" s="2"/>
      <c r="BE352" s="2"/>
      <c r="BF352" s="2"/>
      <c r="BG352" s="2"/>
      <c r="BH352" s="2"/>
      <c r="BI352" s="2">
        <v>0.11</v>
      </c>
      <c r="BJ352" s="2">
        <v>0.08</v>
      </c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>
        <v>0</v>
      </c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>
        <v>0</v>
      </c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14" t="s">
        <v>81</v>
      </c>
      <c r="DM352" s="2" t="s">
        <v>81</v>
      </c>
      <c r="DN352" s="2">
        <f t="shared" si="49"/>
        <v>0.12509433962264152</v>
      </c>
      <c r="DO352" s="2">
        <f t="shared" si="50"/>
        <v>9.5094339622641508E-2</v>
      </c>
      <c r="DP352" s="2" t="s">
        <v>277</v>
      </c>
      <c r="DQ352" s="2" t="s">
        <v>3</v>
      </c>
      <c r="DR352" s="15">
        <f t="shared" si="51"/>
        <v>5.3</v>
      </c>
      <c r="DS352" s="4">
        <f t="shared" si="52"/>
        <v>0.12509433962264152</v>
      </c>
      <c r="DT352" s="15">
        <f t="shared" si="53"/>
        <v>6.6300000000000008</v>
      </c>
      <c r="DU352" s="2"/>
      <c r="DV352" s="2">
        <f t="shared" si="54"/>
        <v>0</v>
      </c>
      <c r="DW352" s="2"/>
      <c r="DX352" s="2"/>
      <c r="DY352" s="2"/>
      <c r="DZ352" s="2" t="s">
        <v>3</v>
      </c>
      <c r="EA352" s="2" t="s">
        <v>864</v>
      </c>
      <c r="EB352" s="2" t="s">
        <v>176</v>
      </c>
      <c r="EC352" s="2" t="s">
        <v>176</v>
      </c>
      <c r="ED352" s="2" t="s">
        <v>176</v>
      </c>
      <c r="EE352" s="2" t="s">
        <v>176</v>
      </c>
      <c r="EF352" s="2" t="s">
        <v>176</v>
      </c>
      <c r="EG352" s="3">
        <v>1977.9198000000004</v>
      </c>
      <c r="EH352" s="2"/>
      <c r="EI352" s="3">
        <v>1977.9198000000004</v>
      </c>
      <c r="EJ352" s="2"/>
      <c r="EK352" s="3">
        <f>ET352</f>
        <v>6.75</v>
      </c>
      <c r="EL352" s="3">
        <f>FD352</f>
        <v>6.75</v>
      </c>
      <c r="EM352" s="2" t="s">
        <v>864</v>
      </c>
      <c r="EN352" s="2" t="s">
        <v>176</v>
      </c>
      <c r="EO352" s="2" t="s">
        <v>176</v>
      </c>
      <c r="EP352" s="2" t="s">
        <v>176</v>
      </c>
      <c r="EQ352" s="2" t="s">
        <v>176</v>
      </c>
      <c r="ER352" s="15">
        <f>DR544</f>
        <v>2.25</v>
      </c>
      <c r="ES352" s="4">
        <f>100*(ET352/1000)/ER352</f>
        <v>0.30000000000000004</v>
      </c>
      <c r="ET352" s="3">
        <f>DT544</f>
        <v>6.75</v>
      </c>
      <c r="EU352" s="2">
        <f>COUNT(DT544)</f>
        <v>1</v>
      </c>
      <c r="EV352" s="2" t="s">
        <v>176</v>
      </c>
      <c r="EW352" s="2" t="s">
        <v>176</v>
      </c>
      <c r="EX352" s="2" t="s">
        <v>176</v>
      </c>
      <c r="EY352" s="2" t="s">
        <v>176</v>
      </c>
      <c r="EZ352" s="2" t="s">
        <v>176</v>
      </c>
      <c r="FA352" s="2" t="s">
        <v>176</v>
      </c>
      <c r="FB352" s="2" t="s">
        <v>176</v>
      </c>
      <c r="FC352" s="2" t="s">
        <v>176</v>
      </c>
      <c r="FD352" s="3">
        <f>SUM(EP352,ET352,EX352,FB352)</f>
        <v>6.75</v>
      </c>
      <c r="FE352" s="2" t="s">
        <v>176</v>
      </c>
      <c r="FF352" s="2" t="s">
        <v>176</v>
      </c>
      <c r="FG352" s="2" t="s">
        <v>176</v>
      </c>
      <c r="FH352" s="2" t="s">
        <v>176</v>
      </c>
      <c r="FI352" s="2" t="s">
        <v>176</v>
      </c>
      <c r="FJ352" s="2" t="s">
        <v>176</v>
      </c>
      <c r="FK352" s="2" t="s">
        <v>176</v>
      </c>
      <c r="FL352" s="2" t="s">
        <v>176</v>
      </c>
      <c r="FM352" s="2" t="s">
        <v>176</v>
      </c>
      <c r="FN352" s="2" t="s">
        <v>176</v>
      </c>
      <c r="FO352" s="15">
        <f>DX544</f>
        <v>0</v>
      </c>
      <c r="FP352" s="2" t="s">
        <v>864</v>
      </c>
      <c r="FQ352" s="2" t="s">
        <v>3</v>
      </c>
      <c r="FR352" s="2" t="s">
        <v>183</v>
      </c>
      <c r="FS352" s="2" t="s">
        <v>449</v>
      </c>
      <c r="FT352" s="2"/>
      <c r="FU352" s="2"/>
      <c r="FV352" s="2" t="s">
        <v>3</v>
      </c>
    </row>
    <row r="353" spans="1:178" ht="15.75" customHeight="1" x14ac:dyDescent="0.2">
      <c r="A353" s="14" t="s">
        <v>96</v>
      </c>
      <c r="B353" s="2" t="s">
        <v>164</v>
      </c>
      <c r="C353" s="16" t="s">
        <v>865</v>
      </c>
      <c r="D353" s="2" t="s">
        <v>99</v>
      </c>
      <c r="E353" s="2"/>
      <c r="F353" s="2"/>
      <c r="G353" s="2" t="s">
        <v>78</v>
      </c>
      <c r="H353" s="2" t="s">
        <v>385</v>
      </c>
      <c r="I353" s="2"/>
      <c r="J353" s="2" t="s">
        <v>181</v>
      </c>
      <c r="K353" s="2">
        <v>13.563000000000001</v>
      </c>
      <c r="L353" s="2"/>
      <c r="M353" s="2"/>
      <c r="N353" s="2"/>
      <c r="O353" s="2"/>
      <c r="P353" s="2"/>
      <c r="Q353" s="2"/>
      <c r="R353" s="2"/>
      <c r="S353" s="2">
        <v>0.8</v>
      </c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19">
        <v>27.363</v>
      </c>
      <c r="AG353" s="2"/>
      <c r="AH353" s="2"/>
      <c r="AI353" s="2"/>
      <c r="AJ353" s="2"/>
      <c r="AK353" s="2"/>
      <c r="AL353" s="2"/>
      <c r="AM353" s="2"/>
      <c r="AN353" s="15">
        <v>0.6</v>
      </c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19">
        <v>12.009</v>
      </c>
      <c r="BB353" s="2"/>
      <c r="BC353" s="2"/>
      <c r="BD353" s="2"/>
      <c r="BE353" s="2"/>
      <c r="BF353" s="2"/>
      <c r="BG353" s="2"/>
      <c r="BH353" s="2"/>
      <c r="BI353" s="15">
        <v>0.5</v>
      </c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>
        <v>0</v>
      </c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>
        <v>0</v>
      </c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14" t="s">
        <v>81</v>
      </c>
      <c r="DM353" s="2"/>
      <c r="DN353" s="2">
        <f t="shared" si="49"/>
        <v>0.62855766506092381</v>
      </c>
      <c r="DO353" s="2">
        <f t="shared" si="50"/>
        <v>0</v>
      </c>
      <c r="DP353" s="2" t="s">
        <v>211</v>
      </c>
      <c r="DQ353" s="2" t="s">
        <v>3</v>
      </c>
      <c r="DR353" s="4">
        <f t="shared" si="51"/>
        <v>52.935000000000002</v>
      </c>
      <c r="DS353" s="4">
        <f t="shared" si="52"/>
        <v>0.62855766506092381</v>
      </c>
      <c r="DT353" s="15">
        <f t="shared" si="53"/>
        <v>332.72700000000003</v>
      </c>
      <c r="DU353" s="2"/>
      <c r="DV353" s="2">
        <f t="shared" si="54"/>
        <v>0</v>
      </c>
      <c r="DW353" s="2"/>
      <c r="DX353" s="2"/>
      <c r="DY353" s="2"/>
      <c r="DZ353" s="2" t="s">
        <v>3</v>
      </c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 t="s">
        <v>3</v>
      </c>
      <c r="FR353" s="2" t="s">
        <v>89</v>
      </c>
      <c r="FS353" s="2" t="s">
        <v>137</v>
      </c>
      <c r="FT353" s="2"/>
      <c r="FU353" s="2"/>
      <c r="FV353" s="2" t="s">
        <v>3</v>
      </c>
    </row>
    <row r="354" spans="1:178" ht="15.75" customHeight="1" x14ac:dyDescent="0.2">
      <c r="A354" s="14" t="s">
        <v>96</v>
      </c>
      <c r="B354" s="2" t="s">
        <v>164</v>
      </c>
      <c r="C354" s="16" t="s">
        <v>866</v>
      </c>
      <c r="D354" s="2" t="s">
        <v>99</v>
      </c>
      <c r="E354" s="2"/>
      <c r="F354" s="2"/>
      <c r="G354" s="2" t="s">
        <v>179</v>
      </c>
      <c r="H354" s="2" t="s">
        <v>867</v>
      </c>
      <c r="I354" s="2"/>
      <c r="J354" s="2" t="s">
        <v>181</v>
      </c>
      <c r="K354" s="2">
        <v>0</v>
      </c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>
        <v>0</v>
      </c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>
        <v>8.5999999999999993E-2</v>
      </c>
      <c r="BB354" s="2"/>
      <c r="BC354" s="2"/>
      <c r="BD354" s="2"/>
      <c r="BE354" s="2"/>
      <c r="BF354" s="2"/>
      <c r="BG354" s="2"/>
      <c r="BH354" s="2"/>
      <c r="BI354" s="2">
        <v>2</v>
      </c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>
        <v>0</v>
      </c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>
        <v>0</v>
      </c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14" t="s">
        <v>81</v>
      </c>
      <c r="DM354" s="2"/>
      <c r="DN354" s="2">
        <f t="shared" si="49"/>
        <v>2</v>
      </c>
      <c r="DO354" s="2">
        <f t="shared" si="50"/>
        <v>0</v>
      </c>
      <c r="DP354" s="2" t="s">
        <v>175</v>
      </c>
      <c r="DQ354" s="2" t="s">
        <v>3</v>
      </c>
      <c r="DR354" s="2">
        <f t="shared" si="51"/>
        <v>8.5999999999999993E-2</v>
      </c>
      <c r="DS354" s="2">
        <f t="shared" si="52"/>
        <v>2</v>
      </c>
      <c r="DT354" s="15">
        <f t="shared" si="53"/>
        <v>1.72</v>
      </c>
      <c r="DU354" s="2"/>
      <c r="DV354" s="2">
        <f t="shared" si="54"/>
        <v>0</v>
      </c>
      <c r="DW354" s="2"/>
      <c r="DX354" s="2"/>
      <c r="DY354" s="2"/>
      <c r="DZ354" s="2" t="s">
        <v>3</v>
      </c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 t="s">
        <v>3</v>
      </c>
      <c r="FR354" s="2" t="s">
        <v>89</v>
      </c>
      <c r="FS354" s="2" t="s">
        <v>137</v>
      </c>
      <c r="FT354" s="2"/>
      <c r="FU354" s="2"/>
      <c r="FV354" s="2" t="s">
        <v>3</v>
      </c>
    </row>
    <row r="355" spans="1:178" ht="15.75" customHeight="1" x14ac:dyDescent="0.2">
      <c r="A355" s="14" t="s">
        <v>96</v>
      </c>
      <c r="B355" s="2" t="s">
        <v>164</v>
      </c>
      <c r="C355" s="16" t="s">
        <v>868</v>
      </c>
      <c r="D355" s="2" t="s">
        <v>109</v>
      </c>
      <c r="E355" s="2"/>
      <c r="F355" s="2"/>
      <c r="G355" s="2" t="s">
        <v>78</v>
      </c>
      <c r="H355" s="2" t="s">
        <v>367</v>
      </c>
      <c r="I355" s="2"/>
      <c r="J355" s="2" t="s">
        <v>181</v>
      </c>
      <c r="K355" s="2">
        <f>140+11</f>
        <v>151</v>
      </c>
      <c r="L355" s="2"/>
      <c r="M355" s="2"/>
      <c r="N355" s="2"/>
      <c r="O355" s="2"/>
      <c r="P355" s="2"/>
      <c r="Q355" s="2"/>
      <c r="R355" s="2"/>
      <c r="S355" s="4">
        <f>(0.55*140+0.48*11)/K355</f>
        <v>0.54490066225165568</v>
      </c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>
        <v>67</v>
      </c>
      <c r="AG355" s="2"/>
      <c r="AH355" s="2"/>
      <c r="AI355" s="2"/>
      <c r="AJ355" s="2"/>
      <c r="AK355" s="2"/>
      <c r="AL355" s="2"/>
      <c r="AM355" s="2"/>
      <c r="AN355" s="2">
        <v>0.52</v>
      </c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>
        <v>24</v>
      </c>
      <c r="BB355" s="2"/>
      <c r="BC355" s="2"/>
      <c r="BD355" s="2"/>
      <c r="BE355" s="2"/>
      <c r="BF355" s="2"/>
      <c r="BG355" s="2"/>
      <c r="BH355" s="2"/>
      <c r="BI355" s="2">
        <v>0.52</v>
      </c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>
        <f>11+7.3</f>
        <v>18.3</v>
      </c>
      <c r="BW355" s="2"/>
      <c r="BX355" s="2"/>
      <c r="BY355" s="2"/>
      <c r="BZ355" s="2"/>
      <c r="CA355" s="2"/>
      <c r="CB355" s="2"/>
      <c r="CC355" s="2"/>
      <c r="CD355" s="4">
        <f>(0.61*11+0.49*7.3)/BV355</f>
        <v>0.56213114754098348</v>
      </c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>
        <f>0.13+3.9</f>
        <v>4.03</v>
      </c>
      <c r="CR355" s="2"/>
      <c r="CS355" s="2"/>
      <c r="CT355" s="2"/>
      <c r="CU355" s="2"/>
      <c r="CV355" s="2"/>
      <c r="CW355" s="2"/>
      <c r="CX355" s="2"/>
      <c r="CY355" s="4">
        <f>(0.5*0.13+0.45*3.9)/CQ355</f>
        <v>0.45161290322580638</v>
      </c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14" t="s">
        <v>81</v>
      </c>
      <c r="DM355" s="2"/>
      <c r="DN355" s="2">
        <f t="shared" si="49"/>
        <v>0.53553719008264455</v>
      </c>
      <c r="DO355" s="2">
        <f t="shared" si="50"/>
        <v>0</v>
      </c>
      <c r="DP355" s="2" t="s">
        <v>211</v>
      </c>
      <c r="DQ355" s="2" t="s">
        <v>3</v>
      </c>
      <c r="DR355" s="2">
        <f t="shared" si="51"/>
        <v>242</v>
      </c>
      <c r="DS355" s="4">
        <f t="shared" si="52"/>
        <v>0.53553719008264455</v>
      </c>
      <c r="DT355" s="18">
        <f t="shared" si="53"/>
        <v>1295.9999999999998</v>
      </c>
      <c r="DU355" s="2"/>
      <c r="DV355" s="2">
        <f t="shared" si="54"/>
        <v>22.330000000000002</v>
      </c>
      <c r="DW355" s="4">
        <f>(BV355*CD355+CQ355*CY355)/DV355</f>
        <v>0.54218540080609035</v>
      </c>
      <c r="DX355" s="15">
        <f>1000*DV355*DW355/100</f>
        <v>121.07</v>
      </c>
      <c r="DY355" s="2"/>
      <c r="DZ355" s="2" t="s">
        <v>3</v>
      </c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 t="s">
        <v>3</v>
      </c>
      <c r="FR355" s="2" t="s">
        <v>89</v>
      </c>
      <c r="FS355" s="2" t="s">
        <v>137</v>
      </c>
      <c r="FT355" s="2"/>
      <c r="FU355" s="2"/>
      <c r="FV355" s="2" t="s">
        <v>3</v>
      </c>
    </row>
    <row r="356" spans="1:178" ht="15.75" customHeight="1" x14ac:dyDescent="0.2">
      <c r="A356" s="12" t="s">
        <v>74</v>
      </c>
      <c r="B356" s="2" t="s">
        <v>653</v>
      </c>
      <c r="C356" s="13" t="s">
        <v>869</v>
      </c>
      <c r="D356" s="2" t="s">
        <v>99</v>
      </c>
      <c r="E356" s="2"/>
      <c r="F356" s="2"/>
      <c r="G356" s="2"/>
      <c r="H356" s="2" t="s">
        <v>79</v>
      </c>
      <c r="I356" s="2"/>
      <c r="J356" s="2"/>
      <c r="K356" s="2">
        <v>0</v>
      </c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>
        <v>0</v>
      </c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>
        <v>12.25</v>
      </c>
      <c r="BB356" s="2"/>
      <c r="BC356" s="2"/>
      <c r="BD356" s="2"/>
      <c r="BE356" s="2"/>
      <c r="BF356" s="2"/>
      <c r="BG356" s="2"/>
      <c r="BH356" s="2"/>
      <c r="BI356" s="2">
        <v>0.83</v>
      </c>
      <c r="BJ356" s="2">
        <v>4.4999999999999998E-2</v>
      </c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>
        <v>0</v>
      </c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>
        <v>0</v>
      </c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14" t="s">
        <v>100</v>
      </c>
      <c r="DM356" s="2" t="s">
        <v>100</v>
      </c>
      <c r="DN356" s="2">
        <f t="shared" si="49"/>
        <v>0.82999999999999985</v>
      </c>
      <c r="DO356" s="2">
        <f t="shared" si="50"/>
        <v>4.4999999999999998E-2</v>
      </c>
      <c r="DP356" s="2" t="s">
        <v>485</v>
      </c>
      <c r="DQ356" s="2" t="s">
        <v>3</v>
      </c>
      <c r="DR356" s="2">
        <f t="shared" si="51"/>
        <v>12.25</v>
      </c>
      <c r="DS356" s="2">
        <f t="shared" si="52"/>
        <v>0.82999999999999985</v>
      </c>
      <c r="DT356" s="15">
        <f t="shared" si="53"/>
        <v>101.67499999999998</v>
      </c>
      <c r="DU356" s="2"/>
      <c r="DV356" s="2">
        <f t="shared" si="54"/>
        <v>0</v>
      </c>
      <c r="DW356" s="2"/>
      <c r="DX356" s="2"/>
      <c r="DY356" s="2"/>
      <c r="DZ356" s="2" t="s">
        <v>3</v>
      </c>
      <c r="EA356" s="2" t="s">
        <v>653</v>
      </c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 t="s">
        <v>653</v>
      </c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 t="s">
        <v>653</v>
      </c>
      <c r="FQ356" s="2" t="s">
        <v>3</v>
      </c>
      <c r="FR356" s="2" t="s">
        <v>37</v>
      </c>
      <c r="FS356" s="2" t="s">
        <v>106</v>
      </c>
      <c r="FT356" s="2" t="s">
        <v>106</v>
      </c>
      <c r="FU356" s="2"/>
      <c r="FV356" s="2" t="s">
        <v>3</v>
      </c>
    </row>
    <row r="357" spans="1:178" ht="15.75" customHeight="1" x14ac:dyDescent="0.2">
      <c r="A357" s="14" t="s">
        <v>96</v>
      </c>
      <c r="B357" s="2" t="s">
        <v>164</v>
      </c>
      <c r="C357" s="16" t="s">
        <v>870</v>
      </c>
      <c r="D357" s="2" t="s">
        <v>120</v>
      </c>
      <c r="E357" s="2"/>
      <c r="F357" s="2"/>
      <c r="G357" s="2" t="s">
        <v>179</v>
      </c>
      <c r="H357" s="2" t="s">
        <v>871</v>
      </c>
      <c r="I357" s="2"/>
      <c r="J357" s="2" t="s">
        <v>181</v>
      </c>
      <c r="K357" s="2">
        <v>0</v>
      </c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>
        <f>0.524+1.459</f>
        <v>1.9830000000000001</v>
      </c>
      <c r="AG357" s="4">
        <f>(0.6*0.524+0.7*1.459)/AF357</f>
        <v>0.67357539082198692</v>
      </c>
      <c r="AH357" s="2"/>
      <c r="AI357" s="2"/>
      <c r="AJ357" s="2"/>
      <c r="AK357" s="2"/>
      <c r="AL357" s="2"/>
      <c r="AM357" s="2"/>
      <c r="AN357" s="4">
        <f>(0.6*0.524+0.5*1.459)/AF357</f>
        <v>0.52642460917801315</v>
      </c>
      <c r="AO357" s="2">
        <v>0.04</v>
      </c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>
        <f>1.305+1.865</f>
        <v>3.17</v>
      </c>
      <c r="BB357" s="4">
        <f>(0.64*1.305+0.49*1.865)/BA357</f>
        <v>0.55175078864353311</v>
      </c>
      <c r="BC357" s="2"/>
      <c r="BD357" s="2"/>
      <c r="BE357" s="2"/>
      <c r="BF357" s="2"/>
      <c r="BG357" s="2"/>
      <c r="BH357" s="2"/>
      <c r="BI357" s="4">
        <f>(0.47*1.305+0.43*1.865)/BA357</f>
        <v>0.44646687697160875</v>
      </c>
      <c r="BJ357" s="2">
        <v>0.04</v>
      </c>
      <c r="BK357" s="2"/>
      <c r="BL357" s="4">
        <f>(0.62*2.069)/BA357</f>
        <v>0.40466246056782335</v>
      </c>
      <c r="BM357" s="2"/>
      <c r="BN357" s="2"/>
      <c r="BO357" s="2"/>
      <c r="BP357" s="2"/>
      <c r="BQ357" s="2"/>
      <c r="BR357" s="2"/>
      <c r="BS357" s="2"/>
      <c r="BT357" s="2"/>
      <c r="BU357" s="2"/>
      <c r="BV357" s="2">
        <v>0</v>
      </c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>
        <v>0</v>
      </c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14" t="s">
        <v>81</v>
      </c>
      <c r="DM357" s="2" t="s">
        <v>81</v>
      </c>
      <c r="DN357" s="2">
        <f t="shared" si="49"/>
        <v>0.47723656122646996</v>
      </c>
      <c r="DO357" s="2">
        <f t="shared" si="50"/>
        <v>3.9999999999999994E-2</v>
      </c>
      <c r="DP357" s="2" t="s">
        <v>175</v>
      </c>
      <c r="DQ357" s="2" t="s">
        <v>3</v>
      </c>
      <c r="DR357" s="2">
        <f t="shared" si="51"/>
        <v>5.1530000000000005</v>
      </c>
      <c r="DS357" s="4">
        <f t="shared" si="52"/>
        <v>0.47723656122646996</v>
      </c>
      <c r="DT357" s="15">
        <f t="shared" si="53"/>
        <v>24.592000000000002</v>
      </c>
      <c r="DU357" s="2"/>
      <c r="DV357" s="2">
        <f t="shared" si="54"/>
        <v>0</v>
      </c>
      <c r="DW357" s="2"/>
      <c r="DX357" s="2"/>
      <c r="DY357" s="2"/>
      <c r="DZ357" s="2" t="s">
        <v>3</v>
      </c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 t="s">
        <v>3</v>
      </c>
      <c r="FR357" s="2" t="s">
        <v>89</v>
      </c>
      <c r="FS357" s="2" t="s">
        <v>90</v>
      </c>
      <c r="FT357" s="2"/>
      <c r="FU357" s="2"/>
      <c r="FV357" s="2" t="s">
        <v>3</v>
      </c>
    </row>
    <row r="358" spans="1:178" ht="15.75" customHeight="1" x14ac:dyDescent="0.2">
      <c r="A358" s="14" t="s">
        <v>74</v>
      </c>
      <c r="B358" s="2" t="s">
        <v>164</v>
      </c>
      <c r="C358" s="13" t="s">
        <v>872</v>
      </c>
      <c r="D358" s="2" t="s">
        <v>99</v>
      </c>
      <c r="E358" s="2"/>
      <c r="F358" s="2"/>
      <c r="G358" s="2" t="s">
        <v>78</v>
      </c>
      <c r="H358" s="2" t="s">
        <v>873</v>
      </c>
      <c r="I358" s="2"/>
      <c r="J358" s="2" t="s">
        <v>242</v>
      </c>
      <c r="K358" s="2">
        <v>0</v>
      </c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>
        <v>16.600000000000001</v>
      </c>
      <c r="AG358" s="2"/>
      <c r="AH358" s="2"/>
      <c r="AI358" s="2"/>
      <c r="AJ358" s="2"/>
      <c r="AK358" s="2"/>
      <c r="AL358" s="2"/>
      <c r="AM358" s="2"/>
      <c r="AN358" s="4">
        <v>0.6</v>
      </c>
      <c r="AO358" s="2">
        <v>0.14000000000000001</v>
      </c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>
        <v>15.34</v>
      </c>
      <c r="BB358" s="2"/>
      <c r="BC358" s="2"/>
      <c r="BD358" s="2"/>
      <c r="BE358" s="2"/>
      <c r="BF358" s="2"/>
      <c r="BG358" s="2"/>
      <c r="BH358" s="2"/>
      <c r="BI358" s="2">
        <v>0.51</v>
      </c>
      <c r="BJ358" s="2">
        <v>0.11</v>
      </c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>
        <v>0</v>
      </c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>
        <v>0</v>
      </c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14" t="s">
        <v>81</v>
      </c>
      <c r="DM358" s="2" t="s">
        <v>81</v>
      </c>
      <c r="DN358" s="2">
        <f t="shared" si="49"/>
        <v>0.55677520350657483</v>
      </c>
      <c r="DO358" s="2">
        <f t="shared" si="50"/>
        <v>0.1255917345021916</v>
      </c>
      <c r="DP358" s="2" t="s">
        <v>211</v>
      </c>
      <c r="DQ358" s="2" t="s">
        <v>3</v>
      </c>
      <c r="DR358" s="2">
        <f t="shared" si="51"/>
        <v>31.94</v>
      </c>
      <c r="DS358" s="4">
        <f t="shared" si="52"/>
        <v>0.55677520350657483</v>
      </c>
      <c r="DT358" s="15">
        <f t="shared" si="53"/>
        <v>177.834</v>
      </c>
      <c r="DU358" s="2"/>
      <c r="DV358" s="2">
        <f t="shared" si="54"/>
        <v>0</v>
      </c>
      <c r="DW358" s="2"/>
      <c r="DX358" s="2"/>
      <c r="DY358" s="2"/>
      <c r="DZ358" s="2" t="s">
        <v>3</v>
      </c>
      <c r="EA358" s="2" t="s">
        <v>874</v>
      </c>
      <c r="EB358" s="15">
        <v>13.853999999999999</v>
      </c>
      <c r="EC358" s="15">
        <v>50.918520000000001</v>
      </c>
      <c r="ED358" s="2" t="s">
        <v>176</v>
      </c>
      <c r="EE358" s="2" t="s">
        <v>176</v>
      </c>
      <c r="EF358" s="2" t="s">
        <v>176</v>
      </c>
      <c r="EG358" s="2" t="s">
        <v>176</v>
      </c>
      <c r="EH358" s="2"/>
      <c r="EI358" s="2"/>
      <c r="EJ358" s="18">
        <v>100000</v>
      </c>
      <c r="EK358" s="18">
        <v>100000</v>
      </c>
      <c r="EL358" s="2"/>
      <c r="EM358" s="2" t="s">
        <v>874</v>
      </c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 t="s">
        <v>874</v>
      </c>
      <c r="FQ358" s="2" t="s">
        <v>3</v>
      </c>
      <c r="FR358" s="2" t="s">
        <v>37</v>
      </c>
      <c r="FS358" s="2" t="s">
        <v>114</v>
      </c>
      <c r="FT358" s="2" t="s">
        <v>114</v>
      </c>
      <c r="FU358" s="2"/>
      <c r="FV358" s="2" t="s">
        <v>3</v>
      </c>
    </row>
    <row r="359" spans="1:178" ht="15.75" customHeight="1" x14ac:dyDescent="0.2">
      <c r="A359" s="14" t="s">
        <v>96</v>
      </c>
      <c r="B359" s="2" t="s">
        <v>164</v>
      </c>
      <c r="C359" s="16" t="s">
        <v>875</v>
      </c>
      <c r="D359" s="2" t="s">
        <v>99</v>
      </c>
      <c r="E359" s="2"/>
      <c r="F359" s="2"/>
      <c r="G359" s="2" t="s">
        <v>78</v>
      </c>
      <c r="H359" s="2" t="s">
        <v>876</v>
      </c>
      <c r="I359" s="2"/>
      <c r="J359" s="2" t="s">
        <v>181</v>
      </c>
      <c r="K359" s="2">
        <v>0</v>
      </c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>
        <f>10.5+5.2</f>
        <v>15.7</v>
      </c>
      <c r="AG359" s="2"/>
      <c r="AH359" s="2"/>
      <c r="AI359" s="2"/>
      <c r="AJ359" s="2"/>
      <c r="AK359" s="2"/>
      <c r="AL359" s="2"/>
      <c r="AM359" s="2"/>
      <c r="AN359" s="4">
        <f>(0.58*10.5+0.64*5.2)/AF359</f>
        <v>0.59987261146496818</v>
      </c>
      <c r="AO359" s="4">
        <f>(0.12*10.5+0.15*5.2)/AF359</f>
        <v>0.12993630573248408</v>
      </c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>
        <f>2+0.8+7.7+2.8</f>
        <v>13.3</v>
      </c>
      <c r="BB359" s="2"/>
      <c r="BC359" s="2"/>
      <c r="BD359" s="2"/>
      <c r="BE359" s="2"/>
      <c r="BF359" s="2"/>
      <c r="BG359" s="2"/>
      <c r="BH359" s="2"/>
      <c r="BI359" s="4">
        <f>(0.51*2+0.52*0.8+0.45*7.7+0.47*2.8)/BA359</f>
        <v>0.46744360902255633</v>
      </c>
      <c r="BJ359" s="4">
        <f>(0.11*2+0.15*0.8+0.11*7.7+0.15*2.8)/BA359</f>
        <v>0.12082706766917291</v>
      </c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>
        <v>0</v>
      </c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>
        <v>0</v>
      </c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14" t="s">
        <v>81</v>
      </c>
      <c r="DM359" s="2" t="s">
        <v>81</v>
      </c>
      <c r="DN359" s="2">
        <f t="shared" si="49"/>
        <v>0.53913793103448271</v>
      </c>
      <c r="DO359" s="2">
        <f t="shared" si="50"/>
        <v>0.12575862068965515</v>
      </c>
      <c r="DP359" s="2" t="s">
        <v>211</v>
      </c>
      <c r="DQ359" s="2" t="s">
        <v>3</v>
      </c>
      <c r="DR359" s="2">
        <f t="shared" si="51"/>
        <v>29</v>
      </c>
      <c r="DS359" s="4">
        <f t="shared" si="52"/>
        <v>0.53913793103448271</v>
      </c>
      <c r="DT359" s="15">
        <f t="shared" si="53"/>
        <v>156.35</v>
      </c>
      <c r="DU359" s="2"/>
      <c r="DV359" s="2">
        <f t="shared" si="54"/>
        <v>0</v>
      </c>
      <c r="DW359" s="2"/>
      <c r="DX359" s="2"/>
      <c r="DY359" s="2"/>
      <c r="DZ359" s="2" t="s">
        <v>3</v>
      </c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 t="s">
        <v>3</v>
      </c>
      <c r="FR359" s="2" t="s">
        <v>89</v>
      </c>
      <c r="FS359" s="2" t="s">
        <v>378</v>
      </c>
      <c r="FT359" s="2"/>
      <c r="FU359" s="2"/>
      <c r="FV359" s="2" t="s">
        <v>3</v>
      </c>
    </row>
    <row r="360" spans="1:178" ht="15.75" customHeight="1" x14ac:dyDescent="0.2">
      <c r="A360" s="14" t="s">
        <v>96</v>
      </c>
      <c r="B360" s="2" t="s">
        <v>97</v>
      </c>
      <c r="C360" s="16" t="s">
        <v>877</v>
      </c>
      <c r="D360" s="2" t="s">
        <v>99</v>
      </c>
      <c r="E360" s="2"/>
      <c r="F360" s="2"/>
      <c r="G360" s="2"/>
      <c r="H360" s="2" t="s">
        <v>79</v>
      </c>
      <c r="I360" s="2"/>
      <c r="J360" s="2"/>
      <c r="K360" s="2">
        <v>0</v>
      </c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>
        <v>53.332999999999998</v>
      </c>
      <c r="AG360" s="2">
        <v>0.45500000000000002</v>
      </c>
      <c r="AH360" s="2"/>
      <c r="AI360" s="2"/>
      <c r="AJ360" s="2"/>
      <c r="AK360" s="2"/>
      <c r="AL360" s="2"/>
      <c r="AM360" s="2"/>
      <c r="AN360" s="2">
        <v>0.27</v>
      </c>
      <c r="AO360" s="2"/>
      <c r="AP360" s="2">
        <v>0.2</v>
      </c>
      <c r="AQ360" s="2">
        <v>2.0499999999999998</v>
      </c>
      <c r="AR360" s="2"/>
      <c r="AS360" s="2"/>
      <c r="AT360" s="2"/>
      <c r="AU360" s="2"/>
      <c r="AV360" s="2"/>
      <c r="AW360" s="2"/>
      <c r="AX360" s="2"/>
      <c r="AY360" s="2"/>
      <c r="AZ360" s="2"/>
      <c r="BA360" s="2">
        <v>0</v>
      </c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>
        <v>0</v>
      </c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>
        <v>0</v>
      </c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14" t="s">
        <v>81</v>
      </c>
      <c r="DM360" s="2"/>
      <c r="DN360" s="2">
        <f t="shared" si="49"/>
        <v>0.27</v>
      </c>
      <c r="DO360" s="2">
        <f t="shared" si="50"/>
        <v>0</v>
      </c>
      <c r="DP360" s="2" t="s">
        <v>101</v>
      </c>
      <c r="DQ360" s="2" t="s">
        <v>3</v>
      </c>
      <c r="DR360" s="4">
        <f t="shared" si="51"/>
        <v>53.332999999999998</v>
      </c>
      <c r="DS360" s="2">
        <f t="shared" si="52"/>
        <v>0.27</v>
      </c>
      <c r="DT360" s="15">
        <f t="shared" si="53"/>
        <v>143.99910000000003</v>
      </c>
      <c r="DU360" s="2"/>
      <c r="DV360" s="2">
        <f t="shared" si="54"/>
        <v>0</v>
      </c>
      <c r="DW360" s="2"/>
      <c r="DX360" s="2"/>
      <c r="DY360" s="2"/>
      <c r="DZ360" s="2" t="s">
        <v>3</v>
      </c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 t="s">
        <v>3</v>
      </c>
      <c r="FR360" s="2" t="s">
        <v>89</v>
      </c>
      <c r="FS360" s="2" t="s">
        <v>90</v>
      </c>
      <c r="FT360" s="2" t="s">
        <v>91</v>
      </c>
      <c r="FU360" s="2"/>
      <c r="FV360" s="2" t="s">
        <v>3</v>
      </c>
    </row>
    <row r="361" spans="1:178" ht="15.75" customHeight="1" x14ac:dyDescent="0.2">
      <c r="A361" s="14" t="s">
        <v>262</v>
      </c>
      <c r="B361" s="2" t="s">
        <v>85</v>
      </c>
      <c r="C361" s="16" t="s">
        <v>878</v>
      </c>
      <c r="D361" s="2"/>
      <c r="E361" s="2"/>
      <c r="F361" s="2"/>
      <c r="G361" s="2"/>
      <c r="H361" s="2" t="s">
        <v>511</v>
      </c>
      <c r="I361" s="2"/>
      <c r="J361" s="2"/>
      <c r="K361" s="2">
        <v>0</v>
      </c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>
        <v>49.6</v>
      </c>
      <c r="AG361" s="4">
        <v>2.7E-2</v>
      </c>
      <c r="AH361" s="4">
        <v>0.16</v>
      </c>
      <c r="AI361" s="2"/>
      <c r="AJ361" s="2"/>
      <c r="AK361" s="2"/>
      <c r="AL361" s="2"/>
      <c r="AM361" s="2"/>
      <c r="AN361" s="4">
        <v>0.08</v>
      </c>
      <c r="AO361" s="2"/>
      <c r="AP361" s="4">
        <v>2.2000000000000002</v>
      </c>
      <c r="AQ361" s="4">
        <v>1.51</v>
      </c>
      <c r="AR361" s="4">
        <v>0.3</v>
      </c>
      <c r="AS361" s="4"/>
      <c r="AT361" s="4"/>
      <c r="AU361" s="2"/>
      <c r="AV361" s="2"/>
      <c r="AW361" s="2"/>
      <c r="AX361" s="2"/>
      <c r="AY361" s="2"/>
      <c r="AZ361" s="2"/>
      <c r="BA361" s="2">
        <v>71.900000000000006</v>
      </c>
      <c r="BB361" s="4">
        <v>9.5000000000000001E-2</v>
      </c>
      <c r="BC361" s="4">
        <v>0.16</v>
      </c>
      <c r="BD361" s="2"/>
      <c r="BE361" s="2"/>
      <c r="BF361" s="2"/>
      <c r="BG361" s="2"/>
      <c r="BH361" s="2"/>
      <c r="BI361" s="4">
        <v>0.128</v>
      </c>
      <c r="BJ361" s="2"/>
      <c r="BK361" s="4">
        <v>1.9699999999999998</v>
      </c>
      <c r="BL361" s="4">
        <v>1.38</v>
      </c>
      <c r="BM361" s="4">
        <v>0.25</v>
      </c>
      <c r="BN361" s="2"/>
      <c r="BO361" s="2"/>
      <c r="BP361" s="2"/>
      <c r="BQ361" s="2"/>
      <c r="BR361" s="2"/>
      <c r="BS361" s="2"/>
      <c r="BT361" s="2"/>
      <c r="BU361" s="2"/>
      <c r="BV361" s="2">
        <v>0</v>
      </c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>
        <v>44.1</v>
      </c>
      <c r="CR361" s="4">
        <v>2.7E-2</v>
      </c>
      <c r="CS361" s="4">
        <v>0.12692000000000001</v>
      </c>
      <c r="CT361" s="2"/>
      <c r="CU361" s="2"/>
      <c r="CV361" s="2"/>
      <c r="CW361" s="2"/>
      <c r="CX361" s="2"/>
      <c r="CY361" s="4">
        <v>0.08</v>
      </c>
      <c r="CZ361" s="2"/>
      <c r="DA361" s="4">
        <v>1.76352</v>
      </c>
      <c r="DB361" s="4">
        <v>1.2090799999999999</v>
      </c>
      <c r="DC361" s="4">
        <v>0.24047999999999997</v>
      </c>
      <c r="DD361" s="2"/>
      <c r="DE361" s="2"/>
      <c r="DF361" s="2"/>
      <c r="DG361" s="2"/>
      <c r="DH361" s="2"/>
      <c r="DI361" s="2"/>
      <c r="DJ361" s="2"/>
      <c r="DK361" s="2"/>
      <c r="DL361" s="14" t="s">
        <v>81</v>
      </c>
      <c r="DM361" s="2"/>
      <c r="DN361" s="2">
        <f t="shared" si="49"/>
        <v>0.10840493827160494</v>
      </c>
      <c r="DO361" s="2">
        <f t="shared" si="50"/>
        <v>0</v>
      </c>
      <c r="DP361" s="2" t="s">
        <v>512</v>
      </c>
      <c r="DQ361" s="2" t="s">
        <v>3</v>
      </c>
      <c r="DR361" s="2">
        <f t="shared" si="51"/>
        <v>121.5</v>
      </c>
      <c r="DS361" s="4">
        <f t="shared" si="52"/>
        <v>0.10840493827160494</v>
      </c>
      <c r="DT361" s="15">
        <f t="shared" si="53"/>
        <v>131.71200000000002</v>
      </c>
      <c r="DU361" s="2"/>
      <c r="DV361" s="2">
        <f t="shared" si="54"/>
        <v>44.1</v>
      </c>
      <c r="DW361" s="2">
        <f>(BV361*CD361+CQ361*CY361)/DV361</f>
        <v>0.08</v>
      </c>
      <c r="DX361" s="15">
        <f>1000*DV361*DW361/100</f>
        <v>35.28</v>
      </c>
      <c r="DY361" s="2"/>
      <c r="DZ361" s="2" t="s">
        <v>3</v>
      </c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 t="s">
        <v>3</v>
      </c>
      <c r="FR361" s="2" t="s">
        <v>89</v>
      </c>
      <c r="FS361" s="2" t="s">
        <v>90</v>
      </c>
      <c r="FT361" s="2" t="s">
        <v>91</v>
      </c>
      <c r="FU361" s="2" t="s">
        <v>226</v>
      </c>
      <c r="FV361" s="2" t="s">
        <v>3</v>
      </c>
    </row>
    <row r="362" spans="1:178" ht="15.75" customHeight="1" x14ac:dyDescent="0.2">
      <c r="A362" s="14" t="s">
        <v>96</v>
      </c>
      <c r="B362" s="2" t="s">
        <v>164</v>
      </c>
      <c r="C362" s="28" t="s">
        <v>879</v>
      </c>
      <c r="D362" s="2" t="s">
        <v>120</v>
      </c>
      <c r="E362" s="2"/>
      <c r="F362" s="2"/>
      <c r="G362" s="2" t="s">
        <v>447</v>
      </c>
      <c r="H362" s="2" t="s">
        <v>603</v>
      </c>
      <c r="I362" s="2"/>
      <c r="J362" s="2" t="s">
        <v>181</v>
      </c>
      <c r="K362" s="2">
        <v>0</v>
      </c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>
        <v>0</v>
      </c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>
        <v>101.98399999999999</v>
      </c>
      <c r="BB362" s="2"/>
      <c r="BC362" s="2"/>
      <c r="BD362" s="2"/>
      <c r="BE362" s="2"/>
      <c r="BF362" s="2"/>
      <c r="BG362" s="2"/>
      <c r="BH362" s="2"/>
      <c r="BI362" s="2">
        <v>0.21</v>
      </c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>
        <v>0</v>
      </c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>
        <v>0</v>
      </c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14" t="s">
        <v>81</v>
      </c>
      <c r="DM362" s="2"/>
      <c r="DN362" s="2">
        <f t="shared" si="49"/>
        <v>0.21</v>
      </c>
      <c r="DO362" s="2">
        <f t="shared" si="50"/>
        <v>0</v>
      </c>
      <c r="DP362" s="2" t="s">
        <v>175</v>
      </c>
      <c r="DQ362" s="2" t="s">
        <v>3</v>
      </c>
      <c r="DR362" s="15">
        <f t="shared" si="51"/>
        <v>101.98399999999999</v>
      </c>
      <c r="DS362" s="2">
        <f t="shared" si="52"/>
        <v>0.21</v>
      </c>
      <c r="DT362" s="15">
        <f t="shared" si="53"/>
        <v>214.16639999999998</v>
      </c>
      <c r="DU362" s="2"/>
      <c r="DV362" s="2">
        <f t="shared" si="54"/>
        <v>0</v>
      </c>
      <c r="DW362" s="2"/>
      <c r="DX362" s="2"/>
      <c r="DY362" s="2"/>
      <c r="DZ362" s="2" t="s">
        <v>3</v>
      </c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 t="s">
        <v>3</v>
      </c>
      <c r="FR362" s="2" t="s">
        <v>447</v>
      </c>
      <c r="FS362" s="2" t="s">
        <v>89</v>
      </c>
      <c r="FT362" s="2" t="s">
        <v>137</v>
      </c>
      <c r="FU362" s="2"/>
      <c r="FV362" s="2" t="s">
        <v>3</v>
      </c>
    </row>
    <row r="363" spans="1:178" ht="15.75" customHeight="1" x14ac:dyDescent="0.2">
      <c r="A363" s="20" t="s">
        <v>880</v>
      </c>
      <c r="B363" s="2" t="s">
        <v>164</v>
      </c>
      <c r="C363" s="21" t="s">
        <v>881</v>
      </c>
      <c r="D363" s="2" t="s">
        <v>99</v>
      </c>
      <c r="E363" s="2"/>
      <c r="F363" s="2"/>
      <c r="G363" s="2" t="s">
        <v>78</v>
      </c>
      <c r="H363" s="2" t="s">
        <v>882</v>
      </c>
      <c r="I363" s="2"/>
      <c r="J363" s="2" t="s">
        <v>167</v>
      </c>
      <c r="K363" s="2">
        <v>0</v>
      </c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>
        <f>1.3+19.8</f>
        <v>21.1</v>
      </c>
      <c r="AG363" s="19">
        <f>(0.075*1.3+0.034*19.8)/AF363</f>
        <v>3.6526066350710901E-2</v>
      </c>
      <c r="AH363" s="2"/>
      <c r="AI363" s="2"/>
      <c r="AJ363" s="19">
        <f>((0.069*1.3+0.072*19.8)/AF363)/1.179</f>
        <v>6.0911930345018871E-2</v>
      </c>
      <c r="AK363" s="19"/>
      <c r="AL363" s="2"/>
      <c r="AM363" s="4">
        <f>(0.128*1.3+0.134*19.8)/AF363</f>
        <v>0.13363033175355452</v>
      </c>
      <c r="AN363" s="19">
        <f>(0.044*1.3+0.063*19.8)/AF363</f>
        <v>6.1829383886255918E-2</v>
      </c>
      <c r="AO363" s="19">
        <f>(0.021*1.3+0.031*19.8)/AF363</f>
        <v>3.038388625592417E-2</v>
      </c>
      <c r="AP363" s="2"/>
      <c r="AQ363" s="2"/>
      <c r="AR363" s="2"/>
      <c r="AS363" s="2"/>
      <c r="AT363" s="2"/>
      <c r="AU363" s="2"/>
      <c r="AV363" s="2"/>
      <c r="AW363" s="2"/>
      <c r="AX363" s="23">
        <f>(60*1.3+30*13.2)/(1.3+13.2)</f>
        <v>32.689655172413794</v>
      </c>
      <c r="AY363" s="2"/>
      <c r="AZ363" s="2"/>
      <c r="BA363" s="2">
        <f>2.5+10.4</f>
        <v>12.9</v>
      </c>
      <c r="BB363" s="19">
        <f>(0.027*2.5+0.011*10.4)/BA363</f>
        <v>1.4100775193798449E-2</v>
      </c>
      <c r="BC363" s="2"/>
      <c r="BD363" s="2"/>
      <c r="BE363" s="19">
        <f>((0.038*2.5+0.033*10.4)/BA363)/1.179</f>
        <v>2.8811698259594586E-2</v>
      </c>
      <c r="BF363" s="19"/>
      <c r="BG363" s="2"/>
      <c r="BH363" s="19">
        <f>(0.05*2.5+0.032*10.4)/BA363</f>
        <v>3.548837209302326E-2</v>
      </c>
      <c r="BI363" s="19">
        <f>(0.025*2.5+0.025*10.4)/BA363</f>
        <v>2.5000000000000001E-2</v>
      </c>
      <c r="BJ363" s="19">
        <f>(0.014*2.5+0.014*10.4)/BA363</f>
        <v>1.4E-2</v>
      </c>
      <c r="BK363" s="2"/>
      <c r="BL363" s="2"/>
      <c r="BM363" s="2"/>
      <c r="BN363" s="2"/>
      <c r="BO363" s="2"/>
      <c r="BP363" s="2"/>
      <c r="BQ363" s="2"/>
      <c r="BR363" s="2"/>
      <c r="BS363" s="23">
        <f>(20*2.5+20*16.1)/(2.5+16.1)</f>
        <v>20</v>
      </c>
      <c r="BT363" s="2"/>
      <c r="BU363" s="2"/>
      <c r="BV363" s="2">
        <v>0</v>
      </c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>
        <v>0</v>
      </c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14" t="s">
        <v>81</v>
      </c>
      <c r="DM363" s="2" t="s">
        <v>81</v>
      </c>
      <c r="DN363" s="2">
        <f t="shared" si="49"/>
        <v>4.7855882352941179E-2</v>
      </c>
      <c r="DO363" s="2">
        <f t="shared" si="50"/>
        <v>2.416764705882353E-2</v>
      </c>
      <c r="DP363" s="2" t="s">
        <v>883</v>
      </c>
      <c r="DQ363" s="2" t="s">
        <v>3</v>
      </c>
      <c r="DR363" s="2">
        <f t="shared" si="51"/>
        <v>34</v>
      </c>
      <c r="DS363" s="19">
        <f t="shared" si="52"/>
        <v>4.7855882352941179E-2</v>
      </c>
      <c r="DT363" s="15">
        <f t="shared" si="53"/>
        <v>16.271000000000001</v>
      </c>
      <c r="DU363" s="2"/>
      <c r="DV363" s="2">
        <f t="shared" si="54"/>
        <v>0</v>
      </c>
      <c r="DW363" s="2"/>
      <c r="DX363" s="2"/>
      <c r="DY363" s="2"/>
      <c r="DZ363" s="2" t="s">
        <v>3</v>
      </c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 t="s">
        <v>3</v>
      </c>
      <c r="FR363" s="2" t="s">
        <v>183</v>
      </c>
      <c r="FS363" s="2" t="s">
        <v>449</v>
      </c>
      <c r="FT363" s="2"/>
      <c r="FU363" s="2"/>
      <c r="FV363" s="2" t="s">
        <v>3</v>
      </c>
    </row>
    <row r="364" spans="1:178" ht="15.75" customHeight="1" x14ac:dyDescent="0.2">
      <c r="A364" s="14" t="s">
        <v>96</v>
      </c>
      <c r="B364" s="2" t="s">
        <v>597</v>
      </c>
      <c r="C364" s="16" t="s">
        <v>884</v>
      </c>
      <c r="D364" s="2" t="s">
        <v>109</v>
      </c>
      <c r="E364" s="2"/>
      <c r="F364" s="2"/>
      <c r="G364" s="2"/>
      <c r="H364" s="2" t="s">
        <v>885</v>
      </c>
      <c r="I364" s="2"/>
      <c r="J364" s="2"/>
      <c r="K364" s="2">
        <v>0</v>
      </c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>
        <v>5.65</v>
      </c>
      <c r="AG364" s="4">
        <v>0.2</v>
      </c>
      <c r="AH364" s="2"/>
      <c r="AI364" s="2"/>
      <c r="AJ364" s="2"/>
      <c r="AK364" s="2"/>
      <c r="AL364" s="2"/>
      <c r="AM364" s="2"/>
      <c r="AN364" s="2">
        <v>1.01</v>
      </c>
      <c r="AO364" s="2">
        <v>7.0000000000000007E-2</v>
      </c>
      <c r="AP364" s="2">
        <v>0.03</v>
      </c>
      <c r="AQ364" s="2">
        <v>0.6</v>
      </c>
      <c r="AR364" s="2"/>
      <c r="AS364" s="2"/>
      <c r="AT364" s="2"/>
      <c r="AU364" s="2"/>
      <c r="AV364" s="2"/>
      <c r="AW364" s="2"/>
      <c r="AX364" s="2"/>
      <c r="AY364" s="2"/>
      <c r="AZ364" s="2"/>
      <c r="BA364" s="2">
        <v>0.36</v>
      </c>
      <c r="BB364" s="4">
        <v>0.2</v>
      </c>
      <c r="BC364" s="2"/>
      <c r="BD364" s="2"/>
      <c r="BE364" s="2"/>
      <c r="BF364" s="2"/>
      <c r="BG364" s="2"/>
      <c r="BH364" s="2"/>
      <c r="BI364" s="2">
        <v>0.84</v>
      </c>
      <c r="BJ364" s="2">
        <v>7.0000000000000007E-2</v>
      </c>
      <c r="BK364" s="2">
        <v>0.03</v>
      </c>
      <c r="BL364" s="2">
        <v>0.6</v>
      </c>
      <c r="BM364" s="2"/>
      <c r="BN364" s="2"/>
      <c r="BO364" s="2"/>
      <c r="BP364" s="2"/>
      <c r="BQ364" s="2"/>
      <c r="BR364" s="2"/>
      <c r="BS364" s="2"/>
      <c r="BT364" s="2"/>
      <c r="BU364" s="2"/>
      <c r="BV364" s="2">
        <v>0</v>
      </c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>
        <v>0</v>
      </c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14" t="s">
        <v>81</v>
      </c>
      <c r="DM364" s="2"/>
      <c r="DN364" s="2">
        <f t="shared" si="49"/>
        <v>0.99981697171381034</v>
      </c>
      <c r="DO364" s="2">
        <f t="shared" si="50"/>
        <v>7.0000000000000007E-2</v>
      </c>
      <c r="DP364" s="2" t="s">
        <v>886</v>
      </c>
      <c r="DQ364" s="2" t="s">
        <v>3</v>
      </c>
      <c r="DR364" s="2">
        <f t="shared" si="51"/>
        <v>6.0100000000000007</v>
      </c>
      <c r="DS364" s="4">
        <f t="shared" si="52"/>
        <v>0.99981697171381034</v>
      </c>
      <c r="DT364" s="15">
        <f t="shared" si="53"/>
        <v>60.089000000000013</v>
      </c>
      <c r="DU364" s="2"/>
      <c r="DV364" s="2">
        <f t="shared" si="54"/>
        <v>0</v>
      </c>
      <c r="DW364" s="2"/>
      <c r="DX364" s="2"/>
      <c r="DY364" s="2"/>
      <c r="DZ364" s="2" t="s">
        <v>3</v>
      </c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 t="s">
        <v>3</v>
      </c>
      <c r="FR364" s="2" t="s">
        <v>89</v>
      </c>
      <c r="FS364" s="2" t="s">
        <v>123</v>
      </c>
      <c r="FT364" s="2"/>
      <c r="FU364" s="2"/>
      <c r="FV364" s="2" t="s">
        <v>3</v>
      </c>
    </row>
    <row r="365" spans="1:178" ht="15.75" customHeight="1" x14ac:dyDescent="0.2">
      <c r="A365" s="14" t="s">
        <v>96</v>
      </c>
      <c r="B365" s="2" t="s">
        <v>164</v>
      </c>
      <c r="C365" s="16" t="s">
        <v>887</v>
      </c>
      <c r="D365" s="2" t="s">
        <v>99</v>
      </c>
      <c r="E365" s="2"/>
      <c r="F365" s="2"/>
      <c r="G365" s="2" t="s">
        <v>179</v>
      </c>
      <c r="H365" s="2" t="s">
        <v>314</v>
      </c>
      <c r="I365" s="2"/>
      <c r="J365" s="2" t="s">
        <v>181</v>
      </c>
      <c r="K365" s="2">
        <v>0</v>
      </c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>
        <v>0</v>
      </c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>
        <v>0.24</v>
      </c>
      <c r="BB365" s="2"/>
      <c r="BC365" s="2"/>
      <c r="BD365" s="2"/>
      <c r="BE365" s="2"/>
      <c r="BF365" s="2"/>
      <c r="BG365" s="2"/>
      <c r="BH365" s="2"/>
      <c r="BI365" s="2">
        <v>2.36</v>
      </c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>
        <v>0</v>
      </c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>
        <v>0</v>
      </c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14" t="s">
        <v>81</v>
      </c>
      <c r="DM365" s="2"/>
      <c r="DN365" s="2">
        <f t="shared" si="49"/>
        <v>2.36</v>
      </c>
      <c r="DO365" s="2">
        <f t="shared" si="50"/>
        <v>0</v>
      </c>
      <c r="DP365" s="2" t="s">
        <v>211</v>
      </c>
      <c r="DQ365" s="2" t="s">
        <v>3</v>
      </c>
      <c r="DR365" s="2">
        <f t="shared" si="51"/>
        <v>0.24</v>
      </c>
      <c r="DS365" s="2">
        <f t="shared" si="52"/>
        <v>2.36</v>
      </c>
      <c r="DT365" s="15">
        <f t="shared" si="53"/>
        <v>5.6639999999999997</v>
      </c>
      <c r="DU365" s="2"/>
      <c r="DV365" s="2">
        <f t="shared" si="54"/>
        <v>0</v>
      </c>
      <c r="DW365" s="2"/>
      <c r="DX365" s="2"/>
      <c r="DY365" s="2"/>
      <c r="DZ365" s="2" t="s">
        <v>3</v>
      </c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 t="s">
        <v>3</v>
      </c>
      <c r="FR365" s="2" t="s">
        <v>89</v>
      </c>
      <c r="FS365" s="2" t="s">
        <v>137</v>
      </c>
      <c r="FT365" s="2"/>
      <c r="FU365" s="2"/>
      <c r="FV365" s="2" t="s">
        <v>3</v>
      </c>
    </row>
    <row r="366" spans="1:178" ht="15.75" customHeight="1" x14ac:dyDescent="0.2">
      <c r="A366" s="14" t="s">
        <v>74</v>
      </c>
      <c r="B366" s="2" t="s">
        <v>164</v>
      </c>
      <c r="C366" s="13" t="s">
        <v>888</v>
      </c>
      <c r="D366" s="2" t="s">
        <v>99</v>
      </c>
      <c r="E366" s="2"/>
      <c r="F366" s="2"/>
      <c r="G366" s="2" t="s">
        <v>78</v>
      </c>
      <c r="H366" s="2" t="s">
        <v>889</v>
      </c>
      <c r="I366" s="2"/>
      <c r="J366" s="2" t="s">
        <v>242</v>
      </c>
      <c r="K366" s="2">
        <v>0</v>
      </c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>
        <v>0</v>
      </c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>
        <v>1</v>
      </c>
      <c r="BB366" s="2"/>
      <c r="BC366" s="2"/>
      <c r="BD366" s="2"/>
      <c r="BE366" s="2"/>
      <c r="BF366" s="2"/>
      <c r="BG366" s="2"/>
      <c r="BH366" s="2"/>
      <c r="BI366" s="2">
        <v>1</v>
      </c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>
        <v>0</v>
      </c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>
        <v>0</v>
      </c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14" t="s">
        <v>81</v>
      </c>
      <c r="DM366" s="2"/>
      <c r="DN366" s="2">
        <f t="shared" si="49"/>
        <v>1</v>
      </c>
      <c r="DO366" s="2">
        <f t="shared" si="50"/>
        <v>0</v>
      </c>
      <c r="DP366" s="2" t="s">
        <v>175</v>
      </c>
      <c r="DQ366" s="2" t="s">
        <v>3</v>
      </c>
      <c r="DR366" s="2">
        <f t="shared" si="51"/>
        <v>1</v>
      </c>
      <c r="DS366" s="2">
        <f t="shared" si="52"/>
        <v>1</v>
      </c>
      <c r="DT366" s="15">
        <f t="shared" si="53"/>
        <v>10</v>
      </c>
      <c r="DU366" s="2"/>
      <c r="DV366" s="2">
        <f t="shared" si="54"/>
        <v>0</v>
      </c>
      <c r="DW366" s="2"/>
      <c r="DX366" s="2"/>
      <c r="DY366" s="2"/>
      <c r="DZ366" s="2" t="s">
        <v>3</v>
      </c>
      <c r="EA366" s="2" t="s">
        <v>890</v>
      </c>
      <c r="EB366" s="15">
        <v>0.38800000000000001</v>
      </c>
      <c r="EC366" s="2" t="s">
        <v>176</v>
      </c>
      <c r="ED366" s="2" t="s">
        <v>176</v>
      </c>
      <c r="EE366" s="2" t="s">
        <v>176</v>
      </c>
      <c r="EF366" s="2" t="s">
        <v>176</v>
      </c>
      <c r="EG366" s="2" t="s">
        <v>176</v>
      </c>
      <c r="EH366" s="2"/>
      <c r="EI366" s="2"/>
      <c r="EJ366" s="2"/>
      <c r="EK366" s="2"/>
      <c r="EL366" s="2"/>
      <c r="EM366" s="2" t="s">
        <v>890</v>
      </c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 t="s">
        <v>890</v>
      </c>
      <c r="FQ366" s="2" t="s">
        <v>3</v>
      </c>
      <c r="FR366" s="2" t="s">
        <v>37</v>
      </c>
      <c r="FS366" s="2" t="s">
        <v>114</v>
      </c>
      <c r="FT366" s="2" t="s">
        <v>891</v>
      </c>
      <c r="FU366" s="2"/>
      <c r="FV366" s="2" t="s">
        <v>3</v>
      </c>
    </row>
    <row r="367" spans="1:178" ht="15.75" customHeight="1" x14ac:dyDescent="0.2">
      <c r="A367" s="14" t="s">
        <v>96</v>
      </c>
      <c r="B367" s="2" t="s">
        <v>164</v>
      </c>
      <c r="C367" s="16" t="s">
        <v>892</v>
      </c>
      <c r="D367" s="2" t="s">
        <v>99</v>
      </c>
      <c r="E367" s="2"/>
      <c r="F367" s="2"/>
      <c r="G367" s="2" t="s">
        <v>179</v>
      </c>
      <c r="H367" s="2" t="s">
        <v>893</v>
      </c>
      <c r="I367" s="2"/>
      <c r="J367" s="2" t="s">
        <v>181</v>
      </c>
      <c r="K367" s="2">
        <v>12.4</v>
      </c>
      <c r="L367" s="2">
        <v>0.09</v>
      </c>
      <c r="M367" s="2">
        <v>0.2</v>
      </c>
      <c r="N367" s="2"/>
      <c r="O367" s="2"/>
      <c r="P367" s="2"/>
      <c r="Q367" s="2"/>
      <c r="R367" s="2"/>
      <c r="S367" s="2">
        <v>7.0000000000000007E-2</v>
      </c>
      <c r="T367" s="2"/>
      <c r="U367" s="2">
        <v>1.1000000000000001</v>
      </c>
      <c r="V367" s="2">
        <v>1.4</v>
      </c>
      <c r="W367" s="2">
        <v>0.1</v>
      </c>
      <c r="X367" s="2"/>
      <c r="Y367" s="2"/>
      <c r="Z367" s="2"/>
      <c r="AA367" s="2"/>
      <c r="AB367" s="2"/>
      <c r="AC367" s="2"/>
      <c r="AD367" s="2"/>
      <c r="AE367" s="2"/>
      <c r="AF367" s="2">
        <v>9.8000000000000007</v>
      </c>
      <c r="AG367" s="2">
        <v>0.22</v>
      </c>
      <c r="AH367" s="2">
        <v>0.3</v>
      </c>
      <c r="AI367" s="2"/>
      <c r="AJ367" s="2"/>
      <c r="AK367" s="2"/>
      <c r="AL367" s="2"/>
      <c r="AM367" s="2"/>
      <c r="AN367" s="2">
        <v>0.11</v>
      </c>
      <c r="AO367" s="2"/>
      <c r="AP367" s="2">
        <v>1.1000000000000001</v>
      </c>
      <c r="AQ367" s="2">
        <v>1.6</v>
      </c>
      <c r="AR367" s="2">
        <v>0.1</v>
      </c>
      <c r="AS367" s="2"/>
      <c r="AT367" s="2"/>
      <c r="AU367" s="2"/>
      <c r="AV367" s="2"/>
      <c r="AW367" s="2"/>
      <c r="AX367" s="2"/>
      <c r="AY367" s="2"/>
      <c r="AZ367" s="2"/>
      <c r="BA367" s="2">
        <v>1.4</v>
      </c>
      <c r="BB367" s="2">
        <v>0.15</v>
      </c>
      <c r="BC367" s="2">
        <v>0.3</v>
      </c>
      <c r="BD367" s="2"/>
      <c r="BE367" s="2"/>
      <c r="BF367" s="2"/>
      <c r="BG367" s="2"/>
      <c r="BH367" s="2"/>
      <c r="BI367" s="2">
        <v>0.09</v>
      </c>
      <c r="BJ367" s="2"/>
      <c r="BK367" s="2">
        <v>1.1000000000000001</v>
      </c>
      <c r="BL367" s="2">
        <v>1.6</v>
      </c>
      <c r="BM367" s="2">
        <v>0.1</v>
      </c>
      <c r="BN367" s="2"/>
      <c r="BO367" s="2"/>
      <c r="BP367" s="2"/>
      <c r="BQ367" s="2"/>
      <c r="BR367" s="2"/>
      <c r="BS367" s="2"/>
      <c r="BT367" s="2"/>
      <c r="BU367" s="2"/>
      <c r="BV367" s="2">
        <v>0</v>
      </c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>
        <v>0</v>
      </c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14" t="s">
        <v>81</v>
      </c>
      <c r="DM367" s="2"/>
      <c r="DN367" s="2">
        <f t="shared" si="49"/>
        <v>8.7796610169491529E-2</v>
      </c>
      <c r="DO367" s="2">
        <f t="shared" si="50"/>
        <v>0</v>
      </c>
      <c r="DP367" s="2" t="s">
        <v>883</v>
      </c>
      <c r="DQ367" s="2" t="s">
        <v>3</v>
      </c>
      <c r="DR367" s="2">
        <f t="shared" si="51"/>
        <v>23.6</v>
      </c>
      <c r="DS367" s="19">
        <f t="shared" si="52"/>
        <v>8.7796610169491529E-2</v>
      </c>
      <c r="DT367" s="15">
        <f t="shared" si="53"/>
        <v>20.72</v>
      </c>
      <c r="DU367" s="2"/>
      <c r="DV367" s="2">
        <f t="shared" si="54"/>
        <v>0</v>
      </c>
      <c r="DW367" s="2"/>
      <c r="DX367" s="2"/>
      <c r="DY367" s="2"/>
      <c r="DZ367" s="2" t="s">
        <v>3</v>
      </c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 t="s">
        <v>3</v>
      </c>
      <c r="FR367" s="2" t="s">
        <v>89</v>
      </c>
      <c r="FS367" s="2" t="s">
        <v>90</v>
      </c>
      <c r="FT367" s="2"/>
      <c r="FU367" s="2"/>
      <c r="FV367" s="2" t="s">
        <v>3</v>
      </c>
    </row>
    <row r="368" spans="1:178" ht="15.75" customHeight="1" x14ac:dyDescent="0.2">
      <c r="A368" s="14" t="s">
        <v>74</v>
      </c>
      <c r="B368" s="2" t="s">
        <v>164</v>
      </c>
      <c r="C368" s="13" t="s">
        <v>894</v>
      </c>
      <c r="D368" s="2" t="s">
        <v>109</v>
      </c>
      <c r="E368" s="2"/>
      <c r="F368" s="2"/>
      <c r="G368" s="2" t="s">
        <v>78</v>
      </c>
      <c r="H368" s="2" t="s">
        <v>309</v>
      </c>
      <c r="I368" s="2"/>
      <c r="J368" s="2" t="s">
        <v>80</v>
      </c>
      <c r="K368" s="2">
        <v>138.4</v>
      </c>
      <c r="L368" s="2"/>
      <c r="M368" s="2"/>
      <c r="N368" s="2"/>
      <c r="O368" s="2"/>
      <c r="P368" s="2"/>
      <c r="Q368" s="2"/>
      <c r="R368" s="2"/>
      <c r="S368" s="2">
        <v>1.01</v>
      </c>
      <c r="T368" s="2">
        <v>7.4999999999999997E-2</v>
      </c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>
        <v>75.5</v>
      </c>
      <c r="AG368" s="2"/>
      <c r="AH368" s="2"/>
      <c r="AI368" s="2"/>
      <c r="AJ368" s="2"/>
      <c r="AK368" s="2"/>
      <c r="AL368" s="2"/>
      <c r="AM368" s="2"/>
      <c r="AN368" s="2">
        <v>0.99</v>
      </c>
      <c r="AO368" s="2">
        <v>8.4000000000000005E-2</v>
      </c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>
        <v>17</v>
      </c>
      <c r="BB368" s="2"/>
      <c r="BC368" s="2"/>
      <c r="BD368" s="2"/>
      <c r="BE368" s="2"/>
      <c r="BF368" s="2"/>
      <c r="BG368" s="2"/>
      <c r="BH368" s="2"/>
      <c r="BI368" s="2">
        <v>0.9</v>
      </c>
      <c r="BJ368" s="2">
        <v>7.0000000000000007E-2</v>
      </c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>
        <v>83.1</v>
      </c>
      <c r="BW368" s="2"/>
      <c r="BX368" s="2"/>
      <c r="BY368" s="2"/>
      <c r="BZ368" s="2"/>
      <c r="CA368" s="2"/>
      <c r="CB368" s="2"/>
      <c r="CC368" s="2"/>
      <c r="CD368" s="2">
        <v>1.05</v>
      </c>
      <c r="CE368" s="2">
        <v>8.2000000000000003E-2</v>
      </c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>
        <v>18.5</v>
      </c>
      <c r="CR368" s="2"/>
      <c r="CS368" s="2"/>
      <c r="CT368" s="2"/>
      <c r="CU368" s="2"/>
      <c r="CV368" s="2"/>
      <c r="CW368" s="2"/>
      <c r="CX368" s="2"/>
      <c r="CY368" s="2">
        <v>1.05</v>
      </c>
      <c r="CZ368" s="2">
        <v>7.8E-2</v>
      </c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14" t="s">
        <v>81</v>
      </c>
      <c r="DM368" s="2" t="s">
        <v>81</v>
      </c>
      <c r="DN368" s="2">
        <f t="shared" si="49"/>
        <v>0.99536162841056752</v>
      </c>
      <c r="DO368" s="2">
        <f t="shared" si="50"/>
        <v>7.7574707665656134E-2</v>
      </c>
      <c r="DP368" s="2" t="s">
        <v>211</v>
      </c>
      <c r="DQ368" s="2" t="s">
        <v>3</v>
      </c>
      <c r="DR368" s="2">
        <f t="shared" si="51"/>
        <v>230.9</v>
      </c>
      <c r="DS368" s="4">
        <f t="shared" si="52"/>
        <v>0.99536162841056752</v>
      </c>
      <c r="DT368" s="18">
        <f t="shared" si="53"/>
        <v>2298.2900000000004</v>
      </c>
      <c r="DU368" s="2"/>
      <c r="DV368" s="2">
        <f t="shared" si="54"/>
        <v>101.6</v>
      </c>
      <c r="DW368" s="4">
        <f>(BV368*CD368+CQ368*CY368)/DV368</f>
        <v>1.05</v>
      </c>
      <c r="DX368" s="18">
        <f>1000*DV368*DW368/100</f>
        <v>1066.8</v>
      </c>
      <c r="DY368" s="2"/>
      <c r="DZ368" s="2" t="s">
        <v>3</v>
      </c>
      <c r="EA368" s="2" t="s">
        <v>326</v>
      </c>
      <c r="EB368" s="2" t="s">
        <v>176</v>
      </c>
      <c r="EC368" s="3">
        <v>1650.88114</v>
      </c>
      <c r="ED368" s="2" t="s">
        <v>176</v>
      </c>
      <c r="EE368" s="2">
        <v>373.7</v>
      </c>
      <c r="EF368" s="2" t="s">
        <v>176</v>
      </c>
      <c r="EG368" s="3">
        <v>3227</v>
      </c>
      <c r="EH368" s="2"/>
      <c r="EI368" s="3">
        <f>EG368-EE368</f>
        <v>2853.3</v>
      </c>
      <c r="EJ368" s="2"/>
      <c r="EK368" s="3">
        <f>ET368</f>
        <v>0</v>
      </c>
      <c r="EL368" s="3">
        <f>EC368+FD368</f>
        <v>1650.88114</v>
      </c>
      <c r="EM368" s="2" t="s">
        <v>326</v>
      </c>
      <c r="EN368" s="2" t="s">
        <v>176</v>
      </c>
      <c r="EO368" s="2" t="s">
        <v>176</v>
      </c>
      <c r="EP368" s="2" t="s">
        <v>176</v>
      </c>
      <c r="EQ368" s="2" t="s">
        <v>176</v>
      </c>
      <c r="ER368" s="15">
        <f>DR640</f>
        <v>0</v>
      </c>
      <c r="ES368" s="4" t="e">
        <f>100*(ET368/1000)/ER368</f>
        <v>#DIV/0!</v>
      </c>
      <c r="ET368" s="3">
        <f>DT640</f>
        <v>0</v>
      </c>
      <c r="EU368" s="2">
        <f>COUNT(DT640)</f>
        <v>0</v>
      </c>
      <c r="EV368" s="2" t="s">
        <v>176</v>
      </c>
      <c r="EW368" s="2" t="s">
        <v>176</v>
      </c>
      <c r="EX368" s="2" t="s">
        <v>176</v>
      </c>
      <c r="EY368" s="2" t="s">
        <v>176</v>
      </c>
      <c r="EZ368" s="2" t="s">
        <v>176</v>
      </c>
      <c r="FA368" s="2" t="s">
        <v>176</v>
      </c>
      <c r="FB368" s="2" t="s">
        <v>176</v>
      </c>
      <c r="FC368" s="2" t="s">
        <v>176</v>
      </c>
      <c r="FD368" s="3">
        <f>SUM(EP368,ET368,EX368,FB368)</f>
        <v>0</v>
      </c>
      <c r="FE368" s="2" t="s">
        <v>176</v>
      </c>
      <c r="FF368" s="2" t="s">
        <v>176</v>
      </c>
      <c r="FG368" s="2" t="s">
        <v>176</v>
      </c>
      <c r="FH368" s="2" t="s">
        <v>176</v>
      </c>
      <c r="FI368" s="15">
        <f>DV640</f>
        <v>0</v>
      </c>
      <c r="FJ368" s="4" t="e">
        <f>100*(FK368/1000)/FI368</f>
        <v>#DIV/0!</v>
      </c>
      <c r="FK368" s="3">
        <f>DX640</f>
        <v>0</v>
      </c>
      <c r="FL368" s="2">
        <f>COUNT(DX640)</f>
        <v>0</v>
      </c>
      <c r="FM368" s="2" t="s">
        <v>176</v>
      </c>
      <c r="FN368" s="2" t="s">
        <v>176</v>
      </c>
      <c r="FO368" s="15">
        <f>SUM(FG368,FK368,FM368,FN368)</f>
        <v>0</v>
      </c>
      <c r="FP368" s="2" t="s">
        <v>326</v>
      </c>
      <c r="FQ368" s="2" t="s">
        <v>3</v>
      </c>
      <c r="FR368" s="2" t="s">
        <v>37</v>
      </c>
      <c r="FS368" s="2" t="s">
        <v>383</v>
      </c>
      <c r="FT368" s="2" t="s">
        <v>383</v>
      </c>
      <c r="FU368" s="2"/>
      <c r="FV368" s="2" t="s">
        <v>3</v>
      </c>
    </row>
    <row r="369" spans="1:178" ht="15.75" customHeight="1" x14ac:dyDescent="0.2">
      <c r="A369" s="12" t="s">
        <v>74</v>
      </c>
      <c r="B369" s="2" t="s">
        <v>182</v>
      </c>
      <c r="C369" s="13" t="s">
        <v>895</v>
      </c>
      <c r="D369" s="2" t="s">
        <v>99</v>
      </c>
      <c r="E369" s="2"/>
      <c r="F369" s="2"/>
      <c r="G369" s="2"/>
      <c r="H369" s="2" t="s">
        <v>896</v>
      </c>
      <c r="I369" s="2"/>
      <c r="J369" s="2"/>
      <c r="K369" s="2">
        <v>0</v>
      </c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>
        <f>26.66+20.18</f>
        <v>46.84</v>
      </c>
      <c r="AG369" s="4">
        <f>(0.35*26.66+0.21*20.18)/AF369</f>
        <v>0.28968403074295473</v>
      </c>
      <c r="AH369" s="4">
        <f>(0.1*26.66+0.037*13.91+0*6.27)/AF369</f>
        <v>6.7904995730145176E-2</v>
      </c>
      <c r="AI369" s="2"/>
      <c r="AJ369" s="2"/>
      <c r="AK369" s="2"/>
      <c r="AL369" s="2"/>
      <c r="AM369" s="2"/>
      <c r="AN369" s="4">
        <f>(1.13*26.66+2.19*20.18)/AF369</f>
        <v>1.5866780529461995</v>
      </c>
      <c r="AO369" s="4">
        <f>(0.17*26.66+0.06*20.18)/AF369</f>
        <v>0.12260888129803586</v>
      </c>
      <c r="AP369" s="4">
        <f>(0.394*26.66+0.197*13.91+0*6.27)/AF369</f>
        <v>0.2827564047822374</v>
      </c>
      <c r="AQ369" s="4">
        <f>(0.778*26.66+0.323*13.91+0*6.27)/AF369</f>
        <v>0.53873633646456021</v>
      </c>
      <c r="AR369" s="2"/>
      <c r="AS369" s="2"/>
      <c r="AT369" s="2"/>
      <c r="AU369" s="2"/>
      <c r="AV369" s="2"/>
      <c r="AW369" s="2"/>
      <c r="AX369" s="2"/>
      <c r="AY369" s="2"/>
      <c r="AZ369" s="2"/>
      <c r="BA369" s="2">
        <f>27.32+76.02</f>
        <v>103.34</v>
      </c>
      <c r="BB369" s="4">
        <f>(0.24*27.32+0.15*76.02)/BA369</f>
        <v>0.1737933036578285</v>
      </c>
      <c r="BC369" s="4">
        <f>(0.103*0.71+0.102*8.45+0*14.66+0*3.5+0.045*3.3+0.047*15.94+0*41.3+0*15.48)/(0.71+8.45+14.66+3.5+3.3+15.94+41.3+15.48)</f>
        <v>1.7734759047803365E-2</v>
      </c>
      <c r="BD369" s="2"/>
      <c r="BE369" s="2"/>
      <c r="BF369" s="2"/>
      <c r="BG369" s="2"/>
      <c r="BH369" s="2"/>
      <c r="BI369" s="4">
        <f>(0.99*27.32+1.26*76.02)/BA369</f>
        <v>1.1886200890265144</v>
      </c>
      <c r="BJ369" s="4">
        <f>(0.14*27.32+0.05*76.02)/BA369</f>
        <v>7.3793303657828518E-2</v>
      </c>
      <c r="BK369" s="4">
        <f>(0.498*0.71+0.356*8.45+0*14.66+0*3.5+0.191*3.3+0.145*15.94+0*41.3+0*15.48)/(0.71+8.45+14.66+3.5+3.3+15.94+41.3+15.48)</f>
        <v>6.0996516353783614E-2</v>
      </c>
      <c r="BL369" s="4">
        <f>(0.606*0.71+0.792*8.45+0*14.66+0*3.5)/(0.71+8.45+14.66+3.5)</f>
        <v>0.26071229868228402</v>
      </c>
      <c r="BM369" s="2"/>
      <c r="BN369" s="2"/>
      <c r="BO369" s="2"/>
      <c r="BP369" s="2"/>
      <c r="BQ369" s="2"/>
      <c r="BR369" s="2"/>
      <c r="BS369" s="2"/>
      <c r="BT369" s="2"/>
      <c r="BU369" s="2"/>
      <c r="BV369" s="2">
        <v>0</v>
      </c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>
        <v>0</v>
      </c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14" t="s">
        <v>81</v>
      </c>
      <c r="DM369" s="2" t="s">
        <v>81</v>
      </c>
      <c r="DN369" s="2">
        <f t="shared" si="49"/>
        <v>1.3127713410573976</v>
      </c>
      <c r="DO369" s="2">
        <f t="shared" si="50"/>
        <v>8.9018511119989346E-2</v>
      </c>
      <c r="DP369" s="2" t="s">
        <v>897</v>
      </c>
      <c r="DQ369" s="2" t="s">
        <v>3</v>
      </c>
      <c r="DR369" s="15">
        <f t="shared" si="51"/>
        <v>150.18</v>
      </c>
      <c r="DS369" s="4">
        <f t="shared" si="52"/>
        <v>1.3127713410573976</v>
      </c>
      <c r="DT369" s="18">
        <f t="shared" si="53"/>
        <v>1971.5199999999998</v>
      </c>
      <c r="DU369" s="2"/>
      <c r="DV369" s="2">
        <f t="shared" si="54"/>
        <v>0</v>
      </c>
      <c r="DW369" s="2"/>
      <c r="DX369" s="2"/>
      <c r="DY369" s="2"/>
      <c r="DZ369" s="2" t="s">
        <v>3</v>
      </c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 t="s">
        <v>3</v>
      </c>
      <c r="FR369" s="2" t="s">
        <v>37</v>
      </c>
      <c r="FS369" s="2" t="s">
        <v>151</v>
      </c>
      <c r="FT369" s="2" t="s">
        <v>151</v>
      </c>
      <c r="FU369" s="2"/>
      <c r="FV369" s="2" t="s">
        <v>3</v>
      </c>
    </row>
    <row r="370" spans="1:178" ht="15.75" customHeight="1" x14ac:dyDescent="0.2">
      <c r="A370" s="12" t="s">
        <v>74</v>
      </c>
      <c r="B370" s="2" t="s">
        <v>860</v>
      </c>
      <c r="C370" s="13" t="s">
        <v>898</v>
      </c>
      <c r="D370" s="2" t="s">
        <v>99</v>
      </c>
      <c r="E370" s="2"/>
      <c r="F370" s="2"/>
      <c r="G370" s="2" t="s">
        <v>78</v>
      </c>
      <c r="H370" s="2" t="s">
        <v>899</v>
      </c>
      <c r="I370" s="2"/>
      <c r="J370" s="2"/>
      <c r="K370" s="2">
        <v>0</v>
      </c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>
        <v>0</v>
      </c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>
        <v>110</v>
      </c>
      <c r="BB370" s="2"/>
      <c r="BC370" s="2"/>
      <c r="BD370" s="2"/>
      <c r="BE370" s="2"/>
      <c r="BF370" s="2"/>
      <c r="BG370" s="2"/>
      <c r="BH370" s="2"/>
      <c r="BI370" s="2" t="s">
        <v>900</v>
      </c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>
        <v>0</v>
      </c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>
        <v>0</v>
      </c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14" t="s">
        <v>100</v>
      </c>
      <c r="DM370" s="2" t="s">
        <v>100</v>
      </c>
      <c r="DN370" s="2">
        <f t="shared" si="49"/>
        <v>1.0900000000000001</v>
      </c>
      <c r="DO370" s="2">
        <f t="shared" si="50"/>
        <v>0</v>
      </c>
      <c r="DP370" s="2" t="s">
        <v>113</v>
      </c>
      <c r="DQ370" s="2" t="s">
        <v>3</v>
      </c>
      <c r="DR370" s="2">
        <f t="shared" si="51"/>
        <v>110</v>
      </c>
      <c r="DS370" s="4">
        <f t="shared" si="52"/>
        <v>1.0900000000000001</v>
      </c>
      <c r="DT370" s="18">
        <f t="shared" si="53"/>
        <v>1199.0000000000002</v>
      </c>
      <c r="DU370" s="2"/>
      <c r="DV370" s="2">
        <f t="shared" si="54"/>
        <v>0</v>
      </c>
      <c r="DW370" s="2"/>
      <c r="DX370" s="2"/>
      <c r="DY370" s="2"/>
      <c r="DZ370" s="2" t="s">
        <v>3</v>
      </c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 t="s">
        <v>3</v>
      </c>
      <c r="FR370" s="2" t="s">
        <v>37</v>
      </c>
      <c r="FS370" s="2" t="s">
        <v>235</v>
      </c>
      <c r="FT370" s="2" t="s">
        <v>235</v>
      </c>
      <c r="FU370" s="2"/>
      <c r="FV370" s="2" t="s">
        <v>3</v>
      </c>
    </row>
    <row r="371" spans="1:178" ht="15.75" customHeight="1" x14ac:dyDescent="0.2">
      <c r="A371" s="14" t="s">
        <v>96</v>
      </c>
      <c r="B371" s="2" t="s">
        <v>433</v>
      </c>
      <c r="C371" s="16" t="s">
        <v>901</v>
      </c>
      <c r="D371" s="2" t="s">
        <v>99</v>
      </c>
      <c r="E371" s="2"/>
      <c r="F371" s="2"/>
      <c r="G371" s="2"/>
      <c r="H371" s="2" t="s">
        <v>902</v>
      </c>
      <c r="I371" s="2"/>
      <c r="J371" s="2"/>
      <c r="K371" s="2">
        <v>1.1240000000000001</v>
      </c>
      <c r="L371" s="2">
        <v>0.28999999999999998</v>
      </c>
      <c r="M371" s="19">
        <v>0.02</v>
      </c>
      <c r="N371" s="2"/>
      <c r="O371" s="2"/>
      <c r="P371" s="2"/>
      <c r="Q371" s="2"/>
      <c r="R371" s="2"/>
      <c r="S371" s="2">
        <v>1.74</v>
      </c>
      <c r="T371" s="2">
        <v>0.06</v>
      </c>
      <c r="U371" s="2">
        <v>3.2000000000000001E-2</v>
      </c>
      <c r="V371" s="2">
        <v>3.7999999999999999E-2</v>
      </c>
      <c r="W371" s="2"/>
      <c r="X371" s="2"/>
      <c r="Y371" s="2"/>
      <c r="Z371" s="2"/>
      <c r="AA371" s="2"/>
      <c r="AB371" s="2"/>
      <c r="AC371" s="2"/>
      <c r="AD371" s="2"/>
      <c r="AE371" s="2"/>
      <c r="AF371" s="2">
        <v>19.199000000000002</v>
      </c>
      <c r="AG371" s="2">
        <v>0.12</v>
      </c>
      <c r="AH371" s="2">
        <v>2.8000000000000001E-2</v>
      </c>
      <c r="AI371" s="2"/>
      <c r="AJ371" s="2"/>
      <c r="AK371" s="2"/>
      <c r="AL371" s="2"/>
      <c r="AM371" s="2"/>
      <c r="AN371" s="2">
        <v>0.51</v>
      </c>
      <c r="AO371" s="2">
        <v>0.02</v>
      </c>
      <c r="AP371" s="2">
        <v>3.5000000000000003E-2</v>
      </c>
      <c r="AQ371" s="2">
        <v>4.4999999999999998E-2</v>
      </c>
      <c r="AR371" s="2"/>
      <c r="AS371" s="2"/>
      <c r="AT371" s="2"/>
      <c r="AU371" s="2"/>
      <c r="AV371" s="2"/>
      <c r="AW371" s="2"/>
      <c r="AX371" s="2"/>
      <c r="AY371" s="2"/>
      <c r="AZ371" s="2"/>
      <c r="BA371" s="2">
        <v>35.93</v>
      </c>
      <c r="BB371" s="2">
        <v>0.14000000000000001</v>
      </c>
      <c r="BC371" s="2">
        <v>0.01</v>
      </c>
      <c r="BD371" s="2"/>
      <c r="BE371" s="2"/>
      <c r="BF371" s="2"/>
      <c r="BG371" s="2"/>
      <c r="BH371" s="2"/>
      <c r="BI371" s="4">
        <v>0.7</v>
      </c>
      <c r="BJ371" s="2">
        <v>0.02</v>
      </c>
      <c r="BK371" s="2">
        <v>0.01</v>
      </c>
      <c r="BL371" s="2">
        <v>0.02</v>
      </c>
      <c r="BM371" s="2"/>
      <c r="BN371" s="2"/>
      <c r="BO371" s="2"/>
      <c r="BP371" s="2"/>
      <c r="BQ371" s="2"/>
      <c r="BR371" s="2"/>
      <c r="BS371" s="2"/>
      <c r="BT371" s="2"/>
      <c r="BU371" s="2"/>
      <c r="BV371" s="2">
        <v>0</v>
      </c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>
        <v>0</v>
      </c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14" t="s">
        <v>81</v>
      </c>
      <c r="DM371" s="2" t="s">
        <v>81</v>
      </c>
      <c r="DN371" s="2">
        <f t="shared" si="49"/>
        <v>0.65593390574724908</v>
      </c>
      <c r="DO371" s="2">
        <f t="shared" si="50"/>
        <v>2.0799246262421561E-2</v>
      </c>
      <c r="DP371" s="2" t="s">
        <v>211</v>
      </c>
      <c r="DQ371" s="2" t="s">
        <v>3</v>
      </c>
      <c r="DR371" s="4">
        <f t="shared" si="51"/>
        <v>56.253</v>
      </c>
      <c r="DS371" s="4">
        <f t="shared" si="52"/>
        <v>0.65593390574724908</v>
      </c>
      <c r="DT371" s="15">
        <f t="shared" si="53"/>
        <v>368.98250000000002</v>
      </c>
      <c r="DU371" s="2"/>
      <c r="DV371" s="2">
        <f t="shared" si="54"/>
        <v>0</v>
      </c>
      <c r="DW371" s="2"/>
      <c r="DX371" s="2"/>
      <c r="DY371" s="2"/>
      <c r="DZ371" s="2" t="s">
        <v>3</v>
      </c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 t="s">
        <v>3</v>
      </c>
      <c r="FR371" s="2" t="s">
        <v>89</v>
      </c>
      <c r="FS371" s="2" t="s">
        <v>123</v>
      </c>
      <c r="FT371" s="2"/>
      <c r="FU371" s="2"/>
      <c r="FV371" s="2" t="s">
        <v>3</v>
      </c>
    </row>
    <row r="372" spans="1:178" ht="15.75" customHeight="1" x14ac:dyDescent="0.2">
      <c r="A372" s="14" t="s">
        <v>96</v>
      </c>
      <c r="B372" s="2" t="s">
        <v>597</v>
      </c>
      <c r="C372" s="21" t="s">
        <v>903</v>
      </c>
      <c r="D372" s="2" t="s">
        <v>99</v>
      </c>
      <c r="E372" s="2"/>
      <c r="F372" s="37"/>
      <c r="G372" s="2"/>
      <c r="H372" s="2" t="s">
        <v>79</v>
      </c>
      <c r="I372" s="2"/>
      <c r="J372" s="2"/>
      <c r="K372" s="2">
        <v>0</v>
      </c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15">
        <f>43.656+78.218+9.196906</f>
        <v>131.07090600000001</v>
      </c>
      <c r="AG372" s="19">
        <f>(0.099*43.656+0.012*78.218+0.067*9.196906)/AF372</f>
        <v>4.4836439156070225E-2</v>
      </c>
      <c r="AH372" s="2"/>
      <c r="AI372" s="2"/>
      <c r="AJ372" s="2"/>
      <c r="AK372" s="2"/>
      <c r="AL372" s="2"/>
      <c r="AM372" s="2"/>
      <c r="AN372" s="19">
        <f>(0.011*43.656+0.019*78.218+0.05*9.196906)/AF372</f>
        <v>1.8510616688649423E-2</v>
      </c>
      <c r="AO372" s="19">
        <f>(0.055*43.656+0.043*78.218+0.165*9.196906)/AF372</f>
        <v>5.5557283551545752E-2</v>
      </c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4">
        <v>54.712288999999998</v>
      </c>
      <c r="BB372" s="19">
        <v>0.03</v>
      </c>
      <c r="BC372" s="2"/>
      <c r="BD372" s="2"/>
      <c r="BE372" s="2"/>
      <c r="BF372" s="2"/>
      <c r="BG372" s="2"/>
      <c r="BH372" s="2"/>
      <c r="BI372" s="2">
        <v>2.4E-2</v>
      </c>
      <c r="BJ372" s="2">
        <v>6.6000000000000003E-2</v>
      </c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>
        <v>0</v>
      </c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>
        <v>0</v>
      </c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14" t="s">
        <v>81</v>
      </c>
      <c r="DM372" s="2" t="s">
        <v>81</v>
      </c>
      <c r="DN372" s="2">
        <f t="shared" si="49"/>
        <v>2.0127214606251116E-2</v>
      </c>
      <c r="DO372" s="2">
        <f t="shared" si="50"/>
        <v>5.863261509739888E-2</v>
      </c>
      <c r="DP372" s="2" t="s">
        <v>904</v>
      </c>
      <c r="DQ372" s="2" t="s">
        <v>3</v>
      </c>
      <c r="DR372" s="15">
        <f t="shared" si="51"/>
        <v>185.78319500000001</v>
      </c>
      <c r="DS372" s="19">
        <f t="shared" si="52"/>
        <v>2.0127214606251116E-2</v>
      </c>
      <c r="DT372" s="15">
        <f t="shared" si="53"/>
        <v>37.392982359999998</v>
      </c>
      <c r="DU372" s="2"/>
      <c r="DV372" s="2">
        <f t="shared" si="54"/>
        <v>0</v>
      </c>
      <c r="DW372" s="2"/>
      <c r="DX372" s="2"/>
      <c r="DY372" s="2"/>
      <c r="DZ372" s="2" t="s">
        <v>3</v>
      </c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 t="s">
        <v>3</v>
      </c>
      <c r="FR372" s="2" t="s">
        <v>183</v>
      </c>
      <c r="FS372" s="2" t="s">
        <v>600</v>
      </c>
      <c r="FT372" s="2" t="s">
        <v>905</v>
      </c>
      <c r="FU372" s="2"/>
      <c r="FV372" s="2" t="s">
        <v>3</v>
      </c>
    </row>
    <row r="373" spans="1:178" ht="15.75" customHeight="1" x14ac:dyDescent="0.2">
      <c r="A373" s="14" t="s">
        <v>96</v>
      </c>
      <c r="B373" s="2" t="s">
        <v>164</v>
      </c>
      <c r="C373" s="16" t="s">
        <v>906</v>
      </c>
      <c r="D373" s="2" t="s">
        <v>120</v>
      </c>
      <c r="E373" s="2"/>
      <c r="F373" s="2"/>
      <c r="G373" s="2" t="s">
        <v>179</v>
      </c>
      <c r="H373" s="2" t="s">
        <v>828</v>
      </c>
      <c r="I373" s="2"/>
      <c r="J373" s="2" t="s">
        <v>181</v>
      </c>
      <c r="K373" s="2">
        <v>0</v>
      </c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>
        <v>0</v>
      </c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19">
        <v>0.59130000000000005</v>
      </c>
      <c r="BB373" s="2"/>
      <c r="BC373" s="2"/>
      <c r="BD373" s="2"/>
      <c r="BE373" s="2"/>
      <c r="BF373" s="2"/>
      <c r="BG373" s="2"/>
      <c r="BH373" s="2"/>
      <c r="BI373" s="2">
        <v>2.2000000000000002</v>
      </c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>
        <v>0</v>
      </c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>
        <v>0</v>
      </c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14" t="s">
        <v>81</v>
      </c>
      <c r="DM373" s="2"/>
      <c r="DN373" s="2">
        <f t="shared" si="49"/>
        <v>2.2000000000000002</v>
      </c>
      <c r="DO373" s="2">
        <f t="shared" si="50"/>
        <v>0</v>
      </c>
      <c r="DP373" s="2" t="s">
        <v>175</v>
      </c>
      <c r="DQ373" s="2" t="s">
        <v>3</v>
      </c>
      <c r="DR373" s="19">
        <f t="shared" si="51"/>
        <v>0.59130000000000005</v>
      </c>
      <c r="DS373" s="2">
        <f t="shared" si="52"/>
        <v>2.2000000000000002</v>
      </c>
      <c r="DT373" s="15">
        <f t="shared" si="53"/>
        <v>13.008600000000003</v>
      </c>
      <c r="DU373" s="2"/>
      <c r="DV373" s="2">
        <f t="shared" si="54"/>
        <v>0</v>
      </c>
      <c r="DW373" s="2"/>
      <c r="DX373" s="2"/>
      <c r="DY373" s="2"/>
      <c r="DZ373" s="2" t="s">
        <v>3</v>
      </c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 t="s">
        <v>3</v>
      </c>
      <c r="FR373" s="2" t="s">
        <v>89</v>
      </c>
      <c r="FS373" s="2" t="s">
        <v>137</v>
      </c>
      <c r="FT373" s="2"/>
      <c r="FU373" s="2"/>
      <c r="FV373" s="2" t="s">
        <v>3</v>
      </c>
    </row>
    <row r="374" spans="1:178" ht="15.75" customHeight="1" x14ac:dyDescent="0.2">
      <c r="A374" s="14" t="s">
        <v>96</v>
      </c>
      <c r="B374" s="2" t="s">
        <v>164</v>
      </c>
      <c r="C374" s="16" t="s">
        <v>907</v>
      </c>
      <c r="D374" s="2" t="s">
        <v>99</v>
      </c>
      <c r="E374" s="2"/>
      <c r="F374" s="2"/>
      <c r="G374" s="2" t="s">
        <v>179</v>
      </c>
      <c r="H374" s="2" t="s">
        <v>385</v>
      </c>
      <c r="I374" s="2"/>
      <c r="J374" s="2" t="s">
        <v>181</v>
      </c>
      <c r="K374" s="2">
        <v>0</v>
      </c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19">
        <f>0.340126+3.318468</f>
        <v>3.6585940000000003</v>
      </c>
      <c r="AG374" s="2"/>
      <c r="AH374" s="2"/>
      <c r="AI374" s="2"/>
      <c r="AJ374" s="2"/>
      <c r="AK374" s="2"/>
      <c r="AL374" s="2"/>
      <c r="AM374" s="2"/>
      <c r="AN374" s="15">
        <f>(3.3*0.340126+1.2*3.318468)/AF374</f>
        <v>1.3952292602021432</v>
      </c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19">
        <f>0.078067+2.496658</f>
        <v>2.5747249999999999</v>
      </c>
      <c r="BB374" s="2"/>
      <c r="BC374" s="2"/>
      <c r="BD374" s="2"/>
      <c r="BE374" s="2"/>
      <c r="BF374" s="2"/>
      <c r="BG374" s="2"/>
      <c r="BH374" s="2"/>
      <c r="BI374" s="15">
        <f>(3.9*0.078067+1.3*2.496658)/BA374</f>
        <v>1.3788333511345872</v>
      </c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>
        <v>0</v>
      </c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>
        <v>0</v>
      </c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14" t="s">
        <v>81</v>
      </c>
      <c r="DM374" s="2"/>
      <c r="DN374" s="2">
        <f t="shared" si="49"/>
        <v>1.3884567916386119</v>
      </c>
      <c r="DO374" s="2">
        <f t="shared" si="50"/>
        <v>0</v>
      </c>
      <c r="DP374" s="2" t="s">
        <v>211</v>
      </c>
      <c r="DQ374" s="2" t="s">
        <v>3</v>
      </c>
      <c r="DR374" s="19">
        <f t="shared" si="51"/>
        <v>6.2333189999999998</v>
      </c>
      <c r="DS374" s="4">
        <f t="shared" si="52"/>
        <v>1.3884567916386119</v>
      </c>
      <c r="DT374" s="15">
        <f t="shared" si="53"/>
        <v>86.546941000000004</v>
      </c>
      <c r="DU374" s="2"/>
      <c r="DV374" s="2">
        <f t="shared" si="54"/>
        <v>0</v>
      </c>
      <c r="DW374" s="2"/>
      <c r="DX374" s="2"/>
      <c r="DY374" s="2"/>
      <c r="DZ374" s="2" t="s">
        <v>3</v>
      </c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 t="s">
        <v>3</v>
      </c>
      <c r="FR374" s="2" t="s">
        <v>89</v>
      </c>
      <c r="FS374" s="2" t="s">
        <v>137</v>
      </c>
      <c r="FT374" s="2"/>
      <c r="FU374" s="2"/>
      <c r="FV374" s="2" t="s">
        <v>3</v>
      </c>
    </row>
    <row r="375" spans="1:178" ht="15.75" customHeight="1" x14ac:dyDescent="0.2">
      <c r="A375" s="12" t="s">
        <v>74</v>
      </c>
      <c r="B375" s="2" t="s">
        <v>498</v>
      </c>
      <c r="C375" s="13" t="s">
        <v>908</v>
      </c>
      <c r="D375" s="2" t="s">
        <v>99</v>
      </c>
      <c r="E375" s="2"/>
      <c r="F375" s="2"/>
      <c r="G375" s="2"/>
      <c r="H375" s="2" t="s">
        <v>79</v>
      </c>
      <c r="I375" s="2"/>
      <c r="J375" s="2"/>
      <c r="K375" s="2">
        <v>0</v>
      </c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>
        <v>0</v>
      </c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>
        <v>1.6950000000000001</v>
      </c>
      <c r="BB375" s="2"/>
      <c r="BC375" s="2"/>
      <c r="BD375" s="2"/>
      <c r="BE375" s="2"/>
      <c r="BF375" s="2"/>
      <c r="BG375" s="2"/>
      <c r="BH375" s="2"/>
      <c r="BI375" s="2">
        <v>0.6</v>
      </c>
      <c r="BJ375" s="2">
        <v>0.06</v>
      </c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>
        <v>0</v>
      </c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>
        <v>0</v>
      </c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14" t="s">
        <v>100</v>
      </c>
      <c r="DM375" s="2" t="s">
        <v>100</v>
      </c>
      <c r="DN375" s="2">
        <f t="shared" si="49"/>
        <v>0.59999999999999987</v>
      </c>
      <c r="DO375" s="2">
        <f t="shared" si="50"/>
        <v>0.06</v>
      </c>
      <c r="DP375" s="2" t="s">
        <v>909</v>
      </c>
      <c r="DQ375" s="2" t="s">
        <v>3</v>
      </c>
      <c r="DR375" s="2">
        <f t="shared" si="51"/>
        <v>1.6950000000000001</v>
      </c>
      <c r="DS375" s="2">
        <f t="shared" si="52"/>
        <v>0.59999999999999987</v>
      </c>
      <c r="DT375" s="15">
        <f t="shared" si="53"/>
        <v>10.169999999999998</v>
      </c>
      <c r="DU375" s="2"/>
      <c r="DV375" s="2">
        <f t="shared" si="54"/>
        <v>0</v>
      </c>
      <c r="DW375" s="2"/>
      <c r="DX375" s="2"/>
      <c r="DY375" s="2"/>
      <c r="DZ375" s="2" t="s">
        <v>3</v>
      </c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 t="s">
        <v>3</v>
      </c>
      <c r="FR375" s="2" t="s">
        <v>37</v>
      </c>
      <c r="FS375" s="2" t="s">
        <v>235</v>
      </c>
      <c r="FT375" s="2" t="s">
        <v>235</v>
      </c>
      <c r="FU375" s="2"/>
      <c r="FV375" s="2" t="s">
        <v>3</v>
      </c>
    </row>
    <row r="376" spans="1:178" ht="15.75" customHeight="1" x14ac:dyDescent="0.2">
      <c r="A376" s="12" t="s">
        <v>74</v>
      </c>
      <c r="B376" s="2" t="s">
        <v>305</v>
      </c>
      <c r="C376" s="13" t="s">
        <v>910</v>
      </c>
      <c r="D376" s="2" t="s">
        <v>99</v>
      </c>
      <c r="E376" s="2"/>
      <c r="F376" s="2"/>
      <c r="G376" s="2"/>
      <c r="H376" s="2" t="s">
        <v>307</v>
      </c>
      <c r="I376" s="2"/>
      <c r="J376" s="2"/>
      <c r="K376" s="2">
        <v>0</v>
      </c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>
        <v>0</v>
      </c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>
        <v>200</v>
      </c>
      <c r="BB376" s="2"/>
      <c r="BC376" s="2"/>
      <c r="BD376" s="2"/>
      <c r="BE376" s="2"/>
      <c r="BF376" s="2"/>
      <c r="BG376" s="2"/>
      <c r="BH376" s="2"/>
      <c r="BI376" s="15">
        <v>1</v>
      </c>
      <c r="BJ376" s="2">
        <v>0.1</v>
      </c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>
        <v>0</v>
      </c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>
        <v>0</v>
      </c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14" t="s">
        <v>100</v>
      </c>
      <c r="DM376" s="2" t="s">
        <v>100</v>
      </c>
      <c r="DN376" s="2">
        <f t="shared" si="49"/>
        <v>1</v>
      </c>
      <c r="DO376" s="2">
        <f t="shared" si="50"/>
        <v>0.1</v>
      </c>
      <c r="DP376" s="2" t="s">
        <v>113</v>
      </c>
      <c r="DQ376" s="2" t="s">
        <v>3</v>
      </c>
      <c r="DR376" s="2">
        <f t="shared" si="51"/>
        <v>200</v>
      </c>
      <c r="DS376" s="2">
        <f t="shared" si="52"/>
        <v>1</v>
      </c>
      <c r="DT376" s="18">
        <f t="shared" si="53"/>
        <v>2000</v>
      </c>
      <c r="DU376" s="2"/>
      <c r="DV376" s="2">
        <f t="shared" si="54"/>
        <v>0</v>
      </c>
      <c r="DW376" s="2"/>
      <c r="DX376" s="2"/>
      <c r="DY376" s="2"/>
      <c r="DZ376" s="2" t="s">
        <v>3</v>
      </c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 t="s">
        <v>3</v>
      </c>
      <c r="FR376" s="2" t="s">
        <v>37</v>
      </c>
      <c r="FS376" s="2" t="s">
        <v>83</v>
      </c>
      <c r="FT376" s="2" t="s">
        <v>83</v>
      </c>
      <c r="FU376" s="2"/>
      <c r="FV376" s="2" t="s">
        <v>3</v>
      </c>
    </row>
    <row r="377" spans="1:178" ht="15.75" customHeight="1" x14ac:dyDescent="0.2">
      <c r="A377" s="14" t="s">
        <v>96</v>
      </c>
      <c r="B377" s="2" t="s">
        <v>133</v>
      </c>
      <c r="C377" s="16" t="s">
        <v>911</v>
      </c>
      <c r="D377" s="2" t="s">
        <v>99</v>
      </c>
      <c r="E377" s="2"/>
      <c r="F377" s="2"/>
      <c r="G377" s="2"/>
      <c r="H377" s="2" t="s">
        <v>912</v>
      </c>
      <c r="I377" s="2"/>
      <c r="J377" s="2"/>
      <c r="K377" s="2">
        <v>0</v>
      </c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>
        <v>14.082000000000001</v>
      </c>
      <c r="AG377" s="2">
        <v>0.08</v>
      </c>
      <c r="AH377" s="2"/>
      <c r="AI377" s="2"/>
      <c r="AJ377" s="2"/>
      <c r="AK377" s="2"/>
      <c r="AL377" s="2"/>
      <c r="AM377" s="2"/>
      <c r="AN377" s="2">
        <v>0.35</v>
      </c>
      <c r="AO377" s="2">
        <v>1.6E-2</v>
      </c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>
        <v>43.973999999999997</v>
      </c>
      <c r="BB377" s="2">
        <v>0.08</v>
      </c>
      <c r="BC377" s="2"/>
      <c r="BD377" s="2"/>
      <c r="BE377" s="2"/>
      <c r="BF377" s="2"/>
      <c r="BG377" s="2"/>
      <c r="BH377" s="2"/>
      <c r="BI377" s="2">
        <v>0.31</v>
      </c>
      <c r="BJ377" s="2">
        <v>1.4999999999999999E-2</v>
      </c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>
        <v>0</v>
      </c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>
        <v>0</v>
      </c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14" t="s">
        <v>81</v>
      </c>
      <c r="DM377" s="2" t="s">
        <v>81</v>
      </c>
      <c r="DN377" s="2">
        <f t="shared" si="49"/>
        <v>0.31970235634559735</v>
      </c>
      <c r="DO377" s="2">
        <f t="shared" si="50"/>
        <v>1.5242558908639934E-2</v>
      </c>
      <c r="DP377" s="2" t="s">
        <v>913</v>
      </c>
      <c r="DQ377" s="2" t="s">
        <v>3</v>
      </c>
      <c r="DR377" s="4">
        <f t="shared" si="51"/>
        <v>58.055999999999997</v>
      </c>
      <c r="DS377" s="4">
        <f t="shared" si="52"/>
        <v>0.31970235634559735</v>
      </c>
      <c r="DT377" s="15">
        <f t="shared" si="53"/>
        <v>185.60640000000001</v>
      </c>
      <c r="DU377" s="2"/>
      <c r="DV377" s="2">
        <f t="shared" si="54"/>
        <v>0</v>
      </c>
      <c r="DW377" s="2"/>
      <c r="DX377" s="2"/>
      <c r="DY377" s="2"/>
      <c r="DZ377" s="2" t="s">
        <v>3</v>
      </c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 t="s">
        <v>3</v>
      </c>
      <c r="FR377" s="2" t="s">
        <v>89</v>
      </c>
      <c r="FS377" s="2" t="s">
        <v>408</v>
      </c>
      <c r="FT377" s="2"/>
      <c r="FU377" s="2"/>
      <c r="FV377" s="2" t="s">
        <v>3</v>
      </c>
    </row>
    <row r="378" spans="1:178" ht="15.75" customHeight="1" x14ac:dyDescent="0.2">
      <c r="A378" s="14" t="s">
        <v>74</v>
      </c>
      <c r="B378" s="2" t="s">
        <v>164</v>
      </c>
      <c r="C378" s="13" t="s">
        <v>914</v>
      </c>
      <c r="D378" s="2" t="s">
        <v>99</v>
      </c>
      <c r="E378" s="2"/>
      <c r="F378" s="2"/>
      <c r="G378" s="2" t="s">
        <v>78</v>
      </c>
      <c r="H378" s="2" t="s">
        <v>915</v>
      </c>
      <c r="I378" s="2"/>
      <c r="J378" s="2" t="s">
        <v>242</v>
      </c>
      <c r="K378" s="2">
        <v>0</v>
      </c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>
        <v>0</v>
      </c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>
        <v>53.6</v>
      </c>
      <c r="BB378" s="2"/>
      <c r="BC378" s="2"/>
      <c r="BD378" s="2"/>
      <c r="BE378" s="2"/>
      <c r="BF378" s="2"/>
      <c r="BG378" s="2"/>
      <c r="BH378" s="2"/>
      <c r="BI378" s="2">
        <v>0.66</v>
      </c>
      <c r="BJ378" s="2">
        <v>0.05</v>
      </c>
      <c r="BK378" s="2"/>
      <c r="BL378" s="2"/>
      <c r="BM378" s="20"/>
      <c r="BN378" s="20"/>
      <c r="BO378" s="20"/>
      <c r="BP378" s="2"/>
      <c r="BQ378" s="2"/>
      <c r="BR378" s="2"/>
      <c r="BS378" s="20">
        <v>50</v>
      </c>
      <c r="BT378" s="2"/>
      <c r="BU378" s="2"/>
      <c r="BV378" s="2">
        <v>0</v>
      </c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>
        <v>0</v>
      </c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14" t="s">
        <v>81</v>
      </c>
      <c r="DM378" s="2" t="s">
        <v>81</v>
      </c>
      <c r="DN378" s="2">
        <f t="shared" si="49"/>
        <v>0.66</v>
      </c>
      <c r="DO378" s="2">
        <f t="shared" si="50"/>
        <v>0.05</v>
      </c>
      <c r="DP378" s="2" t="s">
        <v>916</v>
      </c>
      <c r="DQ378" s="2" t="s">
        <v>3</v>
      </c>
      <c r="DR378" s="2">
        <f t="shared" si="51"/>
        <v>53.6</v>
      </c>
      <c r="DS378" s="2">
        <f t="shared" si="52"/>
        <v>0.66</v>
      </c>
      <c r="DT378" s="15">
        <f t="shared" si="53"/>
        <v>353.76</v>
      </c>
      <c r="DU378" s="2"/>
      <c r="DV378" s="2">
        <f t="shared" si="54"/>
        <v>0</v>
      </c>
      <c r="DW378" s="2"/>
      <c r="DX378" s="2"/>
      <c r="DY378" s="2"/>
      <c r="DZ378" s="2" t="s">
        <v>3</v>
      </c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 t="s">
        <v>3</v>
      </c>
      <c r="FR378" s="2" t="s">
        <v>37</v>
      </c>
      <c r="FS378" s="2" t="s">
        <v>373</v>
      </c>
      <c r="FT378" s="2"/>
      <c r="FU378" s="2"/>
      <c r="FV378" s="2" t="s">
        <v>3</v>
      </c>
    </row>
    <row r="379" spans="1:178" ht="15.75" customHeight="1" x14ac:dyDescent="0.2">
      <c r="A379" s="14" t="s">
        <v>74</v>
      </c>
      <c r="B379" s="2" t="s">
        <v>164</v>
      </c>
      <c r="C379" s="13" t="s">
        <v>917</v>
      </c>
      <c r="D379" s="2" t="s">
        <v>99</v>
      </c>
      <c r="E379" s="2"/>
      <c r="F379" s="2"/>
      <c r="G379" s="2" t="s">
        <v>78</v>
      </c>
      <c r="H379" s="2" t="s">
        <v>915</v>
      </c>
      <c r="I379" s="2"/>
      <c r="J379" s="2" t="s">
        <v>242</v>
      </c>
      <c r="K379" s="2">
        <v>0</v>
      </c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>
        <v>0</v>
      </c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>
        <v>114.3</v>
      </c>
      <c r="BB379" s="2"/>
      <c r="BC379" s="2"/>
      <c r="BD379" s="2"/>
      <c r="BE379" s="2"/>
      <c r="BF379" s="2"/>
      <c r="BG379" s="2"/>
      <c r="BH379" s="2"/>
      <c r="BI379" s="2">
        <v>0.56000000000000005</v>
      </c>
      <c r="BJ379" s="2">
        <v>0.06</v>
      </c>
      <c r="BK379" s="2"/>
      <c r="BL379" s="2"/>
      <c r="BM379" s="20"/>
      <c r="BN379" s="20"/>
      <c r="BO379" s="20"/>
      <c r="BP379" s="2"/>
      <c r="BQ379" s="2"/>
      <c r="BR379" s="2"/>
      <c r="BS379" s="20">
        <v>50</v>
      </c>
      <c r="BT379" s="2"/>
      <c r="BU379" s="2"/>
      <c r="BV379" s="2">
        <v>0</v>
      </c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>
        <v>0</v>
      </c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14" t="s">
        <v>81</v>
      </c>
      <c r="DM379" s="2" t="s">
        <v>81</v>
      </c>
      <c r="DN379" s="2">
        <f t="shared" si="49"/>
        <v>0.56000000000000005</v>
      </c>
      <c r="DO379" s="2">
        <f t="shared" si="50"/>
        <v>0.06</v>
      </c>
      <c r="DP379" s="2" t="s">
        <v>916</v>
      </c>
      <c r="DQ379" s="2" t="s">
        <v>3</v>
      </c>
      <c r="DR379" s="2">
        <f t="shared" si="51"/>
        <v>114.3</v>
      </c>
      <c r="DS379" s="2">
        <f t="shared" si="52"/>
        <v>0.56000000000000005</v>
      </c>
      <c r="DT379" s="15">
        <f t="shared" si="53"/>
        <v>640.08000000000004</v>
      </c>
      <c r="DU379" s="2"/>
      <c r="DV379" s="2">
        <f t="shared" si="54"/>
        <v>0</v>
      </c>
      <c r="DW379" s="2"/>
      <c r="DX379" s="2"/>
      <c r="DY379" s="2"/>
      <c r="DZ379" s="2" t="s">
        <v>3</v>
      </c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 t="s">
        <v>3</v>
      </c>
      <c r="FR379" s="2" t="s">
        <v>37</v>
      </c>
      <c r="FS379" s="2" t="s">
        <v>373</v>
      </c>
      <c r="FT379" s="2"/>
      <c r="FU379" s="2"/>
      <c r="FV379" s="2" t="s">
        <v>3</v>
      </c>
    </row>
    <row r="380" spans="1:178" ht="15.75" customHeight="1" x14ac:dyDescent="0.2">
      <c r="A380" s="14" t="s">
        <v>96</v>
      </c>
      <c r="B380" s="2" t="s">
        <v>133</v>
      </c>
      <c r="C380" s="16" t="s">
        <v>918</v>
      </c>
      <c r="D380" s="2" t="s">
        <v>99</v>
      </c>
      <c r="E380" s="2"/>
      <c r="F380" s="2"/>
      <c r="G380" s="2"/>
      <c r="H380" s="2" t="s">
        <v>919</v>
      </c>
      <c r="I380" s="2"/>
      <c r="J380" s="2"/>
      <c r="K380" s="2">
        <v>0</v>
      </c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>
        <v>0</v>
      </c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>
        <v>1.8</v>
      </c>
      <c r="BB380" s="2">
        <v>0.25</v>
      </c>
      <c r="BC380" s="2"/>
      <c r="BD380" s="2"/>
      <c r="BE380" s="2"/>
      <c r="BF380" s="2"/>
      <c r="BG380" s="2"/>
      <c r="BH380" s="2"/>
      <c r="BI380" s="2">
        <v>0.47</v>
      </c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>
        <v>0</v>
      </c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>
        <v>0</v>
      </c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14" t="s">
        <v>100</v>
      </c>
      <c r="DM380" s="2"/>
      <c r="DN380" s="2">
        <f t="shared" si="49"/>
        <v>0.47</v>
      </c>
      <c r="DO380" s="2">
        <f t="shared" si="50"/>
        <v>0</v>
      </c>
      <c r="DP380" s="2" t="s">
        <v>920</v>
      </c>
      <c r="DQ380" s="2" t="s">
        <v>3</v>
      </c>
      <c r="DR380" s="2">
        <f t="shared" si="51"/>
        <v>1.8</v>
      </c>
      <c r="DS380" s="2">
        <f t="shared" si="52"/>
        <v>0.47</v>
      </c>
      <c r="DT380" s="15">
        <f t="shared" si="53"/>
        <v>8.4600000000000009</v>
      </c>
      <c r="DU380" s="2"/>
      <c r="DV380" s="2">
        <f t="shared" si="54"/>
        <v>0</v>
      </c>
      <c r="DW380" s="2"/>
      <c r="DX380" s="2"/>
      <c r="DY380" s="2"/>
      <c r="DZ380" s="2" t="s">
        <v>3</v>
      </c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 t="s">
        <v>3</v>
      </c>
      <c r="FR380" s="2" t="s">
        <v>89</v>
      </c>
      <c r="FS380" s="2" t="s">
        <v>123</v>
      </c>
      <c r="FT380" s="2"/>
      <c r="FU380" s="2"/>
      <c r="FV380" s="2" t="s">
        <v>3</v>
      </c>
    </row>
    <row r="381" spans="1:178" ht="15.75" customHeight="1" x14ac:dyDescent="0.2">
      <c r="A381" s="14" t="s">
        <v>74</v>
      </c>
      <c r="B381" s="2" t="s">
        <v>164</v>
      </c>
      <c r="C381" s="13" t="s">
        <v>921</v>
      </c>
      <c r="D381" s="2" t="s">
        <v>99</v>
      </c>
      <c r="E381" s="2"/>
      <c r="F381" s="2"/>
      <c r="G381" s="2" t="s">
        <v>78</v>
      </c>
      <c r="H381" s="2" t="s">
        <v>922</v>
      </c>
      <c r="I381" s="2"/>
      <c r="J381" s="2" t="s">
        <v>80</v>
      </c>
      <c r="K381" s="2">
        <v>0</v>
      </c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>
        <v>0</v>
      </c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>
        <f>16+2+31</f>
        <v>49</v>
      </c>
      <c r="BB381" s="2"/>
      <c r="BC381" s="2"/>
      <c r="BD381" s="2"/>
      <c r="BE381" s="2"/>
      <c r="BF381" s="2"/>
      <c r="BG381" s="2"/>
      <c r="BH381" s="2"/>
      <c r="BI381" s="4">
        <f>(0.56*16+0.74*2+0.55*31)/BA381</f>
        <v>0.56102040816326537</v>
      </c>
      <c r="BJ381" s="4">
        <f>(0.026*16+0*2+0.02*31)/BA381</f>
        <v>2.1142857142857144E-2</v>
      </c>
      <c r="BK381" s="2"/>
      <c r="BL381" s="2"/>
      <c r="BM381" s="2"/>
      <c r="BN381" s="2"/>
      <c r="BO381" s="2"/>
      <c r="BP381" s="2"/>
      <c r="BQ381" s="15">
        <f>(0*16+0*2+11.3*31)/BA381</f>
        <v>7.1489795918367349</v>
      </c>
      <c r="BR381" s="2"/>
      <c r="BS381" s="2"/>
      <c r="BT381" s="2"/>
      <c r="BU381" s="2"/>
      <c r="BV381" s="2">
        <v>0</v>
      </c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>
        <v>0</v>
      </c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14" t="s">
        <v>81</v>
      </c>
      <c r="DM381" s="2" t="s">
        <v>81</v>
      </c>
      <c r="DN381" s="2">
        <f t="shared" si="49"/>
        <v>0.56102040816326537</v>
      </c>
      <c r="DO381" s="2">
        <f t="shared" si="50"/>
        <v>2.1142857142857144E-2</v>
      </c>
      <c r="DP381" s="2" t="s">
        <v>175</v>
      </c>
      <c r="DQ381" s="2" t="s">
        <v>3</v>
      </c>
      <c r="DR381" s="2">
        <f t="shared" si="51"/>
        <v>49</v>
      </c>
      <c r="DS381" s="4">
        <f t="shared" si="52"/>
        <v>0.56102040816326537</v>
      </c>
      <c r="DT381" s="15">
        <f t="shared" si="53"/>
        <v>274.90000000000003</v>
      </c>
      <c r="DU381" s="2"/>
      <c r="DV381" s="2">
        <f t="shared" si="54"/>
        <v>0</v>
      </c>
      <c r="DW381" s="2"/>
      <c r="DX381" s="2"/>
      <c r="DY381" s="2"/>
      <c r="DZ381" s="2" t="s">
        <v>3</v>
      </c>
      <c r="EA381" s="2" t="s">
        <v>923</v>
      </c>
      <c r="EB381" s="15">
        <v>0.11600000000000001</v>
      </c>
      <c r="EC381" s="2" t="s">
        <v>176</v>
      </c>
      <c r="ED381" s="2" t="s">
        <v>176</v>
      </c>
      <c r="EE381" s="2" t="s">
        <v>176</v>
      </c>
      <c r="EF381" s="2" t="s">
        <v>176</v>
      </c>
      <c r="EG381" s="2" t="s">
        <v>176</v>
      </c>
      <c r="EH381" s="2"/>
      <c r="EI381" s="2"/>
      <c r="EJ381" s="2"/>
      <c r="EK381" s="2"/>
      <c r="EL381" s="2"/>
      <c r="EM381" s="2" t="s">
        <v>923</v>
      </c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 t="s">
        <v>923</v>
      </c>
      <c r="FQ381" s="2" t="s">
        <v>3</v>
      </c>
      <c r="FR381" s="2" t="s">
        <v>37</v>
      </c>
      <c r="FS381" s="2" t="s">
        <v>114</v>
      </c>
      <c r="FT381" s="2" t="s">
        <v>114</v>
      </c>
      <c r="FU381" s="2"/>
      <c r="FV381" s="2" t="s">
        <v>3</v>
      </c>
    </row>
    <row r="382" spans="1:178" ht="15.75" customHeight="1" x14ac:dyDescent="0.2">
      <c r="A382" s="12" t="s">
        <v>74</v>
      </c>
      <c r="B382" s="2" t="s">
        <v>115</v>
      </c>
      <c r="C382" s="13" t="s">
        <v>924</v>
      </c>
      <c r="D382" s="2" t="s">
        <v>109</v>
      </c>
      <c r="E382" s="2"/>
      <c r="F382" s="2"/>
      <c r="G382" s="2"/>
      <c r="H382" s="2" t="s">
        <v>218</v>
      </c>
      <c r="I382" s="2"/>
      <c r="J382" s="2"/>
      <c r="K382" s="2">
        <v>0</v>
      </c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>
        <f>8.3+1.6</f>
        <v>9.9</v>
      </c>
      <c r="AG382" s="2"/>
      <c r="AH382" s="2"/>
      <c r="AI382" s="2"/>
      <c r="AJ382" s="2"/>
      <c r="AK382" s="2"/>
      <c r="AL382" s="2"/>
      <c r="AM382" s="2"/>
      <c r="AN382" s="4">
        <f>(1.26*8.3+1.27*1.6)/AF382</f>
        <v>1.2616161616161616</v>
      </c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>
        <v>5.3</v>
      </c>
      <c r="BB382" s="2"/>
      <c r="BC382" s="2"/>
      <c r="BD382" s="2"/>
      <c r="BE382" s="2"/>
      <c r="BF382" s="2"/>
      <c r="BG382" s="2"/>
      <c r="BH382" s="2"/>
      <c r="BI382" s="2">
        <v>1.21</v>
      </c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>
        <v>0</v>
      </c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>
        <v>8.3000000000000007</v>
      </c>
      <c r="CR382" s="2"/>
      <c r="CS382" s="2"/>
      <c r="CT382" s="2"/>
      <c r="CU382" s="2"/>
      <c r="CV382" s="2"/>
      <c r="CW382" s="2"/>
      <c r="CX382" s="2"/>
      <c r="CY382" s="2">
        <v>1.26</v>
      </c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14" t="s">
        <v>81</v>
      </c>
      <c r="DM382" s="2"/>
      <c r="DN382" s="2">
        <f t="shared" si="49"/>
        <v>1.2436184210526315</v>
      </c>
      <c r="DO382" s="2">
        <f t="shared" si="50"/>
        <v>0</v>
      </c>
      <c r="DP382" s="2" t="s">
        <v>95</v>
      </c>
      <c r="DQ382" s="2" t="s">
        <v>3</v>
      </c>
      <c r="DR382" s="2">
        <f t="shared" si="51"/>
        <v>15.2</v>
      </c>
      <c r="DS382" s="4">
        <f t="shared" si="52"/>
        <v>1.2436184210526315</v>
      </c>
      <c r="DT382" s="15">
        <f t="shared" si="53"/>
        <v>189.03</v>
      </c>
      <c r="DU382" s="2"/>
      <c r="DV382" s="2">
        <f t="shared" si="54"/>
        <v>8.3000000000000007</v>
      </c>
      <c r="DW382" s="4">
        <f t="shared" ref="DW382:DW384" si="73">(BV382*CD382+CQ382*CY382)/DV382</f>
        <v>1.26</v>
      </c>
      <c r="DX382" s="15">
        <f t="shared" ref="DX382:DX384" si="74">1000*DV382*DW382/100</f>
        <v>104.58</v>
      </c>
      <c r="DY382" s="2"/>
      <c r="DZ382" s="2" t="s">
        <v>3</v>
      </c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 t="s">
        <v>3</v>
      </c>
      <c r="FR382" s="2" t="s">
        <v>37</v>
      </c>
      <c r="FS382" s="2" t="s">
        <v>396</v>
      </c>
      <c r="FT382" s="2" t="s">
        <v>396</v>
      </c>
      <c r="FU382" s="2"/>
      <c r="FV382" s="2" t="s">
        <v>3</v>
      </c>
    </row>
    <row r="383" spans="1:178" ht="15.75" customHeight="1" x14ac:dyDescent="0.2">
      <c r="A383" s="14" t="s">
        <v>74</v>
      </c>
      <c r="B383" s="2" t="s">
        <v>164</v>
      </c>
      <c r="C383" s="13" t="s">
        <v>925</v>
      </c>
      <c r="D383" s="2" t="s">
        <v>99</v>
      </c>
      <c r="E383" s="2"/>
      <c r="F383" s="2"/>
      <c r="G383" s="2" t="s">
        <v>78</v>
      </c>
      <c r="H383" s="2" t="s">
        <v>926</v>
      </c>
      <c r="I383" s="2"/>
      <c r="J383" s="2" t="s">
        <v>781</v>
      </c>
      <c r="K383" s="2">
        <v>0</v>
      </c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>
        <v>23.7</v>
      </c>
      <c r="AG383" s="2"/>
      <c r="AH383" s="2"/>
      <c r="AI383" s="2"/>
      <c r="AJ383" s="2"/>
      <c r="AK383" s="2"/>
      <c r="AL383" s="2"/>
      <c r="AM383" s="2"/>
      <c r="AN383" s="2">
        <v>1.04</v>
      </c>
      <c r="AO383" s="2">
        <v>6.4000000000000001E-2</v>
      </c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>
        <v>12.8</v>
      </c>
      <c r="BB383" s="2"/>
      <c r="BC383" s="2"/>
      <c r="BD383" s="2"/>
      <c r="BE383" s="2"/>
      <c r="BF383" s="2"/>
      <c r="BG383" s="2"/>
      <c r="BH383" s="2"/>
      <c r="BI383" s="2">
        <v>0.95</v>
      </c>
      <c r="BJ383" s="2">
        <v>5.6000000000000001E-2</v>
      </c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>
        <v>0</v>
      </c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>
        <v>32.200000000000003</v>
      </c>
      <c r="CR383" s="2"/>
      <c r="CS383" s="2"/>
      <c r="CT383" s="2"/>
      <c r="CU383" s="2"/>
      <c r="CV383" s="2"/>
      <c r="CW383" s="2"/>
      <c r="CX383" s="2"/>
      <c r="CY383" s="2">
        <v>0.87</v>
      </c>
      <c r="CZ383" s="2">
        <v>0.05</v>
      </c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14" t="s">
        <v>81</v>
      </c>
      <c r="DM383" s="2" t="s">
        <v>81</v>
      </c>
      <c r="DN383" s="2">
        <f t="shared" si="49"/>
        <v>1.0084383561643835</v>
      </c>
      <c r="DO383" s="2">
        <f t="shared" si="50"/>
        <v>6.1194520547945205E-2</v>
      </c>
      <c r="DP383" s="2" t="s">
        <v>211</v>
      </c>
      <c r="DQ383" s="2" t="s">
        <v>3</v>
      </c>
      <c r="DR383" s="2">
        <f t="shared" si="51"/>
        <v>36.5</v>
      </c>
      <c r="DS383" s="4">
        <f t="shared" si="52"/>
        <v>1.0084383561643835</v>
      </c>
      <c r="DT383" s="15">
        <f t="shared" si="53"/>
        <v>368.08</v>
      </c>
      <c r="DU383" s="2"/>
      <c r="DV383" s="2">
        <f t="shared" si="54"/>
        <v>32.200000000000003</v>
      </c>
      <c r="DW383" s="4">
        <f t="shared" si="73"/>
        <v>0.87</v>
      </c>
      <c r="DX383" s="15">
        <f t="shared" si="74"/>
        <v>280.14000000000004</v>
      </c>
      <c r="DY383" s="2"/>
      <c r="DZ383" s="2" t="s">
        <v>3</v>
      </c>
      <c r="EA383" s="2" t="s">
        <v>107</v>
      </c>
      <c r="EB383" s="2" t="s">
        <v>176</v>
      </c>
      <c r="EC383" s="15">
        <v>838.95399999999995</v>
      </c>
      <c r="ED383" s="2" t="s">
        <v>176</v>
      </c>
      <c r="EE383" s="2">
        <v>140.6</v>
      </c>
      <c r="EF383" s="2" t="s">
        <v>176</v>
      </c>
      <c r="EG383" s="3">
        <v>3217.39</v>
      </c>
      <c r="EH383" s="2"/>
      <c r="EI383" s="3">
        <f>EG383-EE383</f>
        <v>3076.79</v>
      </c>
      <c r="EJ383" s="2"/>
      <c r="EK383" s="3">
        <f t="shared" ref="EK383:EK386" si="75">ET383</f>
        <v>0</v>
      </c>
      <c r="EL383" s="3">
        <f>EC383+FD383</f>
        <v>838.95399999999995</v>
      </c>
      <c r="EM383" s="2" t="s">
        <v>107</v>
      </c>
      <c r="EN383" s="2" t="s">
        <v>176</v>
      </c>
      <c r="EO383" s="2" t="s">
        <v>176</v>
      </c>
      <c r="EP383" s="2" t="s">
        <v>176</v>
      </c>
      <c r="EQ383" s="2" t="s">
        <v>176</v>
      </c>
      <c r="ER383" s="15">
        <f>SUM(DR711:DR713)</f>
        <v>0</v>
      </c>
      <c r="ES383" s="4" t="e">
        <f t="shared" ref="ES383:ES386" si="76">100*(ET383/1000)/ER383</f>
        <v>#DIV/0!</v>
      </c>
      <c r="ET383" s="3">
        <f>SUM(DT711:DT713)</f>
        <v>0</v>
      </c>
      <c r="EU383" s="2">
        <f>COUNT(DT711:DT713)</f>
        <v>0</v>
      </c>
      <c r="EV383" s="2" t="s">
        <v>176</v>
      </c>
      <c r="EW383" s="2" t="s">
        <v>176</v>
      </c>
      <c r="EX383" s="2" t="s">
        <v>176</v>
      </c>
      <c r="EY383" s="2" t="s">
        <v>176</v>
      </c>
      <c r="EZ383" s="2" t="s">
        <v>176</v>
      </c>
      <c r="FA383" s="2" t="s">
        <v>176</v>
      </c>
      <c r="FB383" s="2" t="s">
        <v>176</v>
      </c>
      <c r="FC383" s="2" t="s">
        <v>176</v>
      </c>
      <c r="FD383" s="3">
        <f t="shared" ref="FD383:FD390" si="77">SUM(EP383,ET383,EX383,FB383)</f>
        <v>0</v>
      </c>
      <c r="FE383" s="2" t="s">
        <v>176</v>
      </c>
      <c r="FF383" s="2" t="s">
        <v>176</v>
      </c>
      <c r="FG383" s="2" t="s">
        <v>176</v>
      </c>
      <c r="FH383" s="2" t="s">
        <v>176</v>
      </c>
      <c r="FI383" s="2" t="s">
        <v>176</v>
      </c>
      <c r="FJ383" s="2" t="s">
        <v>176</v>
      </c>
      <c r="FK383" s="2" t="s">
        <v>176</v>
      </c>
      <c r="FL383" s="2" t="s">
        <v>176</v>
      </c>
      <c r="FM383" s="2" t="s">
        <v>176</v>
      </c>
      <c r="FN383" s="2" t="s">
        <v>176</v>
      </c>
      <c r="FO383" s="2" t="s">
        <v>176</v>
      </c>
      <c r="FP383" s="2" t="s">
        <v>107</v>
      </c>
      <c r="FQ383" s="2" t="s">
        <v>3</v>
      </c>
      <c r="FR383" s="2" t="s">
        <v>37</v>
      </c>
      <c r="FS383" s="2" t="s">
        <v>383</v>
      </c>
      <c r="FT383" s="2" t="s">
        <v>383</v>
      </c>
      <c r="FU383" s="2"/>
      <c r="FV383" s="2" t="s">
        <v>3</v>
      </c>
    </row>
    <row r="384" spans="1:178" ht="15.75" customHeight="1" x14ac:dyDescent="0.2">
      <c r="A384" s="14" t="s">
        <v>74</v>
      </c>
      <c r="B384" s="2" t="s">
        <v>164</v>
      </c>
      <c r="C384" s="13" t="s">
        <v>927</v>
      </c>
      <c r="D384" s="2" t="s">
        <v>99</v>
      </c>
      <c r="E384" s="2"/>
      <c r="F384" s="2"/>
      <c r="G384" s="2" t="s">
        <v>78</v>
      </c>
      <c r="H384" s="2" t="s">
        <v>926</v>
      </c>
      <c r="I384" s="2"/>
      <c r="J384" s="2" t="s">
        <v>781</v>
      </c>
      <c r="K384" s="2">
        <v>1.6</v>
      </c>
      <c r="L384" s="2"/>
      <c r="M384" s="2"/>
      <c r="N384" s="2"/>
      <c r="O384" s="2"/>
      <c r="P384" s="2"/>
      <c r="Q384" s="2"/>
      <c r="R384" s="2"/>
      <c r="S384" s="4">
        <v>1.2</v>
      </c>
      <c r="T384" s="2">
        <v>7.8E-2</v>
      </c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>
        <v>1.5</v>
      </c>
      <c r="AG384" s="2"/>
      <c r="AH384" s="2"/>
      <c r="AI384" s="2"/>
      <c r="AJ384" s="2"/>
      <c r="AK384" s="2"/>
      <c r="AL384" s="2"/>
      <c r="AM384" s="2"/>
      <c r="AN384" s="2">
        <v>1.01</v>
      </c>
      <c r="AO384" s="2">
        <v>7.2999999999999995E-2</v>
      </c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>
        <v>1.4</v>
      </c>
      <c r="BB384" s="2"/>
      <c r="BC384" s="2"/>
      <c r="BD384" s="2"/>
      <c r="BE384" s="2"/>
      <c r="BF384" s="2"/>
      <c r="BG384" s="2"/>
      <c r="BH384" s="2"/>
      <c r="BI384" s="2">
        <v>0.95</v>
      </c>
      <c r="BJ384" s="2">
        <v>7.3999999999999996E-2</v>
      </c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>
        <v>0</v>
      </c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>
        <v>4.7</v>
      </c>
      <c r="CR384" s="2"/>
      <c r="CS384" s="2"/>
      <c r="CT384" s="2"/>
      <c r="CU384" s="2"/>
      <c r="CV384" s="2"/>
      <c r="CW384" s="2"/>
      <c r="CX384" s="2"/>
      <c r="CY384" s="2">
        <v>0.91</v>
      </c>
      <c r="CZ384" s="2">
        <v>0.06</v>
      </c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14" t="s">
        <v>81</v>
      </c>
      <c r="DM384" s="2" t="s">
        <v>81</v>
      </c>
      <c r="DN384" s="2">
        <f t="shared" si="49"/>
        <v>1.0588888888888888</v>
      </c>
      <c r="DO384" s="2">
        <f t="shared" si="50"/>
        <v>7.5088888888888886E-2</v>
      </c>
      <c r="DP384" s="2" t="s">
        <v>211</v>
      </c>
      <c r="DQ384" s="2" t="s">
        <v>3</v>
      </c>
      <c r="DR384" s="2">
        <f t="shared" si="51"/>
        <v>4.5</v>
      </c>
      <c r="DS384" s="4">
        <f t="shared" si="52"/>
        <v>1.0588888888888888</v>
      </c>
      <c r="DT384" s="15">
        <f t="shared" si="53"/>
        <v>47.649999999999991</v>
      </c>
      <c r="DU384" s="2"/>
      <c r="DV384" s="2">
        <f t="shared" si="54"/>
        <v>4.7</v>
      </c>
      <c r="DW384" s="4">
        <f t="shared" si="73"/>
        <v>0.91</v>
      </c>
      <c r="DX384" s="15">
        <f t="shared" si="74"/>
        <v>42.77</v>
      </c>
      <c r="DY384" s="2"/>
      <c r="DZ384" s="2" t="s">
        <v>3</v>
      </c>
      <c r="EA384" s="2" t="s">
        <v>928</v>
      </c>
      <c r="EB384" s="2" t="s">
        <v>176</v>
      </c>
      <c r="EC384" s="2" t="s">
        <v>176</v>
      </c>
      <c r="ED384" s="2" t="s">
        <v>176</v>
      </c>
      <c r="EE384" s="2" t="s">
        <v>176</v>
      </c>
      <c r="EF384" s="2" t="s">
        <v>176</v>
      </c>
      <c r="EG384" s="3">
        <v>221</v>
      </c>
      <c r="EH384" s="2"/>
      <c r="EI384" s="3">
        <v>221</v>
      </c>
      <c r="EJ384" s="2"/>
      <c r="EK384" s="15">
        <f t="shared" si="75"/>
        <v>0</v>
      </c>
      <c r="EL384" s="15">
        <f>FD384</f>
        <v>0</v>
      </c>
      <c r="EM384" s="2" t="s">
        <v>928</v>
      </c>
      <c r="EN384" s="2" t="s">
        <v>176</v>
      </c>
      <c r="EO384" s="2" t="s">
        <v>176</v>
      </c>
      <c r="EP384" s="2" t="s">
        <v>176</v>
      </c>
      <c r="EQ384" s="2" t="s">
        <v>176</v>
      </c>
      <c r="ER384" s="15">
        <f>DR666</f>
        <v>0</v>
      </c>
      <c r="ES384" s="4" t="e">
        <f t="shared" si="76"/>
        <v>#DIV/0!</v>
      </c>
      <c r="ET384" s="15">
        <f>DT666</f>
        <v>0</v>
      </c>
      <c r="EU384" s="2">
        <f>COUNT(DT666)</f>
        <v>0</v>
      </c>
      <c r="EV384" s="2" t="s">
        <v>176</v>
      </c>
      <c r="EW384" s="2" t="s">
        <v>176</v>
      </c>
      <c r="EX384" s="2" t="s">
        <v>176</v>
      </c>
      <c r="EY384" s="2" t="s">
        <v>176</v>
      </c>
      <c r="EZ384" s="2" t="s">
        <v>176</v>
      </c>
      <c r="FA384" s="2" t="s">
        <v>176</v>
      </c>
      <c r="FB384" s="2" t="s">
        <v>176</v>
      </c>
      <c r="FC384" s="2" t="s">
        <v>176</v>
      </c>
      <c r="FD384" s="3">
        <f t="shared" si="77"/>
        <v>0</v>
      </c>
      <c r="FE384" s="2" t="s">
        <v>176</v>
      </c>
      <c r="FF384" s="2" t="s">
        <v>176</v>
      </c>
      <c r="FG384" s="2" t="s">
        <v>176</v>
      </c>
      <c r="FH384" s="2" t="s">
        <v>176</v>
      </c>
      <c r="FI384" s="2" t="s">
        <v>176</v>
      </c>
      <c r="FJ384" s="2" t="s">
        <v>176</v>
      </c>
      <c r="FK384" s="2" t="s">
        <v>176</v>
      </c>
      <c r="FL384" s="2" t="s">
        <v>176</v>
      </c>
      <c r="FM384" s="2" t="s">
        <v>176</v>
      </c>
      <c r="FN384" s="2" t="s">
        <v>176</v>
      </c>
      <c r="FO384" s="2" t="s">
        <v>176</v>
      </c>
      <c r="FP384" s="2" t="s">
        <v>928</v>
      </c>
      <c r="FQ384" s="2" t="s">
        <v>3</v>
      </c>
      <c r="FR384" s="2" t="s">
        <v>37</v>
      </c>
      <c r="FS384" s="2" t="s">
        <v>383</v>
      </c>
      <c r="FT384" s="2" t="s">
        <v>383</v>
      </c>
      <c r="FU384" s="2"/>
      <c r="FV384" s="2" t="s">
        <v>3</v>
      </c>
    </row>
    <row r="385" spans="1:178" ht="15.75" customHeight="1" x14ac:dyDescent="0.2">
      <c r="A385" s="14" t="s">
        <v>74</v>
      </c>
      <c r="B385" s="2" t="s">
        <v>164</v>
      </c>
      <c r="C385" s="13" t="s">
        <v>929</v>
      </c>
      <c r="D385" s="2" t="s">
        <v>99</v>
      </c>
      <c r="E385" s="2"/>
      <c r="F385" s="2"/>
      <c r="G385" s="2" t="s">
        <v>78</v>
      </c>
      <c r="H385" s="2" t="s">
        <v>79</v>
      </c>
      <c r="I385" s="2"/>
      <c r="J385" s="2" t="s">
        <v>80</v>
      </c>
      <c r="K385" s="2">
        <v>0</v>
      </c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>
        <v>0</v>
      </c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>
        <v>0.3</v>
      </c>
      <c r="BB385" s="2"/>
      <c r="BC385" s="2"/>
      <c r="BD385" s="2"/>
      <c r="BE385" s="2"/>
      <c r="BF385" s="2"/>
      <c r="BG385" s="2"/>
      <c r="BH385" s="2"/>
      <c r="BI385" s="2">
        <v>1.4</v>
      </c>
      <c r="BJ385" s="2">
        <v>0.15</v>
      </c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>
        <v>0</v>
      </c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>
        <v>0</v>
      </c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14" t="s">
        <v>81</v>
      </c>
      <c r="DM385" s="2" t="s">
        <v>81</v>
      </c>
      <c r="DN385" s="2">
        <f t="shared" si="49"/>
        <v>1.4</v>
      </c>
      <c r="DO385" s="2">
        <f t="shared" si="50"/>
        <v>0.15</v>
      </c>
      <c r="DP385" s="2" t="s">
        <v>175</v>
      </c>
      <c r="DQ385" s="2" t="s">
        <v>3</v>
      </c>
      <c r="DR385" s="2">
        <f t="shared" si="51"/>
        <v>0.3</v>
      </c>
      <c r="DS385" s="2">
        <f t="shared" si="52"/>
        <v>1.4</v>
      </c>
      <c r="DT385" s="15">
        <f t="shared" si="53"/>
        <v>4.2</v>
      </c>
      <c r="DU385" s="2"/>
      <c r="DV385" s="2">
        <f t="shared" si="54"/>
        <v>0</v>
      </c>
      <c r="DW385" s="2"/>
      <c r="DX385" s="2"/>
      <c r="DY385" s="2"/>
      <c r="DZ385" s="2" t="s">
        <v>3</v>
      </c>
      <c r="EA385" s="2" t="s">
        <v>502</v>
      </c>
      <c r="EB385" s="2" t="s">
        <v>176</v>
      </c>
      <c r="EC385" s="15">
        <v>53.036999999999999</v>
      </c>
      <c r="ED385" s="2" t="s">
        <v>176</v>
      </c>
      <c r="EE385" s="15">
        <v>0.45</v>
      </c>
      <c r="EF385" s="2" t="s">
        <v>176</v>
      </c>
      <c r="EG385" s="3">
        <v>1251.4970000000001</v>
      </c>
      <c r="EH385" s="2"/>
      <c r="EI385" s="3">
        <f t="shared" ref="EI385:EI386" si="78">EG385-EE385</f>
        <v>1251.047</v>
      </c>
      <c r="EJ385" s="2"/>
      <c r="EK385" s="3">
        <f t="shared" si="75"/>
        <v>0</v>
      </c>
      <c r="EL385" s="3">
        <f t="shared" ref="EL385:EL386" si="79">EC385+FD385</f>
        <v>53.036999999999999</v>
      </c>
      <c r="EM385" s="2" t="s">
        <v>502</v>
      </c>
      <c r="EN385" s="2" t="s">
        <v>176</v>
      </c>
      <c r="EO385" s="2" t="s">
        <v>176</v>
      </c>
      <c r="EP385" s="2" t="s">
        <v>176</v>
      </c>
      <c r="EQ385" s="2" t="s">
        <v>176</v>
      </c>
      <c r="ER385" s="15">
        <f>SUM(DR744:DR746)</f>
        <v>0</v>
      </c>
      <c r="ES385" s="4" t="e">
        <f t="shared" si="76"/>
        <v>#DIV/0!</v>
      </c>
      <c r="ET385" s="3">
        <f>SUM(DT744:DT746)</f>
        <v>0</v>
      </c>
      <c r="EU385" s="2">
        <f>COUNT(DT744:DT746)</f>
        <v>0</v>
      </c>
      <c r="EV385" s="2" t="s">
        <v>176</v>
      </c>
      <c r="EW385" s="2" t="s">
        <v>176</v>
      </c>
      <c r="EX385" s="2" t="s">
        <v>176</v>
      </c>
      <c r="EY385" s="2" t="s">
        <v>176</v>
      </c>
      <c r="EZ385" s="2" t="s">
        <v>176</v>
      </c>
      <c r="FA385" s="2" t="s">
        <v>176</v>
      </c>
      <c r="FB385" s="2" t="s">
        <v>176</v>
      </c>
      <c r="FC385" s="2" t="s">
        <v>176</v>
      </c>
      <c r="FD385" s="3">
        <f t="shared" si="77"/>
        <v>0</v>
      </c>
      <c r="FE385" s="2" t="s">
        <v>176</v>
      </c>
      <c r="FF385" s="2" t="s">
        <v>176</v>
      </c>
      <c r="FG385" s="2" t="s">
        <v>176</v>
      </c>
      <c r="FH385" s="2" t="s">
        <v>176</v>
      </c>
      <c r="FI385" s="2" t="s">
        <v>176</v>
      </c>
      <c r="FJ385" s="2" t="s">
        <v>176</v>
      </c>
      <c r="FK385" s="2" t="s">
        <v>176</v>
      </c>
      <c r="FL385" s="2" t="s">
        <v>176</v>
      </c>
      <c r="FM385" s="2" t="s">
        <v>176</v>
      </c>
      <c r="FN385" s="2" t="s">
        <v>176</v>
      </c>
      <c r="FO385" s="2" t="s">
        <v>176</v>
      </c>
      <c r="FP385" s="2" t="s">
        <v>502</v>
      </c>
      <c r="FQ385" s="2" t="s">
        <v>3</v>
      </c>
      <c r="FR385" s="2" t="s">
        <v>37</v>
      </c>
      <c r="FS385" s="2" t="s">
        <v>383</v>
      </c>
      <c r="FT385" s="2" t="s">
        <v>383</v>
      </c>
      <c r="FU385" s="2"/>
      <c r="FV385" s="2" t="s">
        <v>3</v>
      </c>
    </row>
    <row r="386" spans="1:178" ht="15.75" customHeight="1" x14ac:dyDescent="0.2">
      <c r="A386" s="14" t="s">
        <v>74</v>
      </c>
      <c r="B386" s="2" t="s">
        <v>164</v>
      </c>
      <c r="C386" s="13" t="s">
        <v>930</v>
      </c>
      <c r="D386" s="2" t="s">
        <v>99</v>
      </c>
      <c r="E386" s="2"/>
      <c r="F386" s="2"/>
      <c r="G386" s="2" t="s">
        <v>78</v>
      </c>
      <c r="H386" s="2" t="s">
        <v>926</v>
      </c>
      <c r="I386" s="2"/>
      <c r="J386" s="2" t="s">
        <v>781</v>
      </c>
      <c r="K386" s="2">
        <v>0</v>
      </c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>
        <v>1.9</v>
      </c>
      <c r="AG386" s="2"/>
      <c r="AH386" s="2"/>
      <c r="AI386" s="2"/>
      <c r="AJ386" s="2"/>
      <c r="AK386" s="2"/>
      <c r="AL386" s="2"/>
      <c r="AM386" s="2"/>
      <c r="AN386" s="2">
        <v>0.98</v>
      </c>
      <c r="AO386" s="19">
        <v>7.0000000000000007E-2</v>
      </c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>
        <v>0</v>
      </c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>
        <v>0</v>
      </c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>
        <v>0</v>
      </c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14" t="s">
        <v>81</v>
      </c>
      <c r="DM386" s="2" t="s">
        <v>81</v>
      </c>
      <c r="DN386" s="2">
        <f t="shared" si="49"/>
        <v>0.98</v>
      </c>
      <c r="DO386" s="2">
        <f t="shared" si="50"/>
        <v>7.0000000000000007E-2</v>
      </c>
      <c r="DP386" s="2" t="s">
        <v>211</v>
      </c>
      <c r="DQ386" s="2" t="s">
        <v>3</v>
      </c>
      <c r="DR386" s="2">
        <f t="shared" si="51"/>
        <v>1.9</v>
      </c>
      <c r="DS386" s="2">
        <f t="shared" si="52"/>
        <v>0.98</v>
      </c>
      <c r="DT386" s="15">
        <f t="shared" si="53"/>
        <v>18.62</v>
      </c>
      <c r="DU386" s="2"/>
      <c r="DV386" s="2">
        <f t="shared" si="54"/>
        <v>0</v>
      </c>
      <c r="DW386" s="2"/>
      <c r="DX386" s="2"/>
      <c r="DY386" s="2"/>
      <c r="DZ386" s="2" t="s">
        <v>3</v>
      </c>
      <c r="EA386" s="2" t="s">
        <v>198</v>
      </c>
      <c r="EB386" s="2" t="s">
        <v>176</v>
      </c>
      <c r="EC386" s="3">
        <v>6990.5969999999998</v>
      </c>
      <c r="ED386" s="2" t="s">
        <v>176</v>
      </c>
      <c r="EE386" s="3">
        <v>3010.8</v>
      </c>
      <c r="EF386" s="2" t="s">
        <v>176</v>
      </c>
      <c r="EG386" s="3">
        <v>33291.16618812448</v>
      </c>
      <c r="EH386" s="2"/>
      <c r="EI386" s="3">
        <f t="shared" si="78"/>
        <v>30280.366188124481</v>
      </c>
      <c r="EJ386" s="2"/>
      <c r="EK386" s="3">
        <f t="shared" si="75"/>
        <v>0</v>
      </c>
      <c r="EL386" s="3">
        <f t="shared" si="79"/>
        <v>6990.5969999999998</v>
      </c>
      <c r="EM386" s="2" t="s">
        <v>198</v>
      </c>
      <c r="EN386" s="2" t="s">
        <v>176</v>
      </c>
      <c r="EO386" s="2" t="s">
        <v>176</v>
      </c>
      <c r="EP386" s="2" t="s">
        <v>176</v>
      </c>
      <c r="EQ386" s="2" t="s">
        <v>176</v>
      </c>
      <c r="ER386" s="3">
        <f>SUM(DR722:DR741)</f>
        <v>0</v>
      </c>
      <c r="ES386" s="4" t="e">
        <f t="shared" si="76"/>
        <v>#DIV/0!</v>
      </c>
      <c r="ET386" s="3">
        <f>SUM(DT722:DT741)</f>
        <v>0</v>
      </c>
      <c r="EU386" s="2">
        <f>COUNT(DT722:DT741)</f>
        <v>0</v>
      </c>
      <c r="EV386" s="2" t="s">
        <v>176</v>
      </c>
      <c r="EW386" s="2" t="s">
        <v>176</v>
      </c>
      <c r="EX386" s="2" t="s">
        <v>176</v>
      </c>
      <c r="EY386" s="2" t="s">
        <v>176</v>
      </c>
      <c r="EZ386" s="2" t="s">
        <v>176</v>
      </c>
      <c r="FA386" s="2" t="s">
        <v>176</v>
      </c>
      <c r="FB386" s="2" t="s">
        <v>176</v>
      </c>
      <c r="FC386" s="2" t="s">
        <v>176</v>
      </c>
      <c r="FD386" s="3">
        <f t="shared" si="77"/>
        <v>0</v>
      </c>
      <c r="FE386" s="2" t="s">
        <v>176</v>
      </c>
      <c r="FF386" s="2" t="s">
        <v>176</v>
      </c>
      <c r="FG386" s="2" t="s">
        <v>176</v>
      </c>
      <c r="FH386" s="2" t="s">
        <v>176</v>
      </c>
      <c r="FI386" s="15">
        <f>SUM(DV722:DV741)</f>
        <v>0</v>
      </c>
      <c r="FJ386" s="4" t="e">
        <f>100*(FK386/1000)/FI386</f>
        <v>#DIV/0!</v>
      </c>
      <c r="FK386" s="3">
        <f>SUM(DX722:DX741)</f>
        <v>0</v>
      </c>
      <c r="FL386" s="2">
        <f>COUNT(DX722:DX741)</f>
        <v>0</v>
      </c>
      <c r="FM386" s="2" t="s">
        <v>176</v>
      </c>
      <c r="FN386" s="2" t="s">
        <v>176</v>
      </c>
      <c r="FO386" s="3">
        <f t="shared" ref="FO386:FO387" si="80">SUM(FG386,FK386,FM386,FN386)</f>
        <v>0</v>
      </c>
      <c r="FP386" s="2" t="s">
        <v>198</v>
      </c>
      <c r="FQ386" s="2" t="s">
        <v>3</v>
      </c>
      <c r="FR386" s="2" t="s">
        <v>37</v>
      </c>
      <c r="FS386" s="2" t="s">
        <v>383</v>
      </c>
      <c r="FT386" s="2" t="s">
        <v>383</v>
      </c>
      <c r="FU386" s="2"/>
      <c r="FV386" s="2" t="s">
        <v>3</v>
      </c>
    </row>
    <row r="387" spans="1:178" ht="15.75" customHeight="1" x14ac:dyDescent="0.2">
      <c r="A387" s="14" t="s">
        <v>74</v>
      </c>
      <c r="B387" s="2" t="s">
        <v>164</v>
      </c>
      <c r="C387" s="13" t="s">
        <v>931</v>
      </c>
      <c r="D387" s="2" t="s">
        <v>99</v>
      </c>
      <c r="E387" s="2"/>
      <c r="F387" s="2"/>
      <c r="G387" s="2" t="s">
        <v>78</v>
      </c>
      <c r="H387" s="2" t="s">
        <v>926</v>
      </c>
      <c r="I387" s="2"/>
      <c r="J387" s="2" t="s">
        <v>781</v>
      </c>
      <c r="K387" s="2">
        <v>8.8000000000000007</v>
      </c>
      <c r="L387" s="2"/>
      <c r="M387" s="2"/>
      <c r="N387" s="2"/>
      <c r="O387" s="2"/>
      <c r="P387" s="2"/>
      <c r="Q387" s="2"/>
      <c r="R387" s="2"/>
      <c r="S387" s="2">
        <v>1.1000000000000001</v>
      </c>
      <c r="T387" s="2">
        <v>6.3E-2</v>
      </c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>
        <v>12.7</v>
      </c>
      <c r="AG387" s="2"/>
      <c r="AH387" s="2"/>
      <c r="AI387" s="2"/>
      <c r="AJ387" s="2"/>
      <c r="AK387" s="2"/>
      <c r="AL387" s="2"/>
      <c r="AM387" s="2"/>
      <c r="AN387" s="2">
        <v>1.0900000000000001</v>
      </c>
      <c r="AO387" s="2">
        <v>7.9000000000000001E-2</v>
      </c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>
        <v>4.5</v>
      </c>
      <c r="BB387" s="2"/>
      <c r="BC387" s="2"/>
      <c r="BD387" s="2"/>
      <c r="BE387" s="2"/>
      <c r="BF387" s="2"/>
      <c r="BG387" s="2"/>
      <c r="BH387" s="2"/>
      <c r="BI387" s="2">
        <v>0.98</v>
      </c>
      <c r="BJ387" s="2">
        <v>5.0999999999999997E-2</v>
      </c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>
        <v>0</v>
      </c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>
        <v>27.9</v>
      </c>
      <c r="CR387" s="2"/>
      <c r="CS387" s="2"/>
      <c r="CT387" s="2"/>
      <c r="CU387" s="2"/>
      <c r="CV387" s="2"/>
      <c r="CW387" s="2"/>
      <c r="CX387" s="2"/>
      <c r="CY387" s="2">
        <v>0.96</v>
      </c>
      <c r="CZ387" s="2">
        <v>0.06</v>
      </c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14" t="s">
        <v>81</v>
      </c>
      <c r="DM387" s="2" t="s">
        <v>81</v>
      </c>
      <c r="DN387" s="2">
        <f t="shared" si="49"/>
        <v>1.0743461538461541</v>
      </c>
      <c r="DO387" s="2">
        <f t="shared" si="50"/>
        <v>6.873846153846154E-2</v>
      </c>
      <c r="DP387" s="2" t="s">
        <v>211</v>
      </c>
      <c r="DQ387" s="2" t="s">
        <v>3</v>
      </c>
      <c r="DR387" s="2">
        <f t="shared" si="51"/>
        <v>26</v>
      </c>
      <c r="DS387" s="4">
        <f t="shared" si="52"/>
        <v>1.0743461538461541</v>
      </c>
      <c r="DT387" s="15">
        <f t="shared" si="53"/>
        <v>279.3300000000001</v>
      </c>
      <c r="DU387" s="2"/>
      <c r="DV387" s="2">
        <f t="shared" si="54"/>
        <v>27.9</v>
      </c>
      <c r="DW387" s="4">
        <f>(BV387*CD387+CQ387*CY387)/DV387</f>
        <v>0.96</v>
      </c>
      <c r="DX387" s="15">
        <f>1000*DV387*DW387/100</f>
        <v>267.83999999999997</v>
      </c>
      <c r="DY387" s="2"/>
      <c r="DZ387" s="2" t="s">
        <v>3</v>
      </c>
      <c r="EA387" s="2" t="s">
        <v>124</v>
      </c>
      <c r="EB387" s="15">
        <f>451.333+4.343</f>
        <v>455.67600000000004</v>
      </c>
      <c r="EC387" s="2" t="s">
        <v>176</v>
      </c>
      <c r="ED387" s="15">
        <v>156.65389999999999</v>
      </c>
      <c r="EE387" s="2" t="s">
        <v>176</v>
      </c>
      <c r="EF387" s="3">
        <v>4796.258627000002</v>
      </c>
      <c r="EG387" s="2" t="s">
        <v>176</v>
      </c>
      <c r="EH387" s="3">
        <f>EF387-ED387</f>
        <v>4639.6047270000017</v>
      </c>
      <c r="EI387" s="2"/>
      <c r="EJ387" s="3">
        <f>SUM(EP387,EX387,FB387)</f>
        <v>0</v>
      </c>
      <c r="EK387" s="2"/>
      <c r="EL387" s="3">
        <f>EB387+FD387</f>
        <v>455.67600000000004</v>
      </c>
      <c r="EM387" s="2" t="s">
        <v>124</v>
      </c>
      <c r="EN387" s="15">
        <f>SUM(DR691:DR715)</f>
        <v>0</v>
      </c>
      <c r="EO387" s="4" t="e">
        <f>100*(EP387/1000)/EN387</f>
        <v>#DIV/0!</v>
      </c>
      <c r="EP387" s="15">
        <f>SUM(DT691:DT715)</f>
        <v>0</v>
      </c>
      <c r="EQ387" s="2">
        <f>COUNT(DT691:DT715)</f>
        <v>0</v>
      </c>
      <c r="ER387" s="2" t="s">
        <v>176</v>
      </c>
      <c r="ES387" s="2" t="s">
        <v>176</v>
      </c>
      <c r="ET387" s="2" t="s">
        <v>176</v>
      </c>
      <c r="EU387" s="2" t="s">
        <v>176</v>
      </c>
      <c r="EV387" s="3">
        <f>SUM(DR669:DR690)</f>
        <v>0</v>
      </c>
      <c r="EW387" s="4" t="e">
        <f>100*(EX387/1000)/EV387</f>
        <v>#DIV/0!</v>
      </c>
      <c r="EX387" s="3">
        <f>SUM(DT669:DT690)</f>
        <v>0</v>
      </c>
      <c r="EY387" s="2">
        <f>COUNT(DT669:DT690)</f>
        <v>0</v>
      </c>
      <c r="EZ387" s="2" t="s">
        <v>176</v>
      </c>
      <c r="FA387" s="2" t="s">
        <v>176</v>
      </c>
      <c r="FB387" s="2" t="s">
        <v>176</v>
      </c>
      <c r="FC387" s="2" t="s">
        <v>176</v>
      </c>
      <c r="FD387" s="3">
        <f t="shared" si="77"/>
        <v>0</v>
      </c>
      <c r="FE387" s="15">
        <f>SUM(DV691:DV715)</f>
        <v>0</v>
      </c>
      <c r="FF387" s="4" t="e">
        <f>100*(FG387/1000)/FE387</f>
        <v>#DIV/0!</v>
      </c>
      <c r="FG387" s="15">
        <f>SUM(DX691:DX715)</f>
        <v>0</v>
      </c>
      <c r="FH387" s="2">
        <f>COUNT(DX691:DX715)</f>
        <v>0</v>
      </c>
      <c r="FI387" s="2" t="s">
        <v>176</v>
      </c>
      <c r="FJ387" s="2" t="s">
        <v>176</v>
      </c>
      <c r="FK387" s="2" t="s">
        <v>176</v>
      </c>
      <c r="FL387" s="2" t="s">
        <v>176</v>
      </c>
      <c r="FM387" s="15">
        <f>SUM(DX669:DX690)</f>
        <v>0</v>
      </c>
      <c r="FN387" s="2" t="s">
        <v>176</v>
      </c>
      <c r="FO387" s="15">
        <f t="shared" si="80"/>
        <v>0</v>
      </c>
      <c r="FP387" s="2" t="s">
        <v>124</v>
      </c>
      <c r="FQ387" s="2" t="s">
        <v>3</v>
      </c>
      <c r="FR387" s="2" t="s">
        <v>37</v>
      </c>
      <c r="FS387" s="2" t="s">
        <v>383</v>
      </c>
      <c r="FT387" s="2" t="s">
        <v>383</v>
      </c>
      <c r="FU387" s="2"/>
      <c r="FV387" s="2" t="s">
        <v>3</v>
      </c>
    </row>
    <row r="388" spans="1:178" ht="15.75" customHeight="1" x14ac:dyDescent="0.2">
      <c r="A388" s="14" t="s">
        <v>74</v>
      </c>
      <c r="B388" s="2" t="s">
        <v>164</v>
      </c>
      <c r="C388" s="13" t="s">
        <v>932</v>
      </c>
      <c r="D388" s="2" t="s">
        <v>99</v>
      </c>
      <c r="E388" s="2"/>
      <c r="F388" s="2"/>
      <c r="G388" s="2" t="s">
        <v>78</v>
      </c>
      <c r="H388" s="2" t="s">
        <v>926</v>
      </c>
      <c r="I388" s="2"/>
      <c r="J388" s="2" t="s">
        <v>781</v>
      </c>
      <c r="K388" s="2">
        <v>3.4</v>
      </c>
      <c r="L388" s="2"/>
      <c r="M388" s="2"/>
      <c r="N388" s="2"/>
      <c r="O388" s="2"/>
      <c r="P388" s="2"/>
      <c r="Q388" s="2"/>
      <c r="R388" s="2"/>
      <c r="S388" s="2">
        <v>0.98</v>
      </c>
      <c r="T388" s="2">
        <v>6.2E-2</v>
      </c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>
        <v>0.1</v>
      </c>
      <c r="AG388" s="2"/>
      <c r="AH388" s="2"/>
      <c r="AI388" s="2"/>
      <c r="AJ388" s="2"/>
      <c r="AK388" s="2"/>
      <c r="AL388" s="2"/>
      <c r="AM388" s="2"/>
      <c r="AN388" s="2">
        <v>0.88</v>
      </c>
      <c r="AO388" s="2">
        <v>5.0999999999999997E-2</v>
      </c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>
        <v>0.1</v>
      </c>
      <c r="BB388" s="2"/>
      <c r="BC388" s="2"/>
      <c r="BD388" s="2"/>
      <c r="BE388" s="2"/>
      <c r="BF388" s="2"/>
      <c r="BG388" s="2"/>
      <c r="BH388" s="2"/>
      <c r="BI388" s="2">
        <v>0.86</v>
      </c>
      <c r="BJ388" s="2">
        <v>8.3000000000000004E-2</v>
      </c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>
        <v>0</v>
      </c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>
        <v>0</v>
      </c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14" t="s">
        <v>81</v>
      </c>
      <c r="DM388" s="2" t="s">
        <v>81</v>
      </c>
      <c r="DN388" s="2">
        <f t="shared" si="49"/>
        <v>0.9738888888888888</v>
      </c>
      <c r="DO388" s="2">
        <f t="shared" si="50"/>
        <v>6.2277777777777772E-2</v>
      </c>
      <c r="DP388" s="2" t="s">
        <v>211</v>
      </c>
      <c r="DQ388" s="2" t="s">
        <v>3</v>
      </c>
      <c r="DR388" s="2">
        <f t="shared" si="51"/>
        <v>3.6</v>
      </c>
      <c r="DS388" s="4">
        <f t="shared" si="52"/>
        <v>0.9738888888888888</v>
      </c>
      <c r="DT388" s="15">
        <f t="shared" si="53"/>
        <v>35.059999999999995</v>
      </c>
      <c r="DU388" s="2"/>
      <c r="DV388" s="2">
        <f t="shared" si="54"/>
        <v>0</v>
      </c>
      <c r="DW388" s="2"/>
      <c r="DX388" s="2"/>
      <c r="DY388" s="2"/>
      <c r="DZ388" s="2" t="s">
        <v>3</v>
      </c>
      <c r="EA388" s="2" t="s">
        <v>491</v>
      </c>
      <c r="EB388" s="2" t="s">
        <v>176</v>
      </c>
      <c r="EC388" s="2" t="s">
        <v>176</v>
      </c>
      <c r="ED388" s="2" t="s">
        <v>176</v>
      </c>
      <c r="EE388" s="2" t="s">
        <v>176</v>
      </c>
      <c r="EF388" s="2" t="s">
        <v>176</v>
      </c>
      <c r="EG388" s="2" t="s">
        <v>176</v>
      </c>
      <c r="EH388" s="2"/>
      <c r="EI388" s="2"/>
      <c r="EJ388" s="2"/>
      <c r="EK388" s="15">
        <f t="shared" ref="EK388:EK390" si="81">ET388</f>
        <v>0</v>
      </c>
      <c r="EL388" s="15">
        <f t="shared" ref="EL388:EL389" si="82">FD388</f>
        <v>0</v>
      </c>
      <c r="EM388" s="2" t="s">
        <v>491</v>
      </c>
      <c r="EN388" s="2" t="s">
        <v>176</v>
      </c>
      <c r="EO388" s="2" t="s">
        <v>176</v>
      </c>
      <c r="EP388" s="2" t="s">
        <v>176</v>
      </c>
      <c r="EQ388" s="2" t="s">
        <v>176</v>
      </c>
      <c r="ER388" s="15">
        <f>DR720</f>
        <v>0</v>
      </c>
      <c r="ES388" s="4" t="e">
        <f t="shared" ref="ES388:ES390" si="83">100*(ET388/1000)/ER388</f>
        <v>#DIV/0!</v>
      </c>
      <c r="ET388" s="15">
        <f>DT720</f>
        <v>0</v>
      </c>
      <c r="EU388" s="2">
        <f>COUNT(DT720)</f>
        <v>0</v>
      </c>
      <c r="EV388" s="2" t="s">
        <v>176</v>
      </c>
      <c r="EW388" s="2" t="s">
        <v>176</v>
      </c>
      <c r="EX388" s="2" t="s">
        <v>176</v>
      </c>
      <c r="EY388" s="2" t="s">
        <v>176</v>
      </c>
      <c r="EZ388" s="2" t="s">
        <v>176</v>
      </c>
      <c r="FA388" s="2" t="s">
        <v>176</v>
      </c>
      <c r="FB388" s="2" t="s">
        <v>176</v>
      </c>
      <c r="FC388" s="2" t="s">
        <v>176</v>
      </c>
      <c r="FD388" s="3">
        <f t="shared" si="77"/>
        <v>0</v>
      </c>
      <c r="FE388" s="2" t="s">
        <v>176</v>
      </c>
      <c r="FF388" s="2" t="s">
        <v>176</v>
      </c>
      <c r="FG388" s="2" t="s">
        <v>176</v>
      </c>
      <c r="FH388" s="2" t="s">
        <v>176</v>
      </c>
      <c r="FI388" s="2" t="s">
        <v>176</v>
      </c>
      <c r="FJ388" s="2" t="s">
        <v>176</v>
      </c>
      <c r="FK388" s="2" t="s">
        <v>176</v>
      </c>
      <c r="FL388" s="2" t="s">
        <v>176</v>
      </c>
      <c r="FM388" s="2" t="s">
        <v>176</v>
      </c>
      <c r="FN388" s="2" t="s">
        <v>176</v>
      </c>
      <c r="FO388" s="2" t="s">
        <v>176</v>
      </c>
      <c r="FP388" s="2" t="s">
        <v>491</v>
      </c>
      <c r="FQ388" s="2" t="s">
        <v>3</v>
      </c>
      <c r="FR388" s="2" t="s">
        <v>37</v>
      </c>
      <c r="FS388" s="2" t="s">
        <v>383</v>
      </c>
      <c r="FT388" s="2" t="s">
        <v>383</v>
      </c>
      <c r="FU388" s="2"/>
      <c r="FV388" s="2" t="s">
        <v>3</v>
      </c>
    </row>
    <row r="389" spans="1:178" ht="15.75" customHeight="1" x14ac:dyDescent="0.2">
      <c r="A389" s="14" t="s">
        <v>74</v>
      </c>
      <c r="B389" s="2" t="s">
        <v>164</v>
      </c>
      <c r="C389" s="13" t="s">
        <v>933</v>
      </c>
      <c r="D389" s="2" t="s">
        <v>99</v>
      </c>
      <c r="E389" s="2"/>
      <c r="F389" s="2"/>
      <c r="G389" s="2" t="s">
        <v>78</v>
      </c>
      <c r="H389" s="2" t="s">
        <v>926</v>
      </c>
      <c r="I389" s="2"/>
      <c r="J389" s="2" t="s">
        <v>781</v>
      </c>
      <c r="K389" s="2">
        <v>1.5</v>
      </c>
      <c r="L389" s="2"/>
      <c r="M389" s="2"/>
      <c r="N389" s="2"/>
      <c r="O389" s="2"/>
      <c r="P389" s="2"/>
      <c r="Q389" s="2"/>
      <c r="R389" s="2"/>
      <c r="S389" s="2">
        <v>1.01</v>
      </c>
      <c r="T389" s="2">
        <v>6.2E-2</v>
      </c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>
        <v>0.3</v>
      </c>
      <c r="AG389" s="2"/>
      <c r="AH389" s="2"/>
      <c r="AI389" s="2"/>
      <c r="AJ389" s="2"/>
      <c r="AK389" s="2"/>
      <c r="AL389" s="2"/>
      <c r="AM389" s="2"/>
      <c r="AN389" s="2">
        <v>0.91</v>
      </c>
      <c r="AO389" s="2">
        <v>2.5000000000000001E-2</v>
      </c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>
        <v>0</v>
      </c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>
        <v>0</v>
      </c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>
        <v>0</v>
      </c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14" t="s">
        <v>81</v>
      </c>
      <c r="DM389" s="2" t="s">
        <v>81</v>
      </c>
      <c r="DN389" s="2">
        <f t="shared" si="49"/>
        <v>0.9933333333333334</v>
      </c>
      <c r="DO389" s="2">
        <f t="shared" si="50"/>
        <v>5.5833333333333332E-2</v>
      </c>
      <c r="DP389" s="2" t="s">
        <v>211</v>
      </c>
      <c r="DQ389" s="2" t="s">
        <v>3</v>
      </c>
      <c r="DR389" s="2">
        <f t="shared" si="51"/>
        <v>1.8</v>
      </c>
      <c r="DS389" s="4">
        <f t="shared" si="52"/>
        <v>0.9933333333333334</v>
      </c>
      <c r="DT389" s="15">
        <f t="shared" si="53"/>
        <v>17.880000000000003</v>
      </c>
      <c r="DU389" s="2"/>
      <c r="DV389" s="2">
        <f t="shared" si="54"/>
        <v>0</v>
      </c>
      <c r="DW389" s="2"/>
      <c r="DX389" s="2"/>
      <c r="DY389" s="2"/>
      <c r="DZ389" s="2" t="s">
        <v>3</v>
      </c>
      <c r="EA389" s="2" t="s">
        <v>230</v>
      </c>
      <c r="EB389" s="2" t="s">
        <v>176</v>
      </c>
      <c r="EC389" s="2" t="s">
        <v>176</v>
      </c>
      <c r="ED389" s="2" t="s">
        <v>176</v>
      </c>
      <c r="EE389" s="2" t="s">
        <v>176</v>
      </c>
      <c r="EF389" s="2" t="s">
        <v>176</v>
      </c>
      <c r="EG389" s="3">
        <v>1992.97</v>
      </c>
      <c r="EH389" s="2"/>
      <c r="EI389" s="3">
        <v>1992.97</v>
      </c>
      <c r="EJ389" s="2"/>
      <c r="EK389" s="3">
        <f t="shared" si="81"/>
        <v>0</v>
      </c>
      <c r="EL389" s="3">
        <f t="shared" si="82"/>
        <v>0</v>
      </c>
      <c r="EM389" s="2" t="s">
        <v>230</v>
      </c>
      <c r="EN389" s="2" t="s">
        <v>176</v>
      </c>
      <c r="EO389" s="2" t="s">
        <v>176</v>
      </c>
      <c r="EP389" s="2" t="s">
        <v>176</v>
      </c>
      <c r="EQ389" s="2" t="s">
        <v>176</v>
      </c>
      <c r="ER389" s="15">
        <f>SUM(DR721:DR725)</f>
        <v>0</v>
      </c>
      <c r="ES389" s="4" t="e">
        <f t="shared" si="83"/>
        <v>#DIV/0!</v>
      </c>
      <c r="ET389" s="3">
        <f>SUM(DT721:DT725)</f>
        <v>0</v>
      </c>
      <c r="EU389" s="2">
        <f>COUNT(DT721:DT725)</f>
        <v>0</v>
      </c>
      <c r="EV389" s="2" t="s">
        <v>176</v>
      </c>
      <c r="EW389" s="2" t="s">
        <v>176</v>
      </c>
      <c r="EX389" s="2" t="s">
        <v>176</v>
      </c>
      <c r="EY389" s="2" t="s">
        <v>176</v>
      </c>
      <c r="EZ389" s="2" t="s">
        <v>176</v>
      </c>
      <c r="FA389" s="2" t="s">
        <v>176</v>
      </c>
      <c r="FB389" s="2" t="s">
        <v>176</v>
      </c>
      <c r="FC389" s="2" t="s">
        <v>176</v>
      </c>
      <c r="FD389" s="3">
        <f t="shared" si="77"/>
        <v>0</v>
      </c>
      <c r="FE389" s="2" t="s">
        <v>176</v>
      </c>
      <c r="FF389" s="2" t="s">
        <v>176</v>
      </c>
      <c r="FG389" s="2" t="s">
        <v>176</v>
      </c>
      <c r="FH389" s="2" t="s">
        <v>176</v>
      </c>
      <c r="FI389" s="2" t="s">
        <v>176</v>
      </c>
      <c r="FJ389" s="2" t="s">
        <v>176</v>
      </c>
      <c r="FK389" s="2" t="s">
        <v>176</v>
      </c>
      <c r="FL389" s="2" t="s">
        <v>176</v>
      </c>
      <c r="FM389" s="2" t="s">
        <v>176</v>
      </c>
      <c r="FN389" s="2" t="s">
        <v>176</v>
      </c>
      <c r="FO389" s="2" t="s">
        <v>176</v>
      </c>
      <c r="FP389" s="2" t="s">
        <v>230</v>
      </c>
      <c r="FQ389" s="2" t="s">
        <v>3</v>
      </c>
      <c r="FR389" s="2" t="s">
        <v>37</v>
      </c>
      <c r="FS389" s="2" t="s">
        <v>383</v>
      </c>
      <c r="FT389" s="2" t="s">
        <v>383</v>
      </c>
      <c r="FU389" s="2"/>
      <c r="FV389" s="2" t="s">
        <v>3</v>
      </c>
    </row>
    <row r="390" spans="1:178" ht="15.75" customHeight="1" x14ac:dyDescent="0.2">
      <c r="A390" s="14" t="s">
        <v>74</v>
      </c>
      <c r="B390" s="2" t="s">
        <v>164</v>
      </c>
      <c r="C390" s="13" t="s">
        <v>934</v>
      </c>
      <c r="D390" s="2" t="s">
        <v>99</v>
      </c>
      <c r="E390" s="2"/>
      <c r="F390" s="2"/>
      <c r="G390" s="2" t="s">
        <v>78</v>
      </c>
      <c r="H390" s="2" t="s">
        <v>926</v>
      </c>
      <c r="I390" s="2"/>
      <c r="J390" s="2" t="s">
        <v>781</v>
      </c>
      <c r="K390" s="2">
        <v>0</v>
      </c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>
        <v>10.1</v>
      </c>
      <c r="AG390" s="2"/>
      <c r="AH390" s="2"/>
      <c r="AI390" s="2"/>
      <c r="AJ390" s="2"/>
      <c r="AK390" s="2"/>
      <c r="AL390" s="2"/>
      <c r="AM390" s="2"/>
      <c r="AN390" s="2">
        <v>1.03</v>
      </c>
      <c r="AO390" s="2">
        <v>6.6000000000000003E-2</v>
      </c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>
        <v>0.7</v>
      </c>
      <c r="BB390" s="2"/>
      <c r="BC390" s="2"/>
      <c r="BD390" s="2"/>
      <c r="BE390" s="2"/>
      <c r="BF390" s="2"/>
      <c r="BG390" s="2"/>
      <c r="BH390" s="2"/>
      <c r="BI390" s="2">
        <v>0.99</v>
      </c>
      <c r="BJ390" s="19">
        <v>7.0000000000000007E-2</v>
      </c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>
        <v>0</v>
      </c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>
        <v>0</v>
      </c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14" t="s">
        <v>81</v>
      </c>
      <c r="DM390" s="2" t="s">
        <v>81</v>
      </c>
      <c r="DN390" s="2">
        <f t="shared" si="49"/>
        <v>1.0274074074074075</v>
      </c>
      <c r="DO390" s="2">
        <f t="shared" si="50"/>
        <v>6.6259259259259268E-2</v>
      </c>
      <c r="DP390" s="2" t="s">
        <v>211</v>
      </c>
      <c r="DQ390" s="2" t="s">
        <v>3</v>
      </c>
      <c r="DR390" s="2">
        <f t="shared" si="51"/>
        <v>10.799999999999999</v>
      </c>
      <c r="DS390" s="4">
        <f t="shared" si="52"/>
        <v>1.0274074074074075</v>
      </c>
      <c r="DT390" s="15">
        <f t="shared" si="53"/>
        <v>110.96</v>
      </c>
      <c r="DU390" s="2"/>
      <c r="DV390" s="2">
        <f t="shared" si="54"/>
        <v>0</v>
      </c>
      <c r="DW390" s="2"/>
      <c r="DX390" s="2"/>
      <c r="DY390" s="2"/>
      <c r="DZ390" s="2" t="s">
        <v>3</v>
      </c>
      <c r="EA390" s="2" t="s">
        <v>206</v>
      </c>
      <c r="EB390" s="2" t="s">
        <v>176</v>
      </c>
      <c r="EC390" s="15">
        <v>266.57299999999998</v>
      </c>
      <c r="ED390" s="2" t="s">
        <v>176</v>
      </c>
      <c r="EE390" s="15">
        <v>252.24600000000001</v>
      </c>
      <c r="EF390" s="2" t="s">
        <v>176</v>
      </c>
      <c r="EG390" s="3">
        <v>3950.2955000000006</v>
      </c>
      <c r="EH390" s="2"/>
      <c r="EI390" s="3">
        <f>EG390-EE390</f>
        <v>3698.0495000000005</v>
      </c>
      <c r="EJ390" s="2"/>
      <c r="EK390" s="3">
        <f t="shared" si="81"/>
        <v>0</v>
      </c>
      <c r="EL390" s="3">
        <f>EC390+FD390</f>
        <v>266.57299999999998</v>
      </c>
      <c r="EM390" s="2" t="s">
        <v>206</v>
      </c>
      <c r="EN390" s="2" t="s">
        <v>176</v>
      </c>
      <c r="EO390" s="2" t="s">
        <v>176</v>
      </c>
      <c r="EP390" s="2" t="s">
        <v>176</v>
      </c>
      <c r="EQ390" s="2" t="s">
        <v>176</v>
      </c>
      <c r="ER390" s="15">
        <f>SUM(DR720:DR722)</f>
        <v>0</v>
      </c>
      <c r="ES390" s="4" t="e">
        <f t="shared" si="83"/>
        <v>#DIV/0!</v>
      </c>
      <c r="ET390" s="3">
        <f>SUM(DT720:DT722)</f>
        <v>0</v>
      </c>
      <c r="EU390" s="2">
        <f>COUNT(DT720:DT722)</f>
        <v>0</v>
      </c>
      <c r="EV390" s="2" t="s">
        <v>176</v>
      </c>
      <c r="EW390" s="2" t="s">
        <v>176</v>
      </c>
      <c r="EX390" s="2" t="s">
        <v>176</v>
      </c>
      <c r="EY390" s="2" t="s">
        <v>176</v>
      </c>
      <c r="EZ390" s="2" t="s">
        <v>176</v>
      </c>
      <c r="FA390" s="2" t="s">
        <v>176</v>
      </c>
      <c r="FB390" s="2" t="s">
        <v>176</v>
      </c>
      <c r="FC390" s="2" t="s">
        <v>176</v>
      </c>
      <c r="FD390" s="3">
        <f t="shared" si="77"/>
        <v>0</v>
      </c>
      <c r="FE390" s="2" t="s">
        <v>176</v>
      </c>
      <c r="FF390" s="2" t="s">
        <v>176</v>
      </c>
      <c r="FG390" s="2" t="s">
        <v>176</v>
      </c>
      <c r="FH390" s="2" t="s">
        <v>176</v>
      </c>
      <c r="FI390" s="2" t="s">
        <v>176</v>
      </c>
      <c r="FJ390" s="2" t="s">
        <v>176</v>
      </c>
      <c r="FK390" s="2" t="s">
        <v>176</v>
      </c>
      <c r="FL390" s="2" t="s">
        <v>176</v>
      </c>
      <c r="FM390" s="2" t="s">
        <v>176</v>
      </c>
      <c r="FN390" s="2" t="s">
        <v>176</v>
      </c>
      <c r="FO390" s="2" t="s">
        <v>176</v>
      </c>
      <c r="FP390" s="2" t="s">
        <v>206</v>
      </c>
      <c r="FQ390" s="2" t="s">
        <v>3</v>
      </c>
      <c r="FR390" s="2" t="s">
        <v>37</v>
      </c>
      <c r="FS390" s="2" t="s">
        <v>383</v>
      </c>
      <c r="FT390" s="2" t="s">
        <v>383</v>
      </c>
      <c r="FU390" s="2"/>
      <c r="FV390" s="2" t="s">
        <v>3</v>
      </c>
    </row>
    <row r="391" spans="1:178" ht="15.75" customHeight="1" x14ac:dyDescent="0.2">
      <c r="A391" s="12" t="s">
        <v>74</v>
      </c>
      <c r="B391" s="2" t="s">
        <v>864</v>
      </c>
      <c r="C391" s="13" t="s">
        <v>935</v>
      </c>
      <c r="D391" s="2" t="s">
        <v>99</v>
      </c>
      <c r="E391" s="2"/>
      <c r="F391" s="2"/>
      <c r="G391" s="2"/>
      <c r="H391" s="2" t="s">
        <v>936</v>
      </c>
      <c r="I391" s="2"/>
      <c r="J391" s="2"/>
      <c r="K391" s="2">
        <v>59.805</v>
      </c>
      <c r="L391" s="2"/>
      <c r="M391" s="2"/>
      <c r="N391" s="2"/>
      <c r="O391" s="2"/>
      <c r="P391" s="2"/>
      <c r="Q391" s="2"/>
      <c r="R391" s="2"/>
      <c r="S391" s="2">
        <v>0.68</v>
      </c>
      <c r="T391" s="2">
        <v>0.24</v>
      </c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>
        <f>20.918+33.251</f>
        <v>54.168999999999997</v>
      </c>
      <c r="AG391" s="2"/>
      <c r="AH391" s="2"/>
      <c r="AI391" s="2"/>
      <c r="AJ391" s="2"/>
      <c r="AK391" s="2"/>
      <c r="AL391" s="2"/>
      <c r="AM391" s="2"/>
      <c r="AN391" s="4">
        <f>(0.67*20.918+0.6*33.251)/AF391</f>
        <v>0.62703132788126048</v>
      </c>
      <c r="AO391" s="4">
        <f>(0.19*20.918+0.21*33.251)/AF391</f>
        <v>0.20227676346249701</v>
      </c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15">
        <f>19.929+182.621</f>
        <v>202.55</v>
      </c>
      <c r="BB391" s="2"/>
      <c r="BC391" s="2"/>
      <c r="BD391" s="2"/>
      <c r="BE391" s="2"/>
      <c r="BF391" s="2"/>
      <c r="BG391" s="2"/>
      <c r="BH391" s="2"/>
      <c r="BI391" s="4">
        <f>(0.65*19.929+0.58*182.621)/BA391</f>
        <v>0.58688733646013325</v>
      </c>
      <c r="BJ391" s="4">
        <f>(0.19*19.929+0.2*182.621)/BA391</f>
        <v>0.19901609479140953</v>
      </c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>
        <v>0</v>
      </c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>
        <v>68.132000000000005</v>
      </c>
      <c r="CR391" s="2"/>
      <c r="CS391" s="2"/>
      <c r="CT391" s="2"/>
      <c r="CU391" s="2"/>
      <c r="CV391" s="2"/>
      <c r="CW391" s="2"/>
      <c r="CX391" s="2"/>
      <c r="CY391" s="2">
        <v>0.66</v>
      </c>
      <c r="CZ391" s="2">
        <v>0.26</v>
      </c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14" t="s">
        <v>81</v>
      </c>
      <c r="DM391" s="2" t="s">
        <v>81</v>
      </c>
      <c r="DN391" s="2">
        <f t="shared" si="49"/>
        <v>0.61135045051876002</v>
      </c>
      <c r="DO391" s="2">
        <f t="shared" si="50"/>
        <v>0.20731773893922734</v>
      </c>
      <c r="DP391" s="2" t="s">
        <v>723</v>
      </c>
      <c r="DQ391" s="2" t="s">
        <v>3</v>
      </c>
      <c r="DR391" s="15">
        <f t="shared" si="51"/>
        <v>316.524</v>
      </c>
      <c r="DS391" s="4">
        <f t="shared" si="52"/>
        <v>0.61135045051876002</v>
      </c>
      <c r="DT391" s="18">
        <f t="shared" si="53"/>
        <v>1935.0708999999999</v>
      </c>
      <c r="DU391" s="2"/>
      <c r="DV391" s="4">
        <f t="shared" si="54"/>
        <v>68.132000000000005</v>
      </c>
      <c r="DW391" s="2">
        <f t="shared" ref="DW391:DW392" si="84">(BV391*CD391+CQ391*CY391)/DV391</f>
        <v>0.66</v>
      </c>
      <c r="DX391" s="15">
        <f t="shared" ref="DX391:DX392" si="85">1000*DV391*DW391/100</f>
        <v>449.6712</v>
      </c>
      <c r="DY391" s="2"/>
      <c r="DZ391" s="2" t="s">
        <v>3</v>
      </c>
      <c r="EA391" s="2" t="s">
        <v>864</v>
      </c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 t="s">
        <v>864</v>
      </c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 t="s">
        <v>864</v>
      </c>
      <c r="FQ391" s="2" t="s">
        <v>3</v>
      </c>
      <c r="FR391" s="2" t="s">
        <v>37</v>
      </c>
      <c r="FS391" s="2" t="s">
        <v>373</v>
      </c>
      <c r="FT391" s="2" t="s">
        <v>373</v>
      </c>
      <c r="FU391" s="2"/>
      <c r="FV391" s="2" t="s">
        <v>3</v>
      </c>
    </row>
    <row r="392" spans="1:178" ht="15.75" customHeight="1" x14ac:dyDescent="0.2">
      <c r="A392" s="14" t="s">
        <v>96</v>
      </c>
      <c r="B392" s="2" t="s">
        <v>85</v>
      </c>
      <c r="C392" s="16" t="s">
        <v>937</v>
      </c>
      <c r="D392" s="2" t="s">
        <v>109</v>
      </c>
      <c r="E392" s="2"/>
      <c r="F392" s="2"/>
      <c r="G392" s="2"/>
      <c r="H392" s="2" t="s">
        <v>938</v>
      </c>
      <c r="I392" s="2"/>
      <c r="J392" s="2"/>
      <c r="K392" s="2">
        <v>78.11</v>
      </c>
      <c r="L392" s="2">
        <v>0.13</v>
      </c>
      <c r="M392" s="4">
        <f>(0.92-U392-V392)/2</f>
        <v>9.3436418330773208E-2</v>
      </c>
      <c r="N392" s="2"/>
      <c r="O392" s="2"/>
      <c r="P392" s="2"/>
      <c r="Q392" s="2"/>
      <c r="R392" s="2"/>
      <c r="S392" s="2">
        <v>0.33</v>
      </c>
      <c r="T392" s="2">
        <v>0.02</v>
      </c>
      <c r="U392" s="4">
        <v>0.20761200716845879</v>
      </c>
      <c r="V392" s="4">
        <v>0.52551515616999489</v>
      </c>
      <c r="W392" s="4">
        <f>(0.92-U392-V392)/2</f>
        <v>9.3436418330773208E-2</v>
      </c>
      <c r="X392" s="4"/>
      <c r="Y392" s="4"/>
      <c r="Z392" s="15">
        <f>((0*10.04+10.11*1.05+0*38.12+11.86*28.9)/(10.04+1.05+38.12+28.9))*(2*52/(2*52+3*16.001))</f>
        <v>3.0953061031440865</v>
      </c>
      <c r="AA392" s="2"/>
      <c r="AB392" s="2"/>
      <c r="AC392" s="2"/>
      <c r="AD392" s="2"/>
      <c r="AE392" s="2"/>
      <c r="AF392" s="2">
        <v>94.09</v>
      </c>
      <c r="AG392" s="2">
        <v>0.15</v>
      </c>
      <c r="AH392" s="4">
        <f>(0.98-AP392-AQ392)/2</f>
        <v>0.12343641833077312</v>
      </c>
      <c r="AI392" s="2"/>
      <c r="AJ392" s="2"/>
      <c r="AK392" s="2"/>
      <c r="AL392" s="2"/>
      <c r="AM392" s="2"/>
      <c r="AN392" s="2">
        <v>0.37</v>
      </c>
      <c r="AO392" s="2">
        <v>0.02</v>
      </c>
      <c r="AP392" s="4">
        <v>0.20761200716845879</v>
      </c>
      <c r="AQ392" s="4">
        <v>0.52551515616999489</v>
      </c>
      <c r="AR392" s="4">
        <f>(0.98-AP392-AQ392)/2</f>
        <v>0.12343641833077312</v>
      </c>
      <c r="AS392" s="4"/>
      <c r="AT392" s="4"/>
      <c r="AU392" s="15">
        <f>((0*10.04+10.11*1.05+0*38.12+11.86*28.9)/(10.04+1.05+38.12+28.9))*(2*52/(2*52+3*16.001))</f>
        <v>3.0953061031440865</v>
      </c>
      <c r="AV392" s="2"/>
      <c r="AW392" s="2"/>
      <c r="AX392" s="2"/>
      <c r="AY392" s="2"/>
      <c r="AZ392" s="2"/>
      <c r="BA392" s="2">
        <f>6.3+40.05</f>
        <v>46.349999999999994</v>
      </c>
      <c r="BB392" s="4">
        <f>(0.2*6.3+0.12*40.05)/(6.3+40.05)</f>
        <v>0.13087378640776698</v>
      </c>
      <c r="BC392" s="4">
        <f>(0.97-BK392-BL392)/2</f>
        <v>0.11843641833077312</v>
      </c>
      <c r="BD392" s="2"/>
      <c r="BE392" s="2"/>
      <c r="BF392" s="2"/>
      <c r="BG392" s="2"/>
      <c r="BH392" s="2"/>
      <c r="BI392" s="4">
        <f>(0.41*6.3+0.4*40.05)/(6.3+40.05)</f>
        <v>0.4013592233009709</v>
      </c>
      <c r="BJ392" s="4">
        <f>(0.02*6.3+0.02*40.05)/(6.3+40.05)</f>
        <v>0.02</v>
      </c>
      <c r="BK392" s="4">
        <v>0.20761200716845879</v>
      </c>
      <c r="BL392" s="4">
        <v>0.52551515616999489</v>
      </c>
      <c r="BM392" s="4">
        <f>(0.97-BK392-BL392)/2</f>
        <v>0.11843641833077312</v>
      </c>
      <c r="BN392" s="4"/>
      <c r="BO392" s="4"/>
      <c r="BP392" s="15">
        <f>((0*6.3+10.52*40.05)/(6.3+40.05))*(2*52/(2*52+3*16.001))</f>
        <v>6.2194173607585297</v>
      </c>
      <c r="BQ392" s="2"/>
      <c r="BR392" s="2"/>
      <c r="BS392" s="2"/>
      <c r="BT392" s="2"/>
      <c r="BU392" s="2"/>
      <c r="BV392" s="2">
        <v>54.01</v>
      </c>
      <c r="BW392" s="4">
        <v>0.10934456582114423</v>
      </c>
      <c r="BX392" s="4">
        <f>(0.88-CF392-CG392)/2</f>
        <v>7.343641833077319E-2</v>
      </c>
      <c r="BY392" s="2"/>
      <c r="BZ392" s="2"/>
      <c r="CA392" s="2"/>
      <c r="CB392" s="2"/>
      <c r="CC392" s="2"/>
      <c r="CD392" s="4">
        <v>0.29862247731901498</v>
      </c>
      <c r="CE392" s="4">
        <v>1.9879651916311795E-2</v>
      </c>
      <c r="CF392" s="4">
        <v>0.20761200716845879</v>
      </c>
      <c r="CG392" s="4">
        <v>0.52551515616999489</v>
      </c>
      <c r="CH392" s="4">
        <f>(0.88-CF392-CG392)/2</f>
        <v>7.343641833077319E-2</v>
      </c>
      <c r="CI392" s="4"/>
      <c r="CJ392" s="4"/>
      <c r="CK392" s="15">
        <f>((0*0.32+0*27.44+13.75*25.36+13.52*0.77)/(0.32+27.44+25.36+0.77))*(2*52/(2*52+3*16.001))</f>
        <v>4.5593294934614361</v>
      </c>
      <c r="CL392" s="2"/>
      <c r="CM392" s="2"/>
      <c r="CN392" s="2"/>
      <c r="CO392" s="2"/>
      <c r="CP392" s="2"/>
      <c r="CQ392" s="2">
        <v>30.45</v>
      </c>
      <c r="CR392" s="2">
        <v>0.13</v>
      </c>
      <c r="CS392" s="4">
        <f>(0.9-DA392-DB392)/2</f>
        <v>8.3436418330773199E-2</v>
      </c>
      <c r="CT392" s="2"/>
      <c r="CU392" s="2"/>
      <c r="CV392" s="2"/>
      <c r="CW392" s="2"/>
      <c r="CX392" s="2"/>
      <c r="CY392" s="2">
        <v>0.33</v>
      </c>
      <c r="CZ392" s="2">
        <v>0.02</v>
      </c>
      <c r="DA392" s="4">
        <v>0.20761200716845879</v>
      </c>
      <c r="DB392" s="4">
        <v>0.52551515616999489</v>
      </c>
      <c r="DC392" s="4">
        <f>(0.9-DA392-DB392)/2</f>
        <v>8.3436418330773199E-2</v>
      </c>
      <c r="DD392" s="4"/>
      <c r="DE392" s="4"/>
      <c r="DF392" s="2"/>
      <c r="DG392" s="2"/>
      <c r="DH392" s="2"/>
      <c r="DI392" s="2"/>
      <c r="DJ392" s="2"/>
      <c r="DK392" s="2"/>
      <c r="DL392" s="14" t="s">
        <v>81</v>
      </c>
      <c r="DM392" s="2" t="s">
        <v>81</v>
      </c>
      <c r="DN392" s="2">
        <f t="shared" si="49"/>
        <v>0.36235460992907803</v>
      </c>
      <c r="DO392" s="2">
        <f t="shared" si="50"/>
        <v>0.02</v>
      </c>
      <c r="DP392" s="2" t="s">
        <v>95</v>
      </c>
      <c r="DQ392" s="2" t="s">
        <v>3</v>
      </c>
      <c r="DR392" s="15">
        <f t="shared" si="51"/>
        <v>218.54999999999998</v>
      </c>
      <c r="DS392" s="4">
        <f t="shared" si="52"/>
        <v>0.36235460992907803</v>
      </c>
      <c r="DT392" s="15">
        <f t="shared" si="53"/>
        <v>791.92599999999993</v>
      </c>
      <c r="DU392" s="2"/>
      <c r="DV392" s="2">
        <f t="shared" si="54"/>
        <v>84.46</v>
      </c>
      <c r="DW392" s="4">
        <f t="shared" si="84"/>
        <v>0.30993488041676537</v>
      </c>
      <c r="DX392" s="15">
        <f t="shared" si="85"/>
        <v>261.77100000000002</v>
      </c>
      <c r="DY392" s="2"/>
      <c r="DZ392" s="2" t="s">
        <v>3</v>
      </c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 t="s">
        <v>3</v>
      </c>
      <c r="FR392" s="2" t="s">
        <v>89</v>
      </c>
      <c r="FS392" s="2" t="s">
        <v>90</v>
      </c>
      <c r="FT392" s="2" t="s">
        <v>91</v>
      </c>
      <c r="FU392" s="2" t="s">
        <v>226</v>
      </c>
      <c r="FV392" s="2" t="s">
        <v>3</v>
      </c>
    </row>
    <row r="393" spans="1:178" ht="15.75" customHeight="1" x14ac:dyDescent="0.2">
      <c r="A393" s="12" t="s">
        <v>74</v>
      </c>
      <c r="B393" s="2" t="s">
        <v>75</v>
      </c>
      <c r="C393" s="13" t="s">
        <v>939</v>
      </c>
      <c r="D393" s="2" t="s">
        <v>139</v>
      </c>
      <c r="E393" s="2"/>
      <c r="F393" s="2"/>
      <c r="G393" s="2" t="s">
        <v>78</v>
      </c>
      <c r="H393" s="2" t="s">
        <v>940</v>
      </c>
      <c r="I393" s="2"/>
      <c r="J393" s="2" t="s">
        <v>941</v>
      </c>
      <c r="K393" s="2">
        <v>0</v>
      </c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>
        <v>0</v>
      </c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>
        <v>144.69999999999999</v>
      </c>
      <c r="BB393" s="2"/>
      <c r="BC393" s="2"/>
      <c r="BD393" s="2"/>
      <c r="BE393" s="2"/>
      <c r="BF393" s="2"/>
      <c r="BG393" s="2"/>
      <c r="BH393" s="2"/>
      <c r="BI393" s="2">
        <v>1.1000000000000001</v>
      </c>
      <c r="BJ393" s="2">
        <v>0.11</v>
      </c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>
        <v>0</v>
      </c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>
        <v>0</v>
      </c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14" t="s">
        <v>100</v>
      </c>
      <c r="DM393" s="2" t="s">
        <v>100</v>
      </c>
      <c r="DN393" s="2">
        <f t="shared" si="49"/>
        <v>1.1000000000000001</v>
      </c>
      <c r="DO393" s="2">
        <f t="shared" si="50"/>
        <v>0.11</v>
      </c>
      <c r="DP393" s="2" t="s">
        <v>942</v>
      </c>
      <c r="DQ393" s="2" t="s">
        <v>3</v>
      </c>
      <c r="DR393" s="2">
        <f t="shared" si="51"/>
        <v>144.69999999999999</v>
      </c>
      <c r="DS393" s="4">
        <f t="shared" si="52"/>
        <v>1.1000000000000001</v>
      </c>
      <c r="DT393" s="18">
        <f t="shared" si="53"/>
        <v>1591.7</v>
      </c>
      <c r="DU393" s="2"/>
      <c r="DV393" s="2">
        <f t="shared" si="54"/>
        <v>0</v>
      </c>
      <c r="DW393" s="2"/>
      <c r="DX393" s="2"/>
      <c r="DY393" s="2"/>
      <c r="DZ393" s="2" t="s">
        <v>3</v>
      </c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 t="s">
        <v>3</v>
      </c>
      <c r="FR393" s="2" t="s">
        <v>37</v>
      </c>
      <c r="FS393" s="2" t="s">
        <v>83</v>
      </c>
      <c r="FT393" s="2" t="s">
        <v>83</v>
      </c>
      <c r="FU393" s="2"/>
      <c r="FV393" s="2" t="s">
        <v>3</v>
      </c>
    </row>
    <row r="394" spans="1:178" ht="15.75" customHeight="1" x14ac:dyDescent="0.2">
      <c r="A394" s="14" t="s">
        <v>96</v>
      </c>
      <c r="B394" s="2" t="s">
        <v>97</v>
      </c>
      <c r="C394" s="16" t="s">
        <v>943</v>
      </c>
      <c r="D394" s="2" t="s">
        <v>99</v>
      </c>
      <c r="E394" s="2"/>
      <c r="F394" s="2"/>
      <c r="G394" s="2"/>
      <c r="H394" s="2" t="s">
        <v>79</v>
      </c>
      <c r="I394" s="2"/>
      <c r="J394" s="2"/>
      <c r="K394" s="2">
        <v>0</v>
      </c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>
        <v>3.1469999999999998</v>
      </c>
      <c r="AG394" s="2">
        <v>0.17</v>
      </c>
      <c r="AH394" s="2">
        <v>0.20200000000000001</v>
      </c>
      <c r="AI394" s="2"/>
      <c r="AJ394" s="2"/>
      <c r="AK394" s="2"/>
      <c r="AL394" s="2"/>
      <c r="AM394" s="2"/>
      <c r="AN394" s="2">
        <v>0.13</v>
      </c>
      <c r="AO394" s="2"/>
      <c r="AP394" s="2">
        <f>(4.477-0.202)*0.4</f>
        <v>1.7100000000000002</v>
      </c>
      <c r="AQ394" s="4">
        <f>(4.477-0.202)*0.6</f>
        <v>2.5649999999999999</v>
      </c>
      <c r="AR394" s="2"/>
      <c r="AS394" s="2"/>
      <c r="AT394" s="2"/>
      <c r="AU394" s="2"/>
      <c r="AV394" s="2"/>
      <c r="AW394" s="2"/>
      <c r="AX394" s="2"/>
      <c r="AY394" s="2"/>
      <c r="AZ394" s="2"/>
      <c r="BA394" s="2">
        <v>0</v>
      </c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>
        <v>0</v>
      </c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>
        <v>0</v>
      </c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14" t="s">
        <v>81</v>
      </c>
      <c r="DM394" s="2"/>
      <c r="DN394" s="2">
        <f t="shared" si="49"/>
        <v>0.13</v>
      </c>
      <c r="DO394" s="2">
        <f t="shared" si="50"/>
        <v>0</v>
      </c>
      <c r="DP394" s="2" t="s">
        <v>101</v>
      </c>
      <c r="DQ394" s="2" t="s">
        <v>3</v>
      </c>
      <c r="DR394" s="2">
        <f t="shared" si="51"/>
        <v>3.1469999999999998</v>
      </c>
      <c r="DS394" s="2">
        <f t="shared" si="52"/>
        <v>0.13</v>
      </c>
      <c r="DT394" s="15">
        <f t="shared" si="53"/>
        <v>4.0911</v>
      </c>
      <c r="DU394" s="2"/>
      <c r="DV394" s="2">
        <f t="shared" si="54"/>
        <v>0</v>
      </c>
      <c r="DW394" s="2"/>
      <c r="DX394" s="2"/>
      <c r="DY394" s="2"/>
      <c r="DZ394" s="2" t="s">
        <v>3</v>
      </c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 t="s">
        <v>3</v>
      </c>
      <c r="FR394" s="2" t="s">
        <v>89</v>
      </c>
      <c r="FS394" s="2" t="s">
        <v>636</v>
      </c>
      <c r="FT394" s="2" t="s">
        <v>665</v>
      </c>
      <c r="FU394" s="2"/>
      <c r="FV394" s="2" t="s">
        <v>3</v>
      </c>
    </row>
    <row r="395" spans="1:178" ht="15.75" customHeight="1" x14ac:dyDescent="0.2">
      <c r="A395" s="12" t="s">
        <v>74</v>
      </c>
      <c r="B395" s="2" t="s">
        <v>198</v>
      </c>
      <c r="C395" s="13" t="s">
        <v>944</v>
      </c>
      <c r="D395" s="2" t="s">
        <v>120</v>
      </c>
      <c r="E395" s="2"/>
      <c r="F395" s="2"/>
      <c r="G395" s="2"/>
      <c r="H395" s="2" t="s">
        <v>945</v>
      </c>
      <c r="I395" s="2"/>
      <c r="J395" s="2" t="s">
        <v>141</v>
      </c>
      <c r="K395" s="4">
        <v>85.435869999999994</v>
      </c>
      <c r="L395" s="2"/>
      <c r="M395" s="2"/>
      <c r="N395" s="2"/>
      <c r="O395" s="2"/>
      <c r="P395" s="2"/>
      <c r="Q395" s="2"/>
      <c r="R395" s="2"/>
      <c r="S395" s="2">
        <v>1.51</v>
      </c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4">
        <v>182.0712</v>
      </c>
      <c r="AG395" s="2"/>
      <c r="AH395" s="2"/>
      <c r="AI395" s="2"/>
      <c r="AJ395" s="2"/>
      <c r="AK395" s="2"/>
      <c r="AL395" s="2"/>
      <c r="AM395" s="2"/>
      <c r="AN395" s="2">
        <v>1.35</v>
      </c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15">
        <f>83.104+89.78</f>
        <v>172.88400000000001</v>
      </c>
      <c r="BB395" s="2"/>
      <c r="BC395" s="2"/>
      <c r="BD395" s="2"/>
      <c r="BE395" s="2"/>
      <c r="BF395" s="2"/>
      <c r="BG395" s="2"/>
      <c r="BH395" s="2"/>
      <c r="BI395" s="4">
        <f>(1.26*83.104+0.8*89.78)/BA395</f>
        <v>1.0211184377964413</v>
      </c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>
        <v>0</v>
      </c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>
        <v>0</v>
      </c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14" t="s">
        <v>81</v>
      </c>
      <c r="DM395" s="2"/>
      <c r="DN395" s="2">
        <f t="shared" si="49"/>
        <v>1.2519312067340511</v>
      </c>
      <c r="DO395" s="2">
        <f t="shared" si="50"/>
        <v>0</v>
      </c>
      <c r="DP395" s="2" t="s">
        <v>302</v>
      </c>
      <c r="DQ395" s="2" t="s">
        <v>3</v>
      </c>
      <c r="DR395" s="15">
        <f t="shared" si="51"/>
        <v>440.39107000000001</v>
      </c>
      <c r="DS395" s="4">
        <f t="shared" si="52"/>
        <v>1.2519312067340511</v>
      </c>
      <c r="DT395" s="18">
        <f t="shared" si="53"/>
        <v>5513.3932369999993</v>
      </c>
      <c r="DU395" s="2"/>
      <c r="DV395" s="2">
        <f t="shared" si="54"/>
        <v>0</v>
      </c>
      <c r="DW395" s="2"/>
      <c r="DX395" s="2"/>
      <c r="DY395" s="2"/>
      <c r="DZ395" s="2" t="s">
        <v>3</v>
      </c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 t="s">
        <v>3</v>
      </c>
      <c r="FR395" s="2" t="s">
        <v>37</v>
      </c>
      <c r="FS395" s="2" t="s">
        <v>235</v>
      </c>
      <c r="FT395" s="2"/>
      <c r="FU395" s="2"/>
      <c r="FV395" s="2" t="s">
        <v>3</v>
      </c>
    </row>
    <row r="396" spans="1:178" ht="15.75" customHeight="1" x14ac:dyDescent="0.2">
      <c r="A396" s="12" t="s">
        <v>74</v>
      </c>
      <c r="B396" s="2" t="s">
        <v>198</v>
      </c>
      <c r="C396" s="13" t="s">
        <v>946</v>
      </c>
      <c r="D396" s="2" t="s">
        <v>109</v>
      </c>
      <c r="E396" s="2"/>
      <c r="F396" s="2"/>
      <c r="G396" s="2"/>
      <c r="H396" s="2" t="s">
        <v>442</v>
      </c>
      <c r="I396" s="2"/>
      <c r="J396" s="2" t="s">
        <v>242</v>
      </c>
      <c r="K396" s="2">
        <f>0.43+20.57+4.92+14.15</f>
        <v>40.07</v>
      </c>
      <c r="L396" s="2"/>
      <c r="M396" s="2"/>
      <c r="N396" s="2"/>
      <c r="O396" s="2"/>
      <c r="P396" s="2"/>
      <c r="Q396" s="2"/>
      <c r="R396" s="2"/>
      <c r="S396" s="4">
        <f>(1.45*0.43+1.42*20.57+1.43*4.92+1.41*14.15)/K396</f>
        <v>1.418018467681557</v>
      </c>
      <c r="T396" s="4">
        <f>(0.14*0.43+0.14*20.57+0.14*4.92+0.14*14.15)/K396</f>
        <v>0.14000000000000001</v>
      </c>
      <c r="U396" s="2"/>
      <c r="V396" s="2"/>
      <c r="W396" s="2"/>
      <c r="X396" s="2"/>
      <c r="Y396" s="2"/>
      <c r="Z396" s="2"/>
      <c r="AA396" s="4">
        <f>(38.45*0.43+41.96*20.57+38.71*4.92+43.93*14.15)/K396</f>
        <v>42.218951834289996</v>
      </c>
      <c r="AB396" s="4">
        <f>(14.1*0.43+10.24*20.57+12.48*4.92+8.86*14.15)/K396</f>
        <v>10.06913900673821</v>
      </c>
      <c r="AC396" s="2"/>
      <c r="AD396" s="2"/>
      <c r="AE396" s="2"/>
      <c r="AF396" s="2">
        <f>10.2+11.8+24.57+11.1</f>
        <v>57.67</v>
      </c>
      <c r="AG396" s="2"/>
      <c r="AH396" s="2"/>
      <c r="AI396" s="2"/>
      <c r="AJ396" s="2"/>
      <c r="AK396" s="2"/>
      <c r="AL396" s="2"/>
      <c r="AM396" s="2"/>
      <c r="AN396" s="4">
        <f>(1.4*10.2+1.41*11.8+1.42*24.57+1.42*11.1)/AF396</f>
        <v>1.4144165077163169</v>
      </c>
      <c r="AO396" s="4">
        <f>(0.1*10.2+0.12*11.8+0.07*24.57+0.14*11.1)/AF396</f>
        <v>9.9009883821744402E-2</v>
      </c>
      <c r="AP396" s="2"/>
      <c r="AQ396" s="2"/>
      <c r="AR396" s="2"/>
      <c r="AS396" s="2"/>
      <c r="AT396" s="2"/>
      <c r="AU396" s="2"/>
      <c r="AV396" s="4">
        <f>(36.98*10.2+40.75*11.8+36.16*24.57+43.37*11.1)/AF396</f>
        <v>38.631943818276397</v>
      </c>
      <c r="AW396" s="4">
        <f>(14.93*10.2+11.74*11.8+13.71*24.57+8.66*11.1)/AF396</f>
        <v>12.550697069533554</v>
      </c>
      <c r="AX396" s="2"/>
      <c r="AY396" s="2"/>
      <c r="AZ396" s="2"/>
      <c r="BA396" s="2">
        <f>2.71+5.55+21.26+4.04</f>
        <v>33.56</v>
      </c>
      <c r="BB396" s="2"/>
      <c r="BC396" s="2"/>
      <c r="BD396" s="2"/>
      <c r="BE396" s="2"/>
      <c r="BF396" s="2"/>
      <c r="BG396" s="2"/>
      <c r="BH396" s="2"/>
      <c r="BI396" s="4">
        <f>(1.39*2.71+1.42*5.55+1.37*21.26+1.38*4.04)/BA396</f>
        <v>1.3810876042908224</v>
      </c>
      <c r="BJ396" s="4">
        <f>(0.12*2.71+0.14*5.55+0.07*21.26+0.15*4.04)/BA396</f>
        <v>9.524433849821215E-2</v>
      </c>
      <c r="BK396" s="2"/>
      <c r="BL396" s="2"/>
      <c r="BM396" s="2"/>
      <c r="BN396" s="2"/>
      <c r="BO396" s="2"/>
      <c r="BP396" s="2"/>
      <c r="BQ396" s="4">
        <f>(40.65*2.71+32.86*5.55+32.86*21.26+43.71*4.04)/BA396</f>
        <v>34.795187723480332</v>
      </c>
      <c r="BR396" s="4">
        <f>(13.5*2.71+11.76*5.55+19.3*21.26+8.48*4.04)/BA396</f>
        <v>16.282187127532776</v>
      </c>
      <c r="BS396" s="2"/>
      <c r="BT396" s="2"/>
      <c r="BU396" s="2"/>
      <c r="BV396" s="2">
        <f>4.47+17.9</f>
        <v>22.369999999999997</v>
      </c>
      <c r="BW396" s="2"/>
      <c r="BX396" s="2"/>
      <c r="BY396" s="2"/>
      <c r="BZ396" s="2"/>
      <c r="CA396" s="2"/>
      <c r="CB396" s="2"/>
      <c r="CC396" s="2"/>
      <c r="CD396" s="4">
        <f>(1.39*4.47+1.38*17.9)/BV396</f>
        <v>1.3819982118909253</v>
      </c>
      <c r="CE396" s="4">
        <f>(0.14*4.47+1.4*17.9)/BV396</f>
        <v>1.1482253017434063</v>
      </c>
      <c r="CF396" s="2"/>
      <c r="CG396" s="2"/>
      <c r="CH396" s="2"/>
      <c r="CI396" s="2"/>
      <c r="CJ396" s="2"/>
      <c r="CK396" s="2"/>
      <c r="CL396" s="4">
        <f>(38.7*4.47+42.03*17.9)/BV396</f>
        <v>41.364595440321864</v>
      </c>
      <c r="CM396" s="4">
        <f>(12.48*4.47+10.18*17.9)/BV396</f>
        <v>10.639588734912829</v>
      </c>
      <c r="CN396" s="2"/>
      <c r="CO396" s="2"/>
      <c r="CP396" s="2"/>
      <c r="CQ396" s="2">
        <f>22.04+20.09</f>
        <v>42.129999999999995</v>
      </c>
      <c r="CR396" s="2"/>
      <c r="CS396" s="2"/>
      <c r="CT396" s="2"/>
      <c r="CU396" s="2"/>
      <c r="CV396" s="2"/>
      <c r="CW396" s="2"/>
      <c r="CX396" s="2"/>
      <c r="CY396" s="4">
        <f>(1.38*22.04+1.37*20.09)/CQ396</f>
        <v>1.3752314265369097</v>
      </c>
      <c r="CZ396" s="4">
        <f>(0.07*22.04+0.12*20.09)/CQ396</f>
        <v>9.3842867315452189E-2</v>
      </c>
      <c r="DA396" s="2"/>
      <c r="DB396" s="2"/>
      <c r="DC396" s="2"/>
      <c r="DD396" s="2"/>
      <c r="DE396" s="2"/>
      <c r="DF396" s="2"/>
      <c r="DG396" s="4">
        <f>(36.15*22.04+40.72*20.09)/CQ396</f>
        <v>38.329238072632329</v>
      </c>
      <c r="DH396" s="4">
        <f>(13.71*22.04+11.74*20.09)/CQ396</f>
        <v>12.770591027771188</v>
      </c>
      <c r="DI396" s="2"/>
      <c r="DJ396" s="2"/>
      <c r="DK396" s="2"/>
      <c r="DL396" s="14" t="s">
        <v>81</v>
      </c>
      <c r="DM396" s="2" t="s">
        <v>81</v>
      </c>
      <c r="DN396" s="2">
        <f t="shared" si="49"/>
        <v>1.4069969535415079</v>
      </c>
      <c r="DO396" s="2">
        <f t="shared" si="50"/>
        <v>0.11055674028941356</v>
      </c>
      <c r="DP396" s="2" t="s">
        <v>211</v>
      </c>
      <c r="DQ396" s="2" t="s">
        <v>3</v>
      </c>
      <c r="DR396" s="2">
        <f t="shared" si="51"/>
        <v>131.30000000000001</v>
      </c>
      <c r="DS396" s="4">
        <f t="shared" si="52"/>
        <v>1.4069969535415079</v>
      </c>
      <c r="DT396" s="18">
        <f t="shared" si="53"/>
        <v>1847.3869999999997</v>
      </c>
      <c r="DU396" s="2"/>
      <c r="DV396" s="2">
        <f t="shared" si="54"/>
        <v>64.5</v>
      </c>
      <c r="DW396" s="4">
        <f t="shared" ref="DW396:DW398" si="86">(BV396*CD396+CQ396*CY396)/DV396</f>
        <v>1.3775782945736432</v>
      </c>
      <c r="DX396" s="15">
        <f t="shared" ref="DX396:DX398" si="87">1000*DV396*DW396/100</f>
        <v>888.5379999999999</v>
      </c>
      <c r="DY396" s="2"/>
      <c r="DZ396" s="2" t="s">
        <v>3</v>
      </c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 t="s">
        <v>3</v>
      </c>
      <c r="FR396" s="2" t="s">
        <v>37</v>
      </c>
      <c r="FS396" s="2" t="s">
        <v>235</v>
      </c>
      <c r="FT396" s="2"/>
      <c r="FU396" s="2"/>
      <c r="FV396" s="2" t="s">
        <v>3</v>
      </c>
    </row>
    <row r="397" spans="1:178" ht="15.75" customHeight="1" x14ac:dyDescent="0.2">
      <c r="A397" s="12" t="s">
        <v>74</v>
      </c>
      <c r="B397" s="2" t="s">
        <v>198</v>
      </c>
      <c r="C397" s="13" t="s">
        <v>947</v>
      </c>
      <c r="D397" s="2" t="s">
        <v>109</v>
      </c>
      <c r="E397" s="2"/>
      <c r="F397" s="2"/>
      <c r="G397" s="2"/>
      <c r="H397" s="2" t="s">
        <v>442</v>
      </c>
      <c r="I397" s="2"/>
      <c r="J397" s="2" t="s">
        <v>111</v>
      </c>
      <c r="K397" s="2">
        <f>0.25+12.49+9.16+8.52</f>
        <v>30.419999999999998</v>
      </c>
      <c r="L397" s="2"/>
      <c r="M397" s="2"/>
      <c r="N397" s="2"/>
      <c r="O397" s="2"/>
      <c r="P397" s="2"/>
      <c r="Q397" s="2"/>
      <c r="R397" s="2"/>
      <c r="S397" s="4">
        <f>(1.79*0.25+1.69*12.49+1.7*9.16+1.72*8.52)/K397</f>
        <v>1.7022353714661407</v>
      </c>
      <c r="T397" s="4">
        <f>(0.03*0.25+0.04*12.49+0.04*9.16+0.06*8.52)/K397</f>
        <v>4.5519395134779754E-2</v>
      </c>
      <c r="U397" s="2"/>
      <c r="V397" s="2"/>
      <c r="W397" s="2"/>
      <c r="X397" s="2"/>
      <c r="Y397" s="2"/>
      <c r="Z397" s="2"/>
      <c r="AA397" s="4">
        <f>(14.8*0.25+14.51*12.49+13.51*9.16+22*8.52)/K397</f>
        <v>16.309056541748848</v>
      </c>
      <c r="AB397" s="4">
        <f>(37.69*0.25+36.97*12.49+39.83*9.16+31.25*8.52)/K397</f>
        <v>36.235062458908615</v>
      </c>
      <c r="AC397" s="2"/>
      <c r="AD397" s="2"/>
      <c r="AE397" s="2"/>
      <c r="AF397" s="2">
        <f>5.17+9.57+32.72+9.01</f>
        <v>56.47</v>
      </c>
      <c r="AG397" s="2"/>
      <c r="AH397" s="2"/>
      <c r="AI397" s="2"/>
      <c r="AJ397" s="2"/>
      <c r="AK397" s="2"/>
      <c r="AL397" s="2"/>
      <c r="AM397" s="2"/>
      <c r="AN397" s="4">
        <f>(1.76*5.17+1.64*9.57+1.76*32.72+1.78*9.01)/AF397</f>
        <v>1.742854613068886</v>
      </c>
      <c r="AO397" s="4">
        <f>(0.04*5.17+0.04*9.57+0.03*32.72+0.05*9.01)/AF397</f>
        <v>3.5801310430316986E-2</v>
      </c>
      <c r="AP397" s="2"/>
      <c r="AQ397" s="2"/>
      <c r="AR397" s="2"/>
      <c r="AS397" s="2"/>
      <c r="AT397" s="2"/>
      <c r="AU397" s="2"/>
      <c r="AV397" s="4">
        <f>(14.44*5.17+14.55*9.57+14.98*32.72+21.14*9.01)/AF397</f>
        <v>15.84054010979281</v>
      </c>
      <c r="AW397" s="4">
        <f>(37.41*5.17+36.97*9.57+37.8*32.72+32.16*9.01)/AF397</f>
        <v>36.723750664069414</v>
      </c>
      <c r="AX397" s="2"/>
      <c r="AY397" s="2"/>
      <c r="AZ397" s="2"/>
      <c r="BA397" s="2">
        <f>2.35+7.03+57.97+12.48</f>
        <v>79.83</v>
      </c>
      <c r="BB397" s="2"/>
      <c r="BC397" s="2"/>
      <c r="BD397" s="2"/>
      <c r="BE397" s="2"/>
      <c r="BF397" s="2"/>
      <c r="BG397" s="2"/>
      <c r="BH397" s="2"/>
      <c r="BI397" s="4">
        <f>(1.7*2.35+1.47*7.03+1.51*57.97+1.83*12.48)/BA397</f>
        <v>1.5620969560315672</v>
      </c>
      <c r="BJ397" s="4">
        <f>(0.03*2.35+0.04*7.03+0.04*57.97+0.04*12.48)/BA397</f>
        <v>3.9705624451960422E-2</v>
      </c>
      <c r="BK397" s="2"/>
      <c r="BL397" s="2"/>
      <c r="BM397" s="2"/>
      <c r="BN397" s="2"/>
      <c r="BO397" s="2"/>
      <c r="BP397" s="2"/>
      <c r="BQ397" s="4">
        <f>(14.47*2.35+14.14*7.03+14.96*57.97+17.48*12.48)/BA397</f>
        <v>15.267321808843795</v>
      </c>
      <c r="BR397" s="4">
        <f>(35.87*2.35+37.49*7.03+38.34*57.97+33.32*12.48)/BA397</f>
        <v>37.407648753601407</v>
      </c>
      <c r="BS397" s="2"/>
      <c r="BT397" s="2"/>
      <c r="BU397" s="2"/>
      <c r="BV397" s="2">
        <f>7.94+10.1</f>
        <v>18.04</v>
      </c>
      <c r="BW397" s="2"/>
      <c r="BX397" s="2"/>
      <c r="BY397" s="2"/>
      <c r="BZ397" s="2"/>
      <c r="CA397" s="2"/>
      <c r="CB397" s="2"/>
      <c r="CC397" s="2"/>
      <c r="CD397" s="4">
        <f>(1.67*7.94+1.67*10.1)/BV397</f>
        <v>1.67</v>
      </c>
      <c r="CE397" s="4">
        <f>(0.04*7.94+0.04*10.1)/BV397</f>
        <v>0.04</v>
      </c>
      <c r="CF397" s="2"/>
      <c r="CG397" s="2"/>
      <c r="CH397" s="2"/>
      <c r="CI397" s="2"/>
      <c r="CJ397" s="2"/>
      <c r="CK397" s="2"/>
      <c r="CL397" s="4">
        <f>(13.53*7.94+13.57*10.1)/BV397</f>
        <v>13.55239467849224</v>
      </c>
      <c r="CM397" s="4">
        <f>(39.74*7.94+36.96*10.1)/BV397</f>
        <v>38.183569844789361</v>
      </c>
      <c r="CN397" s="2"/>
      <c r="CO397" s="2"/>
      <c r="CP397" s="2"/>
      <c r="CQ397" s="2">
        <f>28.39+7.53</f>
        <v>35.92</v>
      </c>
      <c r="CR397" s="2"/>
      <c r="CS397" s="2"/>
      <c r="CT397" s="2"/>
      <c r="CU397" s="2"/>
      <c r="CV397" s="2"/>
      <c r="CW397" s="2"/>
      <c r="CX397" s="2"/>
      <c r="CY397" s="4">
        <f>(1.61*28.39+1.57*7.53)/CQ397</f>
        <v>1.6016146993318485</v>
      </c>
      <c r="CZ397" s="4">
        <f>(0.04*28.39+0.04*7.53)/CQ397</f>
        <v>3.9999999999999994E-2</v>
      </c>
      <c r="DA397" s="2"/>
      <c r="DB397" s="2"/>
      <c r="DC397" s="2"/>
      <c r="DD397" s="2"/>
      <c r="DE397" s="2"/>
      <c r="DF397" s="2"/>
      <c r="DG397" s="4">
        <f>(15*28.39+14.51*7.53)/CQ397</f>
        <v>14.897280066815146</v>
      </c>
      <c r="DH397" s="4">
        <f>(37.71*28.39+36.98*7.53)/CQ397</f>
        <v>37.556968262806237</v>
      </c>
      <c r="DI397" s="2"/>
      <c r="DJ397" s="2"/>
      <c r="DK397" s="2"/>
      <c r="DL397" s="14" t="s">
        <v>81</v>
      </c>
      <c r="DM397" s="2" t="s">
        <v>81</v>
      </c>
      <c r="DN397" s="2">
        <f t="shared" si="49"/>
        <v>1.6488915547024949</v>
      </c>
      <c r="DO397" s="2">
        <f t="shared" si="50"/>
        <v>3.9443977927063341E-2</v>
      </c>
      <c r="DP397" s="2" t="s">
        <v>211</v>
      </c>
      <c r="DQ397" s="2" t="s">
        <v>3</v>
      </c>
      <c r="DR397" s="15">
        <f t="shared" si="51"/>
        <v>166.72</v>
      </c>
      <c r="DS397" s="4">
        <f t="shared" si="52"/>
        <v>1.6488915547024949</v>
      </c>
      <c r="DT397" s="18">
        <f t="shared" si="53"/>
        <v>2749.0319999999997</v>
      </c>
      <c r="DU397" s="2"/>
      <c r="DV397" s="2">
        <f t="shared" si="54"/>
        <v>53.96</v>
      </c>
      <c r="DW397" s="4">
        <f t="shared" si="86"/>
        <v>1.6244773906597481</v>
      </c>
      <c r="DX397" s="15">
        <f t="shared" si="87"/>
        <v>876.56799999999998</v>
      </c>
      <c r="DY397" s="2"/>
      <c r="DZ397" s="2" t="s">
        <v>3</v>
      </c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 t="s">
        <v>3</v>
      </c>
      <c r="FR397" s="2" t="s">
        <v>37</v>
      </c>
      <c r="FS397" s="2" t="s">
        <v>106</v>
      </c>
      <c r="FT397" s="2"/>
      <c r="FU397" s="2"/>
      <c r="FV397" s="2" t="s">
        <v>3</v>
      </c>
    </row>
    <row r="398" spans="1:178" ht="15.75" customHeight="1" x14ac:dyDescent="0.2">
      <c r="A398" s="14" t="s">
        <v>96</v>
      </c>
      <c r="B398" s="2" t="s">
        <v>189</v>
      </c>
      <c r="C398" s="16" t="s">
        <v>948</v>
      </c>
      <c r="D398" s="2" t="s">
        <v>99</v>
      </c>
      <c r="E398" s="43">
        <v>47.6</v>
      </c>
      <c r="F398" s="43">
        <v>-92</v>
      </c>
      <c r="G398" s="2"/>
      <c r="H398" s="2" t="s">
        <v>949</v>
      </c>
      <c r="I398" s="2"/>
      <c r="J398" s="2"/>
      <c r="K398" s="2">
        <v>237.2</v>
      </c>
      <c r="L398" s="2">
        <v>0.27</v>
      </c>
      <c r="M398" s="2">
        <v>3.5000000000000003E-2</v>
      </c>
      <c r="N398" s="2">
        <v>0.97</v>
      </c>
      <c r="O398" s="2"/>
      <c r="P398" s="2"/>
      <c r="Q398" s="2"/>
      <c r="R398" s="2"/>
      <c r="S398" s="2">
        <v>0.08</v>
      </c>
      <c r="T398" s="2">
        <v>7.1999999999999998E-3</v>
      </c>
      <c r="U398" s="2">
        <v>6.9000000000000006E-2</v>
      </c>
      <c r="V398" s="2">
        <v>0.24099999999999999</v>
      </c>
      <c r="W398" s="2"/>
      <c r="X398" s="2"/>
      <c r="Y398" s="2"/>
      <c r="Z398" s="2"/>
      <c r="AA398" s="2"/>
      <c r="AB398" s="2"/>
      <c r="AC398" s="2"/>
      <c r="AD398" s="2"/>
      <c r="AE398" s="2"/>
      <c r="AF398" s="2">
        <v>412.2</v>
      </c>
      <c r="AG398" s="2">
        <v>0.23</v>
      </c>
      <c r="AH398" s="2">
        <v>3.2000000000000001E-2</v>
      </c>
      <c r="AI398" s="2">
        <v>0.87</v>
      </c>
      <c r="AJ398" s="2"/>
      <c r="AK398" s="2"/>
      <c r="AL398" s="2"/>
      <c r="AM398" s="2"/>
      <c r="AN398" s="2">
        <v>7.0000000000000007E-2</v>
      </c>
      <c r="AO398" s="2">
        <v>7.0000000000000001E-3</v>
      </c>
      <c r="AP398" s="2">
        <v>6.3E-2</v>
      </c>
      <c r="AQ398" s="2">
        <v>0.21</v>
      </c>
      <c r="AR398" s="2"/>
      <c r="AS398" s="2"/>
      <c r="AT398" s="2"/>
      <c r="AU398" s="2"/>
      <c r="AV398" s="2"/>
      <c r="AW398" s="2"/>
      <c r="AX398" s="2"/>
      <c r="AY398" s="2"/>
      <c r="AZ398" s="2"/>
      <c r="BA398" s="2">
        <v>508.9</v>
      </c>
      <c r="BB398" s="2">
        <v>0.24</v>
      </c>
      <c r="BC398" s="2">
        <v>3.6999999999999998E-2</v>
      </c>
      <c r="BD398" s="2">
        <v>0.93</v>
      </c>
      <c r="BE398" s="2"/>
      <c r="BF398" s="2"/>
      <c r="BG398" s="2"/>
      <c r="BH398" s="2"/>
      <c r="BI398" s="2">
        <v>7.0000000000000007E-2</v>
      </c>
      <c r="BJ398" s="2">
        <v>6.6E-3</v>
      </c>
      <c r="BK398" s="2">
        <v>7.1999999999999995E-2</v>
      </c>
      <c r="BL398" s="2">
        <v>0.23400000000000001</v>
      </c>
      <c r="BM398" s="2"/>
      <c r="BN398" s="2"/>
      <c r="BO398" s="2"/>
      <c r="BP398" s="2"/>
      <c r="BQ398" s="2"/>
      <c r="BR398" s="2"/>
      <c r="BS398" s="2"/>
      <c r="BT398" s="2"/>
      <c r="BU398" s="2"/>
      <c r="BV398" s="2">
        <v>121.849</v>
      </c>
      <c r="BW398" s="2">
        <v>0.308</v>
      </c>
      <c r="BX398" s="2">
        <v>4.1000000000000002E-2</v>
      </c>
      <c r="BY398" s="2">
        <v>1.1100000000000001</v>
      </c>
      <c r="BZ398" s="2"/>
      <c r="CA398" s="2"/>
      <c r="CB398" s="2"/>
      <c r="CC398" s="2"/>
      <c r="CD398" s="2">
        <v>8.6999999999999994E-2</v>
      </c>
      <c r="CE398" s="2">
        <v>7.4809999999999998E-3</v>
      </c>
      <c r="CF398" s="2">
        <v>8.2000000000000003E-2</v>
      </c>
      <c r="CG398" s="2">
        <v>0.28199999999999997</v>
      </c>
      <c r="CH398" s="2"/>
      <c r="CI398" s="2"/>
      <c r="CJ398" s="2"/>
      <c r="CK398" s="2"/>
      <c r="CL398" s="2"/>
      <c r="CM398" s="2"/>
      <c r="CN398" s="2"/>
      <c r="CO398" s="2"/>
      <c r="CP398" s="2"/>
      <c r="CQ398" s="2">
        <v>132.82</v>
      </c>
      <c r="CR398" s="2">
        <v>0.28100000000000003</v>
      </c>
      <c r="CS398" s="2">
        <v>3.6999999999999998E-2</v>
      </c>
      <c r="CT398" s="2">
        <v>1.02</v>
      </c>
      <c r="CU398" s="2"/>
      <c r="CV398" s="2"/>
      <c r="CW398" s="2"/>
      <c r="CX398" s="2"/>
      <c r="CY398" s="2">
        <v>8.1000000000000003E-2</v>
      </c>
      <c r="CZ398" s="2">
        <v>7.4060000000000003E-3</v>
      </c>
      <c r="DA398" s="2">
        <v>7.8E-2</v>
      </c>
      <c r="DB398" s="2">
        <v>0.25600000000000001</v>
      </c>
      <c r="DC398" s="2"/>
      <c r="DD398" s="2"/>
      <c r="DE398" s="2"/>
      <c r="DF398" s="2"/>
      <c r="DG398" s="2"/>
      <c r="DH398" s="2"/>
      <c r="DI398" s="2"/>
      <c r="DJ398" s="2"/>
      <c r="DK398" s="2"/>
      <c r="DL398" s="14" t="s">
        <v>81</v>
      </c>
      <c r="DM398" s="2" t="s">
        <v>81</v>
      </c>
      <c r="DN398" s="2">
        <f t="shared" si="49"/>
        <v>7.2047828714495388E-2</v>
      </c>
      <c r="DO398" s="2">
        <f t="shared" si="50"/>
        <v>6.8652162652162643E-3</v>
      </c>
      <c r="DP398" s="2" t="s">
        <v>150</v>
      </c>
      <c r="DQ398" s="2" t="s">
        <v>3</v>
      </c>
      <c r="DR398" s="3">
        <f t="shared" si="51"/>
        <v>1158.3</v>
      </c>
      <c r="DS398" s="19">
        <f t="shared" si="52"/>
        <v>7.2047828714495388E-2</v>
      </c>
      <c r="DT398" s="15">
        <f t="shared" si="53"/>
        <v>834.5300000000002</v>
      </c>
      <c r="DU398" s="2"/>
      <c r="DV398" s="15">
        <f t="shared" si="54"/>
        <v>254.66899999999998</v>
      </c>
      <c r="DW398" s="19">
        <f t="shared" si="86"/>
        <v>8.3870761655325143E-2</v>
      </c>
      <c r="DX398" s="15">
        <f t="shared" si="87"/>
        <v>213.59282999999996</v>
      </c>
      <c r="DY398" s="2"/>
      <c r="DZ398" s="2" t="s">
        <v>3</v>
      </c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 t="s">
        <v>3</v>
      </c>
      <c r="FR398" s="2" t="s">
        <v>89</v>
      </c>
      <c r="FS398" s="2" t="s">
        <v>123</v>
      </c>
      <c r="FT398" s="2" t="s">
        <v>192</v>
      </c>
      <c r="FU398" s="2"/>
      <c r="FV398" s="2" t="s">
        <v>3</v>
      </c>
    </row>
    <row r="399" spans="1:178" ht="15.75" customHeight="1" x14ac:dyDescent="0.2">
      <c r="A399" s="14" t="s">
        <v>96</v>
      </c>
      <c r="B399" s="2" t="s">
        <v>133</v>
      </c>
      <c r="C399" s="16" t="s">
        <v>950</v>
      </c>
      <c r="D399" s="2" t="s">
        <v>99</v>
      </c>
      <c r="E399" s="2"/>
      <c r="F399" s="2"/>
      <c r="G399" s="2"/>
      <c r="H399" s="2" t="s">
        <v>951</v>
      </c>
      <c r="I399" s="2"/>
      <c r="J399" s="2"/>
      <c r="K399" s="19">
        <v>1.7697210000000001</v>
      </c>
      <c r="L399" s="2">
        <v>0.61</v>
      </c>
      <c r="M399" s="2"/>
      <c r="N399" s="2"/>
      <c r="O399" s="2"/>
      <c r="P399" s="2"/>
      <c r="Q399" s="2"/>
      <c r="R399" s="2"/>
      <c r="S399" s="2">
        <v>0.67</v>
      </c>
      <c r="T399" s="2">
        <v>0.03</v>
      </c>
      <c r="U399" s="2"/>
      <c r="V399" s="2">
        <v>0.46</v>
      </c>
      <c r="W399" s="2"/>
      <c r="X399" s="2"/>
      <c r="Y399" s="2"/>
      <c r="Z399" s="2"/>
      <c r="AA399" s="2"/>
      <c r="AB399" s="2"/>
      <c r="AC399" s="2"/>
      <c r="AD399" s="2"/>
      <c r="AE399" s="2"/>
      <c r="AF399" s="19">
        <v>0.48893300000000001</v>
      </c>
      <c r="AG399" s="2">
        <v>0.61</v>
      </c>
      <c r="AH399" s="2"/>
      <c r="AI399" s="2"/>
      <c r="AJ399" s="2"/>
      <c r="AK399" s="2"/>
      <c r="AL399" s="2"/>
      <c r="AM399" s="2"/>
      <c r="AN399" s="2">
        <v>0.67</v>
      </c>
      <c r="AO399" s="2">
        <v>0.03</v>
      </c>
      <c r="AP399" s="2"/>
      <c r="AQ399" s="2">
        <v>0.47</v>
      </c>
      <c r="AR399" s="2"/>
      <c r="AS399" s="2"/>
      <c r="AT399" s="2"/>
      <c r="AU399" s="2"/>
      <c r="AV399" s="2"/>
      <c r="AW399" s="2"/>
      <c r="AX399" s="2"/>
      <c r="AY399" s="2"/>
      <c r="AZ399" s="2"/>
      <c r="BA399" s="19">
        <v>0.198571</v>
      </c>
      <c r="BB399" s="2">
        <v>0.59</v>
      </c>
      <c r="BC399" s="2"/>
      <c r="BD399" s="2"/>
      <c r="BE399" s="2"/>
      <c r="BF399" s="2"/>
      <c r="BG399" s="2"/>
      <c r="BH399" s="2"/>
      <c r="BI399" s="2">
        <v>0.66</v>
      </c>
      <c r="BJ399" s="2">
        <v>0.03</v>
      </c>
      <c r="BK399" s="2"/>
      <c r="BL399" s="2">
        <v>0.47</v>
      </c>
      <c r="BM399" s="2"/>
      <c r="BN399" s="2"/>
      <c r="BO399" s="2"/>
      <c r="BP399" s="2"/>
      <c r="BQ399" s="2"/>
      <c r="BR399" s="2"/>
      <c r="BS399" s="2"/>
      <c r="BT399" s="2"/>
      <c r="BU399" s="2"/>
      <c r="BV399" s="2">
        <v>0</v>
      </c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>
        <v>0</v>
      </c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14" t="s">
        <v>81</v>
      </c>
      <c r="DM399" s="2" t="s">
        <v>81</v>
      </c>
      <c r="DN399" s="2">
        <f t="shared" si="49"/>
        <v>0.66919188922463357</v>
      </c>
      <c r="DO399" s="2">
        <f t="shared" si="50"/>
        <v>3.0000000000000002E-2</v>
      </c>
      <c r="DP399" s="2" t="s">
        <v>952</v>
      </c>
      <c r="DQ399" s="2" t="s">
        <v>3</v>
      </c>
      <c r="DR399" s="19">
        <f t="shared" si="51"/>
        <v>2.4572249999999998</v>
      </c>
      <c r="DS399" s="4">
        <f t="shared" si="52"/>
        <v>0.66919188922463357</v>
      </c>
      <c r="DT399" s="15">
        <f t="shared" si="53"/>
        <v>16.443550400000003</v>
      </c>
      <c r="DU399" s="2"/>
      <c r="DV399" s="2">
        <f t="shared" si="54"/>
        <v>0</v>
      </c>
      <c r="DW399" s="2"/>
      <c r="DX399" s="2"/>
      <c r="DY399" s="2"/>
      <c r="DZ399" s="2" t="s">
        <v>3</v>
      </c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 t="s">
        <v>3</v>
      </c>
      <c r="FR399" s="2" t="s">
        <v>89</v>
      </c>
      <c r="FS399" s="2" t="s">
        <v>123</v>
      </c>
      <c r="FT399" s="2"/>
      <c r="FU399" s="2"/>
      <c r="FV399" s="2" t="s">
        <v>3</v>
      </c>
    </row>
    <row r="400" spans="1:178" ht="15.75" customHeight="1" x14ac:dyDescent="0.2">
      <c r="A400" s="14" t="s">
        <v>96</v>
      </c>
      <c r="B400" s="2" t="s">
        <v>164</v>
      </c>
      <c r="C400" s="16" t="s">
        <v>953</v>
      </c>
      <c r="D400" s="2" t="s">
        <v>109</v>
      </c>
      <c r="E400" s="2"/>
      <c r="F400" s="2"/>
      <c r="G400" s="2" t="s">
        <v>179</v>
      </c>
      <c r="H400" s="2" t="s">
        <v>609</v>
      </c>
      <c r="I400" s="2"/>
      <c r="J400" s="2" t="s">
        <v>181</v>
      </c>
      <c r="K400" s="15">
        <f>11.9+0.1</f>
        <v>12</v>
      </c>
      <c r="L400" s="4">
        <f>(0.88*11.9+0.68*0.1)/K400</f>
        <v>0.8783333333333333</v>
      </c>
      <c r="M400" s="2"/>
      <c r="N400" s="2"/>
      <c r="O400" s="2"/>
      <c r="P400" s="2"/>
      <c r="Q400" s="2"/>
      <c r="R400" s="2"/>
      <c r="S400" s="4">
        <f>(2.15*11.9+1.66*0.1)/K400</f>
        <v>2.1459166666666669</v>
      </c>
      <c r="T400" s="4">
        <f>(0.07*11.9+0.07*0.1)/K400</f>
        <v>7.0000000000000007E-2</v>
      </c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>
        <v>1.1000000000000001</v>
      </c>
      <c r="AG400" s="2">
        <v>0.39</v>
      </c>
      <c r="AH400" s="2"/>
      <c r="AI400" s="2"/>
      <c r="AJ400" s="2"/>
      <c r="AK400" s="2"/>
      <c r="AL400" s="2"/>
      <c r="AM400" s="2"/>
      <c r="AN400" s="2">
        <v>0.88</v>
      </c>
      <c r="AO400" s="2">
        <v>0.04</v>
      </c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>
        <v>0.1</v>
      </c>
      <c r="BB400" s="2">
        <v>0.4</v>
      </c>
      <c r="BC400" s="2"/>
      <c r="BD400" s="2"/>
      <c r="BE400" s="2"/>
      <c r="BF400" s="2"/>
      <c r="BG400" s="2"/>
      <c r="BH400" s="2"/>
      <c r="BI400" s="2">
        <v>0.6</v>
      </c>
      <c r="BJ400" s="2">
        <v>0.02</v>
      </c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>
        <v>10.199999999999999</v>
      </c>
      <c r="BW400" s="2">
        <v>0.79</v>
      </c>
      <c r="BX400" s="2"/>
      <c r="BY400" s="2"/>
      <c r="BZ400" s="2"/>
      <c r="CA400" s="2"/>
      <c r="CB400" s="2"/>
      <c r="CC400" s="2"/>
      <c r="CD400" s="2">
        <v>1.93</v>
      </c>
      <c r="CE400" s="2">
        <v>7.0000000000000007E-2</v>
      </c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>
        <v>1.3</v>
      </c>
      <c r="CR400" s="2">
        <v>0.56999999999999995</v>
      </c>
      <c r="CS400" s="2"/>
      <c r="CT400" s="2"/>
      <c r="CU400" s="2"/>
      <c r="CV400" s="2"/>
      <c r="CW400" s="2"/>
      <c r="CX400" s="2"/>
      <c r="CY400" s="2">
        <v>1.34</v>
      </c>
      <c r="CZ400" s="2">
        <v>0.04</v>
      </c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14" t="s">
        <v>81</v>
      </c>
      <c r="DM400" s="2" t="s">
        <v>81</v>
      </c>
      <c r="DN400" s="2">
        <f t="shared" si="49"/>
        <v>2.0287121212121217</v>
      </c>
      <c r="DO400" s="2">
        <f t="shared" si="50"/>
        <v>6.7121212121212137E-2</v>
      </c>
      <c r="DP400" s="2" t="s">
        <v>211</v>
      </c>
      <c r="DQ400" s="2" t="s">
        <v>3</v>
      </c>
      <c r="DR400" s="15">
        <f t="shared" si="51"/>
        <v>13.2</v>
      </c>
      <c r="DS400" s="4">
        <f t="shared" si="52"/>
        <v>2.0287121212121217</v>
      </c>
      <c r="DT400" s="15">
        <f t="shared" si="53"/>
        <v>267.79000000000008</v>
      </c>
      <c r="DU400" s="2"/>
      <c r="DV400" s="2">
        <f t="shared" si="54"/>
        <v>11.5</v>
      </c>
      <c r="DW400" s="4">
        <f>(BV400*CD400+CQ400*CY400)/DV400</f>
        <v>1.8633043478260867</v>
      </c>
      <c r="DX400" s="15">
        <f>1000*DV400*DW400/100</f>
        <v>214.27999999999997</v>
      </c>
      <c r="DY400" s="2"/>
      <c r="DZ400" s="2" t="s">
        <v>3</v>
      </c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 t="s">
        <v>3</v>
      </c>
      <c r="FR400" s="2" t="s">
        <v>89</v>
      </c>
      <c r="FS400" s="2" t="s">
        <v>378</v>
      </c>
      <c r="FT400" s="2"/>
      <c r="FU400" s="2"/>
      <c r="FV400" s="2" t="s">
        <v>3</v>
      </c>
    </row>
    <row r="401" spans="1:178" ht="15.75" customHeight="1" x14ac:dyDescent="0.2">
      <c r="A401" s="12" t="s">
        <v>74</v>
      </c>
      <c r="B401" s="2" t="s">
        <v>182</v>
      </c>
      <c r="C401" s="13" t="s">
        <v>954</v>
      </c>
      <c r="D401" s="2" t="s">
        <v>99</v>
      </c>
      <c r="E401" s="2"/>
      <c r="F401" s="2"/>
      <c r="G401" s="2"/>
      <c r="H401" s="2" t="s">
        <v>79</v>
      </c>
      <c r="I401" s="2"/>
      <c r="J401" s="2"/>
      <c r="K401" s="2">
        <v>0</v>
      </c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>
        <v>0</v>
      </c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>
        <v>46</v>
      </c>
      <c r="BB401" s="2"/>
      <c r="BC401" s="2"/>
      <c r="BD401" s="2"/>
      <c r="BE401" s="2"/>
      <c r="BF401" s="2"/>
      <c r="BG401" s="2"/>
      <c r="BH401" s="2"/>
      <c r="BI401" s="2">
        <v>1.45</v>
      </c>
      <c r="BJ401" s="2">
        <v>0.03</v>
      </c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>
        <v>0</v>
      </c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>
        <v>0</v>
      </c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14" t="s">
        <v>81</v>
      </c>
      <c r="DM401" s="2" t="s">
        <v>81</v>
      </c>
      <c r="DN401" s="2">
        <f t="shared" si="49"/>
        <v>1.45</v>
      </c>
      <c r="DO401" s="2">
        <f t="shared" si="50"/>
        <v>0.03</v>
      </c>
      <c r="DP401" s="2" t="s">
        <v>622</v>
      </c>
      <c r="DQ401" s="2" t="s">
        <v>3</v>
      </c>
      <c r="DR401" s="2">
        <f t="shared" si="51"/>
        <v>46</v>
      </c>
      <c r="DS401" s="2">
        <f t="shared" si="52"/>
        <v>1.45</v>
      </c>
      <c r="DT401" s="15">
        <f t="shared" si="53"/>
        <v>667</v>
      </c>
      <c r="DU401" s="2"/>
      <c r="DV401" s="2">
        <f t="shared" si="54"/>
        <v>0</v>
      </c>
      <c r="DW401" s="2"/>
      <c r="DX401" s="2"/>
      <c r="DY401" s="2"/>
      <c r="DZ401" s="2" t="s">
        <v>3</v>
      </c>
      <c r="EA401" s="2" t="s">
        <v>182</v>
      </c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 t="s">
        <v>182</v>
      </c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 t="s">
        <v>182</v>
      </c>
      <c r="FQ401" s="2" t="s">
        <v>3</v>
      </c>
      <c r="FR401" s="2" t="s">
        <v>37</v>
      </c>
      <c r="FS401" s="2" t="s">
        <v>106</v>
      </c>
      <c r="FT401" s="2" t="s">
        <v>106</v>
      </c>
      <c r="FU401" s="2"/>
      <c r="FV401" s="2" t="s">
        <v>3</v>
      </c>
    </row>
    <row r="402" spans="1:178" ht="15.75" customHeight="1" x14ac:dyDescent="0.2">
      <c r="A402" s="14" t="s">
        <v>96</v>
      </c>
      <c r="B402" s="2" t="s">
        <v>189</v>
      </c>
      <c r="C402" s="16" t="s">
        <v>955</v>
      </c>
      <c r="D402" s="2" t="s">
        <v>99</v>
      </c>
      <c r="E402" s="45">
        <v>45.37</v>
      </c>
      <c r="F402" s="45">
        <v>-109.8</v>
      </c>
      <c r="G402" s="2"/>
      <c r="H402" s="2" t="s">
        <v>79</v>
      </c>
      <c r="I402" s="22"/>
      <c r="J402" s="2"/>
      <c r="K402" s="2">
        <v>0</v>
      </c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>
        <v>0</v>
      </c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3">
        <f>60*0.9072</f>
        <v>54.432000000000002</v>
      </c>
      <c r="BB402" s="2">
        <v>0.52</v>
      </c>
      <c r="BC402" s="2"/>
      <c r="BD402" s="2"/>
      <c r="BE402" s="2"/>
      <c r="BF402" s="2"/>
      <c r="BG402" s="2"/>
      <c r="BH402" s="2"/>
      <c r="BI402" s="2">
        <v>0.59</v>
      </c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>
        <v>0</v>
      </c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>
        <v>0</v>
      </c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14" t="s">
        <v>100</v>
      </c>
      <c r="DM402" s="2"/>
      <c r="DN402" s="2">
        <f t="shared" si="49"/>
        <v>0.59</v>
      </c>
      <c r="DO402" s="2">
        <f t="shared" si="50"/>
        <v>0</v>
      </c>
      <c r="DP402" s="2" t="s">
        <v>857</v>
      </c>
      <c r="DQ402" s="2" t="s">
        <v>3</v>
      </c>
      <c r="DR402" s="4">
        <f t="shared" si="51"/>
        <v>54.432000000000002</v>
      </c>
      <c r="DS402" s="2">
        <f t="shared" si="52"/>
        <v>0.59</v>
      </c>
      <c r="DT402" s="15">
        <f t="shared" si="53"/>
        <v>321.14879999999999</v>
      </c>
      <c r="DU402" s="2"/>
      <c r="DV402" s="2">
        <f t="shared" si="54"/>
        <v>0</v>
      </c>
      <c r="DW402" s="2"/>
      <c r="DX402" s="2"/>
      <c r="DY402" s="2"/>
      <c r="DZ402" s="2" t="s">
        <v>3</v>
      </c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 t="s">
        <v>3</v>
      </c>
      <c r="FR402" s="2" t="s">
        <v>89</v>
      </c>
      <c r="FS402" s="2" t="s">
        <v>90</v>
      </c>
      <c r="FT402" s="2" t="s">
        <v>91</v>
      </c>
      <c r="FU402" s="2"/>
      <c r="FV402" s="2" t="s">
        <v>3</v>
      </c>
    </row>
    <row r="403" spans="1:178" ht="15.75" customHeight="1" x14ac:dyDescent="0.2">
      <c r="A403" s="14" t="s">
        <v>74</v>
      </c>
      <c r="B403" s="2" t="s">
        <v>164</v>
      </c>
      <c r="C403" s="13" t="s">
        <v>956</v>
      </c>
      <c r="D403" s="2" t="s">
        <v>99</v>
      </c>
      <c r="E403" s="2"/>
      <c r="F403" s="2"/>
      <c r="G403" s="2" t="s">
        <v>78</v>
      </c>
      <c r="H403" s="2" t="s">
        <v>957</v>
      </c>
      <c r="I403" s="2"/>
      <c r="J403" s="2" t="s">
        <v>242</v>
      </c>
      <c r="K403" s="2">
        <v>0</v>
      </c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>
        <v>0</v>
      </c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4">
        <v>6.63903</v>
      </c>
      <c r="BB403" s="2"/>
      <c r="BC403" s="2"/>
      <c r="BD403" s="2"/>
      <c r="BE403" s="2"/>
      <c r="BF403" s="2"/>
      <c r="BG403" s="2"/>
      <c r="BH403" s="2"/>
      <c r="BI403" s="2">
        <v>0.82</v>
      </c>
      <c r="BJ403" s="2">
        <v>0.04</v>
      </c>
      <c r="BK403" s="2"/>
      <c r="BL403" s="2"/>
      <c r="BM403" s="2"/>
      <c r="BN403" s="2"/>
      <c r="BO403" s="2"/>
      <c r="BP403" s="2"/>
      <c r="BQ403" s="2">
        <v>19.7</v>
      </c>
      <c r="BR403" s="2"/>
      <c r="BS403" s="2"/>
      <c r="BT403" s="2"/>
      <c r="BU403" s="2"/>
      <c r="BV403" s="2">
        <v>0</v>
      </c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>
        <v>0</v>
      </c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14" t="s">
        <v>81</v>
      </c>
      <c r="DM403" s="2" t="s">
        <v>81</v>
      </c>
      <c r="DN403" s="2">
        <f t="shared" si="49"/>
        <v>0.82</v>
      </c>
      <c r="DO403" s="2">
        <f t="shared" si="50"/>
        <v>0.04</v>
      </c>
      <c r="DP403" s="2" t="s">
        <v>958</v>
      </c>
      <c r="DQ403" s="2" t="s">
        <v>3</v>
      </c>
      <c r="DR403" s="19">
        <f t="shared" si="51"/>
        <v>6.63903</v>
      </c>
      <c r="DS403" s="2">
        <f t="shared" si="52"/>
        <v>0.82</v>
      </c>
      <c r="DT403" s="15">
        <f t="shared" si="53"/>
        <v>54.440045999999995</v>
      </c>
      <c r="DU403" s="2"/>
      <c r="DV403" s="2">
        <f t="shared" si="54"/>
        <v>0</v>
      </c>
      <c r="DW403" s="2"/>
      <c r="DX403" s="2"/>
      <c r="DY403" s="2"/>
      <c r="DZ403" s="2" t="s">
        <v>3</v>
      </c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 t="s">
        <v>3</v>
      </c>
      <c r="FR403" s="2" t="s">
        <v>37</v>
      </c>
      <c r="FS403" s="2" t="s">
        <v>373</v>
      </c>
      <c r="FT403" s="2" t="s">
        <v>373</v>
      </c>
      <c r="FU403" s="2"/>
      <c r="FV403" s="2" t="s">
        <v>3</v>
      </c>
    </row>
    <row r="404" spans="1:178" ht="15.75" customHeight="1" x14ac:dyDescent="0.2">
      <c r="A404" s="14" t="s">
        <v>74</v>
      </c>
      <c r="B404" s="2" t="s">
        <v>164</v>
      </c>
      <c r="C404" s="13" t="s">
        <v>959</v>
      </c>
      <c r="D404" s="2" t="s">
        <v>99</v>
      </c>
      <c r="E404" s="2"/>
      <c r="F404" s="2"/>
      <c r="G404" s="2" t="s">
        <v>78</v>
      </c>
      <c r="H404" s="2" t="s">
        <v>957</v>
      </c>
      <c r="I404" s="2"/>
      <c r="J404" s="2" t="s">
        <v>242</v>
      </c>
      <c r="K404" s="2">
        <v>0</v>
      </c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>
        <v>0</v>
      </c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4">
        <v>14.701426</v>
      </c>
      <c r="BB404" s="2"/>
      <c r="BC404" s="2"/>
      <c r="BD404" s="2"/>
      <c r="BE404" s="2"/>
      <c r="BF404" s="2"/>
      <c r="BG404" s="2"/>
      <c r="BH404" s="2"/>
      <c r="BI404" s="2">
        <v>0.85</v>
      </c>
      <c r="BJ404" s="2">
        <v>0.05</v>
      </c>
      <c r="BK404" s="2"/>
      <c r="BL404" s="2"/>
      <c r="BM404" s="2"/>
      <c r="BN404" s="2"/>
      <c r="BO404" s="2"/>
      <c r="BP404" s="2"/>
      <c r="BQ404" s="2">
        <v>20.2</v>
      </c>
      <c r="BR404" s="2"/>
      <c r="BS404" s="2"/>
      <c r="BT404" s="2"/>
      <c r="BU404" s="2"/>
      <c r="BV404" s="2">
        <v>0</v>
      </c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>
        <v>0</v>
      </c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14" t="s">
        <v>81</v>
      </c>
      <c r="DM404" s="2" t="s">
        <v>81</v>
      </c>
      <c r="DN404" s="2">
        <f t="shared" si="49"/>
        <v>0.85</v>
      </c>
      <c r="DO404" s="2">
        <f t="shared" si="50"/>
        <v>0.05</v>
      </c>
      <c r="DP404" s="2" t="s">
        <v>958</v>
      </c>
      <c r="DQ404" s="2" t="s">
        <v>3</v>
      </c>
      <c r="DR404" s="4">
        <f t="shared" si="51"/>
        <v>14.701426</v>
      </c>
      <c r="DS404" s="2">
        <f t="shared" si="52"/>
        <v>0.85</v>
      </c>
      <c r="DT404" s="15">
        <f t="shared" si="53"/>
        <v>124.96212099999998</v>
      </c>
      <c r="DU404" s="2"/>
      <c r="DV404" s="2">
        <f t="shared" si="54"/>
        <v>0</v>
      </c>
      <c r="DW404" s="2"/>
      <c r="DX404" s="2"/>
      <c r="DY404" s="2"/>
      <c r="DZ404" s="2" t="s">
        <v>3</v>
      </c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 t="s">
        <v>3</v>
      </c>
      <c r="FR404" s="2" t="s">
        <v>37</v>
      </c>
      <c r="FS404" s="2" t="s">
        <v>373</v>
      </c>
      <c r="FT404" s="2" t="s">
        <v>373</v>
      </c>
      <c r="FU404" s="2"/>
      <c r="FV404" s="2" t="s">
        <v>3</v>
      </c>
    </row>
    <row r="405" spans="1:178" ht="15.75" customHeight="1" x14ac:dyDescent="0.2">
      <c r="A405" s="12" t="s">
        <v>74</v>
      </c>
      <c r="B405" s="2" t="s">
        <v>198</v>
      </c>
      <c r="C405" s="13" t="s">
        <v>960</v>
      </c>
      <c r="D405" s="2" t="s">
        <v>99</v>
      </c>
      <c r="E405" s="2"/>
      <c r="F405" s="2"/>
      <c r="G405" s="2"/>
      <c r="H405" s="2" t="s">
        <v>961</v>
      </c>
      <c r="I405" s="2"/>
      <c r="J405" s="2" t="s">
        <v>292</v>
      </c>
      <c r="K405" s="2">
        <v>0</v>
      </c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>
        <v>0</v>
      </c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>
        <v>88</v>
      </c>
      <c r="BB405" s="2"/>
      <c r="BC405" s="2"/>
      <c r="BD405" s="2"/>
      <c r="BE405" s="2"/>
      <c r="BF405" s="2"/>
      <c r="BG405" s="2"/>
      <c r="BH405" s="2"/>
      <c r="BI405" s="2">
        <v>1.2</v>
      </c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>
        <v>0</v>
      </c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>
        <v>0</v>
      </c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14" t="s">
        <v>100</v>
      </c>
      <c r="DM405" s="2"/>
      <c r="DN405" s="2">
        <f t="shared" si="49"/>
        <v>1.2</v>
      </c>
      <c r="DO405" s="2">
        <f t="shared" si="50"/>
        <v>0</v>
      </c>
      <c r="DP405" s="2" t="s">
        <v>113</v>
      </c>
      <c r="DQ405" s="2" t="s">
        <v>3</v>
      </c>
      <c r="DR405" s="2">
        <f t="shared" si="51"/>
        <v>88</v>
      </c>
      <c r="DS405" s="4">
        <f t="shared" si="52"/>
        <v>1.2</v>
      </c>
      <c r="DT405" s="18">
        <f t="shared" si="53"/>
        <v>1056</v>
      </c>
      <c r="DU405" s="2"/>
      <c r="DV405" s="2">
        <f t="shared" si="54"/>
        <v>0</v>
      </c>
      <c r="DW405" s="2"/>
      <c r="DX405" s="2"/>
      <c r="DY405" s="2"/>
      <c r="DZ405" s="2" t="s">
        <v>3</v>
      </c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 t="s">
        <v>3</v>
      </c>
      <c r="FR405" s="2" t="s">
        <v>37</v>
      </c>
      <c r="FS405" s="2" t="s">
        <v>235</v>
      </c>
      <c r="FT405" s="2" t="s">
        <v>235</v>
      </c>
      <c r="FU405" s="2"/>
      <c r="FV405" s="2" t="s">
        <v>3</v>
      </c>
    </row>
    <row r="406" spans="1:178" ht="15.75" customHeight="1" x14ac:dyDescent="0.2">
      <c r="A406" s="14" t="s">
        <v>96</v>
      </c>
      <c r="B406" s="2" t="s">
        <v>133</v>
      </c>
      <c r="C406" s="21" t="s">
        <v>962</v>
      </c>
      <c r="D406" s="2" t="s">
        <v>99</v>
      </c>
      <c r="E406" s="2"/>
      <c r="F406" s="2"/>
      <c r="G406" s="2"/>
      <c r="H406" s="2" t="s">
        <v>963</v>
      </c>
      <c r="I406" s="2"/>
      <c r="J406" s="2"/>
      <c r="K406" s="2">
        <v>0</v>
      </c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>
        <v>0</v>
      </c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4">
        <v>30.496085000000001</v>
      </c>
      <c r="BB406" s="2"/>
      <c r="BC406" s="2"/>
      <c r="BD406" s="2"/>
      <c r="BE406" s="2"/>
      <c r="BF406" s="2"/>
      <c r="BG406" s="2"/>
      <c r="BH406" s="2"/>
      <c r="BI406" s="19">
        <v>0.16020000000000001</v>
      </c>
      <c r="BJ406" s="19">
        <v>8.3000000000000001E-3</v>
      </c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>
        <v>0</v>
      </c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>
        <v>0</v>
      </c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14" t="s">
        <v>81</v>
      </c>
      <c r="DM406" s="2" t="s">
        <v>81</v>
      </c>
      <c r="DN406" s="2">
        <f t="shared" si="49"/>
        <v>0.16020000000000001</v>
      </c>
      <c r="DO406" s="2">
        <f t="shared" si="50"/>
        <v>8.3000000000000001E-3</v>
      </c>
      <c r="DP406" s="2" t="s">
        <v>784</v>
      </c>
      <c r="DQ406" s="2" t="s">
        <v>3</v>
      </c>
      <c r="DR406" s="4">
        <f t="shared" si="51"/>
        <v>30.496085000000001</v>
      </c>
      <c r="DS406" s="4">
        <f t="shared" si="52"/>
        <v>0.16020000000000001</v>
      </c>
      <c r="DT406" s="15">
        <f t="shared" si="53"/>
        <v>48.854728170000001</v>
      </c>
      <c r="DU406" s="2"/>
      <c r="DV406" s="2">
        <f t="shared" si="54"/>
        <v>0</v>
      </c>
      <c r="DW406" s="2"/>
      <c r="DX406" s="2"/>
      <c r="DY406" s="2"/>
      <c r="DZ406" s="2" t="s">
        <v>3</v>
      </c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 t="s">
        <v>3</v>
      </c>
      <c r="FR406" s="2" t="s">
        <v>183</v>
      </c>
      <c r="FS406" s="2" t="s">
        <v>529</v>
      </c>
      <c r="FT406" s="2" t="s">
        <v>567</v>
      </c>
      <c r="FU406" s="2"/>
      <c r="FV406" s="2" t="s">
        <v>3</v>
      </c>
    </row>
    <row r="407" spans="1:178" ht="15.75" customHeight="1" x14ac:dyDescent="0.2">
      <c r="A407" s="12" t="s">
        <v>74</v>
      </c>
      <c r="B407" s="2" t="s">
        <v>115</v>
      </c>
      <c r="C407" s="13" t="s">
        <v>964</v>
      </c>
      <c r="D407" s="2" t="s">
        <v>109</v>
      </c>
      <c r="E407" s="2"/>
      <c r="F407" s="2"/>
      <c r="G407" s="2"/>
      <c r="H407" s="2" t="s">
        <v>200</v>
      </c>
      <c r="I407" s="2"/>
      <c r="J407" s="2"/>
      <c r="K407" s="2">
        <v>60.7</v>
      </c>
      <c r="L407" s="2"/>
      <c r="M407" s="2"/>
      <c r="N407" s="2"/>
      <c r="O407" s="2"/>
      <c r="P407" s="2"/>
      <c r="Q407" s="2"/>
      <c r="R407" s="2"/>
      <c r="S407" s="2">
        <v>1.66</v>
      </c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>
        <v>53.1</v>
      </c>
      <c r="AG407" s="2"/>
      <c r="AH407" s="2"/>
      <c r="AI407" s="2"/>
      <c r="AJ407" s="2"/>
      <c r="AK407" s="2"/>
      <c r="AL407" s="2"/>
      <c r="AM407" s="2"/>
      <c r="AN407" s="2">
        <v>1.38</v>
      </c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>
        <v>0</v>
      </c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>
        <v>60.7</v>
      </c>
      <c r="BW407" s="2"/>
      <c r="BX407" s="2"/>
      <c r="BY407" s="2"/>
      <c r="BZ407" s="2"/>
      <c r="CA407" s="2"/>
      <c r="CB407" s="2"/>
      <c r="CC407" s="2"/>
      <c r="CD407" s="2">
        <v>1.66</v>
      </c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>
        <v>53.1</v>
      </c>
      <c r="CR407" s="2"/>
      <c r="CS407" s="2"/>
      <c r="CT407" s="2"/>
      <c r="CU407" s="2"/>
      <c r="CV407" s="2"/>
      <c r="CW407" s="2"/>
      <c r="CX407" s="2"/>
      <c r="CY407" s="2">
        <v>1.38</v>
      </c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14" t="s">
        <v>81</v>
      </c>
      <c r="DM407" s="2"/>
      <c r="DN407" s="2">
        <f t="shared" si="49"/>
        <v>1.5293497363796131</v>
      </c>
      <c r="DO407" s="2">
        <f t="shared" si="50"/>
        <v>0</v>
      </c>
      <c r="DP407" s="2" t="s">
        <v>965</v>
      </c>
      <c r="DQ407" s="2" t="s">
        <v>3</v>
      </c>
      <c r="DR407" s="2">
        <f t="shared" si="51"/>
        <v>113.80000000000001</v>
      </c>
      <c r="DS407" s="4">
        <f t="shared" si="52"/>
        <v>1.5293497363796131</v>
      </c>
      <c r="DT407" s="18">
        <f t="shared" si="53"/>
        <v>1740.4</v>
      </c>
      <c r="DU407" s="2"/>
      <c r="DV407" s="2">
        <f t="shared" si="54"/>
        <v>113.80000000000001</v>
      </c>
      <c r="DW407" s="4">
        <f>(BV407*CD407+CQ407*CY407)/DV407</f>
        <v>1.5293497363796131</v>
      </c>
      <c r="DX407" s="18">
        <f>1000*DV407*DW407/100</f>
        <v>1740.4</v>
      </c>
      <c r="DY407" s="2"/>
      <c r="DZ407" s="2" t="s">
        <v>3</v>
      </c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 t="s">
        <v>3</v>
      </c>
      <c r="FR407" s="2" t="s">
        <v>37</v>
      </c>
      <c r="FS407" s="2" t="s">
        <v>106</v>
      </c>
      <c r="FT407" s="2" t="s">
        <v>106</v>
      </c>
      <c r="FU407" s="2"/>
      <c r="FV407" s="2" t="s">
        <v>3</v>
      </c>
    </row>
    <row r="408" spans="1:178" ht="15.75" customHeight="1" x14ac:dyDescent="0.2">
      <c r="A408" s="14" t="s">
        <v>96</v>
      </c>
      <c r="B408" s="2" t="s">
        <v>124</v>
      </c>
      <c r="C408" s="16" t="s">
        <v>966</v>
      </c>
      <c r="D408" s="2" t="s">
        <v>99</v>
      </c>
      <c r="E408" s="2"/>
      <c r="F408" s="2"/>
      <c r="G408" s="2"/>
      <c r="H408" s="2" t="s">
        <v>79</v>
      </c>
      <c r="I408" s="2"/>
      <c r="J408" s="2"/>
      <c r="K408" s="2">
        <v>0</v>
      </c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>
        <v>0</v>
      </c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>
        <v>1.3</v>
      </c>
      <c r="BB408" s="2">
        <v>0.16</v>
      </c>
      <c r="BC408" s="2"/>
      <c r="BD408" s="2"/>
      <c r="BE408" s="2"/>
      <c r="BF408" s="2"/>
      <c r="BG408" s="2"/>
      <c r="BH408" s="2"/>
      <c r="BI408" s="2">
        <v>0.95</v>
      </c>
      <c r="BJ408" s="2">
        <v>0.03</v>
      </c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>
        <v>0</v>
      </c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>
        <v>0</v>
      </c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14" t="s">
        <v>100</v>
      </c>
      <c r="DM408" s="2" t="s">
        <v>100</v>
      </c>
      <c r="DN408" s="2">
        <f t="shared" si="49"/>
        <v>0.94999999999999984</v>
      </c>
      <c r="DO408" s="2">
        <f t="shared" si="50"/>
        <v>0.03</v>
      </c>
      <c r="DP408" s="2" t="s">
        <v>126</v>
      </c>
      <c r="DQ408" s="2" t="s">
        <v>3</v>
      </c>
      <c r="DR408" s="2">
        <f t="shared" si="51"/>
        <v>1.3</v>
      </c>
      <c r="DS408" s="2">
        <f t="shared" si="52"/>
        <v>0.94999999999999984</v>
      </c>
      <c r="DT408" s="15">
        <f t="shared" si="53"/>
        <v>12.349999999999998</v>
      </c>
      <c r="DU408" s="2"/>
      <c r="DV408" s="2">
        <f t="shared" si="54"/>
        <v>0</v>
      </c>
      <c r="DW408" s="2"/>
      <c r="DX408" s="2"/>
      <c r="DY408" s="2"/>
      <c r="DZ408" s="2" t="s">
        <v>3</v>
      </c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 t="s">
        <v>3</v>
      </c>
      <c r="FR408" s="2" t="s">
        <v>89</v>
      </c>
      <c r="FS408" s="2" t="s">
        <v>123</v>
      </c>
      <c r="FT408" s="2"/>
      <c r="FU408" s="2"/>
      <c r="FV408" s="2" t="s">
        <v>3</v>
      </c>
    </row>
    <row r="409" spans="1:178" ht="15.75" customHeight="1" x14ac:dyDescent="0.2">
      <c r="A409" s="14" t="s">
        <v>96</v>
      </c>
      <c r="B409" s="2" t="s">
        <v>124</v>
      </c>
      <c r="C409" s="21" t="s">
        <v>967</v>
      </c>
      <c r="D409" s="2" t="s">
        <v>120</v>
      </c>
      <c r="E409" s="2"/>
      <c r="F409" s="2"/>
      <c r="G409" s="2"/>
      <c r="H409" s="2" t="s">
        <v>634</v>
      </c>
      <c r="I409" s="2"/>
      <c r="J409" s="2"/>
      <c r="K409" s="2">
        <v>1.03</v>
      </c>
      <c r="L409" s="2">
        <v>0.47</v>
      </c>
      <c r="M409" s="2"/>
      <c r="N409" s="2"/>
      <c r="O409" s="2"/>
      <c r="P409" s="2"/>
      <c r="Q409" s="2"/>
      <c r="R409" s="2">
        <v>0.06</v>
      </c>
      <c r="S409" s="2">
        <v>0.47</v>
      </c>
      <c r="T409" s="2">
        <v>0.13</v>
      </c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>
        <v>1.23</v>
      </c>
      <c r="AG409" s="4">
        <v>0.3</v>
      </c>
      <c r="AH409" s="2"/>
      <c r="AI409" s="2"/>
      <c r="AJ409" s="2"/>
      <c r="AK409" s="2"/>
      <c r="AL409" s="2"/>
      <c r="AM409" s="2">
        <v>7.0000000000000007E-2</v>
      </c>
      <c r="AN409" s="2">
        <v>0.42</v>
      </c>
      <c r="AO409" s="2">
        <v>0.11</v>
      </c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4">
        <v>0.9</v>
      </c>
      <c r="BB409" s="4">
        <v>0.3</v>
      </c>
      <c r="BC409" s="2"/>
      <c r="BD409" s="2"/>
      <c r="BE409" s="2"/>
      <c r="BF409" s="2"/>
      <c r="BG409" s="2"/>
      <c r="BH409" s="4">
        <v>0.1</v>
      </c>
      <c r="BI409" s="4">
        <v>0.4</v>
      </c>
      <c r="BJ409" s="4">
        <v>0.1</v>
      </c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>
        <v>0</v>
      </c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>
        <v>0</v>
      </c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14" t="s">
        <v>81</v>
      </c>
      <c r="DM409" s="2" t="s">
        <v>81</v>
      </c>
      <c r="DN409" s="2">
        <f t="shared" si="49"/>
        <v>0.43060126582278485</v>
      </c>
      <c r="DO409" s="2">
        <f t="shared" si="50"/>
        <v>0.11367088607594938</v>
      </c>
      <c r="DP409" s="2" t="s">
        <v>675</v>
      </c>
      <c r="DQ409" s="2" t="s">
        <v>3</v>
      </c>
      <c r="DR409" s="4">
        <f t="shared" si="51"/>
        <v>3.1599999999999997</v>
      </c>
      <c r="DS409" s="4">
        <f t="shared" si="52"/>
        <v>0.43060126582278485</v>
      </c>
      <c r="DT409" s="15">
        <f t="shared" si="53"/>
        <v>13.607000000000001</v>
      </c>
      <c r="DU409" s="2"/>
      <c r="DV409" s="2">
        <f t="shared" si="54"/>
        <v>0</v>
      </c>
      <c r="DW409" s="2"/>
      <c r="DX409" s="2"/>
      <c r="DY409" s="2"/>
      <c r="DZ409" s="2" t="s">
        <v>3</v>
      </c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 t="s">
        <v>3</v>
      </c>
      <c r="FR409" s="2" t="s">
        <v>183</v>
      </c>
      <c r="FS409" s="2" t="s">
        <v>567</v>
      </c>
      <c r="FT409" s="2"/>
      <c r="FU409" s="2"/>
      <c r="FV409" s="2" t="s">
        <v>3</v>
      </c>
    </row>
    <row r="410" spans="1:178" ht="15.75" customHeight="1" x14ac:dyDescent="0.2">
      <c r="A410" s="14" t="s">
        <v>96</v>
      </c>
      <c r="B410" s="2" t="s">
        <v>124</v>
      </c>
      <c r="C410" s="21" t="s">
        <v>968</v>
      </c>
      <c r="D410" s="2" t="s">
        <v>99</v>
      </c>
      <c r="E410" s="2"/>
      <c r="F410" s="2"/>
      <c r="G410" s="2"/>
      <c r="H410" s="2" t="s">
        <v>634</v>
      </c>
      <c r="I410" s="2"/>
      <c r="J410" s="2"/>
      <c r="K410" s="2">
        <v>0</v>
      </c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>
        <v>0.14000000000000001</v>
      </c>
      <c r="AG410" s="2">
        <v>1.69</v>
      </c>
      <c r="AH410" s="2"/>
      <c r="AI410" s="2"/>
      <c r="AJ410" s="2"/>
      <c r="AK410" s="2"/>
      <c r="AL410" s="2"/>
      <c r="AM410" s="2"/>
      <c r="AN410" s="2">
        <v>0.16</v>
      </c>
      <c r="AO410" s="2">
        <v>0.04</v>
      </c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>
        <v>0.55900000000000005</v>
      </c>
      <c r="BB410" s="2">
        <v>0.72</v>
      </c>
      <c r="BC410" s="2">
        <v>0.3</v>
      </c>
      <c r="BD410" s="2">
        <v>6</v>
      </c>
      <c r="BE410" s="2"/>
      <c r="BF410" s="2"/>
      <c r="BG410" s="2"/>
      <c r="BH410" s="2"/>
      <c r="BI410" s="2">
        <v>0.03</v>
      </c>
      <c r="BJ410" s="2">
        <v>0.09</v>
      </c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>
        <v>0</v>
      </c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>
        <v>0</v>
      </c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14" t="s">
        <v>81</v>
      </c>
      <c r="DM410" s="2" t="s">
        <v>81</v>
      </c>
      <c r="DN410" s="2">
        <f t="shared" si="49"/>
        <v>5.603719599427754E-2</v>
      </c>
      <c r="DO410" s="2">
        <f t="shared" si="50"/>
        <v>7.9985693848354786E-2</v>
      </c>
      <c r="DP410" s="2" t="s">
        <v>675</v>
      </c>
      <c r="DQ410" s="2" t="s">
        <v>3</v>
      </c>
      <c r="DR410" s="2">
        <f t="shared" si="51"/>
        <v>0.69900000000000007</v>
      </c>
      <c r="DS410" s="19">
        <f t="shared" si="52"/>
        <v>5.603719599427754E-2</v>
      </c>
      <c r="DT410" s="15">
        <f t="shared" si="53"/>
        <v>0.3917000000000001</v>
      </c>
      <c r="DU410" s="2"/>
      <c r="DV410" s="2">
        <f t="shared" si="54"/>
        <v>0</v>
      </c>
      <c r="DW410" s="2"/>
      <c r="DX410" s="2"/>
      <c r="DY410" s="2"/>
      <c r="DZ410" s="2" t="s">
        <v>3</v>
      </c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 t="s">
        <v>3</v>
      </c>
      <c r="FR410" s="2" t="s">
        <v>183</v>
      </c>
      <c r="FS410" s="2" t="s">
        <v>567</v>
      </c>
      <c r="FT410" s="2"/>
      <c r="FU410" s="2"/>
      <c r="FV410" s="2" t="s">
        <v>3</v>
      </c>
    </row>
    <row r="411" spans="1:178" ht="15.75" customHeight="1" x14ac:dyDescent="0.2">
      <c r="A411" s="14" t="s">
        <v>96</v>
      </c>
      <c r="B411" s="2" t="s">
        <v>124</v>
      </c>
      <c r="C411" s="21" t="s">
        <v>969</v>
      </c>
      <c r="D411" s="2" t="s">
        <v>99</v>
      </c>
      <c r="E411" s="2"/>
      <c r="F411" s="2"/>
      <c r="G411" s="2"/>
      <c r="H411" s="2" t="s">
        <v>634</v>
      </c>
      <c r="I411" s="2"/>
      <c r="J411" s="2"/>
      <c r="K411" s="2">
        <v>0</v>
      </c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>
        <v>0</v>
      </c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>
        <v>3.4</v>
      </c>
      <c r="BB411" s="2">
        <v>0.71</v>
      </c>
      <c r="BC411" s="2"/>
      <c r="BD411" s="2"/>
      <c r="BE411" s="2"/>
      <c r="BF411" s="2"/>
      <c r="BG411" s="2"/>
      <c r="BH411" s="2">
        <v>0.63</v>
      </c>
      <c r="BI411" s="2">
        <v>0.05</v>
      </c>
      <c r="BJ411" s="2">
        <v>0.09</v>
      </c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>
        <v>0</v>
      </c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>
        <v>0</v>
      </c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14" t="s">
        <v>81</v>
      </c>
      <c r="DM411" s="2" t="s">
        <v>81</v>
      </c>
      <c r="DN411" s="2">
        <f t="shared" si="49"/>
        <v>0.05</v>
      </c>
      <c r="DO411" s="2">
        <f t="shared" si="50"/>
        <v>0.09</v>
      </c>
      <c r="DP411" s="2" t="s">
        <v>675</v>
      </c>
      <c r="DQ411" s="2" t="s">
        <v>3</v>
      </c>
      <c r="DR411" s="2">
        <f t="shared" si="51"/>
        <v>3.4</v>
      </c>
      <c r="DS411" s="2">
        <f t="shared" si="52"/>
        <v>0.05</v>
      </c>
      <c r="DT411" s="15">
        <f t="shared" si="53"/>
        <v>1.7</v>
      </c>
      <c r="DU411" s="2"/>
      <c r="DV411" s="2">
        <f t="shared" si="54"/>
        <v>0</v>
      </c>
      <c r="DW411" s="2"/>
      <c r="DX411" s="2"/>
      <c r="DY411" s="2"/>
      <c r="DZ411" s="2" t="s">
        <v>3</v>
      </c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 t="s">
        <v>3</v>
      </c>
      <c r="FR411" s="2" t="s">
        <v>183</v>
      </c>
      <c r="FS411" s="2" t="s">
        <v>567</v>
      </c>
      <c r="FT411" s="2"/>
      <c r="FU411" s="2"/>
      <c r="FV411" s="2" t="s">
        <v>3</v>
      </c>
    </row>
    <row r="412" spans="1:178" ht="15.75" customHeight="1" x14ac:dyDescent="0.2">
      <c r="A412" s="14" t="s">
        <v>96</v>
      </c>
      <c r="B412" s="2" t="s">
        <v>124</v>
      </c>
      <c r="C412" s="21" t="s">
        <v>970</v>
      </c>
      <c r="D412" s="2" t="s">
        <v>99</v>
      </c>
      <c r="E412" s="2"/>
      <c r="F412" s="2"/>
      <c r="G412" s="2"/>
      <c r="H412" s="2" t="s">
        <v>634</v>
      </c>
      <c r="I412" s="2"/>
      <c r="J412" s="2"/>
      <c r="K412" s="2">
        <v>0</v>
      </c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>
        <v>0</v>
      </c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>
        <v>0.19</v>
      </c>
      <c r="BB412" s="2">
        <v>0.33</v>
      </c>
      <c r="BC412" s="2"/>
      <c r="BD412" s="2"/>
      <c r="BE412" s="2"/>
      <c r="BF412" s="2"/>
      <c r="BG412" s="2"/>
      <c r="BH412" s="2"/>
      <c r="BI412" s="2">
        <v>1.02</v>
      </c>
      <c r="BJ412" s="2">
        <v>2.7E-2</v>
      </c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>
        <v>0</v>
      </c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>
        <v>0</v>
      </c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14" t="s">
        <v>81</v>
      </c>
      <c r="DM412" s="2" t="s">
        <v>81</v>
      </c>
      <c r="DN412" s="2">
        <f t="shared" si="49"/>
        <v>1.02</v>
      </c>
      <c r="DO412" s="2">
        <f t="shared" si="50"/>
        <v>2.7E-2</v>
      </c>
      <c r="DP412" s="2" t="s">
        <v>675</v>
      </c>
      <c r="DQ412" s="2" t="s">
        <v>3</v>
      </c>
      <c r="DR412" s="2">
        <f t="shared" si="51"/>
        <v>0.19</v>
      </c>
      <c r="DS412" s="2">
        <f t="shared" si="52"/>
        <v>1.02</v>
      </c>
      <c r="DT412" s="15">
        <f t="shared" si="53"/>
        <v>1.9380000000000002</v>
      </c>
      <c r="DU412" s="2"/>
      <c r="DV412" s="2">
        <f t="shared" si="54"/>
        <v>0</v>
      </c>
      <c r="DW412" s="2"/>
      <c r="DX412" s="2"/>
      <c r="DY412" s="2"/>
      <c r="DZ412" s="2" t="s">
        <v>3</v>
      </c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 t="s">
        <v>3</v>
      </c>
      <c r="FR412" s="2" t="s">
        <v>183</v>
      </c>
      <c r="FS412" s="2" t="s">
        <v>567</v>
      </c>
      <c r="FT412" s="2"/>
      <c r="FU412" s="2"/>
      <c r="FV412" s="2" t="s">
        <v>3</v>
      </c>
    </row>
    <row r="413" spans="1:178" ht="15.75" customHeight="1" x14ac:dyDescent="0.2">
      <c r="A413" s="14" t="s">
        <v>96</v>
      </c>
      <c r="B413" s="2" t="s">
        <v>124</v>
      </c>
      <c r="C413" s="21" t="s">
        <v>971</v>
      </c>
      <c r="D413" s="2" t="s">
        <v>99</v>
      </c>
      <c r="E413" s="2"/>
      <c r="F413" s="2"/>
      <c r="G413" s="2"/>
      <c r="H413" s="2" t="s">
        <v>634</v>
      </c>
      <c r="I413" s="2"/>
      <c r="J413" s="2"/>
      <c r="K413" s="2">
        <v>0</v>
      </c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>
        <v>0.1</v>
      </c>
      <c r="AG413" s="2">
        <v>0.35</v>
      </c>
      <c r="AH413" s="2"/>
      <c r="AI413" s="2"/>
      <c r="AJ413" s="2"/>
      <c r="AK413" s="2"/>
      <c r="AL413" s="2"/>
      <c r="AM413" s="2"/>
      <c r="AN413" s="2">
        <v>0.7</v>
      </c>
      <c r="AO413" s="2">
        <v>0.05</v>
      </c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>
        <v>0</v>
      </c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>
        <v>0</v>
      </c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>
        <v>0</v>
      </c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14" t="s">
        <v>81</v>
      </c>
      <c r="DM413" s="2" t="s">
        <v>81</v>
      </c>
      <c r="DN413" s="2">
        <f t="shared" si="49"/>
        <v>0.69999999999999984</v>
      </c>
      <c r="DO413" s="2">
        <f t="shared" si="50"/>
        <v>5.000000000000001E-2</v>
      </c>
      <c r="DP413" s="2" t="s">
        <v>675</v>
      </c>
      <c r="DQ413" s="2" t="s">
        <v>3</v>
      </c>
      <c r="DR413" s="2">
        <f t="shared" si="51"/>
        <v>0.1</v>
      </c>
      <c r="DS413" s="2">
        <f t="shared" si="52"/>
        <v>0.69999999999999984</v>
      </c>
      <c r="DT413" s="15">
        <f t="shared" si="53"/>
        <v>0.69999999999999984</v>
      </c>
      <c r="DU413" s="2"/>
      <c r="DV413" s="2">
        <f t="shared" si="54"/>
        <v>0</v>
      </c>
      <c r="DW413" s="2"/>
      <c r="DX413" s="2"/>
      <c r="DY413" s="2"/>
      <c r="DZ413" s="2" t="s">
        <v>3</v>
      </c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 t="s">
        <v>3</v>
      </c>
      <c r="FR413" s="2" t="s">
        <v>183</v>
      </c>
      <c r="FS413" s="2" t="s">
        <v>567</v>
      </c>
      <c r="FT413" s="2"/>
      <c r="FU413" s="2"/>
      <c r="FV413" s="2" t="s">
        <v>3</v>
      </c>
    </row>
    <row r="414" spans="1:178" ht="15.75" customHeight="1" x14ac:dyDescent="0.2">
      <c r="A414" s="14" t="s">
        <v>96</v>
      </c>
      <c r="B414" s="2" t="s">
        <v>124</v>
      </c>
      <c r="C414" s="21" t="s">
        <v>972</v>
      </c>
      <c r="D414" s="2" t="s">
        <v>99</v>
      </c>
      <c r="E414" s="2"/>
      <c r="F414" s="2"/>
      <c r="G414" s="2"/>
      <c r="H414" s="2" t="s">
        <v>634</v>
      </c>
      <c r="I414" s="2"/>
      <c r="J414" s="2"/>
      <c r="K414" s="2">
        <v>0</v>
      </c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>
        <v>1.54</v>
      </c>
      <c r="AG414" s="2">
        <v>0.28999999999999998</v>
      </c>
      <c r="AH414" s="2"/>
      <c r="AI414" s="2"/>
      <c r="AJ414" s="2"/>
      <c r="AK414" s="2"/>
      <c r="AL414" s="2"/>
      <c r="AM414" s="2"/>
      <c r="AN414" s="2">
        <v>0.71</v>
      </c>
      <c r="AO414" s="2">
        <v>0.03</v>
      </c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>
        <v>0</v>
      </c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>
        <v>0</v>
      </c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>
        <v>0</v>
      </c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14" t="s">
        <v>81</v>
      </c>
      <c r="DM414" s="2" t="s">
        <v>81</v>
      </c>
      <c r="DN414" s="2">
        <f t="shared" si="49"/>
        <v>0.71</v>
      </c>
      <c r="DO414" s="2">
        <f t="shared" si="50"/>
        <v>0.03</v>
      </c>
      <c r="DP414" s="2" t="s">
        <v>675</v>
      </c>
      <c r="DQ414" s="2" t="s">
        <v>3</v>
      </c>
      <c r="DR414" s="2">
        <f t="shared" si="51"/>
        <v>1.54</v>
      </c>
      <c r="DS414" s="2">
        <f t="shared" si="52"/>
        <v>0.71</v>
      </c>
      <c r="DT414" s="15">
        <f t="shared" si="53"/>
        <v>10.933999999999999</v>
      </c>
      <c r="DU414" s="2"/>
      <c r="DV414" s="2">
        <f t="shared" si="54"/>
        <v>0</v>
      </c>
      <c r="DW414" s="2"/>
      <c r="DX414" s="2"/>
      <c r="DY414" s="2"/>
      <c r="DZ414" s="2" t="s">
        <v>3</v>
      </c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 t="s">
        <v>3</v>
      </c>
      <c r="FR414" s="2" t="s">
        <v>183</v>
      </c>
      <c r="FS414" s="2" t="s">
        <v>567</v>
      </c>
      <c r="FT414" s="2"/>
      <c r="FU414" s="2"/>
      <c r="FV414" s="2" t="s">
        <v>3</v>
      </c>
    </row>
    <row r="415" spans="1:178" ht="15.75" customHeight="1" x14ac:dyDescent="0.2">
      <c r="A415" s="14" t="s">
        <v>96</v>
      </c>
      <c r="B415" s="2" t="s">
        <v>124</v>
      </c>
      <c r="C415" s="21" t="s">
        <v>973</v>
      </c>
      <c r="D415" s="2" t="s">
        <v>99</v>
      </c>
      <c r="E415" s="2"/>
      <c r="F415" s="2"/>
      <c r="G415" s="2"/>
      <c r="H415" s="2" t="s">
        <v>634</v>
      </c>
      <c r="I415" s="2"/>
      <c r="J415" s="2"/>
      <c r="K415" s="2">
        <v>0</v>
      </c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>
        <v>0</v>
      </c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>
        <v>0.76</v>
      </c>
      <c r="BB415" s="2">
        <v>1.76</v>
      </c>
      <c r="BC415" s="2">
        <v>0.1</v>
      </c>
      <c r="BD415" s="2">
        <v>11</v>
      </c>
      <c r="BE415" s="2"/>
      <c r="BF415" s="2"/>
      <c r="BG415" s="2"/>
      <c r="BH415" s="2">
        <v>1.33</v>
      </c>
      <c r="BI415" s="2">
        <v>0.13</v>
      </c>
      <c r="BJ415" s="2">
        <v>0.14000000000000001</v>
      </c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>
        <v>0</v>
      </c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>
        <v>0</v>
      </c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14" t="s">
        <v>81</v>
      </c>
      <c r="DM415" s="2" t="s">
        <v>81</v>
      </c>
      <c r="DN415" s="2">
        <f t="shared" si="49"/>
        <v>0.13</v>
      </c>
      <c r="DO415" s="2">
        <f t="shared" si="50"/>
        <v>0.14000000000000001</v>
      </c>
      <c r="DP415" s="2" t="s">
        <v>675</v>
      </c>
      <c r="DQ415" s="2" t="s">
        <v>3</v>
      </c>
      <c r="DR415" s="2">
        <f t="shared" si="51"/>
        <v>0.76</v>
      </c>
      <c r="DS415" s="2">
        <f t="shared" si="52"/>
        <v>0.13</v>
      </c>
      <c r="DT415" s="15">
        <f t="shared" si="53"/>
        <v>0.98799999999999999</v>
      </c>
      <c r="DU415" s="2"/>
      <c r="DV415" s="2">
        <f t="shared" si="54"/>
        <v>0</v>
      </c>
      <c r="DW415" s="2"/>
      <c r="DX415" s="2"/>
      <c r="DY415" s="2"/>
      <c r="DZ415" s="2" t="s">
        <v>3</v>
      </c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 t="s">
        <v>3</v>
      </c>
      <c r="FR415" s="2" t="s">
        <v>183</v>
      </c>
      <c r="FS415" s="2" t="s">
        <v>567</v>
      </c>
      <c r="FT415" s="2"/>
      <c r="FU415" s="2"/>
      <c r="FV415" s="2" t="s">
        <v>3</v>
      </c>
    </row>
    <row r="416" spans="1:178" ht="15.75" customHeight="1" x14ac:dyDescent="0.2">
      <c r="A416" s="14" t="s">
        <v>96</v>
      </c>
      <c r="B416" s="2" t="s">
        <v>133</v>
      </c>
      <c r="C416" s="16" t="s">
        <v>974</v>
      </c>
      <c r="D416" s="2" t="s">
        <v>99</v>
      </c>
      <c r="E416" s="2"/>
      <c r="F416" s="2"/>
      <c r="G416" s="2"/>
      <c r="H416" s="2" t="s">
        <v>975</v>
      </c>
      <c r="I416" s="2"/>
      <c r="J416" s="2"/>
      <c r="K416" s="2">
        <v>0</v>
      </c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>
        <v>0</v>
      </c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19">
        <v>9.2609999999999998E-2</v>
      </c>
      <c r="BB416" s="2">
        <v>0.27</v>
      </c>
      <c r="BC416" s="2"/>
      <c r="BD416" s="2"/>
      <c r="BE416" s="2"/>
      <c r="BF416" s="2"/>
      <c r="BG416" s="2"/>
      <c r="BH416" s="2"/>
      <c r="BI416" s="2">
        <v>0.53</v>
      </c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>
        <v>0</v>
      </c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>
        <v>0</v>
      </c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14" t="s">
        <v>100</v>
      </c>
      <c r="DM416" s="2"/>
      <c r="DN416" s="2">
        <f t="shared" si="49"/>
        <v>0.53</v>
      </c>
      <c r="DO416" s="2">
        <f t="shared" si="50"/>
        <v>0</v>
      </c>
      <c r="DP416" s="2" t="s">
        <v>976</v>
      </c>
      <c r="DQ416" s="2" t="s">
        <v>3</v>
      </c>
      <c r="DR416" s="19">
        <f t="shared" si="51"/>
        <v>9.2609999999999998E-2</v>
      </c>
      <c r="DS416" s="2">
        <f t="shared" si="52"/>
        <v>0.53</v>
      </c>
      <c r="DT416" s="15">
        <f t="shared" si="53"/>
        <v>0.49083300000000002</v>
      </c>
      <c r="DU416" s="2"/>
      <c r="DV416" s="2">
        <f t="shared" si="54"/>
        <v>0</v>
      </c>
      <c r="DW416" s="2"/>
      <c r="DX416" s="2"/>
      <c r="DY416" s="2"/>
      <c r="DZ416" s="2" t="s">
        <v>3</v>
      </c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 t="s">
        <v>3</v>
      </c>
      <c r="FR416" s="2" t="s">
        <v>89</v>
      </c>
      <c r="FS416" s="2" t="s">
        <v>408</v>
      </c>
      <c r="FT416" s="2"/>
      <c r="FU416" s="2"/>
      <c r="FV416" s="2" t="s">
        <v>3</v>
      </c>
    </row>
    <row r="417" spans="1:178" ht="15.75" customHeight="1" x14ac:dyDescent="0.2">
      <c r="A417" s="14" t="s">
        <v>74</v>
      </c>
      <c r="B417" s="2" t="s">
        <v>164</v>
      </c>
      <c r="C417" s="13" t="s">
        <v>977</v>
      </c>
      <c r="D417" s="2" t="s">
        <v>99</v>
      </c>
      <c r="E417" s="2"/>
      <c r="F417" s="2"/>
      <c r="G417" s="2" t="s">
        <v>78</v>
      </c>
      <c r="H417" s="2" t="s">
        <v>978</v>
      </c>
      <c r="I417" s="2"/>
      <c r="J417" s="2" t="s">
        <v>242</v>
      </c>
      <c r="K417" s="2">
        <v>7.8</v>
      </c>
      <c r="L417" s="2"/>
      <c r="M417" s="2"/>
      <c r="N417" s="2"/>
      <c r="O417" s="2"/>
      <c r="P417" s="2"/>
      <c r="Q417" s="2"/>
      <c r="R417" s="2"/>
      <c r="S417" s="2">
        <v>0.13</v>
      </c>
      <c r="T417" s="2">
        <v>7.0000000000000007E-2</v>
      </c>
      <c r="U417" s="2">
        <v>0.42</v>
      </c>
      <c r="V417" s="2"/>
      <c r="W417" s="2"/>
      <c r="X417" s="2"/>
      <c r="Y417" s="2"/>
      <c r="Z417" s="2"/>
      <c r="AA417" s="2"/>
      <c r="AB417" s="2"/>
      <c r="AC417" s="2">
        <v>435</v>
      </c>
      <c r="AD417" s="2"/>
      <c r="AE417" s="2"/>
      <c r="AF417" s="2">
        <v>12.5</v>
      </c>
      <c r="AG417" s="2"/>
      <c r="AH417" s="2"/>
      <c r="AI417" s="2"/>
      <c r="AJ417" s="2"/>
      <c r="AK417" s="2"/>
      <c r="AL417" s="2"/>
      <c r="AM417" s="2"/>
      <c r="AN417" s="2">
        <v>0.11</v>
      </c>
      <c r="AO417" s="2">
        <v>0.06</v>
      </c>
      <c r="AP417" s="2">
        <v>0.26</v>
      </c>
      <c r="AQ417" s="2"/>
      <c r="AR417" s="2"/>
      <c r="AS417" s="2"/>
      <c r="AT417" s="2"/>
      <c r="AU417" s="2"/>
      <c r="AV417" s="2"/>
      <c r="AW417" s="2"/>
      <c r="AX417" s="2">
        <v>410</v>
      </c>
      <c r="AY417" s="2"/>
      <c r="AZ417" s="2"/>
      <c r="BA417" s="2">
        <v>15.3</v>
      </c>
      <c r="BB417" s="2"/>
      <c r="BC417" s="2"/>
      <c r="BD417" s="2"/>
      <c r="BE417" s="2"/>
      <c r="BF417" s="2"/>
      <c r="BG417" s="2"/>
      <c r="BH417" s="2"/>
      <c r="BI417" s="2">
        <v>0.08</v>
      </c>
      <c r="BJ417" s="2">
        <v>0.05</v>
      </c>
      <c r="BK417" s="2">
        <v>0.22</v>
      </c>
      <c r="BL417" s="2"/>
      <c r="BM417" s="2"/>
      <c r="BN417" s="2"/>
      <c r="BO417" s="2"/>
      <c r="BP417" s="2"/>
      <c r="BQ417" s="2"/>
      <c r="BR417" s="2"/>
      <c r="BS417" s="2">
        <v>380</v>
      </c>
      <c r="BT417" s="2"/>
      <c r="BU417" s="2"/>
      <c r="BV417" s="2">
        <v>2.2250000000000001</v>
      </c>
      <c r="BW417" s="2"/>
      <c r="BX417" s="2"/>
      <c r="BY417" s="2"/>
      <c r="BZ417" s="2"/>
      <c r="CA417" s="2"/>
      <c r="CB417" s="2"/>
      <c r="CC417" s="2"/>
      <c r="CD417" s="2">
        <v>0.13</v>
      </c>
      <c r="CE417" s="2">
        <v>0.09</v>
      </c>
      <c r="CF417" s="2"/>
      <c r="CG417" s="2"/>
      <c r="CH417" s="2"/>
      <c r="CI417" s="2"/>
      <c r="CJ417" s="2"/>
      <c r="CK417" s="2"/>
      <c r="CL417" s="2"/>
      <c r="CM417" s="2"/>
      <c r="CN417" s="2">
        <v>560</v>
      </c>
      <c r="CO417" s="2"/>
      <c r="CP417" s="2"/>
      <c r="CQ417" s="2">
        <v>1.7649999999999999</v>
      </c>
      <c r="CR417" s="2"/>
      <c r="CS417" s="2"/>
      <c r="CT417" s="2"/>
      <c r="CU417" s="2"/>
      <c r="CV417" s="2"/>
      <c r="CW417" s="2"/>
      <c r="CX417" s="2"/>
      <c r="CY417" s="2">
        <v>0.13</v>
      </c>
      <c r="CZ417" s="2">
        <v>0.08</v>
      </c>
      <c r="DA417" s="2"/>
      <c r="DB417" s="2"/>
      <c r="DC417" s="2"/>
      <c r="DD417" s="2"/>
      <c r="DE417" s="2"/>
      <c r="DF417" s="2"/>
      <c r="DG417" s="2"/>
      <c r="DH417" s="2"/>
      <c r="DI417" s="2">
        <v>540</v>
      </c>
      <c r="DJ417" s="2"/>
      <c r="DK417" s="2"/>
      <c r="DL417" s="14" t="s">
        <v>81</v>
      </c>
      <c r="DM417" s="2" t="s">
        <v>81</v>
      </c>
      <c r="DN417" s="2">
        <f t="shared" si="49"/>
        <v>0.10148876404494382</v>
      </c>
      <c r="DO417" s="2">
        <f t="shared" si="50"/>
        <v>5.7893258426966285E-2</v>
      </c>
      <c r="DP417" s="2" t="s">
        <v>211</v>
      </c>
      <c r="DQ417" s="2" t="s">
        <v>3</v>
      </c>
      <c r="DR417" s="2">
        <f t="shared" si="51"/>
        <v>35.6</v>
      </c>
      <c r="DS417" s="4">
        <f t="shared" si="52"/>
        <v>0.10148876404494382</v>
      </c>
      <c r="DT417" s="15">
        <f t="shared" si="53"/>
        <v>36.130000000000003</v>
      </c>
      <c r="DU417" s="2"/>
      <c r="DV417" s="2">
        <f t="shared" si="54"/>
        <v>3.99</v>
      </c>
      <c r="DW417" s="4">
        <f>(BV417*CD417+CQ417*CY417)/DV417</f>
        <v>0.12999999999999998</v>
      </c>
      <c r="DX417" s="15">
        <f>1000*DV417*DW417/100</f>
        <v>5.1869999999999994</v>
      </c>
      <c r="DY417" s="2"/>
      <c r="DZ417" s="2" t="s">
        <v>3</v>
      </c>
      <c r="EA417" s="2" t="s">
        <v>979</v>
      </c>
      <c r="EB417" s="2" t="s">
        <v>176</v>
      </c>
      <c r="EC417" s="2">
        <v>65.3</v>
      </c>
      <c r="ED417" s="2" t="s">
        <v>176</v>
      </c>
      <c r="EE417" s="2" t="s">
        <v>176</v>
      </c>
      <c r="EF417" s="2" t="s">
        <v>176</v>
      </c>
      <c r="EG417" s="2" t="s">
        <v>176</v>
      </c>
      <c r="EH417" s="2"/>
      <c r="EI417" s="2"/>
      <c r="EJ417" s="2"/>
      <c r="EK417" s="2"/>
      <c r="EL417" s="2"/>
      <c r="EM417" s="2" t="s">
        <v>979</v>
      </c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 t="s">
        <v>979</v>
      </c>
      <c r="FQ417" s="2" t="s">
        <v>3</v>
      </c>
      <c r="FR417" s="2" t="s">
        <v>37</v>
      </c>
      <c r="FS417" s="2" t="s">
        <v>114</v>
      </c>
      <c r="FT417" s="2" t="s">
        <v>114</v>
      </c>
      <c r="FU417" s="2"/>
      <c r="FV417" s="2" t="s">
        <v>3</v>
      </c>
    </row>
    <row r="418" spans="1:178" ht="15.75" customHeight="1" x14ac:dyDescent="0.2">
      <c r="A418" s="14" t="s">
        <v>74</v>
      </c>
      <c r="B418" s="2" t="s">
        <v>164</v>
      </c>
      <c r="C418" s="13" t="s">
        <v>980</v>
      </c>
      <c r="D418" s="2" t="s">
        <v>99</v>
      </c>
      <c r="E418" s="2"/>
      <c r="F418" s="2"/>
      <c r="G418" s="2" t="s">
        <v>78</v>
      </c>
      <c r="H418" s="2" t="s">
        <v>215</v>
      </c>
      <c r="I418" s="2"/>
      <c r="J418" s="2" t="s">
        <v>242</v>
      </c>
      <c r="K418" s="2">
        <v>0</v>
      </c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>
        <v>0</v>
      </c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>
        <v>0.69699999999999995</v>
      </c>
      <c r="BB418" s="2"/>
      <c r="BC418" s="2"/>
      <c r="BD418" s="2"/>
      <c r="BE418" s="2"/>
      <c r="BF418" s="2"/>
      <c r="BG418" s="2"/>
      <c r="BH418" s="2"/>
      <c r="BI418" s="4">
        <v>0.90429999999999999</v>
      </c>
      <c r="BJ418" s="19">
        <v>0.1157</v>
      </c>
      <c r="BK418" s="2"/>
      <c r="BL418" s="2"/>
      <c r="BM418" s="20"/>
      <c r="BN418" s="20"/>
      <c r="BO418" s="20"/>
      <c r="BP418" s="2"/>
      <c r="BQ418" s="2"/>
      <c r="BR418" s="2"/>
      <c r="BS418" s="2">
        <v>39.5</v>
      </c>
      <c r="BT418" s="2"/>
      <c r="BU418" s="2"/>
      <c r="BV418" s="2">
        <v>0</v>
      </c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>
        <v>0</v>
      </c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14" t="s">
        <v>81</v>
      </c>
      <c r="DM418" s="2" t="s">
        <v>81</v>
      </c>
      <c r="DN418" s="2">
        <f t="shared" si="49"/>
        <v>0.90429999999999999</v>
      </c>
      <c r="DO418" s="2">
        <f t="shared" si="50"/>
        <v>0.1157</v>
      </c>
      <c r="DP418" s="2" t="s">
        <v>981</v>
      </c>
      <c r="DQ418" s="2" t="s">
        <v>3</v>
      </c>
      <c r="DR418" s="2">
        <f t="shared" si="51"/>
        <v>0.69699999999999995</v>
      </c>
      <c r="DS418" s="4">
        <f t="shared" si="52"/>
        <v>0.90429999999999999</v>
      </c>
      <c r="DT418" s="15">
        <f t="shared" si="53"/>
        <v>6.3029710000000003</v>
      </c>
      <c r="DU418" s="2"/>
      <c r="DV418" s="2">
        <f t="shared" si="54"/>
        <v>0</v>
      </c>
      <c r="DW418" s="2"/>
      <c r="DX418" s="2"/>
      <c r="DY418" s="2"/>
      <c r="DZ418" s="2" t="s">
        <v>3</v>
      </c>
      <c r="EA418" s="2" t="s">
        <v>236</v>
      </c>
      <c r="EB418" s="15">
        <v>574.76099999999997</v>
      </c>
      <c r="EC418" s="2" t="s">
        <v>176</v>
      </c>
      <c r="ED418" s="15">
        <v>105.813</v>
      </c>
      <c r="EE418" s="2" t="s">
        <v>176</v>
      </c>
      <c r="EF418" s="3">
        <v>3637.7078670934857</v>
      </c>
      <c r="EG418" s="2" t="s">
        <v>176</v>
      </c>
      <c r="EH418" s="3">
        <f>EF418-ED418</f>
        <v>3531.8948670934856</v>
      </c>
      <c r="EI418" s="2"/>
      <c r="EJ418" s="3">
        <f>SUM(EP418,EX418,FB418)</f>
        <v>0</v>
      </c>
      <c r="EK418" s="2"/>
      <c r="EL418" s="3">
        <f>EB418+FD418</f>
        <v>574.76099999999997</v>
      </c>
      <c r="EM418" s="2" t="s">
        <v>236</v>
      </c>
      <c r="EN418" s="3">
        <f>SUM(DR993:DR998)</f>
        <v>0</v>
      </c>
      <c r="EO418" s="4" t="e">
        <f>100*(EP418/1000)/EN418</f>
        <v>#DIV/0!</v>
      </c>
      <c r="EP418" s="3">
        <f>SUM(DT993:DT998)</f>
        <v>0</v>
      </c>
      <c r="EQ418" s="2">
        <f>COUNT(DT993:DT998)</f>
        <v>0</v>
      </c>
      <c r="ER418" s="2" t="s">
        <v>176</v>
      </c>
      <c r="ES418" s="2" t="s">
        <v>176</v>
      </c>
      <c r="ET418" s="2" t="s">
        <v>176</v>
      </c>
      <c r="EU418" s="2" t="s">
        <v>176</v>
      </c>
      <c r="EV418" s="2" t="s">
        <v>176</v>
      </c>
      <c r="EW418" s="2" t="s">
        <v>176</v>
      </c>
      <c r="EX418" s="2" t="s">
        <v>176</v>
      </c>
      <c r="EY418" s="2" t="s">
        <v>176</v>
      </c>
      <c r="EZ418" s="2" t="s">
        <v>176</v>
      </c>
      <c r="FA418" s="2" t="s">
        <v>176</v>
      </c>
      <c r="FB418" s="2" t="s">
        <v>176</v>
      </c>
      <c r="FC418" s="2" t="s">
        <v>176</v>
      </c>
      <c r="FD418" s="3">
        <f>SUM(EP418,ET418,EX418,FB418)</f>
        <v>0</v>
      </c>
      <c r="FE418" s="15">
        <f>SUM(DV993:DV998)</f>
        <v>0</v>
      </c>
      <c r="FF418" s="4" t="e">
        <f>100*(FG418/1000)/FE418</f>
        <v>#DIV/0!</v>
      </c>
      <c r="FG418" s="15">
        <f>SUM(DX993:DX998)</f>
        <v>0</v>
      </c>
      <c r="FH418" s="2">
        <f>COUNT(DX993:DX998)</f>
        <v>0</v>
      </c>
      <c r="FI418" s="2" t="s">
        <v>176</v>
      </c>
      <c r="FJ418" s="2" t="s">
        <v>176</v>
      </c>
      <c r="FK418" s="2" t="s">
        <v>176</v>
      </c>
      <c r="FL418" s="2" t="s">
        <v>176</v>
      </c>
      <c r="FM418" s="2" t="s">
        <v>176</v>
      </c>
      <c r="FN418" s="2" t="s">
        <v>176</v>
      </c>
      <c r="FO418" s="15">
        <f>SUM(FG418,FK418,FM418,FN418)</f>
        <v>0</v>
      </c>
      <c r="FP418" s="2" t="s">
        <v>236</v>
      </c>
      <c r="FQ418" s="2" t="s">
        <v>3</v>
      </c>
      <c r="FR418" s="2" t="s">
        <v>37</v>
      </c>
      <c r="FS418" s="2" t="s">
        <v>114</v>
      </c>
      <c r="FT418" s="2" t="s">
        <v>114</v>
      </c>
      <c r="FU418" s="2"/>
      <c r="FV418" s="2" t="s">
        <v>3</v>
      </c>
    </row>
    <row r="419" spans="1:178" ht="15.75" customHeight="1" x14ac:dyDescent="0.2">
      <c r="A419" s="14" t="s">
        <v>96</v>
      </c>
      <c r="B419" s="2" t="s">
        <v>97</v>
      </c>
      <c r="C419" s="16" t="s">
        <v>982</v>
      </c>
      <c r="D419" s="2" t="s">
        <v>99</v>
      </c>
      <c r="E419" s="2"/>
      <c r="F419" s="2"/>
      <c r="G419" s="2"/>
      <c r="H419" s="2" t="s">
        <v>79</v>
      </c>
      <c r="I419" s="2"/>
      <c r="J419" s="2"/>
      <c r="K419" s="2">
        <v>1.103</v>
      </c>
      <c r="L419" s="2">
        <v>0.17</v>
      </c>
      <c r="M419" s="2">
        <v>0.26400000000000001</v>
      </c>
      <c r="N419" s="2"/>
      <c r="O419" s="2"/>
      <c r="P419" s="2"/>
      <c r="Q419" s="2"/>
      <c r="R419" s="2"/>
      <c r="S419" s="2">
        <v>0.23</v>
      </c>
      <c r="T419" s="2"/>
      <c r="U419" s="4">
        <f>(6.685-0.264)*0.4</f>
        <v>2.5684</v>
      </c>
      <c r="V419" s="4">
        <f>(6.685-0.264)*0.6</f>
        <v>3.8525999999999994</v>
      </c>
      <c r="W419" s="2"/>
      <c r="X419" s="2"/>
      <c r="Y419" s="2"/>
      <c r="Z419" s="2"/>
      <c r="AA419" s="2"/>
      <c r="AB419" s="2"/>
      <c r="AC419" s="2"/>
      <c r="AD419" s="2"/>
      <c r="AE419" s="2"/>
      <c r="AF419" s="2">
        <v>0</v>
      </c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>
        <v>0</v>
      </c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>
        <v>1.103</v>
      </c>
      <c r="BW419" s="2">
        <v>0.17</v>
      </c>
      <c r="BX419" s="2">
        <v>0.26400000000000001</v>
      </c>
      <c r="BY419" s="2"/>
      <c r="BZ419" s="2"/>
      <c r="CA419" s="2"/>
      <c r="CB419" s="2"/>
      <c r="CC419" s="2"/>
      <c r="CD419" s="2">
        <v>0.23</v>
      </c>
      <c r="CE419" s="2"/>
      <c r="CF419" s="4">
        <f>(6.685-0.264)*0.4</f>
        <v>2.5684</v>
      </c>
      <c r="CG419" s="4">
        <f>(6.685-0.264)*0.6</f>
        <v>3.8525999999999994</v>
      </c>
      <c r="CH419" s="2"/>
      <c r="CI419" s="2"/>
      <c r="CJ419" s="2"/>
      <c r="CK419" s="2"/>
      <c r="CL419" s="2"/>
      <c r="CM419" s="2"/>
      <c r="CN419" s="2"/>
      <c r="CO419" s="2"/>
      <c r="CP419" s="2"/>
      <c r="CQ419" s="2">
        <v>0</v>
      </c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14" t="s">
        <v>81</v>
      </c>
      <c r="DM419" s="2"/>
      <c r="DN419" s="2">
        <f t="shared" si="49"/>
        <v>0.23000000000000004</v>
      </c>
      <c r="DO419" s="2">
        <f t="shared" si="50"/>
        <v>0</v>
      </c>
      <c r="DP419" s="2" t="s">
        <v>101</v>
      </c>
      <c r="DQ419" s="2" t="s">
        <v>3</v>
      </c>
      <c r="DR419" s="2">
        <f t="shared" si="51"/>
        <v>1.103</v>
      </c>
      <c r="DS419" s="2">
        <f t="shared" si="52"/>
        <v>0.23000000000000004</v>
      </c>
      <c r="DT419" s="15">
        <f t="shared" si="53"/>
        <v>2.5369000000000006</v>
      </c>
      <c r="DU419" s="2"/>
      <c r="DV419" s="2">
        <f t="shared" si="54"/>
        <v>1.103</v>
      </c>
      <c r="DW419" s="4">
        <f t="shared" ref="DW419:DW420" si="88">(BV419*CD419+CQ419*CY419)/DV419</f>
        <v>0.23000000000000004</v>
      </c>
      <c r="DX419" s="15">
        <f t="shared" ref="DX419:DX420" si="89">1000*DV419*DW419/100</f>
        <v>2.5369000000000006</v>
      </c>
      <c r="DY419" s="2"/>
      <c r="DZ419" s="2" t="s">
        <v>3</v>
      </c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 t="s">
        <v>3</v>
      </c>
      <c r="FR419" s="2" t="s">
        <v>89</v>
      </c>
      <c r="FS419" s="2" t="s">
        <v>90</v>
      </c>
      <c r="FT419" s="2"/>
      <c r="FU419" s="2"/>
      <c r="FV419" s="2" t="s">
        <v>3</v>
      </c>
    </row>
    <row r="420" spans="1:178" ht="15.75" customHeight="1" x14ac:dyDescent="0.2">
      <c r="A420" s="14" t="s">
        <v>96</v>
      </c>
      <c r="B420" s="2" t="s">
        <v>97</v>
      </c>
      <c r="C420" s="16" t="s">
        <v>983</v>
      </c>
      <c r="D420" s="2" t="s">
        <v>99</v>
      </c>
      <c r="E420" s="2"/>
      <c r="F420" s="2"/>
      <c r="G420" s="2"/>
      <c r="H420" s="2" t="s">
        <v>79</v>
      </c>
      <c r="I420" s="2"/>
      <c r="J420" s="2"/>
      <c r="K420" s="2">
        <v>12.712999999999999</v>
      </c>
      <c r="L420" s="2">
        <v>0.16</v>
      </c>
      <c r="M420" s="2">
        <v>0.14899999999999999</v>
      </c>
      <c r="N420" s="2"/>
      <c r="O420" s="2"/>
      <c r="P420" s="2"/>
      <c r="Q420" s="2"/>
      <c r="R420" s="2"/>
      <c r="S420" s="2">
        <v>0.12</v>
      </c>
      <c r="T420" s="2"/>
      <c r="U420" s="4">
        <f>(3.652-0.149)*0.4</f>
        <v>1.4012000000000002</v>
      </c>
      <c r="V420" s="4">
        <f>(3.652-0.149)*0.6</f>
        <v>2.1017999999999999</v>
      </c>
      <c r="W420" s="2"/>
      <c r="X420" s="2"/>
      <c r="Y420" s="2"/>
      <c r="Z420" s="2"/>
      <c r="AA420" s="2"/>
      <c r="AB420" s="2"/>
      <c r="AC420" s="2"/>
      <c r="AD420" s="2"/>
      <c r="AE420" s="2"/>
      <c r="AF420" s="2">
        <v>0</v>
      </c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>
        <v>0</v>
      </c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>
        <v>12.712999999999999</v>
      </c>
      <c r="BW420" s="2">
        <v>0.16</v>
      </c>
      <c r="BX420" s="2">
        <v>0.14899999999999999</v>
      </c>
      <c r="BY420" s="2"/>
      <c r="BZ420" s="2"/>
      <c r="CA420" s="2"/>
      <c r="CB420" s="2"/>
      <c r="CC420" s="2"/>
      <c r="CD420" s="2">
        <v>0.12</v>
      </c>
      <c r="CE420" s="2"/>
      <c r="CF420" s="4">
        <f>(3.652-0.149)*0.4</f>
        <v>1.4012000000000002</v>
      </c>
      <c r="CG420" s="4">
        <f>(3.652-0.149)*0.6</f>
        <v>2.1017999999999999</v>
      </c>
      <c r="CH420" s="2"/>
      <c r="CI420" s="2"/>
      <c r="CJ420" s="2"/>
      <c r="CK420" s="2"/>
      <c r="CL420" s="2"/>
      <c r="CM420" s="2"/>
      <c r="CN420" s="2"/>
      <c r="CO420" s="2"/>
      <c r="CP420" s="2"/>
      <c r="CQ420" s="2">
        <v>0</v>
      </c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14" t="s">
        <v>81</v>
      </c>
      <c r="DM420" s="2"/>
      <c r="DN420" s="2">
        <f t="shared" si="49"/>
        <v>0.12</v>
      </c>
      <c r="DO420" s="2">
        <f t="shared" si="50"/>
        <v>0</v>
      </c>
      <c r="DP420" s="2" t="s">
        <v>101</v>
      </c>
      <c r="DQ420" s="2" t="s">
        <v>3</v>
      </c>
      <c r="DR420" s="4">
        <f t="shared" si="51"/>
        <v>12.712999999999999</v>
      </c>
      <c r="DS420" s="2">
        <f t="shared" si="52"/>
        <v>0.12</v>
      </c>
      <c r="DT420" s="15">
        <f t="shared" si="53"/>
        <v>15.255599999999999</v>
      </c>
      <c r="DU420" s="2"/>
      <c r="DV420" s="2">
        <f t="shared" si="54"/>
        <v>12.712999999999999</v>
      </c>
      <c r="DW420" s="4">
        <f t="shared" si="88"/>
        <v>0.12</v>
      </c>
      <c r="DX420" s="15">
        <f t="shared" si="89"/>
        <v>15.255599999999999</v>
      </c>
      <c r="DY420" s="2"/>
      <c r="DZ420" s="2" t="s">
        <v>3</v>
      </c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 t="s">
        <v>3</v>
      </c>
      <c r="FR420" s="2" t="s">
        <v>89</v>
      </c>
      <c r="FS420" s="2" t="s">
        <v>90</v>
      </c>
      <c r="FT420" s="2"/>
      <c r="FU420" s="2"/>
      <c r="FV420" s="2" t="s">
        <v>3</v>
      </c>
    </row>
    <row r="421" spans="1:178" ht="15.75" customHeight="1" x14ac:dyDescent="0.2">
      <c r="A421" s="14" t="s">
        <v>84</v>
      </c>
      <c r="B421" s="2" t="s">
        <v>85</v>
      </c>
      <c r="C421" s="16" t="s">
        <v>984</v>
      </c>
      <c r="D421" s="2"/>
      <c r="E421" s="2"/>
      <c r="F421" s="2"/>
      <c r="G421" s="2"/>
      <c r="H421" s="2" t="s">
        <v>129</v>
      </c>
      <c r="I421" s="2"/>
      <c r="J421" s="2"/>
      <c r="K421" s="15">
        <v>21.341463414634148</v>
      </c>
      <c r="L421" s="4">
        <v>1.5542233663308669E-2</v>
      </c>
      <c r="M421" s="4">
        <v>1.536E-2</v>
      </c>
      <c r="N421" s="2"/>
      <c r="O421" s="2"/>
      <c r="P421" s="2"/>
      <c r="Q421" s="2"/>
      <c r="R421" s="2"/>
      <c r="S421" s="4">
        <v>0.11240231217618901</v>
      </c>
      <c r="T421" s="2"/>
      <c r="U421" s="4">
        <v>2.9145599999999998</v>
      </c>
      <c r="V421" s="4">
        <v>1.33728</v>
      </c>
      <c r="W421" s="4">
        <v>0.53279999999999994</v>
      </c>
      <c r="X421" s="2"/>
      <c r="Y421" s="2"/>
      <c r="Z421" s="2"/>
      <c r="AA421" s="2"/>
      <c r="AB421" s="2"/>
      <c r="AC421" s="2"/>
      <c r="AD421" s="2"/>
      <c r="AE421" s="2"/>
      <c r="AF421" s="15">
        <v>147.6829268292683</v>
      </c>
      <c r="AG421" s="4">
        <v>1.5542233663308669E-2</v>
      </c>
      <c r="AH421" s="4">
        <v>1.4719999999999999E-2</v>
      </c>
      <c r="AI421" s="2"/>
      <c r="AJ421" s="2"/>
      <c r="AK421" s="2"/>
      <c r="AL421" s="2"/>
      <c r="AM421" s="2"/>
      <c r="AN421" s="4">
        <v>0.11240231217618901</v>
      </c>
      <c r="AO421" s="2"/>
      <c r="AP421" s="4">
        <v>2.7931199999999996</v>
      </c>
      <c r="AQ421" s="4">
        <v>1.28156</v>
      </c>
      <c r="AR421" s="4">
        <v>0.51059999999999994</v>
      </c>
      <c r="AS421" s="4"/>
      <c r="AT421" s="4"/>
      <c r="AU421" s="2"/>
      <c r="AV421" s="2"/>
      <c r="AW421" s="2"/>
      <c r="AX421" s="2"/>
      <c r="AY421" s="2"/>
      <c r="AZ421" s="2"/>
      <c r="BA421" s="15">
        <v>21.09756097560976</v>
      </c>
      <c r="BB421" s="4">
        <v>1.5542233663308669E-2</v>
      </c>
      <c r="BC421" s="4">
        <v>1.5103999999999999E-2</v>
      </c>
      <c r="BD421" s="2"/>
      <c r="BE421" s="2"/>
      <c r="BF421" s="2"/>
      <c r="BG421" s="2"/>
      <c r="BH421" s="2"/>
      <c r="BI421" s="4">
        <v>0.11240231217618901</v>
      </c>
      <c r="BJ421" s="2"/>
      <c r="BK421" s="4">
        <v>2.8659839999999996</v>
      </c>
      <c r="BL421" s="4">
        <v>1.3149919999999999</v>
      </c>
      <c r="BM421" s="4">
        <v>0.52391999999999994</v>
      </c>
      <c r="BN421" s="2"/>
      <c r="BO421" s="2"/>
      <c r="BP421" s="2"/>
      <c r="BQ421" s="2"/>
      <c r="BR421" s="2"/>
      <c r="BS421" s="2"/>
      <c r="BT421" s="2"/>
      <c r="BU421" s="2"/>
      <c r="BV421" s="2">
        <v>0</v>
      </c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>
        <v>0</v>
      </c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14" t="s">
        <v>81</v>
      </c>
      <c r="DM421" s="2"/>
      <c r="DN421" s="2">
        <f t="shared" si="49"/>
        <v>0.11240231217618901</v>
      </c>
      <c r="DO421" s="2">
        <f t="shared" si="50"/>
        <v>0</v>
      </c>
      <c r="DP421" s="2" t="s">
        <v>95</v>
      </c>
      <c r="DQ421" s="2" t="s">
        <v>3</v>
      </c>
      <c r="DR421" s="15">
        <f t="shared" si="51"/>
        <v>190.1219512195122</v>
      </c>
      <c r="DS421" s="4">
        <f t="shared" si="52"/>
        <v>0.11240231217618901</v>
      </c>
      <c r="DT421" s="15">
        <f t="shared" si="53"/>
        <v>213.70146912521793</v>
      </c>
      <c r="DU421" s="2"/>
      <c r="DV421" s="2">
        <f t="shared" si="54"/>
        <v>0</v>
      </c>
      <c r="DW421" s="2"/>
      <c r="DX421" s="2"/>
      <c r="DY421" s="2"/>
      <c r="DZ421" s="2" t="s">
        <v>3</v>
      </c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 t="s">
        <v>3</v>
      </c>
      <c r="FR421" s="2" t="s">
        <v>89</v>
      </c>
      <c r="FS421" s="2" t="s">
        <v>90</v>
      </c>
      <c r="FT421" s="2" t="s">
        <v>91</v>
      </c>
      <c r="FU421" s="2" t="s">
        <v>92</v>
      </c>
      <c r="FV421" s="2" t="s">
        <v>3</v>
      </c>
    </row>
    <row r="422" spans="1:178" ht="15.75" customHeight="1" x14ac:dyDescent="0.2">
      <c r="A422" s="14" t="s">
        <v>96</v>
      </c>
      <c r="B422" s="2" t="s">
        <v>164</v>
      </c>
      <c r="C422" s="16" t="s">
        <v>985</v>
      </c>
      <c r="D422" s="2" t="s">
        <v>99</v>
      </c>
      <c r="E422" s="2"/>
      <c r="F422" s="2"/>
      <c r="G422" s="2" t="s">
        <v>179</v>
      </c>
      <c r="H422" s="2" t="s">
        <v>611</v>
      </c>
      <c r="I422" s="2"/>
      <c r="J422" s="2" t="s">
        <v>181</v>
      </c>
      <c r="K422" s="2">
        <f>4.4+2.13</f>
        <v>6.53</v>
      </c>
      <c r="L422" s="4">
        <f>(0.08*4.4+0.03*2.13)/K422</f>
        <v>6.3690658499234304E-2</v>
      </c>
      <c r="M422" s="4">
        <f>(0.42*4.4+0.1*2.13)/K422</f>
        <v>0.31562021439509952</v>
      </c>
      <c r="N422" s="2"/>
      <c r="O422" s="2"/>
      <c r="P422" s="2"/>
      <c r="Q422" s="2"/>
      <c r="R422" s="2"/>
      <c r="S422" s="4">
        <f>(0.28*4.4+0.18*2.13)/K422</f>
        <v>0.24738131699846863</v>
      </c>
      <c r="T422" s="2"/>
      <c r="U422" s="4">
        <f>(2.46*4.4+1.36*2.13)/K422</f>
        <v>2.1011944869831547</v>
      </c>
      <c r="V422" s="4">
        <f>(2.83*4.4+1.09*2.13)/K422</f>
        <v>2.2624349157733539</v>
      </c>
      <c r="W422" s="2"/>
      <c r="X422" s="2"/>
      <c r="Y422" s="2"/>
      <c r="Z422" s="2"/>
      <c r="AA422" s="2"/>
      <c r="AB422" s="2"/>
      <c r="AC422" s="2"/>
      <c r="AD422" s="2"/>
      <c r="AE422" s="2"/>
      <c r="AF422" s="2">
        <f>4.13+1.5</f>
        <v>5.63</v>
      </c>
      <c r="AG422" s="4">
        <f>(0.09*4.13+0.04*1.5)/AF422</f>
        <v>7.6678507992895203E-2</v>
      </c>
      <c r="AH422" s="4">
        <f>(0.38*4.13+0.1*1.5)/AF422</f>
        <v>0.30539964476021314</v>
      </c>
      <c r="AI422" s="2"/>
      <c r="AJ422" s="2"/>
      <c r="AK422" s="2"/>
      <c r="AL422" s="2"/>
      <c r="AM422" s="2"/>
      <c r="AN422" s="4">
        <f>(0.31*4.13+0.19*1.5)/AF422</f>
        <v>0.27802841918294852</v>
      </c>
      <c r="AO422" s="2"/>
      <c r="AP422" s="4">
        <f>(2.73*4.13+1.56*1.5)/AF422</f>
        <v>2.4182770870337476</v>
      </c>
      <c r="AQ422" s="4">
        <f>(3.21*4.13+1.28*1.5)/AF422</f>
        <v>2.6957904085257547</v>
      </c>
      <c r="AR422" s="2"/>
      <c r="AS422" s="2"/>
      <c r="AT422" s="2"/>
      <c r="AU422" s="2"/>
      <c r="AV422" s="2"/>
      <c r="AW422" s="2"/>
      <c r="AX422" s="2"/>
      <c r="AY422" s="2"/>
      <c r="AZ422" s="2"/>
      <c r="BA422" s="2">
        <f>1.56+0.6</f>
        <v>2.16</v>
      </c>
      <c r="BB422" s="4">
        <f>(0.13*1.56+0.05*0.6)/BA422</f>
        <v>0.10777777777777778</v>
      </c>
      <c r="BC422" s="4">
        <f>(0.38*1.56+0.1*0.6)/BA422</f>
        <v>0.30222222222222223</v>
      </c>
      <c r="BD422" s="2"/>
      <c r="BE422" s="2"/>
      <c r="BF422" s="2"/>
      <c r="BG422" s="2"/>
      <c r="BH422" s="2"/>
      <c r="BI422" s="4">
        <f>(0.36*1.56+0.19*0.6)/BA422</f>
        <v>0.31277777777777777</v>
      </c>
      <c r="BJ422" s="2"/>
      <c r="BK422" s="4">
        <f>(2.1*1.56+1.22*0.6)/BA422</f>
        <v>1.8555555555555554</v>
      </c>
      <c r="BL422" s="4">
        <f>(2.35*1.56+1.07*0.6)/BA422</f>
        <v>1.9944444444444447</v>
      </c>
      <c r="BM422" s="2"/>
      <c r="BN422" s="2"/>
      <c r="BO422" s="2"/>
      <c r="BP422" s="2"/>
      <c r="BQ422" s="2"/>
      <c r="BR422" s="2"/>
      <c r="BS422" s="2"/>
      <c r="BT422" s="2"/>
      <c r="BU422" s="2"/>
      <c r="BV422" s="2">
        <v>0</v>
      </c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>
        <v>0</v>
      </c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14" t="s">
        <v>81</v>
      </c>
      <c r="DM422" s="2"/>
      <c r="DN422" s="2">
        <f t="shared" si="49"/>
        <v>0.26929469273743017</v>
      </c>
      <c r="DO422" s="2">
        <f t="shared" si="50"/>
        <v>0</v>
      </c>
      <c r="DP422" s="2" t="s">
        <v>211</v>
      </c>
      <c r="DQ422" s="2" t="s">
        <v>3</v>
      </c>
      <c r="DR422" s="2">
        <f t="shared" si="51"/>
        <v>14.32</v>
      </c>
      <c r="DS422" s="4">
        <f t="shared" si="52"/>
        <v>0.26929469273743017</v>
      </c>
      <c r="DT422" s="15">
        <f t="shared" si="53"/>
        <v>38.563000000000002</v>
      </c>
      <c r="DU422" s="2"/>
      <c r="DV422" s="2">
        <f t="shared" si="54"/>
        <v>0</v>
      </c>
      <c r="DW422" s="2"/>
      <c r="DX422" s="2"/>
      <c r="DY422" s="2"/>
      <c r="DZ422" s="2" t="s">
        <v>3</v>
      </c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 t="s">
        <v>3</v>
      </c>
      <c r="FR422" s="2" t="s">
        <v>89</v>
      </c>
      <c r="FS422" s="2" t="s">
        <v>90</v>
      </c>
      <c r="FT422" s="2"/>
      <c r="FU422" s="2"/>
      <c r="FV422" s="2" t="s">
        <v>3</v>
      </c>
    </row>
    <row r="423" spans="1:178" ht="15.75" customHeight="1" x14ac:dyDescent="0.2">
      <c r="A423" s="14" t="s">
        <v>96</v>
      </c>
      <c r="B423" s="2" t="s">
        <v>164</v>
      </c>
      <c r="C423" s="16" t="s">
        <v>986</v>
      </c>
      <c r="D423" s="2" t="s">
        <v>99</v>
      </c>
      <c r="E423" s="2"/>
      <c r="F423" s="2"/>
      <c r="G423" s="2" t="s">
        <v>179</v>
      </c>
      <c r="H423" s="2" t="s">
        <v>987</v>
      </c>
      <c r="I423" s="2"/>
      <c r="J423" s="2" t="s">
        <v>181</v>
      </c>
      <c r="K423" s="2">
        <v>0</v>
      </c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>
        <v>0</v>
      </c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15">
        <f>44.5+5.5</f>
        <v>50</v>
      </c>
      <c r="BB423" s="4">
        <f>(0.12*44.5+0.18*5.5)/BA423</f>
        <v>0.12659999999999999</v>
      </c>
      <c r="BC423" s="2"/>
      <c r="BD423" s="2"/>
      <c r="BE423" s="2"/>
      <c r="BF423" s="2"/>
      <c r="BG423" s="2"/>
      <c r="BH423" s="2"/>
      <c r="BI423" s="4">
        <f>(0.31*44.5+0.25*5.5)/BA423</f>
        <v>0.3034</v>
      </c>
      <c r="BJ423" s="4">
        <f>(0.03*44.5+0.03*5.5)/BA423</f>
        <v>0.03</v>
      </c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>
        <v>0</v>
      </c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>
        <v>0</v>
      </c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14" t="s">
        <v>81</v>
      </c>
      <c r="DM423" s="2" t="s">
        <v>81</v>
      </c>
      <c r="DN423" s="2">
        <f t="shared" si="49"/>
        <v>0.3034</v>
      </c>
      <c r="DO423" s="2">
        <f t="shared" si="50"/>
        <v>0.03</v>
      </c>
      <c r="DP423" s="2" t="s">
        <v>175</v>
      </c>
      <c r="DQ423" s="2" t="s">
        <v>3</v>
      </c>
      <c r="DR423" s="15">
        <f t="shared" si="51"/>
        <v>50</v>
      </c>
      <c r="DS423" s="4">
        <f t="shared" si="52"/>
        <v>0.3034</v>
      </c>
      <c r="DT423" s="15">
        <f t="shared" si="53"/>
        <v>151.69999999999999</v>
      </c>
      <c r="DU423" s="2"/>
      <c r="DV423" s="2">
        <f t="shared" si="54"/>
        <v>0</v>
      </c>
      <c r="DW423" s="2"/>
      <c r="DX423" s="2"/>
      <c r="DY423" s="2"/>
      <c r="DZ423" s="2" t="s">
        <v>3</v>
      </c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 t="s">
        <v>3</v>
      </c>
      <c r="FR423" s="2" t="s">
        <v>89</v>
      </c>
      <c r="FS423" s="2" t="s">
        <v>90</v>
      </c>
      <c r="FT423" s="2"/>
      <c r="FU423" s="2"/>
      <c r="FV423" s="2" t="s">
        <v>3</v>
      </c>
    </row>
    <row r="424" spans="1:178" ht="15.75" customHeight="1" x14ac:dyDescent="0.2">
      <c r="A424" s="14" t="s">
        <v>74</v>
      </c>
      <c r="B424" s="2" t="s">
        <v>164</v>
      </c>
      <c r="C424" s="13" t="s">
        <v>988</v>
      </c>
      <c r="D424" s="2" t="s">
        <v>99</v>
      </c>
      <c r="E424" s="2"/>
      <c r="F424" s="2"/>
      <c r="G424" s="2" t="s">
        <v>78</v>
      </c>
      <c r="H424" s="2" t="s">
        <v>989</v>
      </c>
      <c r="I424" s="2"/>
      <c r="J424" s="2" t="s">
        <v>242</v>
      </c>
      <c r="K424" s="2">
        <v>0</v>
      </c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>
        <v>2.6</v>
      </c>
      <c r="AG424" s="2"/>
      <c r="AH424" s="2"/>
      <c r="AI424" s="2"/>
      <c r="AJ424" s="2"/>
      <c r="AK424" s="2"/>
      <c r="AL424" s="2"/>
      <c r="AM424" s="2"/>
      <c r="AN424" s="2">
        <v>0.78</v>
      </c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>
        <v>27</v>
      </c>
      <c r="BB424" s="2"/>
      <c r="BC424" s="2"/>
      <c r="BD424" s="2"/>
      <c r="BE424" s="2"/>
      <c r="BF424" s="2"/>
      <c r="BG424" s="2"/>
      <c r="BH424" s="2"/>
      <c r="BI424" s="2">
        <v>0.7</v>
      </c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>
        <v>0</v>
      </c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>
        <v>0</v>
      </c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14" t="s">
        <v>81</v>
      </c>
      <c r="DM424" s="2"/>
      <c r="DN424" s="2">
        <f t="shared" si="49"/>
        <v>0.70702702702702691</v>
      </c>
      <c r="DO424" s="2">
        <f t="shared" si="50"/>
        <v>0</v>
      </c>
      <c r="DP424" s="2" t="s">
        <v>175</v>
      </c>
      <c r="DQ424" s="2" t="s">
        <v>3</v>
      </c>
      <c r="DR424" s="2">
        <f t="shared" si="51"/>
        <v>29.6</v>
      </c>
      <c r="DS424" s="4">
        <f t="shared" si="52"/>
        <v>0.70702702702702691</v>
      </c>
      <c r="DT424" s="15">
        <f t="shared" si="53"/>
        <v>209.27999999999997</v>
      </c>
      <c r="DU424" s="2"/>
      <c r="DV424" s="2">
        <f t="shared" si="54"/>
        <v>0</v>
      </c>
      <c r="DW424" s="2"/>
      <c r="DX424" s="2"/>
      <c r="DY424" s="2"/>
      <c r="DZ424" s="2" t="s">
        <v>3</v>
      </c>
      <c r="EA424" s="2" t="s">
        <v>75</v>
      </c>
      <c r="EB424" s="2" t="s">
        <v>176</v>
      </c>
      <c r="EC424" s="3">
        <v>3907.0889999999999</v>
      </c>
      <c r="ED424" s="2" t="s">
        <v>176</v>
      </c>
      <c r="EE424" s="3">
        <v>2429.6570000000002</v>
      </c>
      <c r="EF424" s="2" t="s">
        <v>176</v>
      </c>
      <c r="EG424" s="3">
        <v>18013.350446499993</v>
      </c>
      <c r="EH424" s="2"/>
      <c r="EI424" s="3">
        <f>EG424-EE424</f>
        <v>15583.693446499994</v>
      </c>
      <c r="EJ424" s="2"/>
      <c r="EK424" s="3">
        <f>ET424</f>
        <v>0</v>
      </c>
      <c r="EL424" s="3">
        <f>EC424+FD424</f>
        <v>3907.0889999999999</v>
      </c>
      <c r="EM424" s="2" t="s">
        <v>75</v>
      </c>
      <c r="EN424" s="2" t="s">
        <v>176</v>
      </c>
      <c r="EO424" s="2" t="s">
        <v>176</v>
      </c>
      <c r="EP424" s="2" t="s">
        <v>176</v>
      </c>
      <c r="EQ424" s="2" t="s">
        <v>176</v>
      </c>
      <c r="ER424" s="3">
        <f>SUM(DR796:DR829)</f>
        <v>0</v>
      </c>
      <c r="ES424" s="4" t="e">
        <f>100*(ET424/1000)/ER424</f>
        <v>#DIV/0!</v>
      </c>
      <c r="ET424" s="3">
        <f>SUM(DT796:DT829)</f>
        <v>0</v>
      </c>
      <c r="EU424" s="2">
        <f>COUNT(DT796:DT829)</f>
        <v>0</v>
      </c>
      <c r="EV424" s="2" t="s">
        <v>176</v>
      </c>
      <c r="EW424" s="2" t="s">
        <v>176</v>
      </c>
      <c r="EX424" s="2" t="s">
        <v>176</v>
      </c>
      <c r="EY424" s="2" t="s">
        <v>176</v>
      </c>
      <c r="EZ424" s="2" t="s">
        <v>176</v>
      </c>
      <c r="FA424" s="2" t="s">
        <v>176</v>
      </c>
      <c r="FB424" s="2" t="s">
        <v>176</v>
      </c>
      <c r="FC424" s="2" t="s">
        <v>176</v>
      </c>
      <c r="FD424" s="3">
        <f>SUM(EP424,ET424,EX424,FB424)</f>
        <v>0</v>
      </c>
      <c r="FE424" s="2" t="s">
        <v>176</v>
      </c>
      <c r="FF424" s="2" t="s">
        <v>176</v>
      </c>
      <c r="FG424" s="2" t="s">
        <v>176</v>
      </c>
      <c r="FH424" s="2" t="s">
        <v>176</v>
      </c>
      <c r="FI424" s="15">
        <f>SUM(DV796:DV829)</f>
        <v>0</v>
      </c>
      <c r="FJ424" s="4" t="e">
        <f>100*(FK424/1000)/FI424</f>
        <v>#DIV/0!</v>
      </c>
      <c r="FK424" s="3">
        <f>SUM(DX796:DX829)</f>
        <v>0</v>
      </c>
      <c r="FL424" s="2">
        <f>COUNT(DX796:DX829)</f>
        <v>0</v>
      </c>
      <c r="FM424" s="2" t="s">
        <v>176</v>
      </c>
      <c r="FN424" s="2" t="s">
        <v>176</v>
      </c>
      <c r="FO424" s="3">
        <f>SUM(FG424,FK424,FM424,FN424)</f>
        <v>0</v>
      </c>
      <c r="FP424" s="2" t="s">
        <v>75</v>
      </c>
      <c r="FQ424" s="2" t="s">
        <v>3</v>
      </c>
      <c r="FR424" s="2" t="s">
        <v>37</v>
      </c>
      <c r="FS424" s="2" t="s">
        <v>208</v>
      </c>
      <c r="FT424" s="2" t="s">
        <v>208</v>
      </c>
      <c r="FU424" s="2"/>
      <c r="FV424" s="2" t="s">
        <v>3</v>
      </c>
    </row>
    <row r="425" spans="1:178" ht="15.75" customHeight="1" x14ac:dyDescent="0.2">
      <c r="A425" s="14" t="s">
        <v>158</v>
      </c>
      <c r="B425" s="2" t="s">
        <v>115</v>
      </c>
      <c r="C425" s="16" t="s">
        <v>990</v>
      </c>
      <c r="D425" s="2" t="s">
        <v>99</v>
      </c>
      <c r="E425" s="2"/>
      <c r="F425" s="2"/>
      <c r="G425" s="2"/>
      <c r="H425" s="2" t="s">
        <v>991</v>
      </c>
      <c r="I425" s="2"/>
      <c r="J425" s="2"/>
      <c r="K425" s="2">
        <v>0</v>
      </c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>
        <v>0</v>
      </c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>
        <v>27.2</v>
      </c>
      <c r="BB425" s="2">
        <v>0.03</v>
      </c>
      <c r="BC425" s="2">
        <v>0.02</v>
      </c>
      <c r="BD425" s="2"/>
      <c r="BE425" s="2"/>
      <c r="BF425" s="2"/>
      <c r="BG425" s="2"/>
      <c r="BH425" s="2"/>
      <c r="BI425" s="2">
        <v>0.18</v>
      </c>
      <c r="BJ425" s="19">
        <v>1.149E-2</v>
      </c>
      <c r="BK425" s="2">
        <v>0.42</v>
      </c>
      <c r="BL425" s="2">
        <v>0.77</v>
      </c>
      <c r="BM425" s="2"/>
      <c r="BN425" s="2"/>
      <c r="BO425" s="2"/>
      <c r="BP425" s="4">
        <f>0.85*(2*52/(2*52+3*16.001))</f>
        <v>0.58156746906311063</v>
      </c>
      <c r="BQ425" s="2"/>
      <c r="BR425" s="2"/>
      <c r="BS425" s="2"/>
      <c r="BT425" s="2"/>
      <c r="BU425" s="2"/>
      <c r="BV425" s="2">
        <v>0</v>
      </c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>
        <v>0</v>
      </c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14" t="s">
        <v>81</v>
      </c>
      <c r="DM425" s="2" t="s">
        <v>81</v>
      </c>
      <c r="DN425" s="2">
        <f t="shared" si="49"/>
        <v>0.18</v>
      </c>
      <c r="DO425" s="2">
        <f t="shared" si="50"/>
        <v>1.1489999999999998E-2</v>
      </c>
      <c r="DP425" s="2" t="s">
        <v>992</v>
      </c>
      <c r="DQ425" s="2" t="s">
        <v>3</v>
      </c>
      <c r="DR425" s="2">
        <f t="shared" si="51"/>
        <v>27.2</v>
      </c>
      <c r="DS425" s="2">
        <f t="shared" si="52"/>
        <v>0.18</v>
      </c>
      <c r="DT425" s="15">
        <f t="shared" si="53"/>
        <v>48.96</v>
      </c>
      <c r="DU425" s="2"/>
      <c r="DV425" s="2">
        <f t="shared" si="54"/>
        <v>0</v>
      </c>
      <c r="DW425" s="2"/>
      <c r="DX425" s="2"/>
      <c r="DY425" s="2"/>
      <c r="DZ425" s="2" t="s">
        <v>3</v>
      </c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 t="s">
        <v>3</v>
      </c>
      <c r="FR425" s="2" t="s">
        <v>89</v>
      </c>
      <c r="FS425" s="2" t="s">
        <v>90</v>
      </c>
      <c r="FT425" s="2" t="s">
        <v>91</v>
      </c>
      <c r="FU425" s="2"/>
      <c r="FV425" s="2" t="s">
        <v>3</v>
      </c>
    </row>
    <row r="426" spans="1:178" ht="15.75" customHeight="1" x14ac:dyDescent="0.2">
      <c r="A426" s="14" t="s">
        <v>74</v>
      </c>
      <c r="B426" s="2" t="s">
        <v>164</v>
      </c>
      <c r="C426" s="13" t="s">
        <v>993</v>
      </c>
      <c r="D426" s="2" t="s">
        <v>99</v>
      </c>
      <c r="E426" s="2"/>
      <c r="F426" s="2"/>
      <c r="G426" s="2" t="s">
        <v>78</v>
      </c>
      <c r="H426" s="2" t="s">
        <v>994</v>
      </c>
      <c r="I426" s="2"/>
      <c r="J426" s="2" t="s">
        <v>80</v>
      </c>
      <c r="K426" s="2">
        <v>0</v>
      </c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>
        <v>0</v>
      </c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>
        <v>5.39</v>
      </c>
      <c r="BB426" s="2"/>
      <c r="BC426" s="2"/>
      <c r="BD426" s="2"/>
      <c r="BE426" s="2"/>
      <c r="BF426" s="2"/>
      <c r="BG426" s="2"/>
      <c r="BH426" s="2"/>
      <c r="BI426" s="2">
        <v>0.96299999999999997</v>
      </c>
      <c r="BJ426" s="2">
        <v>8.4000000000000005E-2</v>
      </c>
      <c r="BK426" s="2"/>
      <c r="BL426" s="2"/>
      <c r="BM426" s="2"/>
      <c r="BN426" s="2"/>
      <c r="BO426" s="2"/>
      <c r="BP426" s="2"/>
      <c r="BQ426" s="2">
        <v>21.1</v>
      </c>
      <c r="BR426" s="2"/>
      <c r="BS426" s="2"/>
      <c r="BT426" s="2"/>
      <c r="BU426" s="2"/>
      <c r="BV426" s="2">
        <v>0</v>
      </c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>
        <v>0</v>
      </c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14" t="s">
        <v>81</v>
      </c>
      <c r="DM426" s="2" t="s">
        <v>81</v>
      </c>
      <c r="DN426" s="2">
        <f t="shared" si="49"/>
        <v>0.96299999999999997</v>
      </c>
      <c r="DO426" s="2">
        <f t="shared" si="50"/>
        <v>8.4000000000000005E-2</v>
      </c>
      <c r="DP426" s="2" t="s">
        <v>175</v>
      </c>
      <c r="DQ426" s="2" t="s">
        <v>3</v>
      </c>
      <c r="DR426" s="2">
        <f t="shared" si="51"/>
        <v>5.39</v>
      </c>
      <c r="DS426" s="4">
        <f t="shared" si="52"/>
        <v>0.96299999999999997</v>
      </c>
      <c r="DT426" s="15">
        <f t="shared" si="53"/>
        <v>51.905699999999996</v>
      </c>
      <c r="DU426" s="2"/>
      <c r="DV426" s="2">
        <f t="shared" si="54"/>
        <v>0</v>
      </c>
      <c r="DW426" s="2"/>
      <c r="DX426" s="2"/>
      <c r="DY426" s="2"/>
      <c r="DZ426" s="2" t="s">
        <v>3</v>
      </c>
      <c r="EA426" s="2" t="s">
        <v>335</v>
      </c>
      <c r="EB426" s="2" t="s">
        <v>176</v>
      </c>
      <c r="EC426" s="2" t="s">
        <v>176</v>
      </c>
      <c r="ED426" s="2" t="s">
        <v>176</v>
      </c>
      <c r="EE426" s="2" t="s">
        <v>176</v>
      </c>
      <c r="EF426" s="2" t="s">
        <v>176</v>
      </c>
      <c r="EG426" s="3">
        <v>30.790799999999994</v>
      </c>
      <c r="EH426" s="2"/>
      <c r="EI426" s="3">
        <v>30.790799999999994</v>
      </c>
      <c r="EJ426" s="2"/>
      <c r="EK426" s="15">
        <f>ET426</f>
        <v>0</v>
      </c>
      <c r="EL426" s="15">
        <f>FD426</f>
        <v>0</v>
      </c>
      <c r="EM426" s="2" t="s">
        <v>335</v>
      </c>
      <c r="EN426" s="2" t="s">
        <v>176</v>
      </c>
      <c r="EO426" s="2" t="s">
        <v>176</v>
      </c>
      <c r="EP426" s="2" t="s">
        <v>176</v>
      </c>
      <c r="EQ426" s="2" t="s">
        <v>176</v>
      </c>
      <c r="ER426" s="15">
        <f>DR789</f>
        <v>0</v>
      </c>
      <c r="ES426" s="4" t="e">
        <f>100*(ET426/1000)/ER426</f>
        <v>#DIV/0!</v>
      </c>
      <c r="ET426" s="15">
        <f>DT789</f>
        <v>0</v>
      </c>
      <c r="EU426" s="2">
        <f>COUNT(DT789)</f>
        <v>0</v>
      </c>
      <c r="EV426" s="2" t="s">
        <v>176</v>
      </c>
      <c r="EW426" s="2" t="s">
        <v>176</v>
      </c>
      <c r="EX426" s="2" t="s">
        <v>176</v>
      </c>
      <c r="EY426" s="2" t="s">
        <v>176</v>
      </c>
      <c r="EZ426" s="2" t="s">
        <v>176</v>
      </c>
      <c r="FA426" s="2" t="s">
        <v>176</v>
      </c>
      <c r="FB426" s="2" t="s">
        <v>176</v>
      </c>
      <c r="FC426" s="2" t="s">
        <v>176</v>
      </c>
      <c r="FD426" s="3">
        <f>SUM(EP426,ET426,EX426,FB426)</f>
        <v>0</v>
      </c>
      <c r="FE426" s="2" t="s">
        <v>176</v>
      </c>
      <c r="FF426" s="2" t="s">
        <v>176</v>
      </c>
      <c r="FG426" s="2" t="s">
        <v>176</v>
      </c>
      <c r="FH426" s="2" t="s">
        <v>176</v>
      </c>
      <c r="FI426" s="2" t="s">
        <v>176</v>
      </c>
      <c r="FJ426" s="2" t="s">
        <v>176</v>
      </c>
      <c r="FK426" s="2" t="s">
        <v>176</v>
      </c>
      <c r="FL426" s="2" t="s">
        <v>176</v>
      </c>
      <c r="FM426" s="2" t="s">
        <v>176</v>
      </c>
      <c r="FN426" s="2" t="s">
        <v>176</v>
      </c>
      <c r="FO426" s="2" t="s">
        <v>176</v>
      </c>
      <c r="FP426" s="2" t="s">
        <v>335</v>
      </c>
      <c r="FQ426" s="2" t="s">
        <v>3</v>
      </c>
      <c r="FR426" s="2" t="s">
        <v>37</v>
      </c>
      <c r="FS426" s="2" t="s">
        <v>383</v>
      </c>
      <c r="FT426" s="2" t="s">
        <v>383</v>
      </c>
      <c r="FU426" s="2"/>
      <c r="FV426" s="2" t="s">
        <v>3</v>
      </c>
    </row>
    <row r="427" spans="1:178" ht="15.75" customHeight="1" x14ac:dyDescent="0.2">
      <c r="A427" s="14" t="s">
        <v>96</v>
      </c>
      <c r="B427" s="2" t="s">
        <v>124</v>
      </c>
      <c r="C427" s="21" t="s">
        <v>995</v>
      </c>
      <c r="D427" s="2" t="s">
        <v>99</v>
      </c>
      <c r="E427" s="2"/>
      <c r="F427" s="2"/>
      <c r="G427" s="2"/>
      <c r="H427" s="2" t="s">
        <v>79</v>
      </c>
      <c r="I427" s="2"/>
      <c r="J427" s="2"/>
      <c r="K427" s="2">
        <v>0</v>
      </c>
      <c r="L427" s="4"/>
      <c r="M427" s="2"/>
      <c r="N427" s="2"/>
      <c r="O427" s="2"/>
      <c r="P427" s="2"/>
      <c r="Q427" s="2"/>
      <c r="R427" s="2"/>
      <c r="S427" s="4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>
        <v>0</v>
      </c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>
        <v>1.3240000000000001</v>
      </c>
      <c r="BB427" s="2">
        <v>2.15</v>
      </c>
      <c r="BC427" s="2"/>
      <c r="BD427" s="2"/>
      <c r="BE427" s="2"/>
      <c r="BF427" s="2"/>
      <c r="BG427" s="2"/>
      <c r="BH427" s="2">
        <v>1.89</v>
      </c>
      <c r="BI427" s="2">
        <v>0.14000000000000001</v>
      </c>
      <c r="BJ427" s="2">
        <v>0.15</v>
      </c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>
        <v>0</v>
      </c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>
        <v>0</v>
      </c>
      <c r="CR427" s="4"/>
      <c r="CS427" s="2"/>
      <c r="CT427" s="2"/>
      <c r="CU427" s="2"/>
      <c r="CV427" s="2"/>
      <c r="CW427" s="2"/>
      <c r="CX427" s="2"/>
      <c r="CY427" s="4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14" t="s">
        <v>100</v>
      </c>
      <c r="DM427" s="2" t="s">
        <v>100</v>
      </c>
      <c r="DN427" s="2">
        <f t="shared" si="49"/>
        <v>0.14000000000000001</v>
      </c>
      <c r="DO427" s="2">
        <f t="shared" si="50"/>
        <v>0.15</v>
      </c>
      <c r="DP427" s="2" t="s">
        <v>126</v>
      </c>
      <c r="DQ427" s="2" t="s">
        <v>3</v>
      </c>
      <c r="DR427" s="2">
        <f t="shared" si="51"/>
        <v>1.3240000000000001</v>
      </c>
      <c r="DS427" s="2">
        <f t="shared" si="52"/>
        <v>0.14000000000000001</v>
      </c>
      <c r="DT427" s="15">
        <f t="shared" si="53"/>
        <v>1.8536000000000001</v>
      </c>
      <c r="DU427" s="2"/>
      <c r="DV427" s="2">
        <f t="shared" si="54"/>
        <v>0</v>
      </c>
      <c r="DW427" s="2"/>
      <c r="DX427" s="2"/>
      <c r="DY427" s="2"/>
      <c r="DZ427" s="2" t="s">
        <v>3</v>
      </c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 t="s">
        <v>3</v>
      </c>
      <c r="FR427" s="2" t="s">
        <v>183</v>
      </c>
      <c r="FS427" s="2" t="s">
        <v>567</v>
      </c>
      <c r="FT427" s="2"/>
      <c r="FU427" s="2"/>
      <c r="FV427" s="2" t="s">
        <v>3</v>
      </c>
    </row>
    <row r="428" spans="1:178" ht="15.75" customHeight="1" x14ac:dyDescent="0.2">
      <c r="A428" s="14" t="s">
        <v>96</v>
      </c>
      <c r="B428" s="2" t="s">
        <v>416</v>
      </c>
      <c r="C428" s="16" t="s">
        <v>996</v>
      </c>
      <c r="D428" s="2" t="s">
        <v>120</v>
      </c>
      <c r="E428" s="2"/>
      <c r="F428" s="2"/>
      <c r="G428" s="2"/>
      <c r="H428" s="2" t="s">
        <v>997</v>
      </c>
      <c r="I428" s="2"/>
      <c r="J428" s="2"/>
      <c r="K428" s="2">
        <v>0</v>
      </c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>
        <v>0</v>
      </c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4">
        <v>37.201155999999997</v>
      </c>
      <c r="BB428" s="2">
        <v>0.42</v>
      </c>
      <c r="BC428" s="2"/>
      <c r="BD428" s="2"/>
      <c r="BE428" s="2"/>
      <c r="BF428" s="2"/>
      <c r="BG428" s="2"/>
      <c r="BH428" s="2"/>
      <c r="BI428" s="2">
        <v>0.46</v>
      </c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>
        <v>0</v>
      </c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>
        <v>0</v>
      </c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14" t="s">
        <v>81</v>
      </c>
      <c r="DM428" s="2"/>
      <c r="DN428" s="2">
        <f t="shared" si="49"/>
        <v>0.46</v>
      </c>
      <c r="DO428" s="2">
        <f t="shared" si="50"/>
        <v>0</v>
      </c>
      <c r="DP428" s="2" t="s">
        <v>998</v>
      </c>
      <c r="DQ428" s="2" t="s">
        <v>3</v>
      </c>
      <c r="DR428" s="4">
        <f t="shared" si="51"/>
        <v>37.201155999999997</v>
      </c>
      <c r="DS428" s="2">
        <f t="shared" si="52"/>
        <v>0.46</v>
      </c>
      <c r="DT428" s="15">
        <f t="shared" si="53"/>
        <v>171.12531759999999</v>
      </c>
      <c r="DU428" s="2"/>
      <c r="DV428" s="2">
        <f t="shared" si="54"/>
        <v>0</v>
      </c>
      <c r="DW428" s="2"/>
      <c r="DX428" s="2"/>
      <c r="DY428" s="2"/>
      <c r="DZ428" s="2" t="s">
        <v>3</v>
      </c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 t="s">
        <v>3</v>
      </c>
      <c r="FR428" s="2" t="s">
        <v>89</v>
      </c>
      <c r="FS428" s="2" t="s">
        <v>123</v>
      </c>
      <c r="FT428" s="2"/>
      <c r="FU428" s="2"/>
      <c r="FV428" s="2" t="s">
        <v>3</v>
      </c>
    </row>
    <row r="429" spans="1:178" ht="15.75" customHeight="1" x14ac:dyDescent="0.2">
      <c r="A429" s="14" t="s">
        <v>96</v>
      </c>
      <c r="B429" s="24" t="s">
        <v>202</v>
      </c>
      <c r="C429" s="16" t="s">
        <v>999</v>
      </c>
      <c r="D429" s="2"/>
      <c r="E429" s="2"/>
      <c r="F429" s="2"/>
      <c r="G429" s="2"/>
      <c r="H429" s="2" t="s">
        <v>79</v>
      </c>
      <c r="I429" s="2"/>
      <c r="J429" s="2"/>
      <c r="K429" s="2">
        <v>0</v>
      </c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>
        <v>0</v>
      </c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>
        <v>1.2</v>
      </c>
      <c r="BB429" s="2">
        <v>0.22</v>
      </c>
      <c r="BC429" s="2"/>
      <c r="BD429" s="2"/>
      <c r="BE429" s="2"/>
      <c r="BF429" s="2"/>
      <c r="BG429" s="2"/>
      <c r="BH429" s="2"/>
      <c r="BI429" s="2">
        <v>0.83</v>
      </c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14" t="s">
        <v>100</v>
      </c>
      <c r="DM429" s="2"/>
      <c r="DN429" s="2">
        <f t="shared" si="49"/>
        <v>0.83</v>
      </c>
      <c r="DO429" s="2">
        <f t="shared" si="50"/>
        <v>0</v>
      </c>
      <c r="DP429" s="2" t="s">
        <v>204</v>
      </c>
      <c r="DQ429" s="2" t="s">
        <v>3</v>
      </c>
      <c r="DR429" s="2">
        <f t="shared" si="51"/>
        <v>1.2</v>
      </c>
      <c r="DS429" s="2">
        <f t="shared" si="52"/>
        <v>0.83</v>
      </c>
      <c r="DT429" s="15">
        <f t="shared" si="53"/>
        <v>9.9600000000000009</v>
      </c>
      <c r="DU429" s="2"/>
      <c r="DV429" s="2">
        <f t="shared" si="54"/>
        <v>0</v>
      </c>
      <c r="DW429" s="2"/>
      <c r="DX429" s="2"/>
      <c r="DY429" s="2"/>
      <c r="DZ429" s="2" t="s">
        <v>3</v>
      </c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 t="s">
        <v>3</v>
      </c>
      <c r="FR429" s="2" t="s">
        <v>89</v>
      </c>
      <c r="FS429" s="2" t="s">
        <v>123</v>
      </c>
      <c r="FT429" s="2"/>
      <c r="FU429" s="2"/>
      <c r="FV429" s="2" t="s">
        <v>3</v>
      </c>
    </row>
    <row r="430" spans="1:178" ht="15.75" customHeight="1" x14ac:dyDescent="0.2">
      <c r="A430" s="12" t="s">
        <v>74</v>
      </c>
      <c r="B430" s="2" t="s">
        <v>115</v>
      </c>
      <c r="C430" s="13" t="s">
        <v>1000</v>
      </c>
      <c r="D430" s="2" t="s">
        <v>99</v>
      </c>
      <c r="E430" s="2"/>
      <c r="F430" s="2"/>
      <c r="G430" s="2"/>
      <c r="H430" s="2" t="s">
        <v>1001</v>
      </c>
      <c r="I430" s="2"/>
      <c r="J430" s="2"/>
      <c r="K430" s="2">
        <v>52.887</v>
      </c>
      <c r="L430" s="2"/>
      <c r="M430" s="2"/>
      <c r="N430" s="2"/>
      <c r="O430" s="2"/>
      <c r="P430" s="2"/>
      <c r="Q430" s="2"/>
      <c r="R430" s="2"/>
      <c r="S430" s="2">
        <v>1.03</v>
      </c>
      <c r="T430" s="2">
        <v>4.8000000000000001E-2</v>
      </c>
      <c r="U430" s="2"/>
      <c r="V430" s="2"/>
      <c r="W430" s="2"/>
      <c r="X430" s="2"/>
      <c r="Y430" s="2"/>
      <c r="Z430" s="2">
        <v>0.69</v>
      </c>
      <c r="AA430" s="4">
        <f>17.84*(2*55.85/(2*55.85+3*16.001))</f>
        <v>12.477711752440467</v>
      </c>
      <c r="AB430" s="2"/>
      <c r="AC430" s="2"/>
      <c r="AD430" s="2"/>
      <c r="AE430" s="2"/>
      <c r="AF430" s="2">
        <v>19.324000000000002</v>
      </c>
      <c r="AG430" s="2"/>
      <c r="AH430" s="2"/>
      <c r="AI430" s="2"/>
      <c r="AJ430" s="2"/>
      <c r="AK430" s="2"/>
      <c r="AL430" s="2"/>
      <c r="AM430" s="2"/>
      <c r="AN430" s="2">
        <v>0.92</v>
      </c>
      <c r="AO430" s="2">
        <v>4.8000000000000001E-2</v>
      </c>
      <c r="AP430" s="2"/>
      <c r="AQ430" s="2"/>
      <c r="AR430" s="2"/>
      <c r="AS430" s="2"/>
      <c r="AT430" s="2"/>
      <c r="AU430" s="2">
        <v>0.84</v>
      </c>
      <c r="AV430" s="4">
        <f>18.26*(2*55.85/(2*55.85+3*16.001))</f>
        <v>12.771469540334246</v>
      </c>
      <c r="AW430" s="2"/>
      <c r="AX430" s="2"/>
      <c r="AY430" s="2"/>
      <c r="AZ430" s="2"/>
      <c r="BA430" s="2">
        <v>0</v>
      </c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>
        <v>0</v>
      </c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>
        <v>0</v>
      </c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14" t="s">
        <v>81</v>
      </c>
      <c r="DM430" s="2" t="s">
        <v>81</v>
      </c>
      <c r="DN430" s="2">
        <f t="shared" si="49"/>
        <v>1.0005634875572973</v>
      </c>
      <c r="DO430" s="2">
        <f t="shared" si="50"/>
        <v>4.8000000000000001E-2</v>
      </c>
      <c r="DP430" s="2" t="s">
        <v>1002</v>
      </c>
      <c r="DQ430" s="2" t="s">
        <v>3</v>
      </c>
      <c r="DR430" s="4">
        <f t="shared" si="51"/>
        <v>72.210999999999999</v>
      </c>
      <c r="DS430" s="4">
        <f t="shared" si="52"/>
        <v>1.0005634875572973</v>
      </c>
      <c r="DT430" s="15">
        <f t="shared" si="53"/>
        <v>722.51689999999985</v>
      </c>
      <c r="DU430" s="2"/>
      <c r="DV430" s="2">
        <f t="shared" si="54"/>
        <v>0</v>
      </c>
      <c r="DW430" s="2"/>
      <c r="DX430" s="2"/>
      <c r="DY430" s="2"/>
      <c r="DZ430" s="2" t="s">
        <v>3</v>
      </c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 t="s">
        <v>3</v>
      </c>
      <c r="FR430" s="2" t="s">
        <v>37</v>
      </c>
      <c r="FS430" s="2" t="s">
        <v>342</v>
      </c>
      <c r="FT430" s="2" t="s">
        <v>342</v>
      </c>
      <c r="FU430" s="2"/>
      <c r="FV430" s="2" t="s">
        <v>3</v>
      </c>
    </row>
    <row r="431" spans="1:178" ht="15.75" customHeight="1" x14ac:dyDescent="0.2">
      <c r="A431" s="14" t="s">
        <v>143</v>
      </c>
      <c r="B431" s="2" t="s">
        <v>85</v>
      </c>
      <c r="C431" s="16" t="s">
        <v>1003</v>
      </c>
      <c r="D431" s="2"/>
      <c r="E431" s="2"/>
      <c r="F431" s="2"/>
      <c r="G431" s="2"/>
      <c r="H431" s="2" t="s">
        <v>511</v>
      </c>
      <c r="I431" s="2"/>
      <c r="J431" s="2"/>
      <c r="K431" s="2">
        <v>0.4</v>
      </c>
      <c r="L431" s="4">
        <v>1.2E-2</v>
      </c>
      <c r="M431" s="4">
        <v>0.06</v>
      </c>
      <c r="N431" s="2"/>
      <c r="O431" s="2"/>
      <c r="P431" s="2"/>
      <c r="Q431" s="2"/>
      <c r="R431" s="2"/>
      <c r="S431" s="4">
        <v>4.3999999999999997E-2</v>
      </c>
      <c r="T431" s="2"/>
      <c r="U431" s="4">
        <v>2.4500000000000002</v>
      </c>
      <c r="V431" s="4">
        <v>1.21</v>
      </c>
      <c r="W431" s="4">
        <v>0.42</v>
      </c>
      <c r="X431" s="2"/>
      <c r="Y431" s="2"/>
      <c r="Z431" s="2"/>
      <c r="AA431" s="2"/>
      <c r="AB431" s="2"/>
      <c r="AC431" s="2"/>
      <c r="AD431" s="2"/>
      <c r="AE431" s="2"/>
      <c r="AF431" s="2">
        <v>68.300000000000011</v>
      </c>
      <c r="AG431" s="4">
        <v>2.2102489019033677E-2</v>
      </c>
      <c r="AH431" s="4">
        <v>6.9999999999999993E-2</v>
      </c>
      <c r="AI431" s="2"/>
      <c r="AJ431" s="2"/>
      <c r="AK431" s="2"/>
      <c r="AL431" s="2"/>
      <c r="AM431" s="2"/>
      <c r="AN431" s="4">
        <v>0.10916251830161053</v>
      </c>
      <c r="AO431" s="2"/>
      <c r="AP431" s="4">
        <v>1.6506002928257686</v>
      </c>
      <c r="AQ431" s="4">
        <v>0.79999999999999982</v>
      </c>
      <c r="AR431" s="4">
        <v>0.22734992679355784</v>
      </c>
      <c r="AS431" s="4"/>
      <c r="AT431" s="4"/>
      <c r="AU431" s="2"/>
      <c r="AV431" s="2"/>
      <c r="AW431" s="2"/>
      <c r="AX431" s="2"/>
      <c r="AY431" s="2"/>
      <c r="AZ431" s="2"/>
      <c r="BA431" s="2">
        <v>60</v>
      </c>
      <c r="BB431" s="4">
        <v>2.2766666666666664E-2</v>
      </c>
      <c r="BC431" s="4">
        <v>6.3866666666666669E-2</v>
      </c>
      <c r="BD431" s="2"/>
      <c r="BE431" s="2"/>
      <c r="BF431" s="2"/>
      <c r="BG431" s="2"/>
      <c r="BH431" s="2"/>
      <c r="BI431" s="4">
        <v>0.11237499999999999</v>
      </c>
      <c r="BJ431" s="2"/>
      <c r="BK431" s="4">
        <v>1.1467666666666667</v>
      </c>
      <c r="BL431" s="4">
        <v>0.65839999999999999</v>
      </c>
      <c r="BM431" s="4">
        <v>0.14170000000000002</v>
      </c>
      <c r="BN431" s="2"/>
      <c r="BO431" s="2"/>
      <c r="BP431" s="2"/>
      <c r="BQ431" s="2"/>
      <c r="BR431" s="2"/>
      <c r="BS431" s="2"/>
      <c r="BT431" s="2"/>
      <c r="BU431" s="2"/>
      <c r="BV431" s="2">
        <v>0</v>
      </c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>
        <v>40.5</v>
      </c>
      <c r="CR431" s="4">
        <v>1.2E-2</v>
      </c>
      <c r="CS431" s="4">
        <v>4.3954197530864193E-2</v>
      </c>
      <c r="CT431" s="2"/>
      <c r="CU431" s="2"/>
      <c r="CV431" s="2"/>
      <c r="CW431" s="2"/>
      <c r="CX431" s="2"/>
      <c r="CY431" s="4">
        <v>4.3999999999999997E-2</v>
      </c>
      <c r="CZ431" s="2"/>
      <c r="DA431" s="4">
        <v>1.8150632098765433</v>
      </c>
      <c r="DB431" s="4">
        <v>0.89604469135802456</v>
      </c>
      <c r="DC431" s="4">
        <v>0.31066956790123457</v>
      </c>
      <c r="DD431" s="2"/>
      <c r="DE431" s="2"/>
      <c r="DF431" s="2"/>
      <c r="DG431" s="2"/>
      <c r="DH431" s="2"/>
      <c r="DI431" s="2"/>
      <c r="DJ431" s="2"/>
      <c r="DK431" s="2"/>
      <c r="DL431" s="14" t="s">
        <v>81</v>
      </c>
      <c r="DM431" s="2"/>
      <c r="DN431" s="2">
        <f t="shared" si="49"/>
        <v>0.11045765345765345</v>
      </c>
      <c r="DO431" s="2">
        <f t="shared" si="50"/>
        <v>0</v>
      </c>
      <c r="DP431" s="2" t="s">
        <v>512</v>
      </c>
      <c r="DQ431" s="2" t="s">
        <v>3</v>
      </c>
      <c r="DR431" s="2">
        <f t="shared" si="51"/>
        <v>128.70000000000002</v>
      </c>
      <c r="DS431" s="4">
        <f t="shared" si="52"/>
        <v>0.11045765345765345</v>
      </c>
      <c r="DT431" s="15">
        <f t="shared" si="53"/>
        <v>142.15899999999999</v>
      </c>
      <c r="DU431" s="2"/>
      <c r="DV431" s="2">
        <f t="shared" si="54"/>
        <v>40.5</v>
      </c>
      <c r="DW431" s="2">
        <f>(BV431*CD431+CQ431*CY431)/DV431</f>
        <v>4.3999999999999997E-2</v>
      </c>
      <c r="DX431" s="15">
        <f>1000*DV431*DW431/100</f>
        <v>17.82</v>
      </c>
      <c r="DY431" s="2"/>
      <c r="DZ431" s="2" t="s">
        <v>3</v>
      </c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 t="s">
        <v>3</v>
      </c>
      <c r="FR431" s="2" t="s">
        <v>89</v>
      </c>
      <c r="FS431" s="2" t="s">
        <v>90</v>
      </c>
      <c r="FT431" s="2" t="s">
        <v>162</v>
      </c>
      <c r="FU431" s="2" t="s">
        <v>92</v>
      </c>
      <c r="FV431" s="2" t="s">
        <v>3</v>
      </c>
    </row>
    <row r="432" spans="1:178" ht="15.75" customHeight="1" x14ac:dyDescent="0.2">
      <c r="A432" s="12" t="s">
        <v>74</v>
      </c>
      <c r="B432" s="2" t="s">
        <v>305</v>
      </c>
      <c r="C432" s="13" t="s">
        <v>1004</v>
      </c>
      <c r="D432" s="2" t="s">
        <v>99</v>
      </c>
      <c r="E432" s="2"/>
      <c r="F432" s="2"/>
      <c r="G432" s="2"/>
      <c r="H432" s="2" t="s">
        <v>307</v>
      </c>
      <c r="I432" s="2"/>
      <c r="J432" s="2"/>
      <c r="K432" s="2">
        <v>0</v>
      </c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>
        <v>0</v>
      </c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>
        <v>400</v>
      </c>
      <c r="BB432" s="2"/>
      <c r="BC432" s="2"/>
      <c r="BD432" s="2"/>
      <c r="BE432" s="2"/>
      <c r="BF432" s="2"/>
      <c r="BG432" s="2"/>
      <c r="BH432" s="2"/>
      <c r="BI432" s="2">
        <v>1.1000000000000001</v>
      </c>
      <c r="BJ432" s="2">
        <v>0.14000000000000001</v>
      </c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>
        <v>0</v>
      </c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>
        <v>0</v>
      </c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14" t="s">
        <v>100</v>
      </c>
      <c r="DM432" s="2" t="s">
        <v>100</v>
      </c>
      <c r="DN432" s="2">
        <f t="shared" si="49"/>
        <v>1.1000000000000001</v>
      </c>
      <c r="DO432" s="2">
        <f t="shared" si="50"/>
        <v>0.14000000000000001</v>
      </c>
      <c r="DP432" s="2" t="s">
        <v>113</v>
      </c>
      <c r="DQ432" s="2" t="s">
        <v>3</v>
      </c>
      <c r="DR432" s="2">
        <f t="shared" si="51"/>
        <v>400</v>
      </c>
      <c r="DS432" s="2">
        <f t="shared" si="52"/>
        <v>1.1000000000000001</v>
      </c>
      <c r="DT432" s="18">
        <f t="shared" si="53"/>
        <v>4400.0000000000009</v>
      </c>
      <c r="DU432" s="2"/>
      <c r="DV432" s="2">
        <f t="shared" si="54"/>
        <v>0</v>
      </c>
      <c r="DW432" s="2"/>
      <c r="DX432" s="2"/>
      <c r="DY432" s="2"/>
      <c r="DZ432" s="2" t="s">
        <v>3</v>
      </c>
      <c r="EA432" s="2" t="s">
        <v>305</v>
      </c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 t="s">
        <v>305</v>
      </c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 t="s">
        <v>305</v>
      </c>
      <c r="FQ432" s="2" t="s">
        <v>3</v>
      </c>
      <c r="FR432" s="2" t="s">
        <v>37</v>
      </c>
      <c r="FS432" s="2" t="s">
        <v>114</v>
      </c>
      <c r="FT432" s="2" t="s">
        <v>114</v>
      </c>
      <c r="FU432" s="2"/>
      <c r="FV432" s="2" t="s">
        <v>3</v>
      </c>
    </row>
    <row r="433" spans="1:178" ht="15.75" customHeight="1" x14ac:dyDescent="0.2">
      <c r="A433" s="14" t="s">
        <v>74</v>
      </c>
      <c r="B433" s="2" t="s">
        <v>164</v>
      </c>
      <c r="C433" s="13" t="s">
        <v>1005</v>
      </c>
      <c r="D433" s="2" t="s">
        <v>99</v>
      </c>
      <c r="E433" s="2"/>
      <c r="F433" s="2"/>
      <c r="G433" s="2" t="s">
        <v>78</v>
      </c>
      <c r="H433" s="2" t="s">
        <v>215</v>
      </c>
      <c r="I433" s="2"/>
      <c r="J433" s="2" t="s">
        <v>242</v>
      </c>
      <c r="K433" s="2">
        <v>0</v>
      </c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>
        <v>0</v>
      </c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4">
        <v>1.1209114</v>
      </c>
      <c r="BB433" s="2"/>
      <c r="BC433" s="2"/>
      <c r="BD433" s="2"/>
      <c r="BE433" s="2"/>
      <c r="BF433" s="2"/>
      <c r="BG433" s="2"/>
      <c r="BH433" s="2"/>
      <c r="BI433" s="2">
        <v>0.33</v>
      </c>
      <c r="BJ433" s="2">
        <v>0.04</v>
      </c>
      <c r="BK433" s="2"/>
      <c r="BL433" s="2"/>
      <c r="BM433" s="20"/>
      <c r="BN433" s="20"/>
      <c r="BO433" s="20"/>
      <c r="BP433" s="2"/>
      <c r="BQ433" s="2"/>
      <c r="BR433" s="2"/>
      <c r="BS433" s="2">
        <v>53.9</v>
      </c>
      <c r="BT433" s="2"/>
      <c r="BU433" s="2"/>
      <c r="BV433" s="2">
        <v>0</v>
      </c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>
        <v>0</v>
      </c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14" t="s">
        <v>100</v>
      </c>
      <c r="DM433" s="2" t="s">
        <v>100</v>
      </c>
      <c r="DN433" s="2">
        <f t="shared" si="49"/>
        <v>0.33</v>
      </c>
      <c r="DO433" s="2">
        <f t="shared" si="50"/>
        <v>0.04</v>
      </c>
      <c r="DP433" s="2" t="s">
        <v>739</v>
      </c>
      <c r="DQ433" s="2" t="s">
        <v>3</v>
      </c>
      <c r="DR433" s="19">
        <f t="shared" si="51"/>
        <v>1.1209114</v>
      </c>
      <c r="DS433" s="2">
        <f t="shared" si="52"/>
        <v>0.33</v>
      </c>
      <c r="DT433" s="15">
        <f t="shared" si="53"/>
        <v>3.6990076199999997</v>
      </c>
      <c r="DU433" s="2"/>
      <c r="DV433" s="2">
        <f t="shared" si="54"/>
        <v>0</v>
      </c>
      <c r="DW433" s="2"/>
      <c r="DX433" s="2"/>
      <c r="DY433" s="2"/>
      <c r="DZ433" s="2" t="s">
        <v>3</v>
      </c>
      <c r="EA433" s="2" t="s">
        <v>1006</v>
      </c>
      <c r="EB433" s="2" t="s">
        <v>176</v>
      </c>
      <c r="EC433" s="15">
        <v>123.30800000000001</v>
      </c>
      <c r="ED433" s="2" t="s">
        <v>176</v>
      </c>
      <c r="EE433" s="2" t="s">
        <v>176</v>
      </c>
      <c r="EF433" s="2" t="s">
        <v>176</v>
      </c>
      <c r="EG433" s="2" t="s">
        <v>176</v>
      </c>
      <c r="EH433" s="2"/>
      <c r="EI433" s="2"/>
      <c r="EJ433" s="2"/>
      <c r="EK433" s="2"/>
      <c r="EL433" s="2"/>
      <c r="EM433" s="2" t="s">
        <v>1006</v>
      </c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 t="s">
        <v>1006</v>
      </c>
      <c r="FQ433" s="2" t="s">
        <v>3</v>
      </c>
      <c r="FR433" s="2" t="s">
        <v>37</v>
      </c>
      <c r="FS433" s="2" t="s">
        <v>114</v>
      </c>
      <c r="FT433" s="2" t="s">
        <v>114</v>
      </c>
      <c r="FU433" s="2"/>
      <c r="FV433" s="2" t="s">
        <v>3</v>
      </c>
    </row>
    <row r="434" spans="1:178" ht="15.75" customHeight="1" x14ac:dyDescent="0.2">
      <c r="A434" s="14" t="s">
        <v>127</v>
      </c>
      <c r="B434" s="2" t="s">
        <v>85</v>
      </c>
      <c r="C434" s="16" t="s">
        <v>1007</v>
      </c>
      <c r="D434" s="2" t="s">
        <v>99</v>
      </c>
      <c r="E434" s="2"/>
      <c r="F434" s="2"/>
      <c r="G434" s="2"/>
      <c r="H434" s="2" t="s">
        <v>1008</v>
      </c>
      <c r="I434" s="2"/>
      <c r="J434" s="2"/>
      <c r="K434" s="2">
        <v>0</v>
      </c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>
        <v>346</v>
      </c>
      <c r="AG434" s="2">
        <v>0.16</v>
      </c>
      <c r="AH434" s="2">
        <v>0.28000000000000003</v>
      </c>
      <c r="AI434" s="2"/>
      <c r="AJ434" s="2"/>
      <c r="AK434" s="2"/>
      <c r="AL434" s="2"/>
      <c r="AM434" s="2"/>
      <c r="AN434" s="2">
        <v>0.32</v>
      </c>
      <c r="AO434" s="2"/>
      <c r="AP434" s="2">
        <v>1.68</v>
      </c>
      <c r="AQ434" s="4">
        <v>1.7</v>
      </c>
      <c r="AR434" s="2">
        <v>0.11</v>
      </c>
      <c r="AS434" s="2"/>
      <c r="AT434" s="2"/>
      <c r="AU434" s="2"/>
      <c r="AV434" s="2"/>
      <c r="AW434" s="2"/>
      <c r="AX434" s="2"/>
      <c r="AY434" s="2"/>
      <c r="AZ434" s="2"/>
      <c r="BA434" s="2">
        <v>506</v>
      </c>
      <c r="BB434" s="2">
        <v>0.16</v>
      </c>
      <c r="BC434" s="2">
        <v>0.26</v>
      </c>
      <c r="BD434" s="2"/>
      <c r="BE434" s="2"/>
      <c r="BF434" s="2"/>
      <c r="BG434" s="2"/>
      <c r="BH434" s="2"/>
      <c r="BI434" s="2">
        <v>0.31</v>
      </c>
      <c r="BJ434" s="2"/>
      <c r="BK434" s="2">
        <v>1.42</v>
      </c>
      <c r="BL434" s="2">
        <v>1.46</v>
      </c>
      <c r="BM434" s="4">
        <v>0.1</v>
      </c>
      <c r="BN434" s="4"/>
      <c r="BO434" s="4"/>
      <c r="BP434" s="2"/>
      <c r="BQ434" s="2"/>
      <c r="BR434" s="2"/>
      <c r="BS434" s="2"/>
      <c r="BT434" s="2"/>
      <c r="BU434" s="2"/>
      <c r="BV434" s="2">
        <v>0</v>
      </c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>
        <v>124.7</v>
      </c>
      <c r="CR434" s="2">
        <v>0.17</v>
      </c>
      <c r="CS434" s="4">
        <v>0.3</v>
      </c>
      <c r="CT434" s="2"/>
      <c r="CU434" s="2"/>
      <c r="CV434" s="2"/>
      <c r="CW434" s="2"/>
      <c r="CX434" s="2"/>
      <c r="CY434" s="2">
        <v>0.34</v>
      </c>
      <c r="CZ434" s="2"/>
      <c r="DA434" s="2">
        <v>1.95</v>
      </c>
      <c r="DB434" s="2">
        <v>2.0099999999999998</v>
      </c>
      <c r="DC434" s="2">
        <v>0.14000000000000001</v>
      </c>
      <c r="DD434" s="2"/>
      <c r="DE434" s="2"/>
      <c r="DF434" s="2"/>
      <c r="DG434" s="2"/>
      <c r="DH434" s="2"/>
      <c r="DI434" s="2"/>
      <c r="DJ434" s="2"/>
      <c r="DK434" s="2"/>
      <c r="DL434" s="14" t="s">
        <v>81</v>
      </c>
      <c r="DM434" s="2"/>
      <c r="DN434" s="2">
        <f t="shared" si="49"/>
        <v>0.31406103286384973</v>
      </c>
      <c r="DO434" s="2">
        <f t="shared" si="50"/>
        <v>0</v>
      </c>
      <c r="DP434" s="2" t="s">
        <v>150</v>
      </c>
      <c r="DQ434" s="2" t="s">
        <v>3</v>
      </c>
      <c r="DR434" s="2">
        <f t="shared" si="51"/>
        <v>852</v>
      </c>
      <c r="DS434" s="4">
        <f t="shared" si="52"/>
        <v>0.31406103286384973</v>
      </c>
      <c r="DT434" s="18">
        <f t="shared" si="53"/>
        <v>2675.8</v>
      </c>
      <c r="DU434" s="2"/>
      <c r="DV434" s="2">
        <f t="shared" si="54"/>
        <v>124.7</v>
      </c>
      <c r="DW434" s="2">
        <f t="shared" ref="DW434:DW436" si="90">(BV434*CD434+CQ434*CY434)/DV434</f>
        <v>0.34</v>
      </c>
      <c r="DX434" s="15">
        <f t="shared" ref="DX434:DX436" si="91">1000*DV434*DW434/100</f>
        <v>423.98</v>
      </c>
      <c r="DY434" s="2"/>
      <c r="DZ434" s="2" t="s">
        <v>3</v>
      </c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 t="s">
        <v>3</v>
      </c>
      <c r="FR434" s="2" t="s">
        <v>89</v>
      </c>
      <c r="FS434" s="2" t="s">
        <v>90</v>
      </c>
      <c r="FT434" s="2" t="s">
        <v>91</v>
      </c>
      <c r="FU434" s="2" t="s">
        <v>130</v>
      </c>
      <c r="FV434" s="2" t="s">
        <v>3</v>
      </c>
    </row>
    <row r="435" spans="1:178" ht="15.75" customHeight="1" x14ac:dyDescent="0.2">
      <c r="A435" s="12" t="s">
        <v>74</v>
      </c>
      <c r="B435" s="2" t="s">
        <v>198</v>
      </c>
      <c r="C435" s="13" t="s">
        <v>1009</v>
      </c>
      <c r="D435" s="2" t="s">
        <v>109</v>
      </c>
      <c r="E435" s="2"/>
      <c r="F435" s="2"/>
      <c r="G435" s="2"/>
      <c r="H435" s="2" t="s">
        <v>442</v>
      </c>
      <c r="I435" s="2"/>
      <c r="J435" s="2" t="s">
        <v>242</v>
      </c>
      <c r="K435" s="2">
        <v>3.78</v>
      </c>
      <c r="L435" s="2"/>
      <c r="M435" s="2"/>
      <c r="N435" s="2"/>
      <c r="O435" s="2"/>
      <c r="P435" s="2"/>
      <c r="Q435" s="2"/>
      <c r="R435" s="2"/>
      <c r="S435" s="2">
        <v>1.41</v>
      </c>
      <c r="T435" s="2">
        <v>0.13</v>
      </c>
      <c r="U435" s="2"/>
      <c r="V435" s="2"/>
      <c r="W435" s="2"/>
      <c r="X435" s="2"/>
      <c r="Y435" s="2"/>
      <c r="Z435" s="2"/>
      <c r="AA435" s="2">
        <v>38.94</v>
      </c>
      <c r="AB435" s="2">
        <v>16.920000000000002</v>
      </c>
      <c r="AC435" s="2"/>
      <c r="AD435" s="2"/>
      <c r="AE435" s="2"/>
      <c r="AF435" s="2">
        <v>5.67</v>
      </c>
      <c r="AG435" s="2"/>
      <c r="AH435" s="2"/>
      <c r="AI435" s="2"/>
      <c r="AJ435" s="2"/>
      <c r="AK435" s="2"/>
      <c r="AL435" s="2"/>
      <c r="AM435" s="2"/>
      <c r="AN435" s="2">
        <v>1.38</v>
      </c>
      <c r="AO435" s="2">
        <v>0.13</v>
      </c>
      <c r="AP435" s="2"/>
      <c r="AQ435" s="2"/>
      <c r="AR435" s="2"/>
      <c r="AS435" s="2"/>
      <c r="AT435" s="2"/>
      <c r="AU435" s="2"/>
      <c r="AV435" s="2">
        <v>38.99</v>
      </c>
      <c r="AW435" s="2">
        <v>16.34</v>
      </c>
      <c r="AX435" s="2"/>
      <c r="AY435" s="2"/>
      <c r="AZ435" s="2"/>
      <c r="BA435" s="2">
        <v>8.98</v>
      </c>
      <c r="BB435" s="2"/>
      <c r="BC435" s="2"/>
      <c r="BD435" s="2"/>
      <c r="BE435" s="2"/>
      <c r="BF435" s="2"/>
      <c r="BG435" s="2"/>
      <c r="BH435" s="2"/>
      <c r="BI435" s="2">
        <v>1.41</v>
      </c>
      <c r="BJ435" s="2">
        <v>0.11</v>
      </c>
      <c r="BK435" s="2"/>
      <c r="BL435" s="2"/>
      <c r="BM435" s="2"/>
      <c r="BN435" s="2"/>
      <c r="BO435" s="2"/>
      <c r="BP435" s="2"/>
      <c r="BQ435" s="2">
        <v>29.8</v>
      </c>
      <c r="BR435" s="2">
        <v>18.82</v>
      </c>
      <c r="BS435" s="2"/>
      <c r="BT435" s="2"/>
      <c r="BU435" s="2"/>
      <c r="BV435" s="2">
        <v>0.76</v>
      </c>
      <c r="BW435" s="2"/>
      <c r="BX435" s="2"/>
      <c r="BY435" s="2"/>
      <c r="BZ435" s="2"/>
      <c r="CA435" s="2"/>
      <c r="CB435" s="2"/>
      <c r="CC435" s="2"/>
      <c r="CD435" s="2">
        <v>1.63</v>
      </c>
      <c r="CE435" s="2">
        <v>0.13</v>
      </c>
      <c r="CF435" s="2"/>
      <c r="CG435" s="2"/>
      <c r="CH435" s="2"/>
      <c r="CI435" s="2"/>
      <c r="CJ435" s="2"/>
      <c r="CK435" s="2"/>
      <c r="CL435" s="2">
        <v>38.590000000000003</v>
      </c>
      <c r="CM435" s="2">
        <v>17.45</v>
      </c>
      <c r="CN435" s="2"/>
      <c r="CO435" s="2"/>
      <c r="CP435" s="2"/>
      <c r="CQ435" s="2">
        <v>0.74</v>
      </c>
      <c r="CR435" s="2"/>
      <c r="CS435" s="2"/>
      <c r="CT435" s="2"/>
      <c r="CU435" s="2"/>
      <c r="CV435" s="2"/>
      <c r="CW435" s="2"/>
      <c r="CX435" s="2"/>
      <c r="CY435" s="2">
        <v>1.59</v>
      </c>
      <c r="CZ435" s="2">
        <v>0.16</v>
      </c>
      <c r="DA435" s="2"/>
      <c r="DB435" s="2"/>
      <c r="DC435" s="2"/>
      <c r="DD435" s="2"/>
      <c r="DE435" s="2"/>
      <c r="DF435" s="2"/>
      <c r="DG435" s="2">
        <v>41.15</v>
      </c>
      <c r="DH435" s="2">
        <v>13.62</v>
      </c>
      <c r="DI435" s="2"/>
      <c r="DJ435" s="2"/>
      <c r="DK435" s="2"/>
      <c r="DL435" s="14" t="s">
        <v>81</v>
      </c>
      <c r="DM435" s="2" t="s">
        <v>81</v>
      </c>
      <c r="DN435" s="2">
        <f t="shared" si="49"/>
        <v>1.4007704829083016</v>
      </c>
      <c r="DO435" s="2">
        <f t="shared" si="50"/>
        <v>0.12025501899077591</v>
      </c>
      <c r="DP435" s="2" t="s">
        <v>211</v>
      </c>
      <c r="DQ435" s="2" t="s">
        <v>3</v>
      </c>
      <c r="DR435" s="2">
        <f t="shared" si="51"/>
        <v>18.43</v>
      </c>
      <c r="DS435" s="4">
        <f t="shared" si="52"/>
        <v>1.4007704829083016</v>
      </c>
      <c r="DT435" s="15">
        <f t="shared" si="53"/>
        <v>258.16200000000003</v>
      </c>
      <c r="DU435" s="2"/>
      <c r="DV435" s="2">
        <f t="shared" si="54"/>
        <v>1.5</v>
      </c>
      <c r="DW435" s="4">
        <f t="shared" si="90"/>
        <v>1.6102666666666667</v>
      </c>
      <c r="DX435" s="15">
        <f t="shared" si="91"/>
        <v>24.154</v>
      </c>
      <c r="DY435" s="2"/>
      <c r="DZ435" s="2" t="s">
        <v>3</v>
      </c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 t="s">
        <v>3</v>
      </c>
      <c r="FR435" s="2" t="s">
        <v>37</v>
      </c>
      <c r="FS435" s="2" t="s">
        <v>235</v>
      </c>
      <c r="FT435" s="2"/>
      <c r="FU435" s="2"/>
      <c r="FV435" s="2" t="s">
        <v>3</v>
      </c>
    </row>
    <row r="436" spans="1:178" ht="15.75" customHeight="1" x14ac:dyDescent="0.2">
      <c r="A436" s="12" t="s">
        <v>74</v>
      </c>
      <c r="B436" s="2" t="s">
        <v>198</v>
      </c>
      <c r="C436" s="13" t="s">
        <v>1010</v>
      </c>
      <c r="D436" s="2" t="s">
        <v>109</v>
      </c>
      <c r="E436" s="2"/>
      <c r="F436" s="2"/>
      <c r="G436" s="2"/>
      <c r="H436" s="2" t="s">
        <v>442</v>
      </c>
      <c r="I436" s="2"/>
      <c r="J436" s="2" t="s">
        <v>111</v>
      </c>
      <c r="K436" s="2">
        <v>8.99</v>
      </c>
      <c r="L436" s="2"/>
      <c r="M436" s="2"/>
      <c r="N436" s="2"/>
      <c r="O436" s="2"/>
      <c r="P436" s="2"/>
      <c r="Q436" s="2"/>
      <c r="R436" s="2"/>
      <c r="S436" s="2">
        <v>1.93</v>
      </c>
      <c r="T436" s="2">
        <v>0.03</v>
      </c>
      <c r="U436" s="2"/>
      <c r="V436" s="2"/>
      <c r="W436" s="2"/>
      <c r="X436" s="2"/>
      <c r="Y436" s="2"/>
      <c r="Z436" s="2"/>
      <c r="AA436" s="2">
        <v>13.81</v>
      </c>
      <c r="AB436" s="2">
        <v>42.84</v>
      </c>
      <c r="AC436" s="2"/>
      <c r="AD436" s="2"/>
      <c r="AE436" s="2"/>
      <c r="AF436" s="2">
        <v>12.63</v>
      </c>
      <c r="AG436" s="2"/>
      <c r="AH436" s="2"/>
      <c r="AI436" s="2"/>
      <c r="AJ436" s="2"/>
      <c r="AK436" s="2"/>
      <c r="AL436" s="2"/>
      <c r="AM436" s="2"/>
      <c r="AN436" s="2">
        <v>1.79</v>
      </c>
      <c r="AO436" s="2">
        <v>0.03</v>
      </c>
      <c r="AP436" s="2"/>
      <c r="AQ436" s="2"/>
      <c r="AR436" s="2"/>
      <c r="AS436" s="2"/>
      <c r="AT436" s="2"/>
      <c r="AU436" s="2"/>
      <c r="AV436" s="2">
        <v>13.04</v>
      </c>
      <c r="AW436" s="2">
        <v>42.59</v>
      </c>
      <c r="AX436" s="2"/>
      <c r="AY436" s="2"/>
      <c r="AZ436" s="2"/>
      <c r="BA436" s="2">
        <v>9.1300000000000008</v>
      </c>
      <c r="BB436" s="2"/>
      <c r="BC436" s="2"/>
      <c r="BD436" s="2"/>
      <c r="BE436" s="2"/>
      <c r="BF436" s="2"/>
      <c r="BG436" s="2"/>
      <c r="BH436" s="2"/>
      <c r="BI436" s="2">
        <v>1.73</v>
      </c>
      <c r="BJ436" s="2">
        <v>0.03</v>
      </c>
      <c r="BK436" s="2"/>
      <c r="BL436" s="2"/>
      <c r="BM436" s="2"/>
      <c r="BN436" s="2"/>
      <c r="BO436" s="2"/>
      <c r="BP436" s="2"/>
      <c r="BQ436" s="2">
        <v>12.38</v>
      </c>
      <c r="BR436" s="2">
        <v>42.76</v>
      </c>
      <c r="BS436" s="2"/>
      <c r="BT436" s="2"/>
      <c r="BU436" s="2"/>
      <c r="BV436" s="2">
        <v>7.67</v>
      </c>
      <c r="BW436" s="2"/>
      <c r="BX436" s="2"/>
      <c r="BY436" s="2"/>
      <c r="BZ436" s="2"/>
      <c r="CA436" s="2"/>
      <c r="CB436" s="2"/>
      <c r="CC436" s="2"/>
      <c r="CD436" s="2">
        <v>1.89</v>
      </c>
      <c r="CE436" s="2">
        <v>0.03</v>
      </c>
      <c r="CF436" s="2"/>
      <c r="CG436" s="2"/>
      <c r="CH436" s="2"/>
      <c r="CI436" s="2"/>
      <c r="CJ436" s="2"/>
      <c r="CK436" s="2"/>
      <c r="CL436" s="2">
        <v>13.53</v>
      </c>
      <c r="CM436" s="2">
        <v>43.16</v>
      </c>
      <c r="CN436" s="2"/>
      <c r="CO436" s="2"/>
      <c r="CP436" s="2"/>
      <c r="CQ436" s="2">
        <v>11.14</v>
      </c>
      <c r="CR436" s="2"/>
      <c r="CS436" s="2"/>
      <c r="CT436" s="2"/>
      <c r="CU436" s="2"/>
      <c r="CV436" s="2"/>
      <c r="CW436" s="2"/>
      <c r="CX436" s="2"/>
      <c r="CY436" s="2">
        <v>1.75</v>
      </c>
      <c r="CZ436" s="2">
        <v>0.03</v>
      </c>
      <c r="DA436" s="2"/>
      <c r="DB436" s="2"/>
      <c r="DC436" s="2"/>
      <c r="DD436" s="2"/>
      <c r="DE436" s="2"/>
      <c r="DF436" s="2"/>
      <c r="DG436" s="2">
        <v>12.85</v>
      </c>
      <c r="DH436" s="2">
        <v>42.68</v>
      </c>
      <c r="DI436" s="2"/>
      <c r="DJ436" s="2"/>
      <c r="DK436" s="2"/>
      <c r="DL436" s="14" t="s">
        <v>81</v>
      </c>
      <c r="DM436" s="2" t="s">
        <v>81</v>
      </c>
      <c r="DN436" s="2">
        <f t="shared" si="49"/>
        <v>1.8131154471544715</v>
      </c>
      <c r="DO436" s="2">
        <f t="shared" si="50"/>
        <v>3.0000000000000002E-2</v>
      </c>
      <c r="DP436" s="2" t="s">
        <v>211</v>
      </c>
      <c r="DQ436" s="2" t="s">
        <v>3</v>
      </c>
      <c r="DR436" s="2">
        <f t="shared" si="51"/>
        <v>30.75</v>
      </c>
      <c r="DS436" s="4">
        <f t="shared" si="52"/>
        <v>1.8131154471544715</v>
      </c>
      <c r="DT436" s="15">
        <f t="shared" si="53"/>
        <v>557.5329999999999</v>
      </c>
      <c r="DU436" s="2"/>
      <c r="DV436" s="2">
        <f t="shared" si="54"/>
        <v>18.810000000000002</v>
      </c>
      <c r="DW436" s="4">
        <f t="shared" si="90"/>
        <v>1.8070866560340244</v>
      </c>
      <c r="DX436" s="15">
        <f t="shared" si="91"/>
        <v>339.91300000000001</v>
      </c>
      <c r="DY436" s="2"/>
      <c r="DZ436" s="2" t="s">
        <v>3</v>
      </c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 t="s">
        <v>3</v>
      </c>
      <c r="FR436" s="2" t="s">
        <v>37</v>
      </c>
      <c r="FS436" s="2" t="s">
        <v>106</v>
      </c>
      <c r="FT436" s="2"/>
      <c r="FU436" s="2"/>
      <c r="FV436" s="2" t="s">
        <v>3</v>
      </c>
    </row>
    <row r="437" spans="1:178" ht="15.75" customHeight="1" x14ac:dyDescent="0.2">
      <c r="A437" s="12" t="s">
        <v>74</v>
      </c>
      <c r="B437" s="2" t="s">
        <v>421</v>
      </c>
      <c r="C437" s="13" t="s">
        <v>1011</v>
      </c>
      <c r="D437" s="2" t="s">
        <v>99</v>
      </c>
      <c r="E437" s="2"/>
      <c r="F437" s="2"/>
      <c r="G437" s="2" t="s">
        <v>78</v>
      </c>
      <c r="H437" s="2" t="s">
        <v>200</v>
      </c>
      <c r="I437" s="2"/>
      <c r="J437" s="2" t="s">
        <v>80</v>
      </c>
      <c r="K437" s="2">
        <v>0</v>
      </c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>
        <v>0</v>
      </c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>
        <v>150</v>
      </c>
      <c r="BB437" s="2"/>
      <c r="BC437" s="2"/>
      <c r="BD437" s="2"/>
      <c r="BE437" s="2"/>
      <c r="BF437" s="2"/>
      <c r="BG437" s="2"/>
      <c r="BH437" s="2"/>
      <c r="BI437" s="2">
        <v>1.38</v>
      </c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>
        <v>0</v>
      </c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>
        <v>0</v>
      </c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14" t="s">
        <v>100</v>
      </c>
      <c r="DM437" s="2"/>
      <c r="DN437" s="2">
        <f t="shared" si="49"/>
        <v>1.38</v>
      </c>
      <c r="DO437" s="2">
        <f t="shared" si="50"/>
        <v>0</v>
      </c>
      <c r="DP437" s="2" t="s">
        <v>201</v>
      </c>
      <c r="DQ437" s="2" t="s">
        <v>3</v>
      </c>
      <c r="DR437" s="2">
        <f t="shared" si="51"/>
        <v>150</v>
      </c>
      <c r="DS437" s="4">
        <f t="shared" si="52"/>
        <v>1.38</v>
      </c>
      <c r="DT437" s="18">
        <f t="shared" si="53"/>
        <v>2069.9999999999995</v>
      </c>
      <c r="DU437" s="2"/>
      <c r="DV437" s="2">
        <f t="shared" si="54"/>
        <v>0</v>
      </c>
      <c r="DW437" s="2"/>
      <c r="DX437" s="2"/>
      <c r="DY437" s="2"/>
      <c r="DZ437" s="2" t="s">
        <v>3</v>
      </c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 t="s">
        <v>3</v>
      </c>
      <c r="FR437" s="2" t="s">
        <v>37</v>
      </c>
      <c r="FS437" s="2" t="s">
        <v>151</v>
      </c>
      <c r="FT437" s="2" t="s">
        <v>151</v>
      </c>
      <c r="FU437" s="2"/>
      <c r="FV437" s="2" t="s">
        <v>3</v>
      </c>
    </row>
    <row r="438" spans="1:178" ht="15.75" customHeight="1" x14ac:dyDescent="0.2">
      <c r="A438" s="14" t="s">
        <v>96</v>
      </c>
      <c r="B438" s="2" t="s">
        <v>164</v>
      </c>
      <c r="C438" s="16" t="s">
        <v>1012</v>
      </c>
      <c r="D438" s="2" t="s">
        <v>99</v>
      </c>
      <c r="E438" s="2"/>
      <c r="F438" s="2"/>
      <c r="G438" s="2" t="s">
        <v>179</v>
      </c>
      <c r="H438" s="2" t="s">
        <v>1013</v>
      </c>
      <c r="I438" s="2"/>
      <c r="J438" s="2" t="s">
        <v>181</v>
      </c>
      <c r="K438" s="2">
        <v>0</v>
      </c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>
        <v>0</v>
      </c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19">
        <f>1.6336+1.5302</f>
        <v>3.1638000000000002</v>
      </c>
      <c r="BB438" s="4">
        <f>(0.512*1.6336+0.621*1.5302)/BA438</f>
        <v>0.56471881914153865</v>
      </c>
      <c r="BC438" s="2"/>
      <c r="BD438" s="2"/>
      <c r="BE438" s="2"/>
      <c r="BF438" s="2"/>
      <c r="BG438" s="2"/>
      <c r="BH438" s="2"/>
      <c r="BI438" s="4">
        <f>(0.151*1.6336+0.247*1.5302)/BA438</f>
        <v>0.19743125355585053</v>
      </c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>
        <v>0</v>
      </c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>
        <v>0</v>
      </c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14" t="s">
        <v>100</v>
      </c>
      <c r="DM438" s="2"/>
      <c r="DN438" s="2">
        <f t="shared" si="49"/>
        <v>0.19743125355585053</v>
      </c>
      <c r="DO438" s="2">
        <f t="shared" si="50"/>
        <v>0</v>
      </c>
      <c r="DP438" s="2" t="s">
        <v>1014</v>
      </c>
      <c r="DQ438" s="2" t="s">
        <v>3</v>
      </c>
      <c r="DR438" s="19">
        <f t="shared" si="51"/>
        <v>3.1638000000000002</v>
      </c>
      <c r="DS438" s="4">
        <f t="shared" si="52"/>
        <v>0.19743125355585053</v>
      </c>
      <c r="DT438" s="15">
        <f t="shared" si="53"/>
        <v>6.2463299999999995</v>
      </c>
      <c r="DU438" s="2"/>
      <c r="DV438" s="2">
        <f t="shared" si="54"/>
        <v>0</v>
      </c>
      <c r="DW438" s="2"/>
      <c r="DX438" s="2"/>
      <c r="DY438" s="2"/>
      <c r="DZ438" s="2" t="s">
        <v>3</v>
      </c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 t="s">
        <v>3</v>
      </c>
      <c r="FR438" s="2" t="s">
        <v>89</v>
      </c>
      <c r="FS438" s="2" t="s">
        <v>123</v>
      </c>
      <c r="FT438" s="2"/>
      <c r="FU438" s="2"/>
      <c r="FV438" s="2" t="s">
        <v>3</v>
      </c>
    </row>
    <row r="439" spans="1:178" ht="15.75" customHeight="1" x14ac:dyDescent="0.2">
      <c r="A439" s="12" t="s">
        <v>74</v>
      </c>
      <c r="B439" s="2" t="s">
        <v>75</v>
      </c>
      <c r="C439" s="13" t="s">
        <v>1015</v>
      </c>
      <c r="D439" s="2" t="s">
        <v>99</v>
      </c>
      <c r="E439" s="2"/>
      <c r="F439" s="2"/>
      <c r="G439" s="2" t="s">
        <v>78</v>
      </c>
      <c r="H439" s="2" t="s">
        <v>1016</v>
      </c>
      <c r="I439" s="2"/>
      <c r="J439" s="2"/>
      <c r="K439" s="2">
        <v>0</v>
      </c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>
        <v>0</v>
      </c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>
        <v>200</v>
      </c>
      <c r="BB439" s="2"/>
      <c r="BC439" s="2"/>
      <c r="BD439" s="2"/>
      <c r="BE439" s="2"/>
      <c r="BF439" s="2"/>
      <c r="BG439" s="2"/>
      <c r="BH439" s="2"/>
      <c r="BI439" s="2" t="s">
        <v>1017</v>
      </c>
      <c r="BJ439" s="2">
        <v>0.06</v>
      </c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>
        <v>0</v>
      </c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>
        <v>0</v>
      </c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14" t="s">
        <v>100</v>
      </c>
      <c r="DM439" s="2" t="s">
        <v>100</v>
      </c>
      <c r="DN439" s="2">
        <f t="shared" si="49"/>
        <v>1.3</v>
      </c>
      <c r="DO439" s="2">
        <f t="shared" si="50"/>
        <v>0.06</v>
      </c>
      <c r="DP439" s="2" t="s">
        <v>113</v>
      </c>
      <c r="DQ439" s="2" t="s">
        <v>3</v>
      </c>
      <c r="DR439" s="2">
        <f t="shared" si="51"/>
        <v>200</v>
      </c>
      <c r="DS439" s="4">
        <f t="shared" si="52"/>
        <v>1.3</v>
      </c>
      <c r="DT439" s="18">
        <f t="shared" si="53"/>
        <v>2600</v>
      </c>
      <c r="DU439" s="2"/>
      <c r="DV439" s="2">
        <f t="shared" si="54"/>
        <v>0</v>
      </c>
      <c r="DW439" s="2"/>
      <c r="DX439" s="2"/>
      <c r="DY439" s="2"/>
      <c r="DZ439" s="2" t="s">
        <v>3</v>
      </c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 t="s">
        <v>3</v>
      </c>
      <c r="FR439" s="2" t="s">
        <v>37</v>
      </c>
      <c r="FS439" s="2" t="s">
        <v>151</v>
      </c>
      <c r="FT439" s="2" t="s">
        <v>151</v>
      </c>
      <c r="FU439" s="2"/>
      <c r="FV439" s="2" t="s">
        <v>3</v>
      </c>
    </row>
    <row r="440" spans="1:178" ht="15.75" customHeight="1" x14ac:dyDescent="0.2">
      <c r="A440" s="12" t="s">
        <v>74</v>
      </c>
      <c r="B440" s="2" t="s">
        <v>198</v>
      </c>
      <c r="C440" s="13" t="s">
        <v>1018</v>
      </c>
      <c r="D440" s="2" t="s">
        <v>99</v>
      </c>
      <c r="E440" s="2"/>
      <c r="F440" s="2"/>
      <c r="G440" s="2"/>
      <c r="H440" s="2" t="s">
        <v>442</v>
      </c>
      <c r="I440" s="2"/>
      <c r="J440" s="2" t="s">
        <v>242</v>
      </c>
      <c r="K440" s="2">
        <v>5.56</v>
      </c>
      <c r="L440" s="2"/>
      <c r="M440" s="2"/>
      <c r="N440" s="2"/>
      <c r="O440" s="2"/>
      <c r="P440" s="2"/>
      <c r="Q440" s="2"/>
      <c r="R440" s="2"/>
      <c r="S440" s="2">
        <v>1.45</v>
      </c>
      <c r="T440" s="2">
        <v>0.17</v>
      </c>
      <c r="U440" s="2"/>
      <c r="V440" s="2"/>
      <c r="W440" s="2"/>
      <c r="X440" s="2"/>
      <c r="Y440" s="2"/>
      <c r="Z440" s="2"/>
      <c r="AA440" s="2">
        <v>43.29</v>
      </c>
      <c r="AB440" s="2">
        <v>9.25</v>
      </c>
      <c r="AC440" s="2"/>
      <c r="AD440" s="2"/>
      <c r="AE440" s="2"/>
      <c r="AF440" s="2">
        <v>19.73</v>
      </c>
      <c r="AG440" s="2"/>
      <c r="AH440" s="2"/>
      <c r="AI440" s="2"/>
      <c r="AJ440" s="2"/>
      <c r="AK440" s="2"/>
      <c r="AL440" s="2"/>
      <c r="AM440" s="2"/>
      <c r="AN440" s="2">
        <v>1.42</v>
      </c>
      <c r="AO440" s="2">
        <v>0.15</v>
      </c>
      <c r="AP440" s="2"/>
      <c r="AQ440" s="2"/>
      <c r="AR440" s="2"/>
      <c r="AS440" s="2"/>
      <c r="AT440" s="2"/>
      <c r="AU440" s="2"/>
      <c r="AV440" s="2">
        <v>42.53</v>
      </c>
      <c r="AW440" s="2">
        <v>10.94</v>
      </c>
      <c r="AX440" s="2"/>
      <c r="AY440" s="2"/>
      <c r="AZ440" s="2"/>
      <c r="BA440" s="2">
        <v>103.42</v>
      </c>
      <c r="BB440" s="2"/>
      <c r="BC440" s="2"/>
      <c r="BD440" s="2"/>
      <c r="BE440" s="2"/>
      <c r="BF440" s="2"/>
      <c r="BG440" s="2"/>
      <c r="BH440" s="2"/>
      <c r="BI440" s="2">
        <v>1.46</v>
      </c>
      <c r="BJ440" s="2">
        <v>0.15</v>
      </c>
      <c r="BK440" s="2"/>
      <c r="BL440" s="2"/>
      <c r="BM440" s="2"/>
      <c r="BN440" s="2"/>
      <c r="BO440" s="2"/>
      <c r="BP440" s="2"/>
      <c r="BQ440" s="2">
        <v>43.29</v>
      </c>
      <c r="BR440" s="2">
        <v>9.25</v>
      </c>
      <c r="BS440" s="2"/>
      <c r="BT440" s="2"/>
      <c r="BU440" s="2"/>
      <c r="BV440" s="2">
        <v>1.37</v>
      </c>
      <c r="BW440" s="2"/>
      <c r="BX440" s="2"/>
      <c r="BY440" s="2"/>
      <c r="BZ440" s="2"/>
      <c r="CA440" s="2"/>
      <c r="CB440" s="2"/>
      <c r="CC440" s="2"/>
      <c r="CD440" s="2">
        <v>1.57</v>
      </c>
      <c r="CE440" s="2">
        <v>0.17</v>
      </c>
      <c r="CF440" s="2"/>
      <c r="CG440" s="2"/>
      <c r="CH440" s="2"/>
      <c r="CI440" s="2"/>
      <c r="CJ440" s="2"/>
      <c r="CK440" s="2"/>
      <c r="CL440" s="2">
        <v>42.27</v>
      </c>
      <c r="CM440" s="2">
        <v>9.6999999999999993</v>
      </c>
      <c r="CN440" s="2"/>
      <c r="CO440" s="2"/>
      <c r="CP440" s="2"/>
      <c r="CQ440" s="2">
        <v>4.1399999999999997</v>
      </c>
      <c r="CR440" s="2"/>
      <c r="CS440" s="2"/>
      <c r="CT440" s="2"/>
      <c r="CU440" s="2"/>
      <c r="CV440" s="2"/>
      <c r="CW440" s="2"/>
      <c r="CX440" s="2"/>
      <c r="CY440" s="2">
        <v>1.55</v>
      </c>
      <c r="CZ440" s="2">
        <v>0.17</v>
      </c>
      <c r="DA440" s="2"/>
      <c r="DB440" s="2"/>
      <c r="DC440" s="2"/>
      <c r="DD440" s="2"/>
      <c r="DE440" s="2"/>
      <c r="DF440" s="2"/>
      <c r="DG440" s="2">
        <v>40.880000000000003</v>
      </c>
      <c r="DH440" s="2">
        <v>11.51</v>
      </c>
      <c r="DI440" s="2"/>
      <c r="DJ440" s="2"/>
      <c r="DK440" s="2"/>
      <c r="DL440" s="14" t="s">
        <v>81</v>
      </c>
      <c r="DM440" s="2" t="s">
        <v>81</v>
      </c>
      <c r="DN440" s="2">
        <f t="shared" si="49"/>
        <v>1.4534364074275501</v>
      </c>
      <c r="DO440" s="2">
        <f t="shared" si="50"/>
        <v>0.15086395773444175</v>
      </c>
      <c r="DP440" s="2" t="s">
        <v>211</v>
      </c>
      <c r="DQ440" s="2" t="s">
        <v>3</v>
      </c>
      <c r="DR440" s="15">
        <f t="shared" si="51"/>
        <v>128.71</v>
      </c>
      <c r="DS440" s="4">
        <f t="shared" si="52"/>
        <v>1.4534364074275501</v>
      </c>
      <c r="DT440" s="18">
        <f t="shared" si="53"/>
        <v>1870.7179999999998</v>
      </c>
      <c r="DU440" s="2"/>
      <c r="DV440" s="2">
        <f t="shared" si="54"/>
        <v>5.51</v>
      </c>
      <c r="DW440" s="4">
        <f t="shared" ref="DW440:DW441" si="92">(BV440*CD440+CQ440*CY440)/DV440</f>
        <v>1.5549727767695101</v>
      </c>
      <c r="DX440" s="15">
        <f t="shared" ref="DX440:DX441" si="93">1000*DV440*DW440/100</f>
        <v>85.679000000000002</v>
      </c>
      <c r="DY440" s="2"/>
      <c r="DZ440" s="2" t="s">
        <v>3</v>
      </c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 t="s">
        <v>3</v>
      </c>
      <c r="FR440" s="2" t="s">
        <v>37</v>
      </c>
      <c r="FS440" s="2" t="s">
        <v>235</v>
      </c>
      <c r="FT440" s="2"/>
      <c r="FU440" s="2"/>
      <c r="FV440" s="2" t="s">
        <v>3</v>
      </c>
    </row>
    <row r="441" spans="1:178" ht="15.75" customHeight="1" x14ac:dyDescent="0.2">
      <c r="A441" s="12" t="s">
        <v>74</v>
      </c>
      <c r="B441" s="2" t="s">
        <v>198</v>
      </c>
      <c r="C441" s="13" t="s">
        <v>1019</v>
      </c>
      <c r="D441" s="2" t="s">
        <v>99</v>
      </c>
      <c r="E441" s="2"/>
      <c r="F441" s="2"/>
      <c r="G441" s="2"/>
      <c r="H441" s="2" t="s">
        <v>442</v>
      </c>
      <c r="I441" s="2"/>
      <c r="J441" s="2" t="s">
        <v>111</v>
      </c>
      <c r="K441" s="2">
        <v>8.68</v>
      </c>
      <c r="L441" s="2"/>
      <c r="M441" s="2"/>
      <c r="N441" s="2"/>
      <c r="O441" s="2"/>
      <c r="P441" s="2"/>
      <c r="Q441" s="2"/>
      <c r="R441" s="2"/>
      <c r="S441" s="2">
        <v>2.06</v>
      </c>
      <c r="T441" s="2">
        <v>0.05</v>
      </c>
      <c r="U441" s="2"/>
      <c r="V441" s="2"/>
      <c r="W441" s="2"/>
      <c r="X441" s="2"/>
      <c r="Y441" s="2"/>
      <c r="Z441" s="2"/>
      <c r="AA441" s="2">
        <v>16.25</v>
      </c>
      <c r="AB441" s="2">
        <v>36.46</v>
      </c>
      <c r="AC441" s="2"/>
      <c r="AD441" s="2"/>
      <c r="AE441" s="2"/>
      <c r="AF441" s="2">
        <v>31.42</v>
      </c>
      <c r="AG441" s="2"/>
      <c r="AH441" s="2"/>
      <c r="AI441" s="2"/>
      <c r="AJ441" s="2"/>
      <c r="AK441" s="2"/>
      <c r="AL441" s="2"/>
      <c r="AM441" s="2"/>
      <c r="AN441" s="2">
        <v>1.97</v>
      </c>
      <c r="AO441" s="2">
        <v>0.04</v>
      </c>
      <c r="AP441" s="2"/>
      <c r="AQ441" s="2"/>
      <c r="AR441" s="2"/>
      <c r="AS441" s="2"/>
      <c r="AT441" s="2"/>
      <c r="AU441" s="2"/>
      <c r="AV441" s="2">
        <v>15.34</v>
      </c>
      <c r="AW441" s="2">
        <v>38.83</v>
      </c>
      <c r="AX441" s="2"/>
      <c r="AY441" s="2"/>
      <c r="AZ441" s="2"/>
      <c r="BA441" s="2">
        <v>76.760000000000005</v>
      </c>
      <c r="BB441" s="2"/>
      <c r="BC441" s="2"/>
      <c r="BD441" s="2"/>
      <c r="BE441" s="2"/>
      <c r="BF441" s="2"/>
      <c r="BG441" s="2"/>
      <c r="BH441" s="2"/>
      <c r="BI441" s="2">
        <v>1.88</v>
      </c>
      <c r="BJ441" s="2">
        <v>0.04</v>
      </c>
      <c r="BK441" s="2"/>
      <c r="BL441" s="2"/>
      <c r="BM441" s="2"/>
      <c r="BN441" s="2"/>
      <c r="BO441" s="2"/>
      <c r="BP441" s="2"/>
      <c r="BQ441" s="2">
        <v>16.260000000000002</v>
      </c>
      <c r="BR441" s="2">
        <v>37.6</v>
      </c>
      <c r="BS441" s="2"/>
      <c r="BT441" s="2"/>
      <c r="BU441" s="2"/>
      <c r="BV441" s="2">
        <v>6.48</v>
      </c>
      <c r="BW441" s="2"/>
      <c r="BX441" s="2"/>
      <c r="BY441" s="2"/>
      <c r="BZ441" s="2"/>
      <c r="CA441" s="2"/>
      <c r="CB441" s="2"/>
      <c r="CC441" s="2"/>
      <c r="CD441" s="2">
        <v>1.96</v>
      </c>
      <c r="CE441" s="2">
        <v>0.05</v>
      </c>
      <c r="CF441" s="2"/>
      <c r="CG441" s="2"/>
      <c r="CH441" s="2"/>
      <c r="CI441" s="2"/>
      <c r="CJ441" s="2"/>
      <c r="CK441" s="2"/>
      <c r="CL441" s="2">
        <v>16.2</v>
      </c>
      <c r="CM441" s="2">
        <v>36.32</v>
      </c>
      <c r="CN441" s="2"/>
      <c r="CO441" s="2"/>
      <c r="CP441" s="2"/>
      <c r="CQ441" s="2">
        <v>22.39</v>
      </c>
      <c r="CR441" s="2"/>
      <c r="CS441" s="2"/>
      <c r="CT441" s="2"/>
      <c r="CU441" s="2"/>
      <c r="CV441" s="2"/>
      <c r="CW441" s="2"/>
      <c r="CX441" s="2"/>
      <c r="CY441" s="2">
        <v>1.87</v>
      </c>
      <c r="CZ441" s="2">
        <v>0.04</v>
      </c>
      <c r="DA441" s="2"/>
      <c r="DB441" s="2"/>
      <c r="DC441" s="2"/>
      <c r="DD441" s="2"/>
      <c r="DE441" s="2"/>
      <c r="DF441" s="2"/>
      <c r="DG441" s="2">
        <v>15.4</v>
      </c>
      <c r="DH441" s="2">
        <v>38.9</v>
      </c>
      <c r="DI441" s="2"/>
      <c r="DJ441" s="2"/>
      <c r="DK441" s="2"/>
      <c r="DL441" s="14" t="s">
        <v>81</v>
      </c>
      <c r="DM441" s="2" t="s">
        <v>81</v>
      </c>
      <c r="DN441" s="2">
        <f t="shared" si="49"/>
        <v>1.9175680301215126</v>
      </c>
      <c r="DO441" s="2">
        <f t="shared" si="50"/>
        <v>4.0742769125449253E-2</v>
      </c>
      <c r="DP441" s="2" t="s">
        <v>211</v>
      </c>
      <c r="DQ441" s="2" t="s">
        <v>3</v>
      </c>
      <c r="DR441" s="15">
        <f t="shared" si="51"/>
        <v>116.86000000000001</v>
      </c>
      <c r="DS441" s="4">
        <f t="shared" si="52"/>
        <v>1.9175680301215126</v>
      </c>
      <c r="DT441" s="18">
        <f t="shared" si="53"/>
        <v>2240.87</v>
      </c>
      <c r="DU441" s="2"/>
      <c r="DV441" s="2">
        <f t="shared" si="54"/>
        <v>28.87</v>
      </c>
      <c r="DW441" s="4">
        <f t="shared" si="92"/>
        <v>1.8902009005888467</v>
      </c>
      <c r="DX441" s="15">
        <f t="shared" si="93"/>
        <v>545.70100000000002</v>
      </c>
      <c r="DY441" s="2"/>
      <c r="DZ441" s="2" t="s">
        <v>3</v>
      </c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 t="s">
        <v>3</v>
      </c>
      <c r="FR441" s="2" t="s">
        <v>37</v>
      </c>
      <c r="FS441" s="2" t="s">
        <v>106</v>
      </c>
      <c r="FT441" s="2"/>
      <c r="FU441" s="2"/>
      <c r="FV441" s="2" t="s">
        <v>3</v>
      </c>
    </row>
    <row r="442" spans="1:178" ht="15.75" customHeight="1" x14ac:dyDescent="0.2">
      <c r="A442" s="12" t="s">
        <v>74</v>
      </c>
      <c r="B442" s="2" t="s">
        <v>75</v>
      </c>
      <c r="C442" s="13" t="s">
        <v>1020</v>
      </c>
      <c r="D442" s="2" t="s">
        <v>99</v>
      </c>
      <c r="E442" s="2"/>
      <c r="F442" s="2"/>
      <c r="G442" s="2" t="s">
        <v>78</v>
      </c>
      <c r="H442" s="2" t="s">
        <v>1021</v>
      </c>
      <c r="I442" s="2"/>
      <c r="J442" s="2" t="s">
        <v>141</v>
      </c>
      <c r="K442" s="19">
        <v>4.6422860000000004</v>
      </c>
      <c r="L442" s="2"/>
      <c r="M442" s="2"/>
      <c r="N442" s="2"/>
      <c r="O442" s="2"/>
      <c r="P442" s="2"/>
      <c r="Q442" s="2"/>
      <c r="R442" s="2"/>
      <c r="S442" s="2">
        <v>1.43</v>
      </c>
      <c r="T442" s="2">
        <v>0.08</v>
      </c>
      <c r="U442" s="2"/>
      <c r="V442" s="2"/>
      <c r="W442" s="2"/>
      <c r="X442" s="2"/>
      <c r="Y442" s="2"/>
      <c r="Z442" s="2"/>
      <c r="AA442" s="2">
        <v>34.299999999999997</v>
      </c>
      <c r="AB442" s="2"/>
      <c r="AC442" s="2"/>
      <c r="AD442" s="2"/>
      <c r="AE442" s="2"/>
      <c r="AF442" s="19">
        <v>3.1234989999999998</v>
      </c>
      <c r="AG442" s="2"/>
      <c r="AH442" s="2"/>
      <c r="AI442" s="2"/>
      <c r="AJ442" s="2"/>
      <c r="AK442" s="2"/>
      <c r="AL442" s="2"/>
      <c r="AM442" s="2"/>
      <c r="AN442" s="2">
        <v>1.58</v>
      </c>
      <c r="AO442" s="2">
        <v>0.06</v>
      </c>
      <c r="AP442" s="2"/>
      <c r="AQ442" s="2"/>
      <c r="AR442" s="2"/>
      <c r="AS442" s="2"/>
      <c r="AT442" s="2"/>
      <c r="AU442" s="2"/>
      <c r="AV442" s="2">
        <v>21.86</v>
      </c>
      <c r="AW442" s="2"/>
      <c r="AX442" s="2"/>
      <c r="AY442" s="2"/>
      <c r="AZ442" s="2"/>
      <c r="BA442" s="19">
        <v>1.8940399999999999</v>
      </c>
      <c r="BB442" s="2"/>
      <c r="BC442" s="2"/>
      <c r="BD442" s="2"/>
      <c r="BE442" s="2"/>
      <c r="BF442" s="2"/>
      <c r="BG442" s="2"/>
      <c r="BH442" s="2"/>
      <c r="BI442" s="2">
        <v>1.59</v>
      </c>
      <c r="BJ442" s="2">
        <v>0.06</v>
      </c>
      <c r="BK442" s="2"/>
      <c r="BL442" s="2"/>
      <c r="BM442" s="2"/>
      <c r="BN442" s="2"/>
      <c r="BO442" s="2"/>
      <c r="BP442" s="2"/>
      <c r="BQ442" s="2">
        <v>19.75</v>
      </c>
      <c r="BR442" s="2"/>
      <c r="BS442" s="2"/>
      <c r="BT442" s="2"/>
      <c r="BU442" s="2"/>
      <c r="BV442" s="2">
        <v>0</v>
      </c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>
        <v>0</v>
      </c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14" t="s">
        <v>81</v>
      </c>
      <c r="DM442" s="2" t="s">
        <v>81</v>
      </c>
      <c r="DN442" s="2">
        <f t="shared" si="49"/>
        <v>1.5098742472042714</v>
      </c>
      <c r="DO442" s="2">
        <f t="shared" si="50"/>
        <v>6.9611532300015794E-2</v>
      </c>
      <c r="DP442" s="2" t="s">
        <v>1022</v>
      </c>
      <c r="DQ442" s="2" t="s">
        <v>3</v>
      </c>
      <c r="DR442" s="19">
        <f t="shared" si="51"/>
        <v>9.6598249999999997</v>
      </c>
      <c r="DS442" s="4">
        <f t="shared" si="52"/>
        <v>1.5098742472042714</v>
      </c>
      <c r="DT442" s="15">
        <f t="shared" si="53"/>
        <v>145.85120999999998</v>
      </c>
      <c r="DU442" s="2"/>
      <c r="DV442" s="2">
        <f t="shared" si="54"/>
        <v>0</v>
      </c>
      <c r="DW442" s="2"/>
      <c r="DX442" s="2"/>
      <c r="DY442" s="2"/>
      <c r="DZ442" s="2" t="s">
        <v>3</v>
      </c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 t="s">
        <v>3</v>
      </c>
      <c r="FR442" s="2" t="s">
        <v>37</v>
      </c>
      <c r="FS442" s="2" t="s">
        <v>229</v>
      </c>
      <c r="FT442" s="2" t="s">
        <v>106</v>
      </c>
      <c r="FU442" s="2"/>
      <c r="FV442" s="2" t="s">
        <v>3</v>
      </c>
    </row>
    <row r="443" spans="1:178" ht="15.75" customHeight="1" x14ac:dyDescent="0.2">
      <c r="A443" s="12" t="s">
        <v>74</v>
      </c>
      <c r="B443" s="2" t="s">
        <v>305</v>
      </c>
      <c r="C443" s="13" t="s">
        <v>1023</v>
      </c>
      <c r="D443" s="2" t="s">
        <v>99</v>
      </c>
      <c r="E443" s="2"/>
      <c r="F443" s="2"/>
      <c r="G443" s="2"/>
      <c r="H443" s="2" t="s">
        <v>307</v>
      </c>
      <c r="I443" s="2"/>
      <c r="J443" s="2"/>
      <c r="K443" s="2">
        <v>0</v>
      </c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>
        <v>0</v>
      </c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>
        <v>310</v>
      </c>
      <c r="BB443" s="2"/>
      <c r="BC443" s="2"/>
      <c r="BD443" s="2"/>
      <c r="BE443" s="2"/>
      <c r="BF443" s="2"/>
      <c r="BG443" s="2"/>
      <c r="BH443" s="2"/>
      <c r="BI443" s="2">
        <v>1.3</v>
      </c>
      <c r="BJ443" s="2">
        <v>0.11</v>
      </c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>
        <v>0</v>
      </c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>
        <v>0</v>
      </c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14" t="s">
        <v>100</v>
      </c>
      <c r="DM443" s="2" t="s">
        <v>100</v>
      </c>
      <c r="DN443" s="2">
        <f t="shared" si="49"/>
        <v>1.3</v>
      </c>
      <c r="DO443" s="2">
        <f t="shared" si="50"/>
        <v>0.11</v>
      </c>
      <c r="DP443" s="2" t="s">
        <v>113</v>
      </c>
      <c r="DQ443" s="2" t="s">
        <v>3</v>
      </c>
      <c r="DR443" s="2">
        <f t="shared" si="51"/>
        <v>310</v>
      </c>
      <c r="DS443" s="2">
        <f t="shared" si="52"/>
        <v>1.3</v>
      </c>
      <c r="DT443" s="18">
        <f t="shared" si="53"/>
        <v>4030</v>
      </c>
      <c r="DU443" s="2"/>
      <c r="DV443" s="2">
        <f t="shared" si="54"/>
        <v>0</v>
      </c>
      <c r="DW443" s="2"/>
      <c r="DX443" s="2"/>
      <c r="DY443" s="2"/>
      <c r="DZ443" s="2" t="s">
        <v>3</v>
      </c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 t="s">
        <v>3</v>
      </c>
      <c r="FR443" s="2" t="s">
        <v>37</v>
      </c>
      <c r="FS443" s="2" t="s">
        <v>235</v>
      </c>
      <c r="FT443" s="2" t="s">
        <v>235</v>
      </c>
      <c r="FU443" s="2"/>
      <c r="FV443" s="2" t="s">
        <v>3</v>
      </c>
    </row>
    <row r="444" spans="1:178" ht="15.75" customHeight="1" x14ac:dyDescent="0.2">
      <c r="A444" s="14" t="s">
        <v>96</v>
      </c>
      <c r="B444" s="2" t="s">
        <v>124</v>
      </c>
      <c r="C444" s="16" t="s">
        <v>1024</v>
      </c>
      <c r="D444" s="2" t="s">
        <v>99</v>
      </c>
      <c r="E444" s="2"/>
      <c r="F444" s="2"/>
      <c r="G444" s="2"/>
      <c r="H444" s="2" t="s">
        <v>79</v>
      </c>
      <c r="I444" s="2"/>
      <c r="J444" s="2"/>
      <c r="K444" s="2">
        <v>0</v>
      </c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>
        <v>0</v>
      </c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>
        <v>0.02</v>
      </c>
      <c r="BB444" s="2">
        <v>0.34</v>
      </c>
      <c r="BC444" s="2"/>
      <c r="BD444" s="2"/>
      <c r="BE444" s="2"/>
      <c r="BF444" s="2"/>
      <c r="BG444" s="2"/>
      <c r="BH444" s="2"/>
      <c r="BI444" s="2">
        <v>0.53</v>
      </c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>
        <v>0</v>
      </c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>
        <v>0</v>
      </c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14" t="s">
        <v>100</v>
      </c>
      <c r="DM444" s="2"/>
      <c r="DN444" s="2">
        <f t="shared" si="49"/>
        <v>0.53</v>
      </c>
      <c r="DO444" s="2">
        <f t="shared" si="50"/>
        <v>0</v>
      </c>
      <c r="DP444" s="2" t="s">
        <v>126</v>
      </c>
      <c r="DQ444" s="2" t="s">
        <v>3</v>
      </c>
      <c r="DR444" s="2">
        <f t="shared" si="51"/>
        <v>0.02</v>
      </c>
      <c r="DS444" s="2">
        <f t="shared" si="52"/>
        <v>0.53</v>
      </c>
      <c r="DT444" s="15">
        <f t="shared" si="53"/>
        <v>0.10600000000000001</v>
      </c>
      <c r="DU444" s="2"/>
      <c r="DV444" s="2">
        <f t="shared" si="54"/>
        <v>0</v>
      </c>
      <c r="DW444" s="2"/>
      <c r="DX444" s="2"/>
      <c r="DY444" s="2"/>
      <c r="DZ444" s="2" t="s">
        <v>3</v>
      </c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 t="s">
        <v>3</v>
      </c>
      <c r="FR444" s="2" t="s">
        <v>89</v>
      </c>
      <c r="FS444" s="2" t="s">
        <v>123</v>
      </c>
      <c r="FT444" s="2"/>
      <c r="FU444" s="2"/>
      <c r="FV444" s="2" t="s">
        <v>3</v>
      </c>
    </row>
    <row r="445" spans="1:178" ht="15.75" customHeight="1" x14ac:dyDescent="0.2">
      <c r="A445" s="14" t="s">
        <v>74</v>
      </c>
      <c r="B445" s="2" t="s">
        <v>164</v>
      </c>
      <c r="C445" s="13" t="s">
        <v>1025</v>
      </c>
      <c r="D445" s="2" t="s">
        <v>99</v>
      </c>
      <c r="E445" s="2"/>
      <c r="F445" s="2"/>
      <c r="G445" s="2" t="s">
        <v>78</v>
      </c>
      <c r="H445" s="2" t="s">
        <v>1026</v>
      </c>
      <c r="I445" s="2"/>
      <c r="J445" s="2" t="s">
        <v>80</v>
      </c>
      <c r="K445" s="2">
        <v>4.2</v>
      </c>
      <c r="L445" s="2"/>
      <c r="M445" s="2"/>
      <c r="N445" s="2"/>
      <c r="O445" s="2"/>
      <c r="P445" s="2"/>
      <c r="Q445" s="2"/>
      <c r="R445" s="2"/>
      <c r="S445" s="4">
        <v>1</v>
      </c>
      <c r="T445" s="2">
        <v>0.08</v>
      </c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>
        <v>6.3</v>
      </c>
      <c r="AG445" s="2"/>
      <c r="AH445" s="2"/>
      <c r="AI445" s="2"/>
      <c r="AJ445" s="2"/>
      <c r="AK445" s="2"/>
      <c r="AL445" s="2"/>
      <c r="AM445" s="2"/>
      <c r="AN445" s="2">
        <v>0.98</v>
      </c>
      <c r="AO445" s="2">
        <v>0.09</v>
      </c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>
        <v>0</v>
      </c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>
        <v>0</v>
      </c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>
        <v>0</v>
      </c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14" t="s">
        <v>81</v>
      </c>
      <c r="DM445" s="2" t="s">
        <v>81</v>
      </c>
      <c r="DN445" s="2">
        <f t="shared" si="49"/>
        <v>0.98799999999999988</v>
      </c>
      <c r="DO445" s="2">
        <f t="shared" si="50"/>
        <v>8.6000000000000007E-2</v>
      </c>
      <c r="DP445" s="2" t="s">
        <v>211</v>
      </c>
      <c r="DQ445" s="2" t="s">
        <v>3</v>
      </c>
      <c r="DR445" s="2">
        <f t="shared" si="51"/>
        <v>10.5</v>
      </c>
      <c r="DS445" s="4">
        <f t="shared" si="52"/>
        <v>0.98799999999999988</v>
      </c>
      <c r="DT445" s="15">
        <f t="shared" si="53"/>
        <v>103.73999999999998</v>
      </c>
      <c r="DU445" s="2"/>
      <c r="DV445" s="2">
        <f t="shared" si="54"/>
        <v>0</v>
      </c>
      <c r="DW445" s="2"/>
      <c r="DX445" s="2"/>
      <c r="DY445" s="2"/>
      <c r="DZ445" s="2" t="s">
        <v>3</v>
      </c>
      <c r="EA445" s="2" t="s">
        <v>147</v>
      </c>
      <c r="EB445" s="2" t="s">
        <v>176</v>
      </c>
      <c r="EC445" s="15">
        <v>225.92699999999999</v>
      </c>
      <c r="ED445" s="2" t="s">
        <v>176</v>
      </c>
      <c r="EE445" s="15">
        <v>225.92699999999999</v>
      </c>
      <c r="EF445" s="2" t="s">
        <v>176</v>
      </c>
      <c r="EG445" s="3">
        <v>2286.8220000000001</v>
      </c>
      <c r="EH445" s="2"/>
      <c r="EI445" s="3">
        <f>EG445-EE445</f>
        <v>2060.895</v>
      </c>
      <c r="EJ445" s="2"/>
      <c r="EK445" s="3">
        <f>ET445</f>
        <v>0</v>
      </c>
      <c r="EL445" s="3">
        <f>EC445+FD445</f>
        <v>225.92699999999999</v>
      </c>
      <c r="EM445" s="2" t="s">
        <v>147</v>
      </c>
      <c r="EN445" s="2" t="s">
        <v>176</v>
      </c>
      <c r="EO445" s="2" t="s">
        <v>176</v>
      </c>
      <c r="EP445" s="2" t="s">
        <v>176</v>
      </c>
      <c r="EQ445" s="2" t="s">
        <v>176</v>
      </c>
      <c r="ER445" s="15">
        <f>SUM(DR807:DR808)</f>
        <v>0</v>
      </c>
      <c r="ES445" s="4" t="e">
        <f t="shared" ref="ES445:ES446" si="94">100*(ET445/1000)/ER445</f>
        <v>#DIV/0!</v>
      </c>
      <c r="ET445" s="3">
        <f>SUM(DT807:DT808)</f>
        <v>0</v>
      </c>
      <c r="EU445" s="2">
        <f>COUNT(DT807:DT808)</f>
        <v>0</v>
      </c>
      <c r="EV445" s="2" t="s">
        <v>176</v>
      </c>
      <c r="EW445" s="2" t="s">
        <v>176</v>
      </c>
      <c r="EX445" s="2" t="s">
        <v>176</v>
      </c>
      <c r="EY445" s="2" t="s">
        <v>176</v>
      </c>
      <c r="EZ445" s="2" t="s">
        <v>176</v>
      </c>
      <c r="FA445" s="2" t="s">
        <v>176</v>
      </c>
      <c r="FB445" s="2" t="s">
        <v>176</v>
      </c>
      <c r="FC445" s="2" t="s">
        <v>176</v>
      </c>
      <c r="FD445" s="3">
        <f>SUM(EP445,ET445,EX445,FB445)</f>
        <v>0</v>
      </c>
      <c r="FE445" s="2" t="s">
        <v>176</v>
      </c>
      <c r="FF445" s="2" t="s">
        <v>176</v>
      </c>
      <c r="FG445" s="2" t="s">
        <v>176</v>
      </c>
      <c r="FH445" s="2" t="s">
        <v>176</v>
      </c>
      <c r="FI445" s="15">
        <f>SUM(DV807:DV808)</f>
        <v>0</v>
      </c>
      <c r="FJ445" s="4" t="e">
        <f>100*(FK445/1000)/FI445</f>
        <v>#DIV/0!</v>
      </c>
      <c r="FK445" s="3">
        <f>SUM(DX807:DX808)</f>
        <v>0</v>
      </c>
      <c r="FL445" s="2">
        <f>COUNT(DX807:DX808)</f>
        <v>0</v>
      </c>
      <c r="FM445" s="2" t="s">
        <v>176</v>
      </c>
      <c r="FN445" s="2" t="s">
        <v>176</v>
      </c>
      <c r="FO445" s="3">
        <f>SUM(FG445,FK445,FM445,FN445)</f>
        <v>0</v>
      </c>
      <c r="FP445" s="2" t="s">
        <v>147</v>
      </c>
      <c r="FQ445" s="2" t="s">
        <v>3</v>
      </c>
      <c r="FR445" s="2" t="s">
        <v>37</v>
      </c>
      <c r="FS445" s="2" t="s">
        <v>383</v>
      </c>
      <c r="FT445" s="2" t="s">
        <v>383</v>
      </c>
      <c r="FU445" s="2"/>
      <c r="FV445" s="2" t="s">
        <v>3</v>
      </c>
    </row>
    <row r="446" spans="1:178" ht="15.75" customHeight="1" x14ac:dyDescent="0.2">
      <c r="A446" s="14" t="s">
        <v>74</v>
      </c>
      <c r="B446" s="2" t="s">
        <v>164</v>
      </c>
      <c r="C446" s="13" t="s">
        <v>1027</v>
      </c>
      <c r="D446" s="2" t="s">
        <v>99</v>
      </c>
      <c r="E446" s="2"/>
      <c r="F446" s="2"/>
      <c r="G446" s="2" t="s">
        <v>78</v>
      </c>
      <c r="H446" s="2" t="s">
        <v>1028</v>
      </c>
      <c r="I446" s="2"/>
      <c r="J446" s="2" t="s">
        <v>242</v>
      </c>
      <c r="K446" s="2">
        <v>0</v>
      </c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>
        <v>4.4000000000000004</v>
      </c>
      <c r="AG446" s="2"/>
      <c r="AH446" s="2"/>
      <c r="AI446" s="2"/>
      <c r="AJ446" s="2"/>
      <c r="AK446" s="2"/>
      <c r="AL446" s="2"/>
      <c r="AM446" s="2"/>
      <c r="AN446" s="2">
        <v>0.72</v>
      </c>
      <c r="AO446" s="2">
        <v>4.9000000000000002E-2</v>
      </c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>
        <v>21.9</v>
      </c>
      <c r="BB446" s="2"/>
      <c r="BC446" s="2"/>
      <c r="BD446" s="2"/>
      <c r="BE446" s="2"/>
      <c r="BF446" s="2"/>
      <c r="BG446" s="2"/>
      <c r="BH446" s="2"/>
      <c r="BI446" s="2">
        <v>0.63</v>
      </c>
      <c r="BJ446" s="2">
        <v>4.2000000000000003E-2</v>
      </c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>
        <v>0</v>
      </c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>
        <v>0</v>
      </c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14" t="s">
        <v>81</v>
      </c>
      <c r="DM446" s="2" t="s">
        <v>81</v>
      </c>
      <c r="DN446" s="2">
        <f t="shared" si="49"/>
        <v>0.6450570342205324</v>
      </c>
      <c r="DO446" s="2">
        <f t="shared" si="50"/>
        <v>4.3171102661596961E-2</v>
      </c>
      <c r="DP446" s="2" t="s">
        <v>1029</v>
      </c>
      <c r="DQ446" s="2" t="s">
        <v>3</v>
      </c>
      <c r="DR446" s="2">
        <f t="shared" si="51"/>
        <v>26.299999999999997</v>
      </c>
      <c r="DS446" s="4">
        <f t="shared" si="52"/>
        <v>0.6450570342205324</v>
      </c>
      <c r="DT446" s="15">
        <f t="shared" si="53"/>
        <v>169.65</v>
      </c>
      <c r="DU446" s="2"/>
      <c r="DV446" s="2">
        <f t="shared" si="54"/>
        <v>0</v>
      </c>
      <c r="DW446" s="2"/>
      <c r="DX446" s="2"/>
      <c r="DY446" s="2"/>
      <c r="DZ446" s="2" t="s">
        <v>3</v>
      </c>
      <c r="EA446" s="2"/>
      <c r="EB446" s="15">
        <f t="shared" ref="EB446:EC446" si="95">SUM(EB385,EB388,EB390,EB393,EB397,EB401:EB402,EB405:EB406,EB408:EB409,EB411:EB413,EB416:EB417,EB419:EB420,EB422,EB425:EB426,EB428:EB429)</f>
        <v>0</v>
      </c>
      <c r="EC446" s="3">
        <f t="shared" si="95"/>
        <v>384.90999999999997</v>
      </c>
      <c r="ED446" s="2"/>
      <c r="EE446" s="2"/>
      <c r="EF446" s="2"/>
      <c r="EG446" s="2"/>
      <c r="EH446" s="2"/>
      <c r="EI446" s="2"/>
      <c r="EJ446" s="2"/>
      <c r="EK446" s="2"/>
      <c r="EL446" s="3">
        <f>SUM(EB432:EE444)+FD446</f>
        <v>123.30800000000001</v>
      </c>
      <c r="EM446" s="38" t="s">
        <v>1030</v>
      </c>
      <c r="EN446" s="15">
        <f>SUM(EN385,EN390,EN397,EN401:EN402,EN405:EN406,EN408:EN409,EN412:EN413,EN416:EN417,EN419:EN420,EN422,EN425:EN426,EN428:EN429)</f>
        <v>0</v>
      </c>
      <c r="EO446" s="4" t="e">
        <f>100*(EP446/1000)/EN446</f>
        <v>#DIV/0!</v>
      </c>
      <c r="EP446" s="15">
        <f t="shared" ref="EP446:ER446" si="96">SUM(EP385,EP390,EP397,EP401:EP402,EP405:EP406,EP408:EP409,EP412:EP413,EP416:EP417,EP419:EP420,EP422,EP425:EP426,EP428:EP429)</f>
        <v>0</v>
      </c>
      <c r="EQ446" s="2">
        <f t="shared" si="96"/>
        <v>0</v>
      </c>
      <c r="ER446" s="3">
        <f t="shared" si="96"/>
        <v>0</v>
      </c>
      <c r="ES446" s="4" t="e">
        <f t="shared" si="94"/>
        <v>#DIV/0!</v>
      </c>
      <c r="ET446" s="3">
        <f t="shared" ref="ET446:EV446" si="97">SUM(ET385,ET390,ET397,ET401:ET402,ET405:ET406,ET408:ET409,ET412:ET413,ET416:ET417,ET419:ET420,ET422,ET425:ET426,ET428:ET429)</f>
        <v>0</v>
      </c>
      <c r="EU446" s="2">
        <f t="shared" si="97"/>
        <v>0</v>
      </c>
      <c r="EV446" s="15">
        <f t="shared" si="97"/>
        <v>0</v>
      </c>
      <c r="EW446" s="4" t="e">
        <f>100*(EX446/1000)/EV446</f>
        <v>#DIV/0!</v>
      </c>
      <c r="EX446" s="15">
        <f t="shared" ref="EX446:EZ446" si="98">SUM(EX385,EX390,EX397,EX401:EX402,EX405:EX406,EX408:EX409,EX412:EX413,EX416:EX417,EX419:EX420,EX422,EX425:EX426,EX428:EX429)</f>
        <v>0</v>
      </c>
      <c r="EY446" s="2">
        <f t="shared" si="98"/>
        <v>0</v>
      </c>
      <c r="EZ446" s="2">
        <f t="shared" si="98"/>
        <v>0</v>
      </c>
      <c r="FA446" s="4" t="e">
        <f>100*(FB446/1000)/EZ446</f>
        <v>#DIV/0!</v>
      </c>
      <c r="FB446" s="2">
        <f t="shared" ref="FB446:FD446" si="99">SUM(FB385,FB390,FB397,FB401:FB402,FB405:FB406,FB408:FB409,FB412:FB413,FB416:FB417,FB419:FB420,FB422,FB425:FB426,FB428:FB429)</f>
        <v>0</v>
      </c>
      <c r="FC446" s="2">
        <f t="shared" si="99"/>
        <v>0</v>
      </c>
      <c r="FD446" s="3">
        <f t="shared" si="99"/>
        <v>0</v>
      </c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 t="s">
        <v>3</v>
      </c>
      <c r="FR446" s="2" t="s">
        <v>37</v>
      </c>
      <c r="FS446" s="2" t="s">
        <v>114</v>
      </c>
      <c r="FT446" s="2"/>
      <c r="FU446" s="2"/>
      <c r="FV446" s="2" t="s">
        <v>3</v>
      </c>
    </row>
    <row r="447" spans="1:178" ht="15.75" customHeight="1" x14ac:dyDescent="0.2">
      <c r="A447" s="14" t="s">
        <v>96</v>
      </c>
      <c r="B447" s="2" t="s">
        <v>164</v>
      </c>
      <c r="C447" s="16" t="s">
        <v>1031</v>
      </c>
      <c r="D447" s="2" t="s">
        <v>120</v>
      </c>
      <c r="E447" s="2"/>
      <c r="F447" s="2"/>
      <c r="G447" s="2" t="s">
        <v>78</v>
      </c>
      <c r="H447" s="2" t="s">
        <v>1032</v>
      </c>
      <c r="I447" s="2"/>
      <c r="J447" s="2" t="s">
        <v>781</v>
      </c>
      <c r="K447" s="2">
        <v>0</v>
      </c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>
        <v>1.98</v>
      </c>
      <c r="AG447" s="2">
        <v>1.04</v>
      </c>
      <c r="AH447" s="2"/>
      <c r="AI447" s="2"/>
      <c r="AJ447" s="2"/>
      <c r="AK447" s="2"/>
      <c r="AL447" s="2"/>
      <c r="AM447" s="2"/>
      <c r="AN447" s="2">
        <v>0.61</v>
      </c>
      <c r="AO447" s="2">
        <v>0.04</v>
      </c>
      <c r="AP447" s="2"/>
      <c r="AQ447" s="2">
        <v>0.5</v>
      </c>
      <c r="AR447" s="2"/>
      <c r="AS447" s="2"/>
      <c r="AT447" s="2"/>
      <c r="AU447" s="2"/>
      <c r="AV447" s="2"/>
      <c r="AW447" s="2"/>
      <c r="AX447" s="2"/>
      <c r="AY447" s="2"/>
      <c r="AZ447" s="2"/>
      <c r="BA447" s="2">
        <v>2.04</v>
      </c>
      <c r="BB447" s="2">
        <v>0.73</v>
      </c>
      <c r="BC447" s="2"/>
      <c r="BD447" s="2"/>
      <c r="BE447" s="2"/>
      <c r="BF447" s="2"/>
      <c r="BG447" s="2"/>
      <c r="BH447" s="2"/>
      <c r="BI447" s="2">
        <v>0.42</v>
      </c>
      <c r="BJ447" s="2">
        <v>0.04</v>
      </c>
      <c r="BK447" s="2"/>
      <c r="BL447" s="2">
        <v>0.5</v>
      </c>
      <c r="BM447" s="2"/>
      <c r="BN447" s="2"/>
      <c r="BO447" s="2"/>
      <c r="BP447" s="2"/>
      <c r="BQ447" s="2"/>
      <c r="BR447" s="2"/>
      <c r="BS447" s="2"/>
      <c r="BT447" s="2"/>
      <c r="BU447" s="2"/>
      <c r="BV447" s="2">
        <v>0</v>
      </c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>
        <v>0</v>
      </c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14" t="s">
        <v>81</v>
      </c>
      <c r="DM447" s="2" t="s">
        <v>81</v>
      </c>
      <c r="DN447" s="2">
        <f t="shared" si="49"/>
        <v>0.51358208955223883</v>
      </c>
      <c r="DO447" s="2">
        <f t="shared" si="50"/>
        <v>0.04</v>
      </c>
      <c r="DP447" s="2" t="s">
        <v>211</v>
      </c>
      <c r="DQ447" s="2" t="s">
        <v>3</v>
      </c>
      <c r="DR447" s="2">
        <f t="shared" si="51"/>
        <v>4.0199999999999996</v>
      </c>
      <c r="DS447" s="4">
        <f t="shared" si="52"/>
        <v>0.51358208955223883</v>
      </c>
      <c r="DT447" s="15">
        <f t="shared" si="53"/>
        <v>20.646000000000001</v>
      </c>
      <c r="DU447" s="2"/>
      <c r="DV447" s="2">
        <f t="shared" si="54"/>
        <v>0</v>
      </c>
      <c r="DW447" s="2"/>
      <c r="DX447" s="2"/>
      <c r="DY447" s="2"/>
      <c r="DZ447" s="2" t="s">
        <v>3</v>
      </c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 t="s">
        <v>3</v>
      </c>
      <c r="FR447" s="2" t="s">
        <v>89</v>
      </c>
      <c r="FS447" s="2" t="s">
        <v>137</v>
      </c>
      <c r="FT447" s="2"/>
      <c r="FU447" s="2"/>
      <c r="FV447" s="2" t="s">
        <v>3</v>
      </c>
    </row>
    <row r="448" spans="1:178" ht="15.75" customHeight="1" x14ac:dyDescent="0.2">
      <c r="A448" s="14" t="s">
        <v>96</v>
      </c>
      <c r="B448" s="2" t="s">
        <v>133</v>
      </c>
      <c r="C448" s="16" t="s">
        <v>1033</v>
      </c>
      <c r="D448" s="2" t="s">
        <v>109</v>
      </c>
      <c r="E448" s="2"/>
      <c r="F448" s="2"/>
      <c r="G448" s="2"/>
      <c r="H448" s="2" t="s">
        <v>309</v>
      </c>
      <c r="I448" s="2"/>
      <c r="J448" s="2"/>
      <c r="K448" s="2">
        <v>6.5</v>
      </c>
      <c r="L448" s="2">
        <v>0.92</v>
      </c>
      <c r="M448" s="2"/>
      <c r="N448" s="2"/>
      <c r="O448" s="2"/>
      <c r="P448" s="2"/>
      <c r="Q448" s="2"/>
      <c r="R448" s="2"/>
      <c r="S448" s="2">
        <v>3.75</v>
      </c>
      <c r="T448" s="2">
        <v>0.08</v>
      </c>
      <c r="U448" s="4">
        <v>1</v>
      </c>
      <c r="V448" s="2">
        <v>2.41</v>
      </c>
      <c r="W448" s="2"/>
      <c r="X448" s="2"/>
      <c r="Y448" s="2"/>
      <c r="Z448" s="2"/>
      <c r="AA448" s="2"/>
      <c r="AB448" s="2"/>
      <c r="AC448" s="2"/>
      <c r="AD448" s="2"/>
      <c r="AE448" s="2"/>
      <c r="AF448" s="2">
        <v>14.2</v>
      </c>
      <c r="AG448" s="2">
        <v>0.96</v>
      </c>
      <c r="AH448" s="2"/>
      <c r="AI448" s="2"/>
      <c r="AJ448" s="2"/>
      <c r="AK448" s="2"/>
      <c r="AL448" s="2"/>
      <c r="AM448" s="2"/>
      <c r="AN448" s="2">
        <v>3.15</v>
      </c>
      <c r="AO448" s="2">
        <v>7.0000000000000007E-2</v>
      </c>
      <c r="AP448" s="2">
        <v>0.94</v>
      </c>
      <c r="AQ448" s="2">
        <v>2.35</v>
      </c>
      <c r="AR448" s="2"/>
      <c r="AS448" s="2"/>
      <c r="AT448" s="2"/>
      <c r="AU448" s="2"/>
      <c r="AV448" s="2"/>
      <c r="AW448" s="2"/>
      <c r="AX448" s="2"/>
      <c r="AY448" s="2"/>
      <c r="AZ448" s="2"/>
      <c r="BA448" s="2">
        <v>14</v>
      </c>
      <c r="BB448" s="2">
        <v>0.9</v>
      </c>
      <c r="BC448" s="2"/>
      <c r="BD448" s="2"/>
      <c r="BE448" s="2"/>
      <c r="BF448" s="2"/>
      <c r="BG448" s="2"/>
      <c r="BH448" s="2"/>
      <c r="BI448" s="15">
        <v>3</v>
      </c>
      <c r="BJ448" s="2">
        <v>7.0000000000000007E-2</v>
      </c>
      <c r="BK448" s="2">
        <v>0.9</v>
      </c>
      <c r="BL448" s="2">
        <v>2.2000000000000002</v>
      </c>
      <c r="BM448" s="2"/>
      <c r="BN448" s="2"/>
      <c r="BO448" s="2"/>
      <c r="BP448" s="2"/>
      <c r="BQ448" s="2"/>
      <c r="BR448" s="2"/>
      <c r="BS448" s="2"/>
      <c r="BT448" s="2"/>
      <c r="BU448" s="2"/>
      <c r="BV448" s="2">
        <v>4.57</v>
      </c>
      <c r="BW448" s="4">
        <v>0.7</v>
      </c>
      <c r="BX448" s="2"/>
      <c r="BY448" s="2"/>
      <c r="BZ448" s="2"/>
      <c r="CA448" s="2"/>
      <c r="CB448" s="2"/>
      <c r="CC448" s="2"/>
      <c r="CD448" s="2">
        <v>2.83</v>
      </c>
      <c r="CE448" s="2">
        <v>0.06</v>
      </c>
      <c r="CF448" s="2">
        <v>0.75</v>
      </c>
      <c r="CG448" s="2">
        <v>1.83</v>
      </c>
      <c r="CH448" s="2"/>
      <c r="CI448" s="2"/>
      <c r="CJ448" s="2"/>
      <c r="CK448" s="2"/>
      <c r="CL448" s="2"/>
      <c r="CM448" s="2"/>
      <c r="CN448" s="2"/>
      <c r="CO448" s="2"/>
      <c r="CP448" s="2"/>
      <c r="CQ448" s="4">
        <v>6.7</v>
      </c>
      <c r="CR448" s="4">
        <v>0.8</v>
      </c>
      <c r="CS448" s="2"/>
      <c r="CT448" s="2"/>
      <c r="CU448" s="2"/>
      <c r="CV448" s="2"/>
      <c r="CW448" s="2"/>
      <c r="CX448" s="2"/>
      <c r="CY448" s="2">
        <v>2.76</v>
      </c>
      <c r="CZ448" s="2">
        <v>0.06</v>
      </c>
      <c r="DA448" s="2">
        <v>0.87</v>
      </c>
      <c r="DB448" s="2">
        <v>2.14</v>
      </c>
      <c r="DC448" s="2"/>
      <c r="DD448" s="2"/>
      <c r="DE448" s="2"/>
      <c r="DF448" s="2"/>
      <c r="DG448" s="2"/>
      <c r="DH448" s="2"/>
      <c r="DI448" s="2"/>
      <c r="DJ448" s="2"/>
      <c r="DK448" s="2"/>
      <c r="DL448" s="14" t="s">
        <v>81</v>
      </c>
      <c r="DM448" s="2" t="s">
        <v>81</v>
      </c>
      <c r="DN448" s="2">
        <f t="shared" si="49"/>
        <v>3.2018731988472617</v>
      </c>
      <c r="DO448" s="2">
        <f t="shared" si="50"/>
        <v>7.1873198847262246E-2</v>
      </c>
      <c r="DP448" s="2" t="s">
        <v>95</v>
      </c>
      <c r="DQ448" s="2" t="s">
        <v>3</v>
      </c>
      <c r="DR448" s="2">
        <f t="shared" si="51"/>
        <v>34.700000000000003</v>
      </c>
      <c r="DS448" s="4">
        <f t="shared" si="52"/>
        <v>3.2018731988472617</v>
      </c>
      <c r="DT448" s="18">
        <f t="shared" si="53"/>
        <v>1111.05</v>
      </c>
      <c r="DU448" s="2"/>
      <c r="DV448" s="4">
        <f t="shared" si="54"/>
        <v>11.27</v>
      </c>
      <c r="DW448" s="4">
        <f>(BV448*CD448+CQ448*CY448)/DV448</f>
        <v>2.7883850931677019</v>
      </c>
      <c r="DX448" s="15">
        <f>1000*DV448*DW448/100</f>
        <v>314.25099999999998</v>
      </c>
      <c r="DY448" s="2"/>
      <c r="DZ448" s="2" t="s">
        <v>3</v>
      </c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 t="s">
        <v>3</v>
      </c>
      <c r="FR448" s="2" t="s">
        <v>89</v>
      </c>
      <c r="FS448" s="2" t="s">
        <v>283</v>
      </c>
      <c r="FT448" s="2"/>
      <c r="FU448" s="2"/>
      <c r="FV448" s="2" t="s">
        <v>3</v>
      </c>
    </row>
    <row r="449" spans="1:178" ht="15.75" customHeight="1" x14ac:dyDescent="0.2">
      <c r="A449" s="14" t="s">
        <v>96</v>
      </c>
      <c r="B449" s="2" t="s">
        <v>133</v>
      </c>
      <c r="C449" s="16" t="s">
        <v>1034</v>
      </c>
      <c r="D449" s="2" t="s">
        <v>238</v>
      </c>
      <c r="E449" s="2"/>
      <c r="F449" s="2"/>
      <c r="G449" s="2"/>
      <c r="H449" s="2" t="s">
        <v>1035</v>
      </c>
      <c r="I449" s="2"/>
      <c r="J449" s="2"/>
      <c r="K449" s="19">
        <v>0.55985499999999999</v>
      </c>
      <c r="L449" s="4">
        <v>1.1000000000000001</v>
      </c>
      <c r="M449" s="4">
        <v>0.1</v>
      </c>
      <c r="N449" s="2"/>
      <c r="O449" s="2"/>
      <c r="P449" s="2"/>
      <c r="Q449" s="2"/>
      <c r="R449" s="2"/>
      <c r="S449" s="2">
        <v>0.93</v>
      </c>
      <c r="T449" s="2">
        <v>0.04</v>
      </c>
      <c r="U449" s="4">
        <v>0.6</v>
      </c>
      <c r="V449" s="2">
        <v>2.66</v>
      </c>
      <c r="W449" s="2"/>
      <c r="X449" s="2"/>
      <c r="Y449" s="2"/>
      <c r="Z449" s="2"/>
      <c r="AA449" s="2"/>
      <c r="AB449" s="2"/>
      <c r="AC449" s="2"/>
      <c r="AD449" s="2"/>
      <c r="AE449" s="2"/>
      <c r="AF449" s="4">
        <f>8.562+2.217804+5.374+1.128+3.760518</f>
        <v>21.042321999999999</v>
      </c>
      <c r="AG449" s="4">
        <f>(0.76*8.562+2.57*2.217804+1.07*5.374+1.55*1.128+1.11*3.760518)/AF449</f>
        <v>1.1348382208009173</v>
      </c>
      <c r="AH449" s="4">
        <f>(0.08*8.562+0.2*2.217804+0.23*5.374+0.15*1.128+0.1*3.760518)/AF449</f>
        <v>0.13828286631104686</v>
      </c>
      <c r="AI449" s="2"/>
      <c r="AJ449" s="2"/>
      <c r="AK449" s="2"/>
      <c r="AL449" s="2"/>
      <c r="AM449" s="2"/>
      <c r="AN449" s="4">
        <f>(0.76*8.562+1.891*2.217804+0.74*5.374+1.22*1.128+0.9*3.760518)/AF449</f>
        <v>0.92377512158591613</v>
      </c>
      <c r="AO449" s="19">
        <f>(0.04*8.562+0.077*2.217804+0.04*5.374+0.05*1.128+0.04*3.760518)/AF449</f>
        <v>4.4435762745195145E-2</v>
      </c>
      <c r="AP449" s="4">
        <f>(0.32*8.562+0.967*2.217804+0.7*5.374+0.64*1.128+0.5*3.760518)/AF449</f>
        <v>0.53456246264076746</v>
      </c>
      <c r="AQ449" s="4">
        <f>(1.36*8.562+3.632*2.217804+2.65*5.374+3.14*1.128+2.18*3.760518)/AF449</f>
        <v>2.1708789252440868</v>
      </c>
      <c r="AR449" s="2"/>
      <c r="AS449" s="2"/>
      <c r="AT449" s="2"/>
      <c r="AU449" s="2"/>
      <c r="AV449" s="2"/>
      <c r="AW449" s="2"/>
      <c r="AX449" s="2"/>
      <c r="AY449" s="2"/>
      <c r="AZ449" s="2"/>
      <c r="BA449" s="19">
        <f>0.478+0.031137+3.085+0.041+1.591493</f>
        <v>5.2266300000000001</v>
      </c>
      <c r="BB449" s="4">
        <f>(0.83*0.478+1.782*0.031137+1.12*3.085+1.3*0.041+0.53*1.591493)/BA449</f>
        <v>0.91918070037481148</v>
      </c>
      <c r="BC449" s="4">
        <f>(0.07*0.478+0.152*0.031137+0.18*3.085+0.1*0.041+0.06*1.591493)/BA449</f>
        <v>0.13260598205727209</v>
      </c>
      <c r="BD449" s="2"/>
      <c r="BE449" s="2"/>
      <c r="BF449" s="2"/>
      <c r="BG449" s="2"/>
      <c r="BH449" s="2"/>
      <c r="BI449" s="4">
        <f>(0.81*0.478+1.605*0.031137+0.82*3.085+1.24*0.041+0.47*1.591493)/BA449</f>
        <v>0.72048271926652541</v>
      </c>
      <c r="BJ449" s="19">
        <f>(0.04*0.478+0.074*0.031137+0.04*3.085+0.05*0.041+0.02*1.591493)/BA449</f>
        <v>3.4191055804600662E-2</v>
      </c>
      <c r="BK449" s="4">
        <f>(0.32*0.478+0.603*0.031137+0.65*3.085+0.69*0.041+0.28*1.591493)/BA449</f>
        <v>0.50718984335987061</v>
      </c>
      <c r="BL449" s="4">
        <f>(1.33*0.478+3.57*0.031137+2.57*3.085+2.9*0.041+1.15*1.591493)/BA449</f>
        <v>2.032756487449848</v>
      </c>
      <c r="BM449" s="2"/>
      <c r="BN449" s="2"/>
      <c r="BO449" s="2"/>
      <c r="BP449" s="2"/>
      <c r="BQ449" s="2"/>
      <c r="BR449" s="2"/>
      <c r="BS449" s="2"/>
      <c r="BT449" s="2"/>
      <c r="BU449" s="2"/>
      <c r="BV449" s="2">
        <v>0</v>
      </c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>
        <v>0</v>
      </c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14" t="s">
        <v>81</v>
      </c>
      <c r="DM449" s="2" t="s">
        <v>81</v>
      </c>
      <c r="DN449" s="2">
        <f t="shared" si="49"/>
        <v>0.88430079313627319</v>
      </c>
      <c r="DO449" s="2">
        <f t="shared" si="50"/>
        <v>4.2347385256452152E-2</v>
      </c>
      <c r="DP449" s="2" t="s">
        <v>1036</v>
      </c>
      <c r="DQ449" s="2" t="s">
        <v>3</v>
      </c>
      <c r="DR449" s="4">
        <f t="shared" si="51"/>
        <v>26.828806999999998</v>
      </c>
      <c r="DS449" s="4">
        <f t="shared" si="52"/>
        <v>0.88430079313627319</v>
      </c>
      <c r="DT449" s="15">
        <f t="shared" si="53"/>
        <v>237.24735308999996</v>
      </c>
      <c r="DU449" s="2"/>
      <c r="DV449" s="2">
        <f t="shared" si="54"/>
        <v>0</v>
      </c>
      <c r="DW449" s="2"/>
      <c r="DX449" s="2"/>
      <c r="DY449" s="2"/>
      <c r="DZ449" s="2" t="s">
        <v>3</v>
      </c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 t="s">
        <v>3</v>
      </c>
      <c r="FR449" s="2" t="s">
        <v>89</v>
      </c>
      <c r="FS449" s="2" t="s">
        <v>283</v>
      </c>
      <c r="FT449" s="2"/>
      <c r="FU449" s="2"/>
      <c r="FV449" s="2" t="s">
        <v>3</v>
      </c>
    </row>
    <row r="450" spans="1:178" ht="15.75" customHeight="1" x14ac:dyDescent="0.2">
      <c r="A450" s="14" t="s">
        <v>96</v>
      </c>
      <c r="B450" s="2" t="s">
        <v>133</v>
      </c>
      <c r="C450" s="16" t="s">
        <v>1037</v>
      </c>
      <c r="D450" s="2" t="s">
        <v>99</v>
      </c>
      <c r="E450" s="2"/>
      <c r="F450" s="2"/>
      <c r="G450" s="2"/>
      <c r="H450" s="2" t="s">
        <v>1035</v>
      </c>
      <c r="I450" s="2"/>
      <c r="J450" s="2"/>
      <c r="K450" s="2">
        <v>0</v>
      </c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>
        <v>5.641</v>
      </c>
      <c r="AG450" s="2">
        <v>0.66</v>
      </c>
      <c r="AH450" s="2">
        <v>7.0000000000000007E-2</v>
      </c>
      <c r="AI450" s="2"/>
      <c r="AJ450" s="2"/>
      <c r="AK450" s="2"/>
      <c r="AL450" s="2"/>
      <c r="AM450" s="2"/>
      <c r="AN450" s="4">
        <v>0.6</v>
      </c>
      <c r="AO450" s="2">
        <v>0.03</v>
      </c>
      <c r="AP450" s="2">
        <v>0.32</v>
      </c>
      <c r="AQ450" s="2">
        <v>1.31</v>
      </c>
      <c r="AR450" s="2"/>
      <c r="AS450" s="2"/>
      <c r="AT450" s="2"/>
      <c r="AU450" s="2"/>
      <c r="AV450" s="2"/>
      <c r="AW450" s="2"/>
      <c r="AX450" s="2"/>
      <c r="AY450" s="2"/>
      <c r="AZ450" s="2"/>
      <c r="BA450" s="2">
        <v>1.7769999999999999</v>
      </c>
      <c r="BB450" s="2">
        <v>0.55000000000000004</v>
      </c>
      <c r="BC450" s="2">
        <v>0.06</v>
      </c>
      <c r="BD450" s="2"/>
      <c r="BE450" s="2"/>
      <c r="BF450" s="2"/>
      <c r="BG450" s="2"/>
      <c r="BH450" s="2"/>
      <c r="BI450" s="2">
        <v>0.56000000000000005</v>
      </c>
      <c r="BJ450" s="2">
        <v>0.03</v>
      </c>
      <c r="BK450" s="2">
        <v>0.28999999999999998</v>
      </c>
      <c r="BL450" s="2">
        <v>1.27</v>
      </c>
      <c r="BM450" s="2"/>
      <c r="BN450" s="2"/>
      <c r="BO450" s="2"/>
      <c r="BP450" s="2"/>
      <c r="BQ450" s="2"/>
      <c r="BR450" s="2"/>
      <c r="BS450" s="2"/>
      <c r="BT450" s="2"/>
      <c r="BU450" s="2"/>
      <c r="BV450" s="2">
        <v>0</v>
      </c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>
        <v>0</v>
      </c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14" t="s">
        <v>81</v>
      </c>
      <c r="DM450" s="2" t="s">
        <v>81</v>
      </c>
      <c r="DN450" s="2">
        <f t="shared" si="49"/>
        <v>0.59041790239956859</v>
      </c>
      <c r="DO450" s="2">
        <f t="shared" si="50"/>
        <v>0.03</v>
      </c>
      <c r="DP450" s="2" t="s">
        <v>1038</v>
      </c>
      <c r="DQ450" s="2" t="s">
        <v>3</v>
      </c>
      <c r="DR450" s="2">
        <f t="shared" si="51"/>
        <v>7.4180000000000001</v>
      </c>
      <c r="DS450" s="4">
        <f t="shared" si="52"/>
        <v>0.59041790239956859</v>
      </c>
      <c r="DT450" s="15">
        <f t="shared" si="53"/>
        <v>43.797200000000004</v>
      </c>
      <c r="DU450" s="2"/>
      <c r="DV450" s="2">
        <f t="shared" si="54"/>
        <v>0</v>
      </c>
      <c r="DW450" s="2"/>
      <c r="DX450" s="2"/>
      <c r="DY450" s="2"/>
      <c r="DZ450" s="2" t="s">
        <v>3</v>
      </c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 t="s">
        <v>3</v>
      </c>
      <c r="FR450" s="2" t="s">
        <v>89</v>
      </c>
      <c r="FS450" s="2" t="s">
        <v>283</v>
      </c>
      <c r="FT450" s="2"/>
      <c r="FU450" s="2"/>
      <c r="FV450" s="2" t="s">
        <v>3</v>
      </c>
    </row>
    <row r="451" spans="1:178" ht="15.75" customHeight="1" x14ac:dyDescent="0.2">
      <c r="A451" s="14" t="s">
        <v>74</v>
      </c>
      <c r="B451" s="2" t="s">
        <v>469</v>
      </c>
      <c r="C451" s="13" t="s">
        <v>1039</v>
      </c>
      <c r="D451" s="2" t="s">
        <v>109</v>
      </c>
      <c r="E451" s="29">
        <f>-5-34.246/60</f>
        <v>-5.5707666666666666</v>
      </c>
      <c r="F451" s="29">
        <f>145+12.236/60</f>
        <v>145.20393333333334</v>
      </c>
      <c r="G451" s="2" t="s">
        <v>78</v>
      </c>
      <c r="H451" s="2" t="s">
        <v>1040</v>
      </c>
      <c r="I451" s="2"/>
      <c r="J451" s="2" t="s">
        <v>80</v>
      </c>
      <c r="K451" s="2">
        <v>34</v>
      </c>
      <c r="L451" s="2"/>
      <c r="M451" s="2"/>
      <c r="N451" s="2"/>
      <c r="O451" s="2"/>
      <c r="P451" s="2"/>
      <c r="Q451" s="2"/>
      <c r="R451" s="2"/>
      <c r="S451" s="2">
        <v>0.9</v>
      </c>
      <c r="T451" s="2">
        <v>0.1</v>
      </c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>
        <v>42</v>
      </c>
      <c r="AG451" s="2"/>
      <c r="AH451" s="2"/>
      <c r="AI451" s="2"/>
      <c r="AJ451" s="2"/>
      <c r="AK451" s="2"/>
      <c r="AL451" s="2"/>
      <c r="AM451" s="2"/>
      <c r="AN451" s="2">
        <v>0.9</v>
      </c>
      <c r="AO451" s="2">
        <v>0.1</v>
      </c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>
        <v>60</v>
      </c>
      <c r="BB451" s="2"/>
      <c r="BC451" s="2"/>
      <c r="BD451" s="2"/>
      <c r="BE451" s="2"/>
      <c r="BF451" s="2"/>
      <c r="BG451" s="2"/>
      <c r="BH451" s="2"/>
      <c r="BI451" s="15">
        <v>1</v>
      </c>
      <c r="BJ451" s="2">
        <v>0.1</v>
      </c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>
        <v>24</v>
      </c>
      <c r="BW451" s="2"/>
      <c r="BX451" s="2"/>
      <c r="BY451" s="2"/>
      <c r="BZ451" s="2"/>
      <c r="CA451" s="2"/>
      <c r="CB451" s="2"/>
      <c r="CC451" s="2"/>
      <c r="CD451" s="2">
        <v>0.9</v>
      </c>
      <c r="CE451" s="2">
        <v>0.1</v>
      </c>
      <c r="CF451" s="2"/>
      <c r="CG451" s="2"/>
      <c r="CH451" s="2"/>
      <c r="CI451" s="2"/>
      <c r="CJ451" s="2"/>
      <c r="CK451" s="2"/>
      <c r="CL451" s="2">
        <v>33</v>
      </c>
      <c r="CM451" s="2">
        <v>0.9</v>
      </c>
      <c r="CN451" s="2"/>
      <c r="CO451" s="2"/>
      <c r="CP451" s="2"/>
      <c r="CQ451" s="2">
        <v>33</v>
      </c>
      <c r="CR451" s="2"/>
      <c r="CS451" s="2"/>
      <c r="CT451" s="2"/>
      <c r="CU451" s="2"/>
      <c r="CV451" s="2"/>
      <c r="CW451" s="2"/>
      <c r="CX451" s="2"/>
      <c r="CY451" s="2">
        <v>0.9</v>
      </c>
      <c r="CZ451" s="2">
        <v>0.1</v>
      </c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14" t="s">
        <v>81</v>
      </c>
      <c r="DM451" s="2" t="s">
        <v>81</v>
      </c>
      <c r="DN451" s="2">
        <f t="shared" si="49"/>
        <v>0.94411764705882362</v>
      </c>
      <c r="DO451" s="2">
        <f t="shared" si="50"/>
        <v>0.1</v>
      </c>
      <c r="DP451" s="2" t="s">
        <v>211</v>
      </c>
      <c r="DQ451" s="2" t="s">
        <v>3</v>
      </c>
      <c r="DR451" s="2">
        <f t="shared" si="51"/>
        <v>136</v>
      </c>
      <c r="DS451" s="4">
        <f t="shared" si="52"/>
        <v>0.94411764705882362</v>
      </c>
      <c r="DT451" s="18">
        <f t="shared" si="53"/>
        <v>1284.0000000000002</v>
      </c>
      <c r="DU451" s="2"/>
      <c r="DV451" s="2">
        <f t="shared" si="54"/>
        <v>57</v>
      </c>
      <c r="DW451" s="2">
        <f>(BV451*CD451+CQ451*CY451)/DV451</f>
        <v>0.89999999999999991</v>
      </c>
      <c r="DX451" s="15">
        <f>1000*DV451*DW451/100</f>
        <v>512.99999999999989</v>
      </c>
      <c r="DY451" s="2"/>
      <c r="DZ451" s="2" t="s">
        <v>3</v>
      </c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 t="s">
        <v>3</v>
      </c>
      <c r="FR451" s="2" t="s">
        <v>37</v>
      </c>
      <c r="FS451" s="2" t="s">
        <v>235</v>
      </c>
      <c r="FT451" s="2" t="s">
        <v>235</v>
      </c>
      <c r="FU451" s="2"/>
      <c r="FV451" s="2" t="s">
        <v>3</v>
      </c>
    </row>
    <row r="452" spans="1:178" ht="15.75" customHeight="1" x14ac:dyDescent="0.2">
      <c r="A452" s="12" t="s">
        <v>74</v>
      </c>
      <c r="B452" s="2" t="s">
        <v>75</v>
      </c>
      <c r="C452" s="13" t="s">
        <v>1041</v>
      </c>
      <c r="D452" s="2" t="s">
        <v>99</v>
      </c>
      <c r="E452" s="2"/>
      <c r="F452" s="2"/>
      <c r="G452" s="2" t="s">
        <v>78</v>
      </c>
      <c r="H452" s="2" t="s">
        <v>319</v>
      </c>
      <c r="I452" s="2"/>
      <c r="J452" s="2" t="s">
        <v>141</v>
      </c>
      <c r="K452" s="2">
        <v>0</v>
      </c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>
        <v>9.0670000000000002</v>
      </c>
      <c r="AG452" s="2"/>
      <c r="AH452" s="2"/>
      <c r="AI452" s="2"/>
      <c r="AJ452" s="2"/>
      <c r="AK452" s="2"/>
      <c r="AL452" s="2"/>
      <c r="AM452" s="2"/>
      <c r="AN452" s="2">
        <v>1.07</v>
      </c>
      <c r="AO452" s="2"/>
      <c r="AP452" s="2"/>
      <c r="AQ452" s="2"/>
      <c r="AR452" s="2"/>
      <c r="AS452" s="2"/>
      <c r="AT452" s="2"/>
      <c r="AU452" s="2"/>
      <c r="AV452" s="15">
        <f>100*3.8/9.067</f>
        <v>41.910223888827616</v>
      </c>
      <c r="AW452" s="2"/>
      <c r="AX452" s="2"/>
      <c r="AY452" s="2"/>
      <c r="AZ452" s="2"/>
      <c r="BA452" s="2">
        <v>0</v>
      </c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>
        <v>0</v>
      </c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>
        <v>0</v>
      </c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14" t="s">
        <v>81</v>
      </c>
      <c r="DM452" s="2"/>
      <c r="DN452" s="2">
        <f t="shared" si="49"/>
        <v>1.07</v>
      </c>
      <c r="DO452" s="2">
        <f t="shared" si="50"/>
        <v>0</v>
      </c>
      <c r="DP452" s="2" t="s">
        <v>320</v>
      </c>
      <c r="DQ452" s="2" t="s">
        <v>3</v>
      </c>
      <c r="DR452" s="2">
        <f t="shared" si="51"/>
        <v>9.0670000000000002</v>
      </c>
      <c r="DS452" s="4">
        <f t="shared" si="52"/>
        <v>1.07</v>
      </c>
      <c r="DT452" s="15">
        <f t="shared" si="53"/>
        <v>97.016900000000007</v>
      </c>
      <c r="DU452" s="2"/>
      <c r="DV452" s="2">
        <f t="shared" si="54"/>
        <v>0</v>
      </c>
      <c r="DW452" s="2"/>
      <c r="DX452" s="2"/>
      <c r="DY452" s="2"/>
      <c r="DZ452" s="2" t="s">
        <v>3</v>
      </c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 t="s">
        <v>3</v>
      </c>
      <c r="FR452" s="2" t="s">
        <v>37</v>
      </c>
      <c r="FS452" s="2" t="s">
        <v>229</v>
      </c>
      <c r="FT452" s="2" t="s">
        <v>106</v>
      </c>
      <c r="FU452" s="2"/>
      <c r="FV452" s="2" t="s">
        <v>3</v>
      </c>
    </row>
    <row r="453" spans="1:178" ht="15.75" customHeight="1" x14ac:dyDescent="0.2">
      <c r="A453" s="14" t="s">
        <v>96</v>
      </c>
      <c r="B453" s="2" t="s">
        <v>124</v>
      </c>
      <c r="C453" s="21" t="s">
        <v>1042</v>
      </c>
      <c r="D453" s="2" t="s">
        <v>99</v>
      </c>
      <c r="E453" s="2"/>
      <c r="F453" s="2"/>
      <c r="G453" s="2"/>
      <c r="H453" s="2" t="s">
        <v>1043</v>
      </c>
      <c r="I453" s="2"/>
      <c r="J453" s="2"/>
      <c r="K453" s="2">
        <v>0</v>
      </c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4">
        <v>28.301300000000001</v>
      </c>
      <c r="AG453" s="2">
        <v>0.10100000000000001</v>
      </c>
      <c r="AH453" s="2"/>
      <c r="AI453" s="2"/>
      <c r="AJ453" s="2"/>
      <c r="AK453" s="2"/>
      <c r="AL453" s="2"/>
      <c r="AM453" s="2">
        <v>0.378</v>
      </c>
      <c r="AN453" s="2">
        <v>0.192</v>
      </c>
      <c r="AO453" s="2">
        <v>1.2E-2</v>
      </c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19">
        <v>5.9603999999999999</v>
      </c>
      <c r="BB453" s="2">
        <v>0.104</v>
      </c>
      <c r="BC453" s="2"/>
      <c r="BD453" s="2"/>
      <c r="BE453" s="2"/>
      <c r="BF453" s="2"/>
      <c r="BG453" s="2"/>
      <c r="BH453" s="2">
        <v>0.39100000000000001</v>
      </c>
      <c r="BI453" s="2">
        <v>0.186</v>
      </c>
      <c r="BJ453" s="2">
        <v>1.2E-2</v>
      </c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>
        <v>0</v>
      </c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>
        <v>0</v>
      </c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14" t="s">
        <v>81</v>
      </c>
      <c r="DM453" s="2" t="s">
        <v>81</v>
      </c>
      <c r="DN453" s="2">
        <f t="shared" si="49"/>
        <v>0.19095619890431587</v>
      </c>
      <c r="DO453" s="2">
        <f t="shared" si="50"/>
        <v>1.1999999999999999E-2</v>
      </c>
      <c r="DP453" s="2" t="s">
        <v>1044</v>
      </c>
      <c r="DQ453" s="2" t="s">
        <v>3</v>
      </c>
      <c r="DR453" s="4">
        <f t="shared" si="51"/>
        <v>34.261700000000005</v>
      </c>
      <c r="DS453" s="4">
        <f t="shared" si="52"/>
        <v>0.19095619890431587</v>
      </c>
      <c r="DT453" s="15">
        <f t="shared" si="53"/>
        <v>65.424839999999989</v>
      </c>
      <c r="DU453" s="2"/>
      <c r="DV453" s="2">
        <f t="shared" si="54"/>
        <v>0</v>
      </c>
      <c r="DW453" s="2"/>
      <c r="DX453" s="2"/>
      <c r="DY453" s="2"/>
      <c r="DZ453" s="2" t="s">
        <v>3</v>
      </c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 t="s">
        <v>3</v>
      </c>
      <c r="FR453" s="2" t="s">
        <v>183</v>
      </c>
      <c r="FS453" s="2" t="s">
        <v>577</v>
      </c>
      <c r="FT453" s="2"/>
      <c r="FU453" s="2"/>
      <c r="FV453" s="2" t="s">
        <v>3</v>
      </c>
    </row>
    <row r="454" spans="1:178" ht="15.75" customHeight="1" x14ac:dyDescent="0.2">
      <c r="A454" s="14" t="s">
        <v>96</v>
      </c>
      <c r="B454" s="2" t="s">
        <v>164</v>
      </c>
      <c r="C454" s="16" t="s">
        <v>1045</v>
      </c>
      <c r="D454" s="2" t="s">
        <v>99</v>
      </c>
      <c r="E454" s="2"/>
      <c r="F454" s="2"/>
      <c r="G454" s="2" t="s">
        <v>179</v>
      </c>
      <c r="H454" s="2" t="s">
        <v>922</v>
      </c>
      <c r="I454" s="2"/>
      <c r="J454" s="2" t="s">
        <v>181</v>
      </c>
      <c r="K454" s="2">
        <v>0</v>
      </c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>
        <v>0</v>
      </c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4">
        <f>0.637+0.835+0.141+0.092605</f>
        <v>1.705605</v>
      </c>
      <c r="BB454" s="2"/>
      <c r="BC454" s="2"/>
      <c r="BD454" s="2"/>
      <c r="BE454" s="2"/>
      <c r="BF454" s="2"/>
      <c r="BG454" s="2"/>
      <c r="BH454" s="2"/>
      <c r="BI454" s="15">
        <f>(1*0.637+0.7*0.835+1.6*0.141+2.87*0.092605)/BA454</f>
        <v>1.004263208656166</v>
      </c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>
        <v>0</v>
      </c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19">
        <v>3.8934999999999997E-2</v>
      </c>
      <c r="CR454" s="2"/>
      <c r="CS454" s="2"/>
      <c r="CT454" s="2"/>
      <c r="CU454" s="2"/>
      <c r="CV454" s="2"/>
      <c r="CW454" s="2"/>
      <c r="CX454" s="2"/>
      <c r="CY454" s="2">
        <v>2.94</v>
      </c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14" t="s">
        <v>81</v>
      </c>
      <c r="DM454" s="2"/>
      <c r="DN454" s="2">
        <f t="shared" si="49"/>
        <v>1.004263208656166</v>
      </c>
      <c r="DO454" s="2">
        <f t="shared" si="50"/>
        <v>0</v>
      </c>
      <c r="DP454" s="2" t="s">
        <v>175</v>
      </c>
      <c r="DQ454" s="2" t="s">
        <v>3</v>
      </c>
      <c r="DR454" s="19">
        <f t="shared" si="51"/>
        <v>1.705605</v>
      </c>
      <c r="DS454" s="4">
        <f t="shared" si="52"/>
        <v>1.004263208656166</v>
      </c>
      <c r="DT454" s="15">
        <f t="shared" si="53"/>
        <v>17.128763500000002</v>
      </c>
      <c r="DU454" s="2"/>
      <c r="DV454" s="19">
        <f t="shared" si="54"/>
        <v>3.8934999999999997E-2</v>
      </c>
      <c r="DW454" s="4">
        <f t="shared" ref="DW454:DW455" si="100">(BV454*CD454+CQ454*CY454)/DV454</f>
        <v>2.94</v>
      </c>
      <c r="DX454" s="15">
        <f t="shared" ref="DX454:DX455" si="101">1000*DV454*DW454/100</f>
        <v>1.1446889999999998</v>
      </c>
      <c r="DY454" s="2"/>
      <c r="DZ454" s="2" t="s">
        <v>3</v>
      </c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 t="s">
        <v>3</v>
      </c>
      <c r="FR454" s="2" t="s">
        <v>89</v>
      </c>
      <c r="FS454" s="2" t="s">
        <v>137</v>
      </c>
      <c r="FT454" s="2"/>
      <c r="FU454" s="2"/>
      <c r="FV454" s="2" t="s">
        <v>3</v>
      </c>
    </row>
    <row r="455" spans="1:178" ht="15.75" customHeight="1" x14ac:dyDescent="0.2">
      <c r="A455" s="14" t="s">
        <v>74</v>
      </c>
      <c r="B455" s="2" t="s">
        <v>164</v>
      </c>
      <c r="C455" s="13" t="s">
        <v>1046</v>
      </c>
      <c r="D455" s="2" t="s">
        <v>120</v>
      </c>
      <c r="E455" s="2"/>
      <c r="F455" s="2"/>
      <c r="G455" s="2" t="s">
        <v>78</v>
      </c>
      <c r="H455" s="2" t="s">
        <v>599</v>
      </c>
      <c r="I455" s="2"/>
      <c r="J455" s="2" t="s">
        <v>80</v>
      </c>
      <c r="K455" s="2">
        <f>74.2+12.6</f>
        <v>86.8</v>
      </c>
      <c r="L455" s="2"/>
      <c r="M455" s="2"/>
      <c r="N455" s="2"/>
      <c r="O455" s="2"/>
      <c r="P455" s="2"/>
      <c r="Q455" s="2"/>
      <c r="R455" s="2"/>
      <c r="S455" s="4">
        <f>(0.62*74.2+0.72*12.6)/K455</f>
        <v>0.63451612903225818</v>
      </c>
      <c r="T455" s="4">
        <f>(0.03*74.2+0.02*12.6)/K455</f>
        <v>2.8548387096774191E-2</v>
      </c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>
        <v>141.9</v>
      </c>
      <c r="AG455" s="2"/>
      <c r="AH455" s="2"/>
      <c r="AI455" s="2"/>
      <c r="AJ455" s="2"/>
      <c r="AK455" s="2"/>
      <c r="AL455" s="2"/>
      <c r="AM455" s="2"/>
      <c r="AN455" s="2">
        <v>0.57999999999999996</v>
      </c>
      <c r="AO455" s="2">
        <v>0.03</v>
      </c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15">
        <v>110</v>
      </c>
      <c r="BB455" s="2"/>
      <c r="BC455" s="2"/>
      <c r="BD455" s="2"/>
      <c r="BE455" s="2"/>
      <c r="BF455" s="2"/>
      <c r="BG455" s="2"/>
      <c r="BH455" s="2"/>
      <c r="BI455" s="2">
        <v>0.52</v>
      </c>
      <c r="BJ455" s="2">
        <v>0.02</v>
      </c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>
        <v>81.8</v>
      </c>
      <c r="BW455" s="2"/>
      <c r="BX455" s="2"/>
      <c r="BY455" s="2"/>
      <c r="BZ455" s="2"/>
      <c r="CA455" s="2"/>
      <c r="CB455" s="2"/>
      <c r="CC455" s="2"/>
      <c r="CD455" s="2">
        <v>0.63</v>
      </c>
      <c r="CE455" s="2">
        <v>0.03</v>
      </c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>
        <v>115.4</v>
      </c>
      <c r="CR455" s="2"/>
      <c r="CS455" s="2"/>
      <c r="CT455" s="2"/>
      <c r="CU455" s="2"/>
      <c r="CV455" s="2"/>
      <c r="CW455" s="2"/>
      <c r="CX455" s="2"/>
      <c r="CY455" s="2">
        <v>0.57999999999999996</v>
      </c>
      <c r="CZ455" s="2">
        <v>0.03</v>
      </c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14" t="s">
        <v>81</v>
      </c>
      <c r="DM455" s="2" t="s">
        <v>81</v>
      </c>
      <c r="DN455" s="2">
        <f t="shared" si="49"/>
        <v>0.57448479480366099</v>
      </c>
      <c r="DO455" s="2">
        <f t="shared" si="50"/>
        <v>2.6380277531739001E-2</v>
      </c>
      <c r="DP455" s="2" t="s">
        <v>150</v>
      </c>
      <c r="DQ455" s="2" t="s">
        <v>3</v>
      </c>
      <c r="DR455" s="15">
        <f t="shared" si="51"/>
        <v>338.7</v>
      </c>
      <c r="DS455" s="4">
        <f t="shared" si="52"/>
        <v>0.57448479480366099</v>
      </c>
      <c r="DT455" s="18">
        <f t="shared" si="53"/>
        <v>1945.7799999999997</v>
      </c>
      <c r="DU455" s="2"/>
      <c r="DV455" s="2">
        <f t="shared" si="54"/>
        <v>197.2</v>
      </c>
      <c r="DW455" s="4">
        <f t="shared" si="100"/>
        <v>0.60074036511156192</v>
      </c>
      <c r="DX455" s="18">
        <f t="shared" si="101"/>
        <v>1184.6600000000001</v>
      </c>
      <c r="DY455" s="2"/>
      <c r="DZ455" s="2" t="s">
        <v>3</v>
      </c>
      <c r="EA455" s="2" t="s">
        <v>750</v>
      </c>
      <c r="EB455" s="2" t="s">
        <v>176</v>
      </c>
      <c r="EC455" s="15">
        <v>180.28865999999999</v>
      </c>
      <c r="ED455" s="2" t="s">
        <v>176</v>
      </c>
      <c r="EE455" s="15">
        <v>13.180999999999999</v>
      </c>
      <c r="EF455" s="2" t="s">
        <v>176</v>
      </c>
      <c r="EG455" s="3">
        <v>166.95</v>
      </c>
      <c r="EH455" s="2"/>
      <c r="EI455" s="3">
        <f>EG455-EE455</f>
        <v>153.76899999999998</v>
      </c>
      <c r="EJ455" s="2"/>
      <c r="EK455" s="15">
        <f>ET455</f>
        <v>0</v>
      </c>
      <c r="EL455" s="15">
        <f>EC455+FD455</f>
        <v>180.28865999999999</v>
      </c>
      <c r="EM455" s="2" t="s">
        <v>750</v>
      </c>
      <c r="EN455" s="2" t="s">
        <v>176</v>
      </c>
      <c r="EO455" s="2" t="s">
        <v>176</v>
      </c>
      <c r="EP455" s="2" t="s">
        <v>176</v>
      </c>
      <c r="EQ455" s="2" t="s">
        <v>176</v>
      </c>
      <c r="ER455" s="15">
        <f>DR1028</f>
        <v>0</v>
      </c>
      <c r="ES455" s="4" t="e">
        <f>100*(ET455/1000)/ER455</f>
        <v>#DIV/0!</v>
      </c>
      <c r="ET455" s="15">
        <f>DT1028</f>
        <v>0</v>
      </c>
      <c r="EU455" s="2">
        <f>COUNT(DT1028)</f>
        <v>0</v>
      </c>
      <c r="EV455" s="2" t="s">
        <v>176</v>
      </c>
      <c r="EW455" s="2" t="s">
        <v>176</v>
      </c>
      <c r="EX455" s="2" t="s">
        <v>176</v>
      </c>
      <c r="EY455" s="2" t="s">
        <v>176</v>
      </c>
      <c r="EZ455" s="2" t="s">
        <v>176</v>
      </c>
      <c r="FA455" s="2" t="s">
        <v>176</v>
      </c>
      <c r="FB455" s="2" t="s">
        <v>176</v>
      </c>
      <c r="FC455" s="2" t="s">
        <v>176</v>
      </c>
      <c r="FD455" s="3">
        <f>SUM(EP455,ET455,EX455,FB455)</f>
        <v>0</v>
      </c>
      <c r="FE455" s="2" t="s">
        <v>176</v>
      </c>
      <c r="FF455" s="2" t="s">
        <v>176</v>
      </c>
      <c r="FG455" s="2" t="s">
        <v>176</v>
      </c>
      <c r="FH455" s="2" t="s">
        <v>176</v>
      </c>
      <c r="FI455" s="2" t="s">
        <v>176</v>
      </c>
      <c r="FJ455" s="2" t="s">
        <v>176</v>
      </c>
      <c r="FK455" s="2" t="s">
        <v>176</v>
      </c>
      <c r="FL455" s="2" t="s">
        <v>176</v>
      </c>
      <c r="FM455" s="2" t="s">
        <v>176</v>
      </c>
      <c r="FN455" s="2" t="s">
        <v>176</v>
      </c>
      <c r="FO455" s="2" t="s">
        <v>176</v>
      </c>
      <c r="FP455" s="2" t="s">
        <v>750</v>
      </c>
      <c r="FQ455" s="2" t="s">
        <v>3</v>
      </c>
      <c r="FR455" s="2" t="s">
        <v>37</v>
      </c>
      <c r="FS455" s="2" t="s">
        <v>114</v>
      </c>
      <c r="FT455" s="2" t="s">
        <v>114</v>
      </c>
      <c r="FU455" s="2"/>
      <c r="FV455" s="2" t="s">
        <v>3</v>
      </c>
    </row>
    <row r="456" spans="1:178" ht="15.75" customHeight="1" x14ac:dyDescent="0.2">
      <c r="A456" s="12" t="s">
        <v>74</v>
      </c>
      <c r="B456" s="2" t="s">
        <v>189</v>
      </c>
      <c r="C456" s="13" t="s">
        <v>1047</v>
      </c>
      <c r="D456" s="2" t="s">
        <v>99</v>
      </c>
      <c r="E456" s="44"/>
      <c r="F456" s="44"/>
      <c r="G456" s="2"/>
      <c r="H456" s="2" t="s">
        <v>79</v>
      </c>
      <c r="I456" s="2"/>
      <c r="J456" s="2"/>
      <c r="K456" s="2">
        <v>0</v>
      </c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>
        <v>0</v>
      </c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15">
        <f>(3+3+10)*0.9072</f>
        <v>14.5152</v>
      </c>
      <c r="BB456" s="2"/>
      <c r="BC456" s="2"/>
      <c r="BD456" s="2"/>
      <c r="BE456" s="2"/>
      <c r="BF456" s="2"/>
      <c r="BG456" s="2"/>
      <c r="BH456" s="2"/>
      <c r="BI456" s="2">
        <v>0.91</v>
      </c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>
        <v>0</v>
      </c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>
        <v>0</v>
      </c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14" t="s">
        <v>100</v>
      </c>
      <c r="DM456" s="2"/>
      <c r="DN456" s="2">
        <f t="shared" si="49"/>
        <v>0.91</v>
      </c>
      <c r="DO456" s="2">
        <f t="shared" si="50"/>
        <v>0</v>
      </c>
      <c r="DP456" s="2" t="s">
        <v>485</v>
      </c>
      <c r="DQ456" s="2" t="s">
        <v>3</v>
      </c>
      <c r="DR456" s="4">
        <f t="shared" si="51"/>
        <v>14.5152</v>
      </c>
      <c r="DS456" s="2">
        <f t="shared" si="52"/>
        <v>0.91</v>
      </c>
      <c r="DT456" s="15">
        <f t="shared" si="53"/>
        <v>132.08832000000001</v>
      </c>
      <c r="DU456" s="2"/>
      <c r="DV456" s="2">
        <f t="shared" si="54"/>
        <v>0</v>
      </c>
      <c r="DW456" s="2"/>
      <c r="DX456" s="2"/>
      <c r="DY456" s="2"/>
      <c r="DZ456" s="2" t="s">
        <v>3</v>
      </c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 t="s">
        <v>3</v>
      </c>
      <c r="FR456" s="2" t="s">
        <v>37</v>
      </c>
      <c r="FS456" s="2" t="s">
        <v>106</v>
      </c>
      <c r="FT456" s="2" t="s">
        <v>106</v>
      </c>
      <c r="FU456" s="2"/>
      <c r="FV456" s="2" t="s">
        <v>3</v>
      </c>
    </row>
    <row r="457" spans="1:178" ht="15.75" customHeight="1" x14ac:dyDescent="0.2">
      <c r="A457" s="12" t="s">
        <v>74</v>
      </c>
      <c r="B457" s="2" t="s">
        <v>189</v>
      </c>
      <c r="C457" s="13" t="s">
        <v>1048</v>
      </c>
      <c r="D457" s="2" t="s">
        <v>99</v>
      </c>
      <c r="E457" s="43">
        <v>42.966000000000001</v>
      </c>
      <c r="F457" s="43">
        <v>-123.437</v>
      </c>
      <c r="G457" s="2"/>
      <c r="H457" s="2" t="s">
        <v>79</v>
      </c>
      <c r="I457" s="2"/>
      <c r="J457" s="2"/>
      <c r="K457" s="2">
        <v>0</v>
      </c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>
        <v>0</v>
      </c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>
        <v>37.5</v>
      </c>
      <c r="BB457" s="2"/>
      <c r="BC457" s="2"/>
      <c r="BD457" s="2"/>
      <c r="BE457" s="2"/>
      <c r="BF457" s="2"/>
      <c r="BG457" s="2"/>
      <c r="BH457" s="2"/>
      <c r="BI457" s="2">
        <v>1.1000000000000001</v>
      </c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>
        <v>0</v>
      </c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>
        <v>0</v>
      </c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14" t="s">
        <v>100</v>
      </c>
      <c r="DM457" s="2"/>
      <c r="DN457" s="2">
        <f t="shared" si="49"/>
        <v>1.1000000000000001</v>
      </c>
      <c r="DO457" s="2">
        <f t="shared" si="50"/>
        <v>0</v>
      </c>
      <c r="DP457" s="2" t="s">
        <v>113</v>
      </c>
      <c r="DQ457" s="2" t="s">
        <v>3</v>
      </c>
      <c r="DR457" s="2">
        <f t="shared" si="51"/>
        <v>37.5</v>
      </c>
      <c r="DS457" s="2">
        <f t="shared" si="52"/>
        <v>1.1000000000000001</v>
      </c>
      <c r="DT457" s="15">
        <f t="shared" si="53"/>
        <v>412.5</v>
      </c>
      <c r="DU457" s="2"/>
      <c r="DV457" s="2">
        <f t="shared" si="54"/>
        <v>0</v>
      </c>
      <c r="DW457" s="2"/>
      <c r="DX457" s="2"/>
      <c r="DY457" s="2"/>
      <c r="DZ457" s="2" t="s">
        <v>3</v>
      </c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 t="s">
        <v>3</v>
      </c>
      <c r="FR457" s="2" t="s">
        <v>37</v>
      </c>
      <c r="FS457" s="2" t="s">
        <v>106</v>
      </c>
      <c r="FT457" s="2" t="s">
        <v>106</v>
      </c>
      <c r="FU457" s="2"/>
      <c r="FV457" s="2" t="s">
        <v>3</v>
      </c>
    </row>
    <row r="458" spans="1:178" ht="15.75" customHeight="1" x14ac:dyDescent="0.2">
      <c r="A458" s="14" t="s">
        <v>96</v>
      </c>
      <c r="B458" s="2" t="s">
        <v>124</v>
      </c>
      <c r="C458" s="21" t="s">
        <v>1049</v>
      </c>
      <c r="D458" s="2" t="s">
        <v>99</v>
      </c>
      <c r="E458" s="2"/>
      <c r="F458" s="2"/>
      <c r="G458" s="2"/>
      <c r="H458" s="2" t="s">
        <v>79</v>
      </c>
      <c r="I458" s="2"/>
      <c r="J458" s="2"/>
      <c r="K458" s="2">
        <v>0</v>
      </c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>
        <v>0</v>
      </c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>
        <v>0.7</v>
      </c>
      <c r="BB458" s="2">
        <v>0.72</v>
      </c>
      <c r="BC458" s="2">
        <v>0.3</v>
      </c>
      <c r="BD458" s="2">
        <v>6</v>
      </c>
      <c r="BE458" s="2"/>
      <c r="BF458" s="2"/>
      <c r="BG458" s="2"/>
      <c r="BH458" s="2">
        <v>0.09</v>
      </c>
      <c r="BI458" s="2">
        <v>0.03</v>
      </c>
      <c r="BJ458" s="2">
        <v>0.09</v>
      </c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>
        <v>0</v>
      </c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>
        <v>0</v>
      </c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14" t="s">
        <v>100</v>
      </c>
      <c r="DM458" s="2" t="s">
        <v>100</v>
      </c>
      <c r="DN458" s="2">
        <f t="shared" si="49"/>
        <v>0.03</v>
      </c>
      <c r="DO458" s="2">
        <f t="shared" si="50"/>
        <v>9.0000000000000011E-2</v>
      </c>
      <c r="DP458" s="2" t="s">
        <v>126</v>
      </c>
      <c r="DQ458" s="2" t="s">
        <v>3</v>
      </c>
      <c r="DR458" s="2">
        <f t="shared" si="51"/>
        <v>0.7</v>
      </c>
      <c r="DS458" s="2">
        <f t="shared" si="52"/>
        <v>0.03</v>
      </c>
      <c r="DT458" s="15">
        <f t="shared" si="53"/>
        <v>0.21</v>
      </c>
      <c r="DU458" s="2"/>
      <c r="DV458" s="2">
        <f t="shared" si="54"/>
        <v>0</v>
      </c>
      <c r="DW458" s="2"/>
      <c r="DX458" s="2"/>
      <c r="DY458" s="2"/>
      <c r="DZ458" s="2" t="s">
        <v>3</v>
      </c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 t="s">
        <v>3</v>
      </c>
      <c r="FR458" s="2" t="s">
        <v>183</v>
      </c>
      <c r="FS458" s="2" t="s">
        <v>567</v>
      </c>
      <c r="FT458" s="2"/>
      <c r="FU458" s="2"/>
      <c r="FV458" s="2" t="s">
        <v>3</v>
      </c>
    </row>
    <row r="459" spans="1:178" ht="15.75" customHeight="1" x14ac:dyDescent="0.2">
      <c r="A459" s="12" t="s">
        <v>74</v>
      </c>
      <c r="B459" s="2" t="s">
        <v>75</v>
      </c>
      <c r="C459" s="13" t="s">
        <v>1050</v>
      </c>
      <c r="D459" s="2" t="s">
        <v>109</v>
      </c>
      <c r="E459" s="2"/>
      <c r="F459" s="2"/>
      <c r="G459" s="2" t="s">
        <v>78</v>
      </c>
      <c r="H459" s="2" t="s">
        <v>1051</v>
      </c>
      <c r="I459" s="2"/>
      <c r="J459" s="2" t="s">
        <v>1052</v>
      </c>
      <c r="K459" s="2">
        <v>0</v>
      </c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4">
        <f>15.685+36.073</f>
        <v>51.758000000000003</v>
      </c>
      <c r="AG459" s="2"/>
      <c r="AH459" s="2"/>
      <c r="AI459" s="2"/>
      <c r="AJ459" s="2"/>
      <c r="AK459" s="2"/>
      <c r="AL459" s="2"/>
      <c r="AM459" s="2"/>
      <c r="AN459" s="4">
        <f>(1.62*15.685+1.11*36.073)/AF459</f>
        <v>1.2645529193554621</v>
      </c>
      <c r="AO459" s="2"/>
      <c r="AP459" s="2"/>
      <c r="AQ459" s="2"/>
      <c r="AR459" s="2"/>
      <c r="AS459" s="2"/>
      <c r="AT459" s="2"/>
      <c r="AU459" s="2"/>
      <c r="AV459" s="4">
        <f>(13.5*15.685+35.9*36.073)/AF459</f>
        <v>29.11179334595618</v>
      </c>
      <c r="AW459" s="2"/>
      <c r="AX459" s="2"/>
      <c r="AY459" s="2"/>
      <c r="AZ459" s="4">
        <f>100*((24.959+51.861)-(15.685+36.073))/(24.959+51.861)</f>
        <v>32.624316584222846</v>
      </c>
      <c r="BA459" s="4">
        <f>9.566+0.039</f>
        <v>9.6050000000000004</v>
      </c>
      <c r="BB459" s="2"/>
      <c r="BC459" s="2"/>
      <c r="BD459" s="2"/>
      <c r="BE459" s="2"/>
      <c r="BF459" s="2"/>
      <c r="BG459" s="2"/>
      <c r="BH459" s="2"/>
      <c r="BI459" s="4">
        <f>(1.64*9.566+1.26*0.039)/BA459</f>
        <v>1.6384570536179073</v>
      </c>
      <c r="BJ459" s="2"/>
      <c r="BK459" s="2"/>
      <c r="BL459" s="2"/>
      <c r="BM459" s="2"/>
      <c r="BN459" s="2"/>
      <c r="BO459" s="2"/>
      <c r="BP459" s="2"/>
      <c r="BQ459" s="4">
        <f>(11.97*9.566+38.57*0.039)/BA459</f>
        <v>12.078006246746488</v>
      </c>
      <c r="BR459" s="2"/>
      <c r="BS459" s="2"/>
      <c r="BT459" s="2"/>
      <c r="BU459" s="4">
        <f>100*((15.259+0.056)-(9.566+0.039))/(15.259+0.056)</f>
        <v>37.283708782239628</v>
      </c>
      <c r="BV459" s="2">
        <v>0</v>
      </c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4">
        <f>14.04+34.814</f>
        <v>48.853999999999999</v>
      </c>
      <c r="CR459" s="2"/>
      <c r="CS459" s="2"/>
      <c r="CT459" s="2"/>
      <c r="CU459" s="2"/>
      <c r="CV459" s="2"/>
      <c r="CW459" s="2"/>
      <c r="CX459" s="2"/>
      <c r="CY459" s="4">
        <f>(1.5*14.04+1.08*34.814)/CQ459</f>
        <v>1.2007025013304951</v>
      </c>
      <c r="CZ459" s="2"/>
      <c r="DA459" s="2"/>
      <c r="DB459" s="2"/>
      <c r="DC459" s="2"/>
      <c r="DD459" s="2"/>
      <c r="DE459" s="2"/>
      <c r="DF459" s="2"/>
      <c r="DG459" s="4">
        <f>(13.71*14.04+35.47*34.814)/CQ459</f>
        <v>29.216460883448644</v>
      </c>
      <c r="DH459" s="2"/>
      <c r="DI459" s="2"/>
      <c r="DJ459" s="2"/>
      <c r="DK459" s="4">
        <f>100*((21.103+49.876)-(14.04+34.814))/(21.103+49.876)</f>
        <v>31.171191479169895</v>
      </c>
      <c r="DL459" s="14" t="s">
        <v>81</v>
      </c>
      <c r="DM459" s="2"/>
      <c r="DN459" s="2">
        <f t="shared" si="49"/>
        <v>1.3230792171178074</v>
      </c>
      <c r="DO459" s="2">
        <f t="shared" si="50"/>
        <v>0</v>
      </c>
      <c r="DP459" s="2" t="s">
        <v>211</v>
      </c>
      <c r="DQ459" s="2" t="s">
        <v>3</v>
      </c>
      <c r="DR459" s="4">
        <f t="shared" si="51"/>
        <v>61.363</v>
      </c>
      <c r="DS459" s="4">
        <f t="shared" si="52"/>
        <v>1.3230792171178074</v>
      </c>
      <c r="DT459" s="15">
        <f t="shared" si="53"/>
        <v>811.88110000000017</v>
      </c>
      <c r="DU459" s="2"/>
      <c r="DV459" s="4">
        <f t="shared" si="54"/>
        <v>48.853999999999999</v>
      </c>
      <c r="DW459" s="4">
        <f>(BV459*CD459+CQ459*CY459)/DV459</f>
        <v>1.2007025013304951</v>
      </c>
      <c r="DX459" s="15">
        <f>1000*DV459*DW459/100</f>
        <v>586.59120000000007</v>
      </c>
      <c r="DY459" s="2"/>
      <c r="DZ459" s="2" t="s">
        <v>3</v>
      </c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 t="s">
        <v>3</v>
      </c>
      <c r="FR459" s="2" t="s">
        <v>37</v>
      </c>
      <c r="FS459" s="2" t="s">
        <v>229</v>
      </c>
      <c r="FT459" s="2" t="s">
        <v>106</v>
      </c>
      <c r="FU459" s="2"/>
      <c r="FV459" s="2" t="s">
        <v>3</v>
      </c>
    </row>
    <row r="460" spans="1:178" ht="15.75" customHeight="1" x14ac:dyDescent="0.2">
      <c r="A460" s="14" t="s">
        <v>158</v>
      </c>
      <c r="B460" s="2" t="s">
        <v>133</v>
      </c>
      <c r="C460" s="16" t="s">
        <v>1053</v>
      </c>
      <c r="D460" s="2" t="s">
        <v>99</v>
      </c>
      <c r="E460" s="2"/>
      <c r="F460" s="2"/>
      <c r="G460" s="2"/>
      <c r="H460" s="2" t="s">
        <v>1054</v>
      </c>
      <c r="I460" s="2"/>
      <c r="J460" s="2"/>
      <c r="K460" s="4">
        <v>56.096699999999998</v>
      </c>
      <c r="L460" s="2">
        <v>0.06</v>
      </c>
      <c r="M460" s="2">
        <v>0.03</v>
      </c>
      <c r="N460" s="2"/>
      <c r="O460" s="2"/>
      <c r="P460" s="2"/>
      <c r="Q460" s="2"/>
      <c r="R460" s="2"/>
      <c r="S460" s="2">
        <v>0.02</v>
      </c>
      <c r="T460" s="2">
        <v>6.0000000000000001E-3</v>
      </c>
      <c r="U460" s="4">
        <v>0.2</v>
      </c>
      <c r="V460" s="2">
        <v>0.54</v>
      </c>
      <c r="W460" s="2">
        <v>1.2999999999999999E-2</v>
      </c>
      <c r="X460" s="2"/>
      <c r="Y460" s="2"/>
      <c r="Z460" s="2"/>
      <c r="AA460" s="2"/>
      <c r="AB460" s="2"/>
      <c r="AC460" s="2"/>
      <c r="AD460" s="2"/>
      <c r="AE460" s="2"/>
      <c r="AF460" s="4">
        <v>43.158499999999997</v>
      </c>
      <c r="AG460" s="2">
        <v>0.05</v>
      </c>
      <c r="AH460" s="2">
        <v>0.03</v>
      </c>
      <c r="AI460" s="2"/>
      <c r="AJ460" s="2"/>
      <c r="AK460" s="2"/>
      <c r="AL460" s="2"/>
      <c r="AM460" s="2"/>
      <c r="AN460" s="2">
        <v>0.02</v>
      </c>
      <c r="AO460" s="2">
        <v>6.0000000000000001E-3</v>
      </c>
      <c r="AP460" s="2">
        <v>0.19</v>
      </c>
      <c r="AQ460" s="2">
        <v>0.49</v>
      </c>
      <c r="AR460" s="2">
        <v>3.0000000000000001E-3</v>
      </c>
      <c r="AS460" s="2"/>
      <c r="AT460" s="2"/>
      <c r="AU460" s="2"/>
      <c r="AV460" s="2"/>
      <c r="AW460" s="2"/>
      <c r="AX460" s="2"/>
      <c r="AY460" s="2"/>
      <c r="AZ460" s="2"/>
      <c r="BA460" s="4">
        <v>52.305999999999997</v>
      </c>
      <c r="BB460" s="2">
        <v>0.04</v>
      </c>
      <c r="BC460" s="2">
        <v>0.04</v>
      </c>
      <c r="BD460" s="2"/>
      <c r="BE460" s="2"/>
      <c r="BF460" s="2"/>
      <c r="BG460" s="2"/>
      <c r="BH460" s="2"/>
      <c r="BI460" s="2">
        <v>0.02</v>
      </c>
      <c r="BJ460" s="2">
        <v>1E-3</v>
      </c>
      <c r="BK460" s="2">
        <v>0.15</v>
      </c>
      <c r="BL460" s="2">
        <v>0.31</v>
      </c>
      <c r="BM460" s="2">
        <v>1.2E-2</v>
      </c>
      <c r="BN460" s="2"/>
      <c r="BO460" s="2"/>
      <c r="BP460" s="2"/>
      <c r="BQ460" s="2"/>
      <c r="BR460" s="2"/>
      <c r="BS460" s="2"/>
      <c r="BT460" s="2"/>
      <c r="BU460" s="2"/>
      <c r="BV460" s="2">
        <v>0</v>
      </c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>
        <v>0</v>
      </c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14" t="s">
        <v>81</v>
      </c>
      <c r="DM460" s="2" t="s">
        <v>81</v>
      </c>
      <c r="DN460" s="2">
        <f t="shared" si="49"/>
        <v>0.02</v>
      </c>
      <c r="DO460" s="2">
        <f t="shared" si="50"/>
        <v>4.2744264363174739E-3</v>
      </c>
      <c r="DP460" s="2" t="s">
        <v>1055</v>
      </c>
      <c r="DQ460" s="2" t="s">
        <v>3</v>
      </c>
      <c r="DR460" s="4">
        <f t="shared" si="51"/>
        <v>151.56119999999999</v>
      </c>
      <c r="DS460" s="2">
        <f t="shared" si="52"/>
        <v>0.02</v>
      </c>
      <c r="DT460" s="15">
        <f t="shared" si="53"/>
        <v>30.312239999999996</v>
      </c>
      <c r="DU460" s="2"/>
      <c r="DV460" s="2">
        <f t="shared" si="54"/>
        <v>0</v>
      </c>
      <c r="DW460" s="2"/>
      <c r="DX460" s="2"/>
      <c r="DY460" s="2"/>
      <c r="DZ460" s="2" t="s">
        <v>3</v>
      </c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 t="s">
        <v>3</v>
      </c>
      <c r="FR460" s="2" t="s">
        <v>89</v>
      </c>
      <c r="FS460" s="2" t="s">
        <v>123</v>
      </c>
      <c r="FT460" s="2"/>
      <c r="FU460" s="2"/>
      <c r="FV460" s="2" t="s">
        <v>3</v>
      </c>
    </row>
    <row r="461" spans="1:178" ht="15.75" customHeight="1" x14ac:dyDescent="0.2">
      <c r="A461" s="14" t="s">
        <v>74</v>
      </c>
      <c r="B461" s="2" t="s">
        <v>164</v>
      </c>
      <c r="C461" s="13" t="s">
        <v>1056</v>
      </c>
      <c r="D461" s="2" t="s">
        <v>99</v>
      </c>
      <c r="E461" s="2"/>
      <c r="F461" s="2"/>
      <c r="G461" s="2" t="s">
        <v>78</v>
      </c>
      <c r="H461" s="2" t="s">
        <v>1057</v>
      </c>
      <c r="I461" s="2"/>
      <c r="J461" s="2" t="s">
        <v>242</v>
      </c>
      <c r="K461" s="2">
        <v>0</v>
      </c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4">
        <v>2.1958500000000001</v>
      </c>
      <c r="AG461" s="2"/>
      <c r="AH461" s="2"/>
      <c r="AI461" s="2"/>
      <c r="AJ461" s="2"/>
      <c r="AK461" s="2"/>
      <c r="AL461" s="2"/>
      <c r="AM461" s="2"/>
      <c r="AN461" s="2">
        <v>1.01</v>
      </c>
      <c r="AO461" s="2">
        <v>0.06</v>
      </c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>
        <v>0</v>
      </c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>
        <v>0</v>
      </c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>
        <v>0</v>
      </c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14" t="s">
        <v>81</v>
      </c>
      <c r="DM461" s="2" t="s">
        <v>81</v>
      </c>
      <c r="DN461" s="2">
        <f t="shared" si="49"/>
        <v>1.01</v>
      </c>
      <c r="DO461" s="2">
        <f t="shared" si="50"/>
        <v>0.06</v>
      </c>
      <c r="DP461" s="2" t="s">
        <v>175</v>
      </c>
      <c r="DQ461" s="2" t="s">
        <v>3</v>
      </c>
      <c r="DR461" s="19">
        <f t="shared" si="51"/>
        <v>2.1958500000000001</v>
      </c>
      <c r="DS461" s="2">
        <f t="shared" si="52"/>
        <v>1.01</v>
      </c>
      <c r="DT461" s="15">
        <f t="shared" si="53"/>
        <v>22.178084999999999</v>
      </c>
      <c r="DU461" s="2"/>
      <c r="DV461" s="2">
        <f t="shared" si="54"/>
        <v>0</v>
      </c>
      <c r="DW461" s="2"/>
      <c r="DX461" s="2"/>
      <c r="DY461" s="2"/>
      <c r="DZ461" s="2" t="s">
        <v>3</v>
      </c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 t="s">
        <v>3</v>
      </c>
      <c r="FR461" s="2" t="s">
        <v>37</v>
      </c>
      <c r="FS461" s="2" t="s">
        <v>83</v>
      </c>
      <c r="FT461" s="2" t="s">
        <v>373</v>
      </c>
      <c r="FU461" s="2"/>
      <c r="FV461" s="2" t="s">
        <v>3</v>
      </c>
    </row>
    <row r="462" spans="1:178" ht="15.75" customHeight="1" x14ac:dyDescent="0.2">
      <c r="A462" s="12" t="s">
        <v>74</v>
      </c>
      <c r="B462" s="2" t="s">
        <v>97</v>
      </c>
      <c r="C462" s="13" t="s">
        <v>1058</v>
      </c>
      <c r="D462" s="2" t="s">
        <v>99</v>
      </c>
      <c r="E462" s="2"/>
      <c r="F462" s="2"/>
      <c r="G462" s="2"/>
      <c r="H462" s="2" t="s">
        <v>79</v>
      </c>
      <c r="I462" s="2"/>
      <c r="J462" s="2"/>
      <c r="K462" s="2">
        <v>0</v>
      </c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>
        <v>0</v>
      </c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>
        <v>2.5</v>
      </c>
      <c r="BB462" s="2"/>
      <c r="BC462" s="2"/>
      <c r="BD462" s="2"/>
      <c r="BE462" s="2"/>
      <c r="BF462" s="2"/>
      <c r="BG462" s="2"/>
      <c r="BH462" s="2"/>
      <c r="BI462" s="2">
        <v>0.8</v>
      </c>
      <c r="BJ462" s="2">
        <v>0.06</v>
      </c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>
        <v>0</v>
      </c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>
        <v>0</v>
      </c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14" t="s">
        <v>100</v>
      </c>
      <c r="DM462" s="2" t="s">
        <v>100</v>
      </c>
      <c r="DN462" s="2">
        <f t="shared" si="49"/>
        <v>0.8</v>
      </c>
      <c r="DO462" s="2">
        <f t="shared" si="50"/>
        <v>0.06</v>
      </c>
      <c r="DP462" s="2" t="s">
        <v>113</v>
      </c>
      <c r="DQ462" s="2" t="s">
        <v>3</v>
      </c>
      <c r="DR462" s="2">
        <f t="shared" si="51"/>
        <v>2.5</v>
      </c>
      <c r="DS462" s="2">
        <f t="shared" si="52"/>
        <v>0.8</v>
      </c>
      <c r="DT462" s="15">
        <f t="shared" si="53"/>
        <v>20</v>
      </c>
      <c r="DU462" s="2"/>
      <c r="DV462" s="2">
        <f t="shared" si="54"/>
        <v>0</v>
      </c>
      <c r="DW462" s="2"/>
      <c r="DX462" s="2"/>
      <c r="DY462" s="2"/>
      <c r="DZ462" s="2" t="s">
        <v>3</v>
      </c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 t="s">
        <v>3</v>
      </c>
      <c r="FR462" s="2" t="s">
        <v>37</v>
      </c>
      <c r="FS462" s="2" t="s">
        <v>229</v>
      </c>
      <c r="FT462" s="2"/>
      <c r="FU462" s="2"/>
      <c r="FV462" s="2" t="s">
        <v>3</v>
      </c>
    </row>
    <row r="463" spans="1:178" ht="15.75" customHeight="1" x14ac:dyDescent="0.2">
      <c r="A463" s="12" t="s">
        <v>74</v>
      </c>
      <c r="B463" s="2" t="s">
        <v>75</v>
      </c>
      <c r="C463" s="13" t="s">
        <v>1059</v>
      </c>
      <c r="D463" s="2" t="s">
        <v>99</v>
      </c>
      <c r="E463" s="2"/>
      <c r="F463" s="2"/>
      <c r="G463" s="2" t="s">
        <v>78</v>
      </c>
      <c r="H463" s="2" t="s">
        <v>1060</v>
      </c>
      <c r="I463" s="2"/>
      <c r="J463" s="2" t="s">
        <v>242</v>
      </c>
      <c r="K463" s="2">
        <v>0</v>
      </c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>
        <v>0</v>
      </c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>
        <v>7.26</v>
      </c>
      <c r="BB463" s="2"/>
      <c r="BC463" s="2"/>
      <c r="BD463" s="2"/>
      <c r="BE463" s="2"/>
      <c r="BF463" s="2"/>
      <c r="BG463" s="2"/>
      <c r="BH463" s="2"/>
      <c r="BI463" s="2">
        <v>1.54</v>
      </c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>
        <v>0</v>
      </c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>
        <v>0</v>
      </c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14" t="s">
        <v>81</v>
      </c>
      <c r="DM463" s="2"/>
      <c r="DN463" s="2">
        <f t="shared" si="49"/>
        <v>1.54</v>
      </c>
      <c r="DO463" s="2">
        <f t="shared" si="50"/>
        <v>0</v>
      </c>
      <c r="DP463" s="2" t="s">
        <v>82</v>
      </c>
      <c r="DQ463" s="2" t="s">
        <v>3</v>
      </c>
      <c r="DR463" s="2">
        <f t="shared" si="51"/>
        <v>7.26</v>
      </c>
      <c r="DS463" s="4">
        <f t="shared" si="52"/>
        <v>1.54</v>
      </c>
      <c r="DT463" s="15">
        <f t="shared" si="53"/>
        <v>111.804</v>
      </c>
      <c r="DU463" s="2"/>
      <c r="DV463" s="2">
        <f t="shared" si="54"/>
        <v>0</v>
      </c>
      <c r="DW463" s="2"/>
      <c r="DX463" s="2"/>
      <c r="DY463" s="2"/>
      <c r="DZ463" s="2" t="s">
        <v>3</v>
      </c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 t="s">
        <v>3</v>
      </c>
      <c r="FR463" s="2" t="s">
        <v>37</v>
      </c>
      <c r="FS463" s="2" t="s">
        <v>151</v>
      </c>
      <c r="FT463" s="2" t="s">
        <v>151</v>
      </c>
      <c r="FU463" s="2"/>
      <c r="FV463" s="2" t="s">
        <v>3</v>
      </c>
    </row>
    <row r="464" spans="1:178" ht="15.75" customHeight="1" x14ac:dyDescent="0.2">
      <c r="A464" s="14" t="s">
        <v>96</v>
      </c>
      <c r="B464" s="2" t="s">
        <v>193</v>
      </c>
      <c r="C464" s="16" t="s">
        <v>1061</v>
      </c>
      <c r="D464" s="2" t="s">
        <v>99</v>
      </c>
      <c r="E464" s="2"/>
      <c r="F464" s="2"/>
      <c r="G464" s="2"/>
      <c r="H464" s="2" t="s">
        <v>1062</v>
      </c>
      <c r="I464" s="2"/>
      <c r="J464" s="2"/>
      <c r="K464" s="2">
        <v>0</v>
      </c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>
        <v>225.4</v>
      </c>
      <c r="AG464" s="2"/>
      <c r="AH464" s="2"/>
      <c r="AI464" s="2"/>
      <c r="AJ464" s="2"/>
      <c r="AK464" s="2"/>
      <c r="AL464" s="2"/>
      <c r="AM464" s="2">
        <v>0.17599999999999999</v>
      </c>
      <c r="AN464" s="2">
        <v>3.0000000000000001E-3</v>
      </c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>
        <v>86.5</v>
      </c>
      <c r="BB464" s="2"/>
      <c r="BC464" s="2"/>
      <c r="BD464" s="2"/>
      <c r="BE464" s="2"/>
      <c r="BF464" s="2"/>
      <c r="BG464" s="2"/>
      <c r="BH464" s="2"/>
      <c r="BI464" s="19">
        <v>0.1</v>
      </c>
      <c r="BJ464" s="2">
        <v>3.0000000000000001E-3</v>
      </c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>
        <v>0</v>
      </c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>
        <v>0</v>
      </c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14" t="s">
        <v>81</v>
      </c>
      <c r="DM464" s="2" t="s">
        <v>81</v>
      </c>
      <c r="DN464" s="2">
        <f t="shared" si="49"/>
        <v>2.9901250400769481E-2</v>
      </c>
      <c r="DO464" s="2">
        <f t="shared" si="50"/>
        <v>8.3199743507534479E-4</v>
      </c>
      <c r="DP464" s="2" t="s">
        <v>808</v>
      </c>
      <c r="DQ464" s="2" t="s">
        <v>3</v>
      </c>
      <c r="DR464" s="2">
        <f t="shared" si="51"/>
        <v>311.89999999999998</v>
      </c>
      <c r="DS464" s="19">
        <f t="shared" si="52"/>
        <v>2.9901250400769481E-2</v>
      </c>
      <c r="DT464" s="15">
        <f t="shared" si="53"/>
        <v>93.262</v>
      </c>
      <c r="DU464" s="2"/>
      <c r="DV464" s="2">
        <f t="shared" si="54"/>
        <v>0</v>
      </c>
      <c r="DW464" s="2"/>
      <c r="DX464" s="2"/>
      <c r="DY464" s="2"/>
      <c r="DZ464" s="2" t="s">
        <v>3</v>
      </c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 t="s">
        <v>3</v>
      </c>
      <c r="FR464" s="2" t="s">
        <v>89</v>
      </c>
      <c r="FS464" s="2" t="s">
        <v>123</v>
      </c>
      <c r="FT464" s="2"/>
      <c r="FU464" s="2"/>
      <c r="FV464" s="2" t="s">
        <v>3</v>
      </c>
    </row>
    <row r="465" spans="1:178" ht="15.75" customHeight="1" x14ac:dyDescent="0.2">
      <c r="A465" s="14" t="s">
        <v>143</v>
      </c>
      <c r="B465" s="2" t="s">
        <v>85</v>
      </c>
      <c r="C465" s="16" t="s">
        <v>1063</v>
      </c>
      <c r="D465" s="2"/>
      <c r="E465" s="2"/>
      <c r="F465" s="2"/>
      <c r="G465" s="2"/>
      <c r="H465" s="2" t="s">
        <v>1064</v>
      </c>
      <c r="I465" s="2"/>
      <c r="J465" s="2"/>
      <c r="K465" s="2">
        <v>4.3499999999999996</v>
      </c>
      <c r="L465" s="4">
        <v>7.7000000000000002E-3</v>
      </c>
      <c r="M465" s="4">
        <v>3.328735632183908E-2</v>
      </c>
      <c r="N465" s="2"/>
      <c r="O465" s="2"/>
      <c r="P465" s="2"/>
      <c r="Q465" s="2"/>
      <c r="R465" s="2"/>
      <c r="S465" s="4">
        <v>0.12306206896551723</v>
      </c>
      <c r="T465" s="2"/>
      <c r="U465" s="4">
        <v>3.1031954022988506</v>
      </c>
      <c r="V465" s="4">
        <v>1.416666666666667</v>
      </c>
      <c r="W465" s="4">
        <v>0.60804597701149432</v>
      </c>
      <c r="X465" s="4">
        <v>2.8122534505747129E-2</v>
      </c>
      <c r="Y465" s="19">
        <v>4.8881757011494257E-3</v>
      </c>
      <c r="Z465" s="2"/>
      <c r="AA465" s="2"/>
      <c r="AB465" s="2"/>
      <c r="AC465" s="2"/>
      <c r="AD465" s="2"/>
      <c r="AE465" s="2"/>
      <c r="AF465" s="2">
        <v>5.5699999999999994</v>
      </c>
      <c r="AG465" s="4">
        <v>2.6854937163375222E-2</v>
      </c>
      <c r="AH465" s="4">
        <v>7.7307001795332148E-2</v>
      </c>
      <c r="AI465" s="2"/>
      <c r="AJ465" s="2"/>
      <c r="AK465" s="2"/>
      <c r="AL465" s="2"/>
      <c r="AM465" s="2"/>
      <c r="AN465" s="4">
        <v>0.13902800718132854</v>
      </c>
      <c r="AO465" s="2"/>
      <c r="AP465" s="4">
        <v>3.5112028725314182</v>
      </c>
      <c r="AQ465" s="4">
        <v>1.5075942549371635</v>
      </c>
      <c r="AR465" s="4">
        <v>0.58725314183123878</v>
      </c>
      <c r="AS465" s="4">
        <v>0.11587212560143627</v>
      </c>
      <c r="AT465" s="19">
        <v>2.0140549874326751E-2</v>
      </c>
      <c r="AU465" s="2"/>
      <c r="AV465" s="2"/>
      <c r="AW465" s="2"/>
      <c r="AX465" s="2"/>
      <c r="AY465" s="2"/>
      <c r="AZ465" s="2"/>
      <c r="BA465" s="2">
        <v>5.4399999999999995</v>
      </c>
      <c r="BB465" s="4">
        <v>4.8637867647058838E-2</v>
      </c>
      <c r="BC465" s="4">
        <v>0.13887867647058827</v>
      </c>
      <c r="BD465" s="2"/>
      <c r="BE465" s="2"/>
      <c r="BF465" s="2"/>
      <c r="BG465" s="2"/>
      <c r="BH465" s="2"/>
      <c r="BI465" s="4">
        <v>0.16053970588235295</v>
      </c>
      <c r="BJ465" s="2"/>
      <c r="BK465" s="4">
        <v>4.0003492647058829</v>
      </c>
      <c r="BL465" s="4">
        <v>1.6913602941176473</v>
      </c>
      <c r="BM465" s="4">
        <v>0.56391544117647063</v>
      </c>
      <c r="BN465" s="4">
        <v>0.22305620091911768</v>
      </c>
      <c r="BO465" s="19">
        <v>3.877096856617647E-2</v>
      </c>
      <c r="BP465" s="2"/>
      <c r="BQ465" s="2"/>
      <c r="BR465" s="2"/>
      <c r="BS465" s="2"/>
      <c r="BT465" s="2"/>
      <c r="BU465" s="2"/>
      <c r="BV465" s="2">
        <v>0</v>
      </c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>
        <v>0</v>
      </c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14" t="s">
        <v>81</v>
      </c>
      <c r="DM465" s="2"/>
      <c r="DN465" s="2">
        <f t="shared" si="49"/>
        <v>0.14212513020833331</v>
      </c>
      <c r="DO465" s="2">
        <f t="shared" si="50"/>
        <v>0</v>
      </c>
      <c r="DP465" s="2" t="s">
        <v>225</v>
      </c>
      <c r="DQ465" s="2" t="s">
        <v>3</v>
      </c>
      <c r="DR465" s="2">
        <f t="shared" si="51"/>
        <v>15.359999999999998</v>
      </c>
      <c r="DS465" s="4">
        <f t="shared" si="52"/>
        <v>0.14212513020833331</v>
      </c>
      <c r="DT465" s="15">
        <f t="shared" si="53"/>
        <v>21.830419999999993</v>
      </c>
      <c r="DU465" s="2"/>
      <c r="DV465" s="2">
        <f t="shared" si="54"/>
        <v>0</v>
      </c>
      <c r="DW465" s="2"/>
      <c r="DX465" s="2"/>
      <c r="DY465" s="2"/>
      <c r="DZ465" s="2" t="s">
        <v>3</v>
      </c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 t="s">
        <v>3</v>
      </c>
      <c r="FR465" s="2" t="s">
        <v>89</v>
      </c>
      <c r="FS465" s="2" t="s">
        <v>90</v>
      </c>
      <c r="FT465" s="2" t="s">
        <v>91</v>
      </c>
      <c r="FU465" s="2" t="s">
        <v>92</v>
      </c>
      <c r="FV465" s="2" t="s">
        <v>3</v>
      </c>
    </row>
    <row r="466" spans="1:178" ht="15.75" customHeight="1" x14ac:dyDescent="0.2">
      <c r="A466" s="14" t="s">
        <v>143</v>
      </c>
      <c r="B466" s="2" t="s">
        <v>85</v>
      </c>
      <c r="C466" s="16" t="s">
        <v>1065</v>
      </c>
      <c r="D466" s="2"/>
      <c r="E466" s="2"/>
      <c r="F466" s="2"/>
      <c r="G466" s="2"/>
      <c r="H466" s="2" t="s">
        <v>511</v>
      </c>
      <c r="I466" s="2"/>
      <c r="J466" s="2"/>
      <c r="K466" s="2">
        <v>0</v>
      </c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>
        <v>0</v>
      </c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>
        <v>7.6499999999999995</v>
      </c>
      <c r="BB466" s="4">
        <v>0.03</v>
      </c>
      <c r="BC466" s="4">
        <v>0.12</v>
      </c>
      <c r="BD466" s="2"/>
      <c r="BE466" s="2"/>
      <c r="BF466" s="2"/>
      <c r="BG466" s="2"/>
      <c r="BH466" s="2"/>
      <c r="BI466" s="4">
        <v>0.05</v>
      </c>
      <c r="BJ466" s="2"/>
      <c r="BK466" s="4">
        <v>2.9</v>
      </c>
      <c r="BL466" s="4">
        <v>1.41</v>
      </c>
      <c r="BM466" s="4">
        <v>0.33000000000000007</v>
      </c>
      <c r="BN466" s="4"/>
      <c r="BO466" s="4"/>
      <c r="BP466" s="2"/>
      <c r="BQ466" s="2"/>
      <c r="BR466" s="2"/>
      <c r="BS466" s="2"/>
      <c r="BT466" s="2"/>
      <c r="BU466" s="2"/>
      <c r="BV466" s="2">
        <v>0</v>
      </c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>
        <v>0</v>
      </c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14" t="s">
        <v>81</v>
      </c>
      <c r="DM466" s="2"/>
      <c r="DN466" s="2">
        <f t="shared" si="49"/>
        <v>0.05</v>
      </c>
      <c r="DO466" s="2">
        <f t="shared" si="50"/>
        <v>0</v>
      </c>
      <c r="DP466" s="2" t="s">
        <v>512</v>
      </c>
      <c r="DQ466" s="2" t="s">
        <v>3</v>
      </c>
      <c r="DR466" s="2">
        <f t="shared" si="51"/>
        <v>7.6499999999999995</v>
      </c>
      <c r="DS466" s="4">
        <f t="shared" si="52"/>
        <v>0.05</v>
      </c>
      <c r="DT466" s="15">
        <f t="shared" si="53"/>
        <v>3.8250000000000002</v>
      </c>
      <c r="DU466" s="2"/>
      <c r="DV466" s="2">
        <f t="shared" si="54"/>
        <v>0</v>
      </c>
      <c r="DW466" s="2"/>
      <c r="DX466" s="2"/>
      <c r="DY466" s="2"/>
      <c r="DZ466" s="2" t="s">
        <v>3</v>
      </c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 t="s">
        <v>3</v>
      </c>
      <c r="FR466" s="2" t="s">
        <v>89</v>
      </c>
      <c r="FS466" s="2" t="s">
        <v>90</v>
      </c>
      <c r="FT466" s="2" t="s">
        <v>91</v>
      </c>
      <c r="FU466" s="2" t="s">
        <v>92</v>
      </c>
      <c r="FV466" s="2" t="s">
        <v>3</v>
      </c>
    </row>
    <row r="467" spans="1:178" ht="15.75" customHeight="1" x14ac:dyDescent="0.2">
      <c r="A467" s="14" t="s">
        <v>127</v>
      </c>
      <c r="B467" s="2" t="s">
        <v>85</v>
      </c>
      <c r="C467" s="16" t="s">
        <v>1066</v>
      </c>
      <c r="D467" s="2" t="s">
        <v>99</v>
      </c>
      <c r="E467" s="2"/>
      <c r="F467" s="2"/>
      <c r="G467" s="2"/>
      <c r="H467" s="17" t="s">
        <v>79</v>
      </c>
      <c r="I467" s="2"/>
      <c r="J467" s="2"/>
      <c r="K467" s="2">
        <v>0</v>
      </c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>
        <v>0</v>
      </c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>
        <v>18.128</v>
      </c>
      <c r="BB467" s="4">
        <v>0.11411187113857017</v>
      </c>
      <c r="BC467" s="4">
        <v>8.5279677846425428E-2</v>
      </c>
      <c r="BD467" s="2"/>
      <c r="BE467" s="2"/>
      <c r="BF467" s="2"/>
      <c r="BG467" s="2"/>
      <c r="BH467" s="2"/>
      <c r="BI467" s="4">
        <v>0.18527967784642543</v>
      </c>
      <c r="BJ467" s="2"/>
      <c r="BK467" s="4">
        <v>0.4700490953221535</v>
      </c>
      <c r="BL467" s="4">
        <v>0.73578993821712269</v>
      </c>
      <c r="BM467" s="2"/>
      <c r="BN467" s="2"/>
      <c r="BO467" s="2"/>
      <c r="BP467" s="2"/>
      <c r="BQ467" s="2"/>
      <c r="BR467" s="2"/>
      <c r="BS467" s="2"/>
      <c r="BT467" s="2"/>
      <c r="BU467" s="2"/>
      <c r="BV467" s="2">
        <v>0</v>
      </c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>
        <v>0</v>
      </c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14" t="s">
        <v>81</v>
      </c>
      <c r="DM467" s="2"/>
      <c r="DN467" s="2">
        <f t="shared" si="49"/>
        <v>0.18527967784642543</v>
      </c>
      <c r="DO467" s="2">
        <f t="shared" si="50"/>
        <v>0</v>
      </c>
      <c r="DP467" s="2" t="s">
        <v>1067</v>
      </c>
      <c r="DQ467" s="2" t="s">
        <v>3</v>
      </c>
      <c r="DR467" s="4">
        <f t="shared" si="51"/>
        <v>18.128</v>
      </c>
      <c r="DS467" s="4">
        <f t="shared" si="52"/>
        <v>0.18527967784642543</v>
      </c>
      <c r="DT467" s="15">
        <f t="shared" si="53"/>
        <v>33.587500000000006</v>
      </c>
      <c r="DU467" s="2"/>
      <c r="DV467" s="2">
        <f t="shared" si="54"/>
        <v>0</v>
      </c>
      <c r="DW467" s="2"/>
      <c r="DX467" s="2"/>
      <c r="DY467" s="2"/>
      <c r="DZ467" s="2" t="s">
        <v>3</v>
      </c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 t="s">
        <v>3</v>
      </c>
      <c r="FR467" s="2" t="s">
        <v>89</v>
      </c>
      <c r="FS467" s="2" t="s">
        <v>90</v>
      </c>
      <c r="FT467" s="2" t="s">
        <v>91</v>
      </c>
      <c r="FU467" s="2" t="s">
        <v>130</v>
      </c>
      <c r="FV467" s="2" t="s">
        <v>3</v>
      </c>
    </row>
    <row r="468" spans="1:178" ht="15.75" customHeight="1" x14ac:dyDescent="0.2">
      <c r="A468" s="14" t="s">
        <v>96</v>
      </c>
      <c r="B468" s="2" t="s">
        <v>193</v>
      </c>
      <c r="C468" s="16" t="s">
        <v>1068</v>
      </c>
      <c r="D468" s="2" t="s">
        <v>99</v>
      </c>
      <c r="E468" s="2"/>
      <c r="F468" s="2"/>
      <c r="G468" s="2"/>
      <c r="H468" s="2" t="s">
        <v>79</v>
      </c>
      <c r="I468" s="2"/>
      <c r="J468" s="2"/>
      <c r="K468" s="2">
        <v>0</v>
      </c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>
        <v>0</v>
      </c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>
        <v>6.37</v>
      </c>
      <c r="BB468" s="2">
        <v>0.04</v>
      </c>
      <c r="BC468" s="2"/>
      <c r="BD468" s="2"/>
      <c r="BE468" s="2"/>
      <c r="BF468" s="2"/>
      <c r="BG468" s="2"/>
      <c r="BH468" s="2"/>
      <c r="BI468" s="2">
        <v>0.35</v>
      </c>
      <c r="BJ468" s="2">
        <v>0.01</v>
      </c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>
        <v>0</v>
      </c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>
        <v>0</v>
      </c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14" t="s">
        <v>100</v>
      </c>
      <c r="DM468" s="2" t="s">
        <v>100</v>
      </c>
      <c r="DN468" s="2">
        <f t="shared" si="49"/>
        <v>0.35</v>
      </c>
      <c r="DO468" s="2">
        <f t="shared" si="50"/>
        <v>0.01</v>
      </c>
      <c r="DP468" s="2" t="s">
        <v>221</v>
      </c>
      <c r="DQ468" s="2" t="s">
        <v>3</v>
      </c>
      <c r="DR468" s="2">
        <f t="shared" si="51"/>
        <v>6.37</v>
      </c>
      <c r="DS468" s="2">
        <f t="shared" si="52"/>
        <v>0.35</v>
      </c>
      <c r="DT468" s="15">
        <f t="shared" si="53"/>
        <v>22.295000000000002</v>
      </c>
      <c r="DU468" s="2"/>
      <c r="DV468" s="2">
        <f t="shared" si="54"/>
        <v>0</v>
      </c>
      <c r="DW468" s="2"/>
      <c r="DX468" s="2"/>
      <c r="DY468" s="2"/>
      <c r="DZ468" s="2" t="s">
        <v>3</v>
      </c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 t="s">
        <v>3</v>
      </c>
      <c r="FR468" s="2" t="s">
        <v>89</v>
      </c>
      <c r="FS468" s="2" t="s">
        <v>378</v>
      </c>
      <c r="FT468" s="2"/>
      <c r="FU468" s="2"/>
      <c r="FV468" s="2" t="s">
        <v>3</v>
      </c>
    </row>
    <row r="469" spans="1:178" ht="15.75" customHeight="1" x14ac:dyDescent="0.2">
      <c r="A469" s="14" t="s">
        <v>96</v>
      </c>
      <c r="B469" s="2" t="s">
        <v>193</v>
      </c>
      <c r="C469" s="16" t="s">
        <v>1069</v>
      </c>
      <c r="D469" s="2" t="s">
        <v>99</v>
      </c>
      <c r="E469" s="2"/>
      <c r="F469" s="2"/>
      <c r="G469" s="2"/>
      <c r="H469" s="2" t="s">
        <v>79</v>
      </c>
      <c r="I469" s="2"/>
      <c r="J469" s="2"/>
      <c r="K469" s="2">
        <v>0</v>
      </c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>
        <v>0</v>
      </c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>
        <v>4.24</v>
      </c>
      <c r="BB469" s="2">
        <v>0.06</v>
      </c>
      <c r="BC469" s="2"/>
      <c r="BD469" s="2"/>
      <c r="BE469" s="2"/>
      <c r="BF469" s="2"/>
      <c r="BG469" s="2"/>
      <c r="BH469" s="2"/>
      <c r="BI469" s="2">
        <v>0.61</v>
      </c>
      <c r="BJ469" s="2">
        <v>0.02</v>
      </c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>
        <v>0</v>
      </c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>
        <v>0</v>
      </c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14" t="s">
        <v>100</v>
      </c>
      <c r="DM469" s="2" t="s">
        <v>100</v>
      </c>
      <c r="DN469" s="2">
        <f t="shared" si="49"/>
        <v>0.61</v>
      </c>
      <c r="DO469" s="2">
        <f t="shared" si="50"/>
        <v>0.02</v>
      </c>
      <c r="DP469" s="2" t="s">
        <v>521</v>
      </c>
      <c r="DQ469" s="2" t="s">
        <v>3</v>
      </c>
      <c r="DR469" s="2">
        <f t="shared" si="51"/>
        <v>4.24</v>
      </c>
      <c r="DS469" s="2">
        <f t="shared" si="52"/>
        <v>0.61</v>
      </c>
      <c r="DT469" s="15">
        <f t="shared" si="53"/>
        <v>25.864000000000001</v>
      </c>
      <c r="DU469" s="2"/>
      <c r="DV469" s="2">
        <f t="shared" si="54"/>
        <v>0</v>
      </c>
      <c r="DW469" s="2"/>
      <c r="DX469" s="2"/>
      <c r="DY469" s="2"/>
      <c r="DZ469" s="2" t="s">
        <v>3</v>
      </c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 t="s">
        <v>3</v>
      </c>
      <c r="FR469" s="2" t="s">
        <v>89</v>
      </c>
      <c r="FS469" s="2" t="s">
        <v>123</v>
      </c>
      <c r="FT469" s="2"/>
      <c r="FU469" s="2"/>
      <c r="FV469" s="2" t="s">
        <v>3</v>
      </c>
    </row>
    <row r="470" spans="1:178" ht="15.75" customHeight="1" x14ac:dyDescent="0.2">
      <c r="A470" s="12" t="s">
        <v>74</v>
      </c>
      <c r="B470" s="2" t="s">
        <v>243</v>
      </c>
      <c r="C470" s="13" t="s">
        <v>1070</v>
      </c>
      <c r="D470" s="2" t="s">
        <v>99</v>
      </c>
      <c r="E470" s="2"/>
      <c r="F470" s="2"/>
      <c r="G470" s="2"/>
      <c r="H470" s="2" t="s">
        <v>79</v>
      </c>
      <c r="I470" s="2"/>
      <c r="J470" s="2"/>
      <c r="K470" s="2">
        <v>0</v>
      </c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>
        <v>0</v>
      </c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15">
        <f>(4.8+1.1)*0.9072</f>
        <v>5.3524800000000008</v>
      </c>
      <c r="BB470" s="2"/>
      <c r="BC470" s="2"/>
      <c r="BD470" s="2"/>
      <c r="BE470" s="2"/>
      <c r="BF470" s="2"/>
      <c r="BG470" s="2"/>
      <c r="BH470" s="2"/>
      <c r="BI470" s="4">
        <f>(0.85*4.8+0.71*1.1)/(4.8+1.1)</f>
        <v>0.82389830508474571</v>
      </c>
      <c r="BJ470" s="4">
        <f>(0.07*4.8+0.06*1.1)/(4.8+1.1)</f>
        <v>6.8135593220338977E-2</v>
      </c>
      <c r="BK470" s="2"/>
      <c r="BL470" s="2"/>
      <c r="BM470" s="2"/>
      <c r="BN470" s="2"/>
      <c r="BO470" s="2"/>
      <c r="BP470" s="4">
        <f>(0.58*4.8+0.34*1.1)/(4.8+1.1)</f>
        <v>0.53525423728813559</v>
      </c>
      <c r="BQ470" s="4">
        <f>(20.76*4.8+12.47*1.1)/(4.8+1.1)</f>
        <v>19.214406779661019</v>
      </c>
      <c r="BR470" s="2"/>
      <c r="BS470" s="2"/>
      <c r="BT470" s="2"/>
      <c r="BU470" s="2"/>
      <c r="BV470" s="2">
        <v>0</v>
      </c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>
        <v>0</v>
      </c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14" t="s">
        <v>100</v>
      </c>
      <c r="DM470" s="2" t="s">
        <v>100</v>
      </c>
      <c r="DN470" s="2">
        <f t="shared" si="49"/>
        <v>0.82389830508474582</v>
      </c>
      <c r="DO470" s="2">
        <f t="shared" si="50"/>
        <v>6.8135593220338977E-2</v>
      </c>
      <c r="DP470" s="2" t="s">
        <v>791</v>
      </c>
      <c r="DQ470" s="2" t="s">
        <v>3</v>
      </c>
      <c r="DR470" s="19">
        <f t="shared" si="51"/>
        <v>5.3524800000000008</v>
      </c>
      <c r="DS470" s="4">
        <f t="shared" si="52"/>
        <v>0.82389830508474582</v>
      </c>
      <c r="DT470" s="15">
        <f t="shared" si="53"/>
        <v>44.09899200000001</v>
      </c>
      <c r="DU470" s="2"/>
      <c r="DV470" s="2">
        <f t="shared" si="54"/>
        <v>0</v>
      </c>
      <c r="DW470" s="2"/>
      <c r="DX470" s="2"/>
      <c r="DY470" s="2"/>
      <c r="DZ470" s="2" t="s">
        <v>3</v>
      </c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 t="s">
        <v>3</v>
      </c>
      <c r="FR470" s="2" t="s">
        <v>37</v>
      </c>
      <c r="FS470" s="2" t="s">
        <v>235</v>
      </c>
      <c r="FT470" s="2" t="s">
        <v>235</v>
      </c>
      <c r="FU470" s="2"/>
      <c r="FV470" s="2" t="s">
        <v>3</v>
      </c>
    </row>
    <row r="471" spans="1:178" ht="15.75" customHeight="1" x14ac:dyDescent="0.2">
      <c r="A471" s="14" t="s">
        <v>96</v>
      </c>
      <c r="B471" s="2" t="s">
        <v>133</v>
      </c>
      <c r="C471" s="21" t="s">
        <v>1071</v>
      </c>
      <c r="D471" s="2" t="s">
        <v>99</v>
      </c>
      <c r="E471" s="2"/>
      <c r="F471" s="2"/>
      <c r="G471" s="2"/>
      <c r="H471" s="2" t="s">
        <v>1072</v>
      </c>
      <c r="I471" s="2"/>
      <c r="J471" s="2"/>
      <c r="K471" s="2">
        <v>0</v>
      </c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>
        <f>0.0582+0.336</f>
        <v>0.39419999999999999</v>
      </c>
      <c r="AG471" s="4">
        <f>(0.41*0.0582+0*0.336)/AF471</f>
        <v>6.0532724505327241E-2</v>
      </c>
      <c r="AH471" s="2"/>
      <c r="AI471" s="2"/>
      <c r="AJ471" s="4">
        <f>(10.68*0.0582+0.48*0.336)/AF471/1.179</f>
        <v>1.6844241501775747</v>
      </c>
      <c r="AK471" s="4">
        <f>(0.22*0.0582+0*0.336)/AF471</f>
        <v>3.2480974124809742E-2</v>
      </c>
      <c r="AL471" s="2"/>
      <c r="AM471" s="2"/>
      <c r="AN471" s="4">
        <f>(0.15*0.0582+0*0.336)/AF471</f>
        <v>2.2146118721461189E-2</v>
      </c>
      <c r="AO471" s="19">
        <f>(0.03*0.0582+0*0.336)/AF471</f>
        <v>4.4292237442922376E-3</v>
      </c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>
        <f>0.0366+0.007+0.118</f>
        <v>0.16159999999999999</v>
      </c>
      <c r="BB471" s="4">
        <f>(0.57*0.0366+0*0.007+0.86*0.118)/BA471</f>
        <v>0.75706683168316824</v>
      </c>
      <c r="BC471" s="2"/>
      <c r="BD471" s="2"/>
      <c r="BE471" s="4">
        <f>(13.07*0.0366+0.31*0.007+11.58*0.118)/BA471/1.179</f>
        <v>9.6940476490397121</v>
      </c>
      <c r="BF471" s="4">
        <f>(0.26*0.0366+0*0.007+0.1*0.118)/BA471</f>
        <v>0.13190594059405941</v>
      </c>
      <c r="BG471" s="2"/>
      <c r="BH471" s="2"/>
      <c r="BI471" s="4">
        <f>(0.55*0.0366+0*0.007+0.02*0.118)/BA471</f>
        <v>0.13917079207920793</v>
      </c>
      <c r="BJ471" s="4">
        <f>(0.1*0.0366+0*0.007+0.01*0.118)/BA471</f>
        <v>2.9950495049504956E-2</v>
      </c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>
        <v>0</v>
      </c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>
        <v>0</v>
      </c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14" t="s">
        <v>81</v>
      </c>
      <c r="DM471" s="2" t="s">
        <v>81</v>
      </c>
      <c r="DN471" s="2">
        <f t="shared" si="49"/>
        <v>5.6171284634760704E-2</v>
      </c>
      <c r="DO471" s="2">
        <f t="shared" si="50"/>
        <v>1.1849586182079886E-2</v>
      </c>
      <c r="DP471" s="2" t="s">
        <v>1073</v>
      </c>
      <c r="DQ471" s="2" t="s">
        <v>3</v>
      </c>
      <c r="DR471" s="19">
        <f t="shared" si="51"/>
        <v>0.55579999999999996</v>
      </c>
      <c r="DS471" s="19">
        <f t="shared" si="52"/>
        <v>5.6171284634760704E-2</v>
      </c>
      <c r="DT471" s="15">
        <f t="shared" si="53"/>
        <v>0.31219999999999998</v>
      </c>
      <c r="DU471" s="2"/>
      <c r="DV471" s="2">
        <f t="shared" si="54"/>
        <v>0</v>
      </c>
      <c r="DW471" s="2"/>
      <c r="DX471" s="2"/>
      <c r="DY471" s="2"/>
      <c r="DZ471" s="2" t="s">
        <v>3</v>
      </c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 t="s">
        <v>3</v>
      </c>
      <c r="FR471" s="2" t="s">
        <v>183</v>
      </c>
      <c r="FS471" s="2" t="s">
        <v>449</v>
      </c>
      <c r="FT471" s="2"/>
      <c r="FU471" s="2"/>
      <c r="FV471" s="2" t="s">
        <v>3</v>
      </c>
    </row>
    <row r="472" spans="1:178" ht="15.75" customHeight="1" x14ac:dyDescent="0.2">
      <c r="A472" s="12" t="s">
        <v>74</v>
      </c>
      <c r="B472" s="2" t="s">
        <v>185</v>
      </c>
      <c r="C472" s="13" t="s">
        <v>1074</v>
      </c>
      <c r="D472" s="2" t="s">
        <v>99</v>
      </c>
      <c r="E472" s="2"/>
      <c r="F472" s="2"/>
      <c r="G472" s="2"/>
      <c r="H472" s="2" t="s">
        <v>79</v>
      </c>
      <c r="I472" s="2"/>
      <c r="J472" s="2"/>
      <c r="K472" s="2">
        <v>0</v>
      </c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>
        <v>0</v>
      </c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>
        <v>14</v>
      </c>
      <c r="BB472" s="2"/>
      <c r="BC472" s="2"/>
      <c r="BD472" s="2"/>
      <c r="BE472" s="2"/>
      <c r="BF472" s="2"/>
      <c r="BG472" s="2"/>
      <c r="BH472" s="2"/>
      <c r="BI472" s="2">
        <v>1.1499999999999999</v>
      </c>
      <c r="BJ472" s="2">
        <v>5.5E-2</v>
      </c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>
        <v>0</v>
      </c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>
        <v>0</v>
      </c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14" t="s">
        <v>100</v>
      </c>
      <c r="DM472" s="2" t="s">
        <v>100</v>
      </c>
      <c r="DN472" s="2">
        <f t="shared" si="49"/>
        <v>1.1499999999999999</v>
      </c>
      <c r="DO472" s="2">
        <f t="shared" si="50"/>
        <v>5.5E-2</v>
      </c>
      <c r="DP472" s="2" t="s">
        <v>187</v>
      </c>
      <c r="DQ472" s="2" t="s">
        <v>3</v>
      </c>
      <c r="DR472" s="2">
        <f t="shared" si="51"/>
        <v>14</v>
      </c>
      <c r="DS472" s="2">
        <f t="shared" si="52"/>
        <v>1.1499999999999999</v>
      </c>
      <c r="DT472" s="15">
        <f t="shared" si="53"/>
        <v>160.99999999999997</v>
      </c>
      <c r="DU472" s="2"/>
      <c r="DV472" s="2">
        <f t="shared" si="54"/>
        <v>0</v>
      </c>
      <c r="DW472" s="2"/>
      <c r="DX472" s="2"/>
      <c r="DY472" s="2"/>
      <c r="DZ472" s="2" t="s">
        <v>3</v>
      </c>
      <c r="EA472" s="2" t="s">
        <v>185</v>
      </c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 t="s">
        <v>185</v>
      </c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 t="s">
        <v>185</v>
      </c>
      <c r="FQ472" s="2" t="s">
        <v>3</v>
      </c>
      <c r="FR472" s="2" t="s">
        <v>37</v>
      </c>
      <c r="FS472" s="2" t="s">
        <v>383</v>
      </c>
      <c r="FT472" s="2" t="s">
        <v>383</v>
      </c>
      <c r="FU472" s="2"/>
      <c r="FV472" s="2" t="s">
        <v>3</v>
      </c>
    </row>
    <row r="473" spans="1:178" ht="15.75" customHeight="1" x14ac:dyDescent="0.2">
      <c r="A473" s="14" t="s">
        <v>143</v>
      </c>
      <c r="B473" s="2" t="s">
        <v>85</v>
      </c>
      <c r="C473" s="16" t="s">
        <v>1075</v>
      </c>
      <c r="D473" s="2"/>
      <c r="E473" s="2"/>
      <c r="F473" s="2"/>
      <c r="G473" s="2"/>
      <c r="H473" s="2" t="s">
        <v>1076</v>
      </c>
      <c r="I473" s="2"/>
      <c r="J473" s="2"/>
      <c r="K473" s="2">
        <v>0</v>
      </c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>
        <v>12.2</v>
      </c>
      <c r="AG473" s="4">
        <v>1.9E-2</v>
      </c>
      <c r="AH473" s="4">
        <v>0.09</v>
      </c>
      <c r="AI473" s="2"/>
      <c r="AJ473" s="2"/>
      <c r="AK473" s="2"/>
      <c r="AL473" s="2"/>
      <c r="AM473" s="2"/>
      <c r="AN473" s="4">
        <v>8.3000000000000004E-2</v>
      </c>
      <c r="AO473" s="2"/>
      <c r="AP473" s="4">
        <v>1.9099999999999997</v>
      </c>
      <c r="AQ473" s="4">
        <v>0.85</v>
      </c>
      <c r="AR473" s="4">
        <v>0.22</v>
      </c>
      <c r="AS473" s="2"/>
      <c r="AT473" s="2"/>
      <c r="AU473" s="2"/>
      <c r="AV473" s="2"/>
      <c r="AW473" s="2"/>
      <c r="AX473" s="2"/>
      <c r="AY473" s="2"/>
      <c r="AZ473" s="2"/>
      <c r="BA473" s="2">
        <v>0</v>
      </c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>
        <v>0</v>
      </c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>
        <v>5.0999999999999996</v>
      </c>
      <c r="CR473" s="4">
        <v>1.9E-2</v>
      </c>
      <c r="CS473" s="4">
        <v>9.0770000000000003E-2</v>
      </c>
      <c r="CT473" s="2"/>
      <c r="CU473" s="2"/>
      <c r="CV473" s="2"/>
      <c r="CW473" s="2"/>
      <c r="CX473" s="2"/>
      <c r="CY473" s="4">
        <v>8.3000000000000004E-2</v>
      </c>
      <c r="CZ473" s="2"/>
      <c r="DA473" s="4">
        <v>1.9468600000000003</v>
      </c>
      <c r="DB473" s="4">
        <v>0.86701000000000017</v>
      </c>
      <c r="DC473" s="4">
        <v>0.22536</v>
      </c>
      <c r="DD473" s="2"/>
      <c r="DE473" s="2"/>
      <c r="DF473" s="2"/>
      <c r="DG473" s="2"/>
      <c r="DH473" s="2"/>
      <c r="DI473" s="2"/>
      <c r="DJ473" s="2"/>
      <c r="DK473" s="2"/>
      <c r="DL473" s="14" t="s">
        <v>81</v>
      </c>
      <c r="DM473" s="2"/>
      <c r="DN473" s="2">
        <f t="shared" si="49"/>
        <v>8.3000000000000004E-2</v>
      </c>
      <c r="DO473" s="2">
        <f t="shared" si="50"/>
        <v>0</v>
      </c>
      <c r="DP473" s="2" t="s">
        <v>512</v>
      </c>
      <c r="DQ473" s="2" t="s">
        <v>3</v>
      </c>
      <c r="DR473" s="2">
        <f t="shared" si="51"/>
        <v>12.2</v>
      </c>
      <c r="DS473" s="4">
        <f t="shared" si="52"/>
        <v>8.3000000000000004E-2</v>
      </c>
      <c r="DT473" s="15">
        <f t="shared" si="53"/>
        <v>10.125999999999999</v>
      </c>
      <c r="DU473" s="2"/>
      <c r="DV473" s="2">
        <f t="shared" si="54"/>
        <v>5.0999999999999996</v>
      </c>
      <c r="DW473" s="2">
        <f>(BV473*CD473+CQ473*CY473)/DV473</f>
        <v>8.3000000000000004E-2</v>
      </c>
      <c r="DX473" s="15">
        <f>1000*DV473*DW473/100</f>
        <v>4.2330000000000005</v>
      </c>
      <c r="DY473" s="2"/>
      <c r="DZ473" s="2" t="s">
        <v>3</v>
      </c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 t="s">
        <v>3</v>
      </c>
      <c r="FR473" s="2" t="s">
        <v>89</v>
      </c>
      <c r="FS473" s="2" t="s">
        <v>90</v>
      </c>
      <c r="FT473" s="2" t="s">
        <v>91</v>
      </c>
      <c r="FU473" s="2" t="s">
        <v>92</v>
      </c>
      <c r="FV473" s="2" t="s">
        <v>3</v>
      </c>
    </row>
    <row r="474" spans="1:178" ht="15.75" customHeight="1" x14ac:dyDescent="0.2">
      <c r="A474" s="14" t="s">
        <v>96</v>
      </c>
      <c r="B474" s="2" t="s">
        <v>124</v>
      </c>
      <c r="C474" s="16" t="s">
        <v>1077</v>
      </c>
      <c r="D474" s="2" t="s">
        <v>99</v>
      </c>
      <c r="E474" s="2"/>
      <c r="F474" s="2"/>
      <c r="G474" s="2"/>
      <c r="H474" s="2" t="s">
        <v>1043</v>
      </c>
      <c r="I474" s="2"/>
      <c r="J474" s="2"/>
      <c r="K474" s="2">
        <v>0</v>
      </c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>
        <v>0</v>
      </c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>
        <v>3.5</v>
      </c>
      <c r="BB474" s="2">
        <v>0.28000000000000003</v>
      </c>
      <c r="BC474" s="2"/>
      <c r="BD474" s="2"/>
      <c r="BE474" s="2"/>
      <c r="BF474" s="2"/>
      <c r="BG474" s="2"/>
      <c r="BH474" s="2"/>
      <c r="BI474" s="2">
        <v>0.32</v>
      </c>
      <c r="BJ474" s="19">
        <v>0.04</v>
      </c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>
        <v>0</v>
      </c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>
        <v>0</v>
      </c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14" t="s">
        <v>100</v>
      </c>
      <c r="DM474" s="2"/>
      <c r="DN474" s="2">
        <f t="shared" si="49"/>
        <v>0.32</v>
      </c>
      <c r="DO474" s="2">
        <f t="shared" si="50"/>
        <v>0.04</v>
      </c>
      <c r="DP474" s="2" t="s">
        <v>1078</v>
      </c>
      <c r="DQ474" s="2" t="s">
        <v>3</v>
      </c>
      <c r="DR474" s="2">
        <f t="shared" si="51"/>
        <v>3.5</v>
      </c>
      <c r="DS474" s="2">
        <f t="shared" si="52"/>
        <v>0.32</v>
      </c>
      <c r="DT474" s="15">
        <f t="shared" si="53"/>
        <v>11.2</v>
      </c>
      <c r="DU474" s="2"/>
      <c r="DV474" s="2">
        <f t="shared" si="54"/>
        <v>0</v>
      </c>
      <c r="DW474" s="2"/>
      <c r="DX474" s="2"/>
      <c r="DY474" s="2"/>
      <c r="DZ474" s="2" t="s">
        <v>3</v>
      </c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 t="s">
        <v>3</v>
      </c>
      <c r="FR474" s="2" t="s">
        <v>89</v>
      </c>
      <c r="FS474" s="2" t="s">
        <v>123</v>
      </c>
      <c r="FT474" s="2"/>
      <c r="FU474" s="2"/>
      <c r="FV474" s="2" t="s">
        <v>3</v>
      </c>
    </row>
    <row r="475" spans="1:178" ht="15.75" customHeight="1" x14ac:dyDescent="0.2">
      <c r="A475" s="14" t="s">
        <v>96</v>
      </c>
      <c r="B475" s="2" t="s">
        <v>97</v>
      </c>
      <c r="C475" s="16" t="s">
        <v>1079</v>
      </c>
      <c r="D475" s="2" t="s">
        <v>99</v>
      </c>
      <c r="E475" s="2"/>
      <c r="F475" s="2"/>
      <c r="G475" s="2"/>
      <c r="H475" s="2" t="s">
        <v>79</v>
      </c>
      <c r="I475" s="2"/>
      <c r="J475" s="2"/>
      <c r="K475" s="2">
        <v>0</v>
      </c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>
        <v>0</v>
      </c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>
        <v>15.385</v>
      </c>
      <c r="BB475" s="2">
        <v>0.45</v>
      </c>
      <c r="BC475" s="2"/>
      <c r="BD475" s="2"/>
      <c r="BE475" s="2"/>
      <c r="BF475" s="2"/>
      <c r="BG475" s="2"/>
      <c r="BH475" s="2"/>
      <c r="BI475" s="2">
        <v>0.65</v>
      </c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>
        <v>0</v>
      </c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>
        <v>0</v>
      </c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14" t="s">
        <v>100</v>
      </c>
      <c r="DM475" s="2"/>
      <c r="DN475" s="2">
        <f t="shared" si="49"/>
        <v>0.65</v>
      </c>
      <c r="DO475" s="2">
        <f t="shared" si="50"/>
        <v>0</v>
      </c>
      <c r="DP475" s="2" t="s">
        <v>132</v>
      </c>
      <c r="DQ475" s="2" t="s">
        <v>3</v>
      </c>
      <c r="DR475" s="4">
        <f t="shared" si="51"/>
        <v>15.385</v>
      </c>
      <c r="DS475" s="2">
        <f t="shared" si="52"/>
        <v>0.65</v>
      </c>
      <c r="DT475" s="15">
        <f t="shared" si="53"/>
        <v>100.0025</v>
      </c>
      <c r="DU475" s="2"/>
      <c r="DV475" s="2">
        <f t="shared" si="54"/>
        <v>0</v>
      </c>
      <c r="DW475" s="2"/>
      <c r="DX475" s="2"/>
      <c r="DY475" s="2"/>
      <c r="DZ475" s="2" t="s">
        <v>3</v>
      </c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 t="s">
        <v>3</v>
      </c>
      <c r="FR475" s="2" t="s">
        <v>89</v>
      </c>
      <c r="FS475" s="2" t="s">
        <v>123</v>
      </c>
      <c r="FT475" s="2"/>
      <c r="FU475" s="2"/>
      <c r="FV475" s="2" t="s">
        <v>3</v>
      </c>
    </row>
    <row r="476" spans="1:178" ht="15.75" customHeight="1" x14ac:dyDescent="0.2">
      <c r="A476" s="14" t="s">
        <v>143</v>
      </c>
      <c r="B476" s="2" t="s">
        <v>85</v>
      </c>
      <c r="C476" s="16" t="s">
        <v>1080</v>
      </c>
      <c r="D476" s="2"/>
      <c r="E476" s="2"/>
      <c r="F476" s="2"/>
      <c r="G476" s="2"/>
      <c r="H476" s="2" t="s">
        <v>454</v>
      </c>
      <c r="I476" s="2"/>
      <c r="J476" s="2"/>
      <c r="K476" s="2">
        <v>371.9</v>
      </c>
      <c r="L476" s="4">
        <v>2.5586188436830835E-2</v>
      </c>
      <c r="M476" s="4">
        <v>8.3063179871520343E-2</v>
      </c>
      <c r="N476" s="2"/>
      <c r="O476" s="2"/>
      <c r="P476" s="2"/>
      <c r="Q476" s="2"/>
      <c r="R476" s="2"/>
      <c r="S476" s="4">
        <v>0.12904978586723767</v>
      </c>
      <c r="T476" s="4">
        <v>5.7877408993576011E-2</v>
      </c>
      <c r="U476" s="4">
        <v>2.7849919245182013</v>
      </c>
      <c r="V476" s="4">
        <v>1.6236448019271947</v>
      </c>
      <c r="W476" s="4">
        <v>0.45124615899357601</v>
      </c>
      <c r="X476" s="2"/>
      <c r="Y476" s="2"/>
      <c r="Z476" s="15">
        <v>12.026949315958646</v>
      </c>
      <c r="AA476" s="2"/>
      <c r="AB476" s="2"/>
      <c r="AC476" s="2"/>
      <c r="AD476" s="2"/>
      <c r="AE476" s="2"/>
      <c r="AF476" s="2">
        <v>123.50000000000003</v>
      </c>
      <c r="AG476" s="4">
        <v>4.109223300970874E-2</v>
      </c>
      <c r="AH476" s="4">
        <v>0.12646404530744337</v>
      </c>
      <c r="AI476" s="2"/>
      <c r="AJ476" s="2"/>
      <c r="AK476" s="2"/>
      <c r="AL476" s="2"/>
      <c r="AM476" s="2"/>
      <c r="AN476" s="4">
        <v>0.14800161812297732</v>
      </c>
      <c r="AO476" s="4">
        <v>4.5817152103559869E-2</v>
      </c>
      <c r="AP476" s="4">
        <v>3.0783247006472494</v>
      </c>
      <c r="AQ476" s="4">
        <v>1.680931148867314</v>
      </c>
      <c r="AR476" s="4">
        <v>0.42573352750809057</v>
      </c>
      <c r="AS476" s="2"/>
      <c r="AT476" s="2"/>
      <c r="AU476" s="15">
        <v>9.5208229900589387</v>
      </c>
      <c r="AV476" s="2"/>
      <c r="AW476" s="2"/>
      <c r="AX476" s="2"/>
      <c r="AY476" s="2"/>
      <c r="AZ476" s="2"/>
      <c r="BA476" s="2">
        <v>15.399999999999999</v>
      </c>
      <c r="BB476" s="4">
        <v>7.5454545454545455E-2</v>
      </c>
      <c r="BC476" s="4">
        <v>0.21530181818181823</v>
      </c>
      <c r="BD476" s="2"/>
      <c r="BE476" s="2"/>
      <c r="BF476" s="2"/>
      <c r="BG476" s="2"/>
      <c r="BH476" s="2"/>
      <c r="BI476" s="4">
        <v>0.19000000000000003</v>
      </c>
      <c r="BJ476" s="4">
        <v>1.9090909090909096E-2</v>
      </c>
      <c r="BK476" s="4">
        <v>3.415570909090909</v>
      </c>
      <c r="BL476" s="4">
        <v>1.618996363636364</v>
      </c>
      <c r="BM476" s="4">
        <v>0.31432363636363636</v>
      </c>
      <c r="BN476" s="4"/>
      <c r="BO476" s="4"/>
      <c r="BP476" s="15">
        <v>3.967098735491466</v>
      </c>
      <c r="BQ476" s="2"/>
      <c r="BR476" s="2"/>
      <c r="BS476" s="2"/>
      <c r="BT476" s="2"/>
      <c r="BU476" s="2"/>
      <c r="BV476" s="2">
        <v>107.95987932715748</v>
      </c>
      <c r="BW476" s="4">
        <v>1.7454454391786139E-2</v>
      </c>
      <c r="BX476" s="4">
        <v>4.8746351968947589E-2</v>
      </c>
      <c r="BY476" s="2"/>
      <c r="BZ476" s="2"/>
      <c r="CA476" s="2"/>
      <c r="CB476" s="2"/>
      <c r="CC476" s="2"/>
      <c r="CD476" s="4">
        <v>0.11911099981218305</v>
      </c>
      <c r="CE476" s="4">
        <v>6.4202091028610783E-2</v>
      </c>
      <c r="CF476" s="4">
        <v>2.1234864702936207</v>
      </c>
      <c r="CG476" s="4">
        <v>1.2858628122456648</v>
      </c>
      <c r="CH476" s="4">
        <v>0.37481125148688416</v>
      </c>
      <c r="CI476" s="2"/>
      <c r="CJ476" s="2"/>
      <c r="CK476" s="15">
        <v>13.34122083566956</v>
      </c>
      <c r="CL476" s="2"/>
      <c r="CM476" s="2"/>
      <c r="CN476" s="2"/>
      <c r="CO476" s="2"/>
      <c r="CP476" s="2"/>
      <c r="CQ476" s="2">
        <v>115.73261214041931</v>
      </c>
      <c r="CR476" s="4">
        <v>9.0759796764585648E-2</v>
      </c>
      <c r="CS476" s="4">
        <v>0.21977825147462479</v>
      </c>
      <c r="CT476" s="2"/>
      <c r="CU476" s="2"/>
      <c r="CV476" s="2"/>
      <c r="CW476" s="2"/>
      <c r="CX476" s="2"/>
      <c r="CY476" s="4">
        <v>0.2087064182678269</v>
      </c>
      <c r="CZ476" s="4">
        <v>7.1868247386556094E-3</v>
      </c>
      <c r="DA476" s="4">
        <v>3.0399090912807343</v>
      </c>
      <c r="DB476" s="4">
        <v>1.3485233580564153</v>
      </c>
      <c r="DC476" s="4">
        <v>0.22040386497693165</v>
      </c>
      <c r="DD476" s="2"/>
      <c r="DE476" s="2"/>
      <c r="DF476" s="2"/>
      <c r="DG476" s="2"/>
      <c r="DH476" s="2"/>
      <c r="DI476" s="2"/>
      <c r="DJ476" s="2"/>
      <c r="DK476" s="2"/>
      <c r="DL476" s="14" t="s">
        <v>81</v>
      </c>
      <c r="DM476" s="2" t="s">
        <v>81</v>
      </c>
      <c r="DN476" s="2">
        <f t="shared" si="49"/>
        <v>0.13546948943268089</v>
      </c>
      <c r="DO476" s="2">
        <f t="shared" si="50"/>
        <v>5.3792143088293984E-2</v>
      </c>
      <c r="DP476" s="2" t="s">
        <v>95</v>
      </c>
      <c r="DQ476" s="2" t="s">
        <v>3</v>
      </c>
      <c r="DR476" s="2">
        <f t="shared" si="51"/>
        <v>510.79999999999995</v>
      </c>
      <c r="DS476" s="4">
        <f t="shared" si="52"/>
        <v>0.13546948943268089</v>
      </c>
      <c r="DT476" s="15">
        <f t="shared" si="53"/>
        <v>691.97815202213383</v>
      </c>
      <c r="DU476" s="2"/>
      <c r="DV476" s="15">
        <f t="shared" si="54"/>
        <v>223.69249146757679</v>
      </c>
      <c r="DW476" s="2">
        <f>(BV476*CD476+CQ476*CY476)/DV476</f>
        <v>0.1654653130287648</v>
      </c>
      <c r="DX476" s="15">
        <f>1000*DV476*DW476/100</f>
        <v>370.13348122866887</v>
      </c>
      <c r="DY476" s="2"/>
      <c r="DZ476" s="2" t="s">
        <v>3</v>
      </c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 t="s">
        <v>3</v>
      </c>
      <c r="FR476" s="2" t="s">
        <v>89</v>
      </c>
      <c r="FS476" s="2" t="s">
        <v>90</v>
      </c>
      <c r="FT476" s="2" t="s">
        <v>91</v>
      </c>
      <c r="FU476" s="2" t="s">
        <v>92</v>
      </c>
      <c r="FV476" s="2" t="s">
        <v>3</v>
      </c>
    </row>
    <row r="477" spans="1:178" ht="15.75" customHeight="1" x14ac:dyDescent="0.2">
      <c r="A477" s="14" t="s">
        <v>96</v>
      </c>
      <c r="B477" s="2" t="s">
        <v>164</v>
      </c>
      <c r="C477" s="16" t="s">
        <v>1081</v>
      </c>
      <c r="D477" s="2" t="s">
        <v>99</v>
      </c>
      <c r="E477" s="2"/>
      <c r="F477" s="2"/>
      <c r="G477" s="2" t="s">
        <v>179</v>
      </c>
      <c r="H477" s="2" t="s">
        <v>1032</v>
      </c>
      <c r="I477" s="2"/>
      <c r="J477" s="2" t="s">
        <v>181</v>
      </c>
      <c r="K477" s="2">
        <v>0</v>
      </c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>
        <v>0.06</v>
      </c>
      <c r="AG477" s="2">
        <v>0.87</v>
      </c>
      <c r="AH477" s="2"/>
      <c r="AI477" s="2"/>
      <c r="AJ477" s="2"/>
      <c r="AK477" s="2"/>
      <c r="AL477" s="2"/>
      <c r="AM477" s="2"/>
      <c r="AN477" s="2">
        <v>0.99</v>
      </c>
      <c r="AO477" s="2">
        <v>0.04</v>
      </c>
      <c r="AP477" s="2"/>
      <c r="AQ477" s="2">
        <v>0.24</v>
      </c>
      <c r="AR477" s="2"/>
      <c r="AS477" s="2"/>
      <c r="AT477" s="2"/>
      <c r="AU477" s="2"/>
      <c r="AV477" s="2"/>
      <c r="AW477" s="2"/>
      <c r="AX477" s="2"/>
      <c r="AY477" s="2"/>
      <c r="AZ477" s="2"/>
      <c r="BA477" s="2">
        <v>0.09</v>
      </c>
      <c r="BB477" s="2">
        <v>0.87</v>
      </c>
      <c r="BC477" s="2"/>
      <c r="BD477" s="2"/>
      <c r="BE477" s="2"/>
      <c r="BF477" s="2"/>
      <c r="BG477" s="2"/>
      <c r="BH477" s="2"/>
      <c r="BI477" s="2">
        <v>1.05</v>
      </c>
      <c r="BJ477" s="2">
        <v>0.04</v>
      </c>
      <c r="BK477" s="2"/>
      <c r="BL477" s="2">
        <v>0.24</v>
      </c>
      <c r="BM477" s="2"/>
      <c r="BN477" s="2"/>
      <c r="BO477" s="2"/>
      <c r="BP477" s="2"/>
      <c r="BQ477" s="2"/>
      <c r="BR477" s="2"/>
      <c r="BS477" s="2"/>
      <c r="BT477" s="2"/>
      <c r="BU477" s="2"/>
      <c r="BV477" s="2">
        <v>0</v>
      </c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>
        <v>0</v>
      </c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14" t="s">
        <v>81</v>
      </c>
      <c r="DM477" s="2" t="s">
        <v>81</v>
      </c>
      <c r="DN477" s="2">
        <f t="shared" si="49"/>
        <v>1.026</v>
      </c>
      <c r="DO477" s="2">
        <f t="shared" si="50"/>
        <v>0.04</v>
      </c>
      <c r="DP477" s="2" t="s">
        <v>175</v>
      </c>
      <c r="DQ477" s="2" t="s">
        <v>3</v>
      </c>
      <c r="DR477" s="2">
        <f t="shared" si="51"/>
        <v>0.15</v>
      </c>
      <c r="DS477" s="4">
        <f t="shared" si="52"/>
        <v>1.026</v>
      </c>
      <c r="DT477" s="15">
        <f t="shared" si="53"/>
        <v>1.5390000000000001</v>
      </c>
      <c r="DU477" s="2"/>
      <c r="DV477" s="2">
        <f t="shared" si="54"/>
        <v>0</v>
      </c>
      <c r="DW477" s="2"/>
      <c r="DX477" s="2"/>
      <c r="DY477" s="2"/>
      <c r="DZ477" s="2" t="s">
        <v>3</v>
      </c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 t="s">
        <v>3</v>
      </c>
      <c r="FR477" s="2" t="s">
        <v>89</v>
      </c>
      <c r="FS477" s="2" t="s">
        <v>137</v>
      </c>
      <c r="FT477" s="2"/>
      <c r="FU477" s="2"/>
      <c r="FV477" s="2" t="s">
        <v>3</v>
      </c>
    </row>
    <row r="478" spans="1:178" ht="15.75" customHeight="1" x14ac:dyDescent="0.2">
      <c r="A478" s="14" t="s">
        <v>96</v>
      </c>
      <c r="B478" s="2" t="s">
        <v>97</v>
      </c>
      <c r="C478" s="32" t="s">
        <v>1082</v>
      </c>
      <c r="D478" s="2" t="s">
        <v>99</v>
      </c>
      <c r="E478" s="2"/>
      <c r="F478" s="2"/>
      <c r="G478" s="2"/>
      <c r="H478" s="2" t="s">
        <v>79</v>
      </c>
      <c r="I478" s="2"/>
      <c r="J478" s="2"/>
      <c r="K478" s="2">
        <v>0</v>
      </c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>
        <v>0</v>
      </c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>
        <v>5.26</v>
      </c>
      <c r="BB478" s="2"/>
      <c r="BC478" s="2"/>
      <c r="BD478" s="2"/>
      <c r="BE478" s="2"/>
      <c r="BF478" s="2"/>
      <c r="BG478" s="2"/>
      <c r="BH478" s="2"/>
      <c r="BI478" s="2">
        <v>0.38</v>
      </c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>
        <v>0</v>
      </c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>
        <v>0</v>
      </c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14" t="s">
        <v>100</v>
      </c>
      <c r="DM478" s="2"/>
      <c r="DN478" s="2">
        <f t="shared" si="49"/>
        <v>0.38</v>
      </c>
      <c r="DO478" s="2">
        <f t="shared" si="50"/>
        <v>0</v>
      </c>
      <c r="DP478" s="2" t="s">
        <v>132</v>
      </c>
      <c r="DQ478" s="2" t="s">
        <v>3</v>
      </c>
      <c r="DR478" s="2">
        <f t="shared" si="51"/>
        <v>5.26</v>
      </c>
      <c r="DS478" s="2">
        <f t="shared" si="52"/>
        <v>0.38</v>
      </c>
      <c r="DT478" s="15">
        <f t="shared" si="53"/>
        <v>19.988</v>
      </c>
      <c r="DU478" s="2"/>
      <c r="DV478" s="2">
        <f t="shared" si="54"/>
        <v>0</v>
      </c>
      <c r="DW478" s="2"/>
      <c r="DX478" s="2"/>
      <c r="DY478" s="2"/>
      <c r="DZ478" s="2" t="s">
        <v>3</v>
      </c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 t="s">
        <v>3</v>
      </c>
      <c r="FR478" s="2" t="s">
        <v>89</v>
      </c>
      <c r="FS478" s="2" t="s">
        <v>522</v>
      </c>
      <c r="FT478" s="2"/>
      <c r="FU478" s="2"/>
      <c r="FV478" s="2" t="s">
        <v>3</v>
      </c>
    </row>
    <row r="479" spans="1:178" ht="15.75" customHeight="1" x14ac:dyDescent="0.2">
      <c r="A479" s="14" t="s">
        <v>96</v>
      </c>
      <c r="B479" s="2" t="s">
        <v>164</v>
      </c>
      <c r="C479" s="16" t="s">
        <v>1083</v>
      </c>
      <c r="D479" s="2" t="s">
        <v>99</v>
      </c>
      <c r="E479" s="2"/>
      <c r="F479" s="2"/>
      <c r="G479" s="2" t="s">
        <v>179</v>
      </c>
      <c r="H479" s="2" t="s">
        <v>1084</v>
      </c>
      <c r="I479" s="2"/>
      <c r="J479" s="2" t="s">
        <v>181</v>
      </c>
      <c r="K479" s="2">
        <v>0</v>
      </c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>
        <v>0</v>
      </c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>
        <v>1.05</v>
      </c>
      <c r="BB479" s="15">
        <v>0.2</v>
      </c>
      <c r="BC479" s="2"/>
      <c r="BD479" s="2"/>
      <c r="BE479" s="2"/>
      <c r="BF479" s="2"/>
      <c r="BG479" s="2"/>
      <c r="BH479" s="2"/>
      <c r="BI479" s="15">
        <v>2</v>
      </c>
      <c r="BJ479" s="4">
        <v>0.06</v>
      </c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>
        <v>0</v>
      </c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>
        <v>0</v>
      </c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14" t="s">
        <v>81</v>
      </c>
      <c r="DM479" s="2" t="s">
        <v>81</v>
      </c>
      <c r="DN479" s="2">
        <f t="shared" si="49"/>
        <v>2</v>
      </c>
      <c r="DO479" s="2">
        <f t="shared" si="50"/>
        <v>0.06</v>
      </c>
      <c r="DP479" s="2" t="s">
        <v>1085</v>
      </c>
      <c r="DQ479" s="2" t="s">
        <v>3</v>
      </c>
      <c r="DR479" s="2">
        <f t="shared" si="51"/>
        <v>1.05</v>
      </c>
      <c r="DS479" s="2">
        <f t="shared" si="52"/>
        <v>2</v>
      </c>
      <c r="DT479" s="15">
        <f t="shared" si="53"/>
        <v>21</v>
      </c>
      <c r="DU479" s="2"/>
      <c r="DV479" s="2">
        <f t="shared" si="54"/>
        <v>0</v>
      </c>
      <c r="DW479" s="2"/>
      <c r="DX479" s="2"/>
      <c r="DY479" s="2"/>
      <c r="DZ479" s="2" t="s">
        <v>3</v>
      </c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 t="s">
        <v>3</v>
      </c>
      <c r="FR479" s="2" t="s">
        <v>89</v>
      </c>
      <c r="FS479" s="2" t="s">
        <v>137</v>
      </c>
      <c r="FT479" s="2"/>
      <c r="FU479" s="2"/>
      <c r="FV479" s="2" t="s">
        <v>3</v>
      </c>
    </row>
    <row r="480" spans="1:178" ht="15.75" customHeight="1" x14ac:dyDescent="0.2">
      <c r="A480" s="14" t="s">
        <v>96</v>
      </c>
      <c r="B480" s="2" t="s">
        <v>647</v>
      </c>
      <c r="C480" s="16" t="s">
        <v>1086</v>
      </c>
      <c r="D480" s="2" t="s">
        <v>99</v>
      </c>
      <c r="E480" s="2"/>
      <c r="F480" s="2"/>
      <c r="G480" s="2"/>
      <c r="H480" s="2" t="s">
        <v>1087</v>
      </c>
      <c r="I480" s="2"/>
      <c r="J480" s="2"/>
      <c r="K480" s="2">
        <v>0</v>
      </c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>
        <v>14.159000000000001</v>
      </c>
      <c r="AG480" s="4">
        <v>0.2</v>
      </c>
      <c r="AH480" s="2">
        <v>0.03</v>
      </c>
      <c r="AI480" s="2"/>
      <c r="AJ480" s="2"/>
      <c r="AK480" s="2"/>
      <c r="AL480" s="2"/>
      <c r="AM480" s="2"/>
      <c r="AN480" s="2">
        <v>0.24</v>
      </c>
      <c r="AO480" s="2">
        <v>0.02</v>
      </c>
      <c r="AP480" s="2">
        <v>0.11</v>
      </c>
      <c r="AQ480" s="2">
        <v>0.28999999999999998</v>
      </c>
      <c r="AR480" s="2">
        <v>0.01</v>
      </c>
      <c r="AS480" s="2"/>
      <c r="AT480" s="2"/>
      <c r="AU480" s="2"/>
      <c r="AV480" s="2"/>
      <c r="AW480" s="2"/>
      <c r="AX480" s="2"/>
      <c r="AY480" s="2"/>
      <c r="AZ480" s="2"/>
      <c r="BA480" s="2">
        <v>26.48</v>
      </c>
      <c r="BB480" s="2">
        <v>0.18</v>
      </c>
      <c r="BC480" s="2">
        <v>0.03</v>
      </c>
      <c r="BD480" s="2"/>
      <c r="BE480" s="2"/>
      <c r="BF480" s="2"/>
      <c r="BG480" s="2"/>
      <c r="BH480" s="2"/>
      <c r="BI480" s="2">
        <v>0.24</v>
      </c>
      <c r="BJ480" s="2">
        <v>0.01</v>
      </c>
      <c r="BK480" s="2">
        <v>0.09</v>
      </c>
      <c r="BL480" s="2">
        <v>0.31</v>
      </c>
      <c r="BM480" s="2">
        <v>0.01</v>
      </c>
      <c r="BN480" s="2"/>
      <c r="BO480" s="2"/>
      <c r="BP480" s="2"/>
      <c r="BQ480" s="2"/>
      <c r="BR480" s="2"/>
      <c r="BS480" s="2"/>
      <c r="BT480" s="2"/>
      <c r="BU480" s="2"/>
      <c r="BV480" s="2">
        <v>0</v>
      </c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>
        <v>0</v>
      </c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14" t="s">
        <v>81</v>
      </c>
      <c r="DM480" s="2" t="s">
        <v>81</v>
      </c>
      <c r="DN480" s="2">
        <f t="shared" si="49"/>
        <v>0.24</v>
      </c>
      <c r="DO480" s="2">
        <f t="shared" si="50"/>
        <v>1.3484091636113096E-2</v>
      </c>
      <c r="DP480" s="2" t="s">
        <v>1088</v>
      </c>
      <c r="DQ480" s="2" t="s">
        <v>3</v>
      </c>
      <c r="DR480" s="4">
        <f t="shared" si="51"/>
        <v>40.639000000000003</v>
      </c>
      <c r="DS480" s="2">
        <f t="shared" si="52"/>
        <v>0.24</v>
      </c>
      <c r="DT480" s="15">
        <f t="shared" si="53"/>
        <v>97.533599999999993</v>
      </c>
      <c r="DU480" s="2"/>
      <c r="DV480" s="2">
        <f t="shared" si="54"/>
        <v>0</v>
      </c>
      <c r="DW480" s="2"/>
      <c r="DX480" s="2"/>
      <c r="DY480" s="2"/>
      <c r="DZ480" s="2" t="s">
        <v>3</v>
      </c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 t="s">
        <v>3</v>
      </c>
      <c r="FR480" s="2" t="s">
        <v>89</v>
      </c>
      <c r="FS480" s="2" t="s">
        <v>90</v>
      </c>
      <c r="FT480" s="2"/>
      <c r="FU480" s="2"/>
      <c r="FV480" s="2" t="s">
        <v>3</v>
      </c>
    </row>
    <row r="481" spans="1:178" ht="15.75" customHeight="1" x14ac:dyDescent="0.2">
      <c r="A481" s="14" t="s">
        <v>96</v>
      </c>
      <c r="B481" s="2" t="s">
        <v>124</v>
      </c>
      <c r="C481" s="16" t="s">
        <v>1089</v>
      </c>
      <c r="D481" s="2" t="s">
        <v>99</v>
      </c>
      <c r="E481" s="2"/>
      <c r="F481" s="2"/>
      <c r="G481" s="2"/>
      <c r="H481" s="2" t="s">
        <v>79</v>
      </c>
      <c r="I481" s="2"/>
      <c r="J481" s="2"/>
      <c r="K481" s="2">
        <v>0</v>
      </c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>
        <v>0</v>
      </c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>
        <v>0.03</v>
      </c>
      <c r="BB481" s="2">
        <v>0.2</v>
      </c>
      <c r="BC481" s="2"/>
      <c r="BD481" s="2"/>
      <c r="BE481" s="2"/>
      <c r="BF481" s="2"/>
      <c r="BG481" s="2"/>
      <c r="BH481" s="2"/>
      <c r="BI481" s="2">
        <v>1.4</v>
      </c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>
        <v>0</v>
      </c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>
        <v>0</v>
      </c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14" t="s">
        <v>100</v>
      </c>
      <c r="DM481" s="2"/>
      <c r="DN481" s="2">
        <f t="shared" si="49"/>
        <v>1.4</v>
      </c>
      <c r="DO481" s="2">
        <f t="shared" si="50"/>
        <v>0</v>
      </c>
      <c r="DP481" s="2" t="s">
        <v>126</v>
      </c>
      <c r="DQ481" s="2" t="s">
        <v>3</v>
      </c>
      <c r="DR481" s="2">
        <f t="shared" si="51"/>
        <v>0.03</v>
      </c>
      <c r="DS481" s="2">
        <f t="shared" si="52"/>
        <v>1.4</v>
      </c>
      <c r="DT481" s="15">
        <f t="shared" si="53"/>
        <v>0.42</v>
      </c>
      <c r="DU481" s="2"/>
      <c r="DV481" s="2">
        <f t="shared" si="54"/>
        <v>0</v>
      </c>
      <c r="DW481" s="2"/>
      <c r="DX481" s="2"/>
      <c r="DY481" s="2"/>
      <c r="DZ481" s="2" t="s">
        <v>3</v>
      </c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 t="s">
        <v>3</v>
      </c>
      <c r="FR481" s="2" t="s">
        <v>89</v>
      </c>
      <c r="FS481" s="2" t="s">
        <v>123</v>
      </c>
      <c r="FT481" s="2"/>
      <c r="FU481" s="2"/>
      <c r="FV481" s="2" t="s">
        <v>3</v>
      </c>
    </row>
    <row r="482" spans="1:178" ht="15.75" customHeight="1" x14ac:dyDescent="0.2">
      <c r="A482" s="12" t="s">
        <v>74</v>
      </c>
      <c r="B482" s="2" t="s">
        <v>305</v>
      </c>
      <c r="C482" s="13" t="s">
        <v>1090</v>
      </c>
      <c r="D482" s="2" t="s">
        <v>99</v>
      </c>
      <c r="E482" s="2"/>
      <c r="F482" s="2"/>
      <c r="G482" s="2"/>
      <c r="H482" s="2" t="s">
        <v>307</v>
      </c>
      <c r="I482" s="2"/>
      <c r="J482" s="2"/>
      <c r="K482" s="2">
        <v>0</v>
      </c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>
        <v>0</v>
      </c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>
        <v>234</v>
      </c>
      <c r="BB482" s="2"/>
      <c r="BC482" s="2"/>
      <c r="BD482" s="2"/>
      <c r="BE482" s="2"/>
      <c r="BF482" s="2"/>
      <c r="BG482" s="2"/>
      <c r="BH482" s="2"/>
      <c r="BI482" s="2">
        <v>1.3</v>
      </c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>
        <v>0</v>
      </c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>
        <v>0</v>
      </c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14" t="s">
        <v>100</v>
      </c>
      <c r="DM482" s="2"/>
      <c r="DN482" s="2">
        <f t="shared" si="49"/>
        <v>1.3</v>
      </c>
      <c r="DO482" s="2">
        <f t="shared" si="50"/>
        <v>0</v>
      </c>
      <c r="DP482" s="2" t="s">
        <v>113</v>
      </c>
      <c r="DQ482" s="2" t="s">
        <v>3</v>
      </c>
      <c r="DR482" s="2">
        <f t="shared" si="51"/>
        <v>234</v>
      </c>
      <c r="DS482" s="2">
        <f t="shared" si="52"/>
        <v>1.3</v>
      </c>
      <c r="DT482" s="18">
        <f t="shared" si="53"/>
        <v>3042</v>
      </c>
      <c r="DU482" s="2"/>
      <c r="DV482" s="2">
        <f t="shared" si="54"/>
        <v>0</v>
      </c>
      <c r="DW482" s="2"/>
      <c r="DX482" s="2"/>
      <c r="DY482" s="2"/>
      <c r="DZ482" s="2" t="s">
        <v>3</v>
      </c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 t="s">
        <v>3</v>
      </c>
      <c r="FR482" s="2" t="s">
        <v>37</v>
      </c>
      <c r="FS482" s="2" t="s">
        <v>114</v>
      </c>
      <c r="FT482" s="2" t="s">
        <v>114</v>
      </c>
      <c r="FU482" s="2"/>
      <c r="FV482" s="2" t="s">
        <v>3</v>
      </c>
    </row>
    <row r="483" spans="1:178" ht="15.75" customHeight="1" x14ac:dyDescent="0.2">
      <c r="A483" s="12" t="s">
        <v>74</v>
      </c>
      <c r="B483" s="2" t="s">
        <v>75</v>
      </c>
      <c r="C483" s="13" t="s">
        <v>1091</v>
      </c>
      <c r="D483" s="2" t="s">
        <v>139</v>
      </c>
      <c r="E483" s="2"/>
      <c r="F483" s="2"/>
      <c r="G483" s="2" t="s">
        <v>78</v>
      </c>
      <c r="H483" s="2" t="s">
        <v>1092</v>
      </c>
      <c r="I483" s="2"/>
      <c r="J483" s="2" t="s">
        <v>141</v>
      </c>
      <c r="K483" s="4">
        <v>36.451190000000004</v>
      </c>
      <c r="L483" s="2"/>
      <c r="M483" s="2"/>
      <c r="N483" s="2"/>
      <c r="O483" s="2"/>
      <c r="P483" s="2"/>
      <c r="Q483" s="2"/>
      <c r="R483" s="2"/>
      <c r="S483" s="4">
        <v>1.0448611142736355</v>
      </c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>
        <v>8.67</v>
      </c>
      <c r="AG483" s="2"/>
      <c r="AH483" s="2"/>
      <c r="AI483" s="2"/>
      <c r="AJ483" s="2"/>
      <c r="AK483" s="2"/>
      <c r="AL483" s="2"/>
      <c r="AM483" s="2"/>
      <c r="AN483" s="2">
        <v>1.1000000000000001</v>
      </c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>
        <v>10.71</v>
      </c>
      <c r="BB483" s="2"/>
      <c r="BC483" s="2"/>
      <c r="BD483" s="2"/>
      <c r="BE483" s="2"/>
      <c r="BF483" s="2"/>
      <c r="BG483" s="2"/>
      <c r="BH483" s="2"/>
      <c r="BI483" s="2">
        <v>1.1000000000000001</v>
      </c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>
        <v>0</v>
      </c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>
        <v>0</v>
      </c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14" t="s">
        <v>81</v>
      </c>
      <c r="DM483" s="2"/>
      <c r="DN483" s="2">
        <f t="shared" si="49"/>
        <v>1.0640008031353083</v>
      </c>
      <c r="DO483" s="2">
        <f t="shared" si="50"/>
        <v>0</v>
      </c>
      <c r="DP483" s="2" t="s">
        <v>1093</v>
      </c>
      <c r="DQ483" s="2" t="s">
        <v>3</v>
      </c>
      <c r="DR483" s="4">
        <f t="shared" si="51"/>
        <v>55.831190000000007</v>
      </c>
      <c r="DS483" s="4">
        <f t="shared" si="52"/>
        <v>1.0640008031353083</v>
      </c>
      <c r="DT483" s="15">
        <f t="shared" si="53"/>
        <v>594.04431</v>
      </c>
      <c r="DU483" s="2"/>
      <c r="DV483" s="2">
        <f t="shared" si="54"/>
        <v>0</v>
      </c>
      <c r="DW483" s="2"/>
      <c r="DX483" s="2"/>
      <c r="DY483" s="2"/>
      <c r="DZ483" s="2" t="s">
        <v>3</v>
      </c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 t="s">
        <v>3</v>
      </c>
      <c r="FR483" s="2" t="s">
        <v>37</v>
      </c>
      <c r="FS483" s="2" t="s">
        <v>83</v>
      </c>
      <c r="FT483" s="2"/>
      <c r="FU483" s="2"/>
      <c r="FV483" s="2" t="s">
        <v>3</v>
      </c>
    </row>
    <row r="484" spans="1:178" ht="15.75" customHeight="1" x14ac:dyDescent="0.2">
      <c r="A484" s="12" t="s">
        <v>74</v>
      </c>
      <c r="B484" s="2" t="s">
        <v>115</v>
      </c>
      <c r="C484" s="13" t="s">
        <v>1094</v>
      </c>
      <c r="D484" s="2" t="s">
        <v>99</v>
      </c>
      <c r="E484" s="2"/>
      <c r="F484" s="2"/>
      <c r="G484" s="2"/>
      <c r="H484" s="2" t="s">
        <v>79</v>
      </c>
      <c r="I484" s="2"/>
      <c r="J484" s="2"/>
      <c r="K484" s="2">
        <v>0</v>
      </c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>
        <v>0</v>
      </c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>
        <v>61</v>
      </c>
      <c r="BB484" s="2"/>
      <c r="BC484" s="2"/>
      <c r="BD484" s="2"/>
      <c r="BE484" s="2"/>
      <c r="BF484" s="2"/>
      <c r="BG484" s="2"/>
      <c r="BH484" s="2"/>
      <c r="BI484" s="2">
        <v>1.5</v>
      </c>
      <c r="BJ484" s="2">
        <v>0.06</v>
      </c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>
        <v>0</v>
      </c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>
        <v>0</v>
      </c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14" t="s">
        <v>100</v>
      </c>
      <c r="DM484" s="2" t="s">
        <v>100</v>
      </c>
      <c r="DN484" s="2">
        <f t="shared" si="49"/>
        <v>1.5</v>
      </c>
      <c r="DO484" s="2">
        <f t="shared" si="50"/>
        <v>0.06</v>
      </c>
      <c r="DP484" s="2" t="s">
        <v>113</v>
      </c>
      <c r="DQ484" s="2" t="s">
        <v>3</v>
      </c>
      <c r="DR484" s="2">
        <f t="shared" si="51"/>
        <v>61</v>
      </c>
      <c r="DS484" s="2">
        <f t="shared" si="52"/>
        <v>1.5</v>
      </c>
      <c r="DT484" s="15">
        <f t="shared" si="53"/>
        <v>915</v>
      </c>
      <c r="DU484" s="2"/>
      <c r="DV484" s="2">
        <f t="shared" si="54"/>
        <v>0</v>
      </c>
      <c r="DW484" s="2"/>
      <c r="DX484" s="2"/>
      <c r="DY484" s="2"/>
      <c r="DZ484" s="2" t="s">
        <v>3</v>
      </c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 t="s">
        <v>3</v>
      </c>
      <c r="FR484" s="2" t="s">
        <v>37</v>
      </c>
      <c r="FS484" s="2" t="s">
        <v>188</v>
      </c>
      <c r="FT484" s="2" t="s">
        <v>188</v>
      </c>
      <c r="FU484" s="2"/>
      <c r="FV484" s="2" t="s">
        <v>3</v>
      </c>
    </row>
    <row r="485" spans="1:178" ht="15.75" customHeight="1" x14ac:dyDescent="0.2">
      <c r="A485" s="14" t="s">
        <v>96</v>
      </c>
      <c r="B485" s="2" t="s">
        <v>115</v>
      </c>
      <c r="C485" s="16" t="s">
        <v>1095</v>
      </c>
      <c r="D485" s="2" t="s">
        <v>109</v>
      </c>
      <c r="E485" s="2"/>
      <c r="F485" s="2"/>
      <c r="G485" s="2"/>
      <c r="H485" s="2" t="s">
        <v>1096</v>
      </c>
      <c r="I485" s="2"/>
      <c r="J485" s="2"/>
      <c r="K485" s="2">
        <v>13.167</v>
      </c>
      <c r="L485" s="2">
        <v>0.13</v>
      </c>
      <c r="M485" s="2"/>
      <c r="N485" s="2"/>
      <c r="O485" s="2"/>
      <c r="P485" s="2"/>
      <c r="Q485" s="2"/>
      <c r="R485" s="2"/>
      <c r="S485" s="4">
        <f>0.38*(58.69/(58.69+32.07))</f>
        <v>0.24572719259585721</v>
      </c>
      <c r="T485" s="2">
        <v>0.01</v>
      </c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>
        <v>46.006</v>
      </c>
      <c r="AG485" s="2">
        <v>0.11</v>
      </c>
      <c r="AH485" s="2"/>
      <c r="AI485" s="2"/>
      <c r="AJ485" s="2"/>
      <c r="AK485" s="2"/>
      <c r="AL485" s="2"/>
      <c r="AM485" s="2"/>
      <c r="AN485" s="4">
        <f>0.31*(58.69/(58.69+32.07))</f>
        <v>0.20046165711767297</v>
      </c>
      <c r="AO485" s="2">
        <v>0.01</v>
      </c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>
        <v>4.4999999999999998E-2</v>
      </c>
      <c r="BB485" s="4">
        <v>0.1</v>
      </c>
      <c r="BC485" s="2"/>
      <c r="BD485" s="2"/>
      <c r="BE485" s="2"/>
      <c r="BF485" s="2"/>
      <c r="BG485" s="2"/>
      <c r="BH485" s="2"/>
      <c r="BI485" s="4">
        <f>0.25*(58.69/(58.69+32.07))</f>
        <v>0.16166262670780079</v>
      </c>
      <c r="BJ485" s="2">
        <v>0.01</v>
      </c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>
        <v>0</v>
      </c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>
        <v>0</v>
      </c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14" t="s">
        <v>81</v>
      </c>
      <c r="DM485" s="2" t="s">
        <v>81</v>
      </c>
      <c r="DN485" s="2">
        <f t="shared" si="49"/>
        <v>0.21049687190494726</v>
      </c>
      <c r="DO485" s="2">
        <f t="shared" si="50"/>
        <v>0.01</v>
      </c>
      <c r="DP485" s="2" t="s">
        <v>1097</v>
      </c>
      <c r="DQ485" s="2" t="s">
        <v>3</v>
      </c>
      <c r="DR485" s="4">
        <f t="shared" si="51"/>
        <v>59.218000000000004</v>
      </c>
      <c r="DS485" s="4">
        <f t="shared" si="52"/>
        <v>0.21049687190494726</v>
      </c>
      <c r="DT485" s="15">
        <f t="shared" si="53"/>
        <v>124.65203760467166</v>
      </c>
      <c r="DU485" s="2"/>
      <c r="DV485" s="2">
        <f t="shared" si="54"/>
        <v>0</v>
      </c>
      <c r="DW485" s="2"/>
      <c r="DX485" s="2"/>
      <c r="DY485" s="2"/>
      <c r="DZ485" s="2" t="s">
        <v>3</v>
      </c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 t="s">
        <v>3</v>
      </c>
      <c r="FR485" s="2" t="s">
        <v>89</v>
      </c>
      <c r="FS485" s="2" t="s">
        <v>90</v>
      </c>
      <c r="FT485" s="2" t="s">
        <v>91</v>
      </c>
      <c r="FU485" s="2"/>
      <c r="FV485" s="2" t="s">
        <v>3</v>
      </c>
    </row>
    <row r="486" spans="1:178" ht="15.75" customHeight="1" x14ac:dyDescent="0.2">
      <c r="A486" s="12" t="s">
        <v>74</v>
      </c>
      <c r="B486" s="2" t="s">
        <v>230</v>
      </c>
      <c r="C486" s="13" t="s">
        <v>1098</v>
      </c>
      <c r="D486" s="2" t="s">
        <v>99</v>
      </c>
      <c r="E486" s="2"/>
      <c r="F486" s="2"/>
      <c r="G486" s="2"/>
      <c r="H486" s="2" t="s">
        <v>232</v>
      </c>
      <c r="I486" s="2"/>
      <c r="J486" s="2"/>
      <c r="K486" s="2">
        <v>0</v>
      </c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>
        <v>0</v>
      </c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>
        <v>18.399999999999999</v>
      </c>
      <c r="BB486" s="2"/>
      <c r="BC486" s="2"/>
      <c r="BD486" s="2"/>
      <c r="BE486" s="2"/>
      <c r="BF486" s="2"/>
      <c r="BG486" s="2"/>
      <c r="BH486" s="2"/>
      <c r="BI486" s="2" t="s">
        <v>1099</v>
      </c>
      <c r="BJ486" s="2" t="s">
        <v>620</v>
      </c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>
        <v>0</v>
      </c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>
        <v>0</v>
      </c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14" t="s">
        <v>100</v>
      </c>
      <c r="DM486" s="2" t="s">
        <v>100</v>
      </c>
      <c r="DN486" s="2">
        <f t="shared" si="49"/>
        <v>0.92000000000000015</v>
      </c>
      <c r="DO486" s="2">
        <f t="shared" si="50"/>
        <v>0.08</v>
      </c>
      <c r="DP486" s="2" t="s">
        <v>113</v>
      </c>
      <c r="DQ486" s="2" t="s">
        <v>3</v>
      </c>
      <c r="DR486" s="2">
        <f t="shared" si="51"/>
        <v>18.399999999999999</v>
      </c>
      <c r="DS486" s="2">
        <f t="shared" si="52"/>
        <v>0.92000000000000015</v>
      </c>
      <c r="DT486" s="15">
        <f t="shared" si="53"/>
        <v>169.28000000000003</v>
      </c>
      <c r="DU486" s="2"/>
      <c r="DV486" s="2">
        <f t="shared" si="54"/>
        <v>0</v>
      </c>
      <c r="DW486" s="2"/>
      <c r="DX486" s="2"/>
      <c r="DY486" s="2"/>
      <c r="DZ486" s="2" t="s">
        <v>3</v>
      </c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 t="s">
        <v>3</v>
      </c>
      <c r="FR486" s="2" t="s">
        <v>37</v>
      </c>
      <c r="FS486" s="2" t="s">
        <v>235</v>
      </c>
      <c r="FT486" s="2" t="s">
        <v>235</v>
      </c>
      <c r="FU486" s="2"/>
      <c r="FV486" s="2" t="s">
        <v>3</v>
      </c>
    </row>
    <row r="487" spans="1:178" ht="15.75" customHeight="1" x14ac:dyDescent="0.2">
      <c r="A487" s="14" t="s">
        <v>96</v>
      </c>
      <c r="B487" s="2" t="s">
        <v>164</v>
      </c>
      <c r="C487" s="16" t="s">
        <v>1100</v>
      </c>
      <c r="D487" s="2" t="s">
        <v>120</v>
      </c>
      <c r="E487" s="2"/>
      <c r="F487" s="2"/>
      <c r="G487" s="2" t="s">
        <v>179</v>
      </c>
      <c r="H487" s="2" t="s">
        <v>611</v>
      </c>
      <c r="I487" s="2"/>
      <c r="J487" s="2" t="s">
        <v>181</v>
      </c>
      <c r="K487" s="2">
        <f>1.275+0.78</f>
        <v>2.0549999999999997</v>
      </c>
      <c r="L487" s="4">
        <f>(0.87*1.275+0.76*0.78)/K487</f>
        <v>0.82824817518248184</v>
      </c>
      <c r="M487" s="2"/>
      <c r="N487" s="2"/>
      <c r="O487" s="2"/>
      <c r="P487" s="2"/>
      <c r="Q487" s="2"/>
      <c r="R487" s="2"/>
      <c r="S487" s="4">
        <f>(1.51*1.275+1.64*0.78)/K487</f>
        <v>1.5593430656934306</v>
      </c>
      <c r="T487" s="4">
        <f>(0.07*1.275+0.1*0.78)/K487</f>
        <v>8.138686131386863E-2</v>
      </c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>
        <f>0.759+0.125+4.229+2.697+0.242</f>
        <v>8.0519999999999996</v>
      </c>
      <c r="AG487" s="4">
        <f>(0.9*0.759+0.75*0.125+0.65*4.229+0.98*2.697+0.5*0.242)/AF487</f>
        <v>0.78114257327372094</v>
      </c>
      <c r="AH487" s="2"/>
      <c r="AI487" s="2"/>
      <c r="AJ487" s="2"/>
      <c r="AK487" s="2"/>
      <c r="AL487" s="2"/>
      <c r="AM487" s="2"/>
      <c r="AN487" s="4">
        <f>(1.2*0.759+1.72*0.125+1.64*4.229+1.96*2.697+2.22*0.242)/AF487</f>
        <v>1.7243815201192254</v>
      </c>
      <c r="AO487" s="4">
        <f>(0.07*0.759+0.09*0.125+0.12*4.229+0.14*2.697+0.14*0.242)/AF487</f>
        <v>0.12212121212121214</v>
      </c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>
        <f>1.759+0.853+0.493</f>
        <v>3.105</v>
      </c>
      <c r="BB487" s="4">
        <f>(0.49*1.759+0.93*0.853+0.53*0.493)/BA487</f>
        <v>0.61722705314009663</v>
      </c>
      <c r="BC487" s="2"/>
      <c r="BD487" s="2"/>
      <c r="BE487" s="2"/>
      <c r="BF487" s="2"/>
      <c r="BG487" s="2"/>
      <c r="BH487" s="2"/>
      <c r="BI487" s="4">
        <f>(1.25*1.759+2.02*0.853+1.67*0.493)/BA487</f>
        <v>1.5282190016103059</v>
      </c>
      <c r="BJ487" s="4">
        <f>(0.1*1.759+0.13*0.853+0.11*0.493)/BA487</f>
        <v>0.10982930756843801</v>
      </c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>
        <v>1.365</v>
      </c>
      <c r="BW487" s="2">
        <v>0.66</v>
      </c>
      <c r="BX487" s="2"/>
      <c r="BY487" s="2"/>
      <c r="BZ487" s="2"/>
      <c r="CA487" s="2"/>
      <c r="CB487" s="2"/>
      <c r="CC487" s="2"/>
      <c r="CD487" s="2">
        <v>1.1499999999999999</v>
      </c>
      <c r="CE487" s="2">
        <v>0.06</v>
      </c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>
        <f>0.194+6.65</f>
        <v>6.8440000000000003</v>
      </c>
      <c r="CR487" s="4">
        <f>(1.28*0.194+1.28*6.65)/CQ487</f>
        <v>1.28</v>
      </c>
      <c r="CS487" s="2"/>
      <c r="CT487" s="2"/>
      <c r="CU487" s="2"/>
      <c r="CV487" s="2"/>
      <c r="CW487" s="2"/>
      <c r="CX487" s="2"/>
      <c r="CY487" s="4">
        <f>(1.24*0.194+1.24*6.65)/CQ487</f>
        <v>1.24</v>
      </c>
      <c r="CZ487" s="4">
        <f>(0.07*0.194+0.1*6.65)/CQ487</f>
        <v>9.9149620105201647E-2</v>
      </c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14" t="s">
        <v>81</v>
      </c>
      <c r="DM487" s="2" t="s">
        <v>81</v>
      </c>
      <c r="DN487" s="2">
        <f t="shared" si="49"/>
        <v>1.652610505600969</v>
      </c>
      <c r="DO487" s="2">
        <f t="shared" si="50"/>
        <v>0.11289660914320315</v>
      </c>
      <c r="DP487" s="2" t="s">
        <v>211</v>
      </c>
      <c r="DQ487" s="2" t="s">
        <v>3</v>
      </c>
      <c r="DR487" s="4">
        <f t="shared" si="51"/>
        <v>13.212</v>
      </c>
      <c r="DS487" s="4">
        <f t="shared" si="52"/>
        <v>1.652610505600969</v>
      </c>
      <c r="DT487" s="15">
        <f t="shared" si="53"/>
        <v>218.34290000000001</v>
      </c>
      <c r="DU487" s="2"/>
      <c r="DV487" s="2">
        <f t="shared" si="54"/>
        <v>8.2089999999999996</v>
      </c>
      <c r="DW487" s="4">
        <f>(BV487*CD487+CQ487*CY487)/DV487</f>
        <v>1.2250347179924475</v>
      </c>
      <c r="DX487" s="15">
        <f>1000*DV487*DW487/100</f>
        <v>100.56310000000002</v>
      </c>
      <c r="DY487" s="2"/>
      <c r="DZ487" s="2" t="s">
        <v>3</v>
      </c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 t="s">
        <v>3</v>
      </c>
      <c r="FR487" s="2" t="s">
        <v>89</v>
      </c>
      <c r="FS487" s="2" t="s">
        <v>90</v>
      </c>
      <c r="FT487" s="2"/>
      <c r="FU487" s="2"/>
      <c r="FV487" s="2" t="s">
        <v>3</v>
      </c>
    </row>
    <row r="488" spans="1:178" ht="15.75" customHeight="1" x14ac:dyDescent="0.2">
      <c r="A488" s="14" t="s">
        <v>74</v>
      </c>
      <c r="B488" s="2" t="s">
        <v>164</v>
      </c>
      <c r="C488" s="13" t="s">
        <v>1101</v>
      </c>
      <c r="D488" s="2" t="s">
        <v>99</v>
      </c>
      <c r="E488" s="2"/>
      <c r="F488" s="2"/>
      <c r="G488" s="2" t="s">
        <v>78</v>
      </c>
      <c r="H488" s="2" t="s">
        <v>1102</v>
      </c>
      <c r="I488" s="2"/>
      <c r="J488" s="2" t="s">
        <v>80</v>
      </c>
      <c r="K488" s="2">
        <v>7.8</v>
      </c>
      <c r="L488" s="2"/>
      <c r="M488" s="2"/>
      <c r="N488" s="2"/>
      <c r="O488" s="2"/>
      <c r="P488" s="2"/>
      <c r="Q488" s="2"/>
      <c r="R488" s="2"/>
      <c r="S488" s="2">
        <v>0.96</v>
      </c>
      <c r="T488" s="2">
        <v>7.0000000000000007E-2</v>
      </c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15">
        <f>0.1+2+2.5+0.4</f>
        <v>5</v>
      </c>
      <c r="AG488" s="2"/>
      <c r="AH488" s="2"/>
      <c r="AI488" s="2"/>
      <c r="AJ488" s="2"/>
      <c r="AK488" s="2"/>
      <c r="AL488" s="2"/>
      <c r="AM488" s="2"/>
      <c r="AN488" s="4">
        <f>(0.81*0.1+0.86*2+0.81*2.5+0.84*0.4)/AF488</f>
        <v>0.83240000000000014</v>
      </c>
      <c r="AO488" s="4">
        <f>(0.05*0.1+0.03*2+0.05*2.5+0.03*0.4)/AF488</f>
        <v>4.0400000000000005E-2</v>
      </c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>
        <v>0</v>
      </c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>
        <v>0</v>
      </c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>
        <v>0</v>
      </c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14" t="s">
        <v>81</v>
      </c>
      <c r="DM488" s="2" t="s">
        <v>81</v>
      </c>
      <c r="DN488" s="2">
        <f t="shared" si="49"/>
        <v>0.91015625</v>
      </c>
      <c r="DO488" s="2">
        <f t="shared" si="50"/>
        <v>5.8437499999999996E-2</v>
      </c>
      <c r="DP488" s="2" t="s">
        <v>1103</v>
      </c>
      <c r="DQ488" s="2" t="s">
        <v>3</v>
      </c>
      <c r="DR488" s="15">
        <f t="shared" si="51"/>
        <v>12.8</v>
      </c>
      <c r="DS488" s="4">
        <f t="shared" si="52"/>
        <v>0.91015625</v>
      </c>
      <c r="DT488" s="15">
        <f t="shared" si="53"/>
        <v>116.5</v>
      </c>
      <c r="DU488" s="2"/>
      <c r="DV488" s="2">
        <f t="shared" si="54"/>
        <v>0</v>
      </c>
      <c r="DW488" s="2"/>
      <c r="DX488" s="2"/>
      <c r="DY488" s="2"/>
      <c r="DZ488" s="2" t="s">
        <v>3</v>
      </c>
      <c r="EA488" s="2" t="s">
        <v>1104</v>
      </c>
      <c r="EB488" s="15">
        <v>0.70850000000000002</v>
      </c>
      <c r="EC488" s="2" t="s">
        <v>176</v>
      </c>
      <c r="ED488" s="2" t="s">
        <v>176</v>
      </c>
      <c r="EE488" s="2" t="s">
        <v>176</v>
      </c>
      <c r="EF488" s="2" t="s">
        <v>176</v>
      </c>
      <c r="EG488" s="2" t="s">
        <v>176</v>
      </c>
      <c r="EH488" s="2"/>
      <c r="EI488" s="2"/>
      <c r="EJ488" s="2"/>
      <c r="EK488" s="2"/>
      <c r="EL488" s="2"/>
      <c r="EM488" s="2" t="s">
        <v>1104</v>
      </c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 t="s">
        <v>1104</v>
      </c>
      <c r="FQ488" s="2" t="s">
        <v>3</v>
      </c>
      <c r="FR488" s="2" t="s">
        <v>37</v>
      </c>
      <c r="FS488" s="2" t="s">
        <v>114</v>
      </c>
      <c r="FT488" s="2" t="s">
        <v>114</v>
      </c>
      <c r="FU488" s="2"/>
      <c r="FV488" s="2" t="s">
        <v>3</v>
      </c>
    </row>
    <row r="489" spans="1:178" ht="15.75" customHeight="1" x14ac:dyDescent="0.2">
      <c r="A489" s="14" t="s">
        <v>74</v>
      </c>
      <c r="B489" s="2" t="s">
        <v>164</v>
      </c>
      <c r="C489" s="13" t="s">
        <v>1105</v>
      </c>
      <c r="D489" s="2" t="s">
        <v>99</v>
      </c>
      <c r="E489" s="2"/>
      <c r="F489" s="2"/>
      <c r="G489" s="2" t="s">
        <v>78</v>
      </c>
      <c r="H489" s="2" t="s">
        <v>1102</v>
      </c>
      <c r="I489" s="2"/>
      <c r="J489" s="2" t="s">
        <v>80</v>
      </c>
      <c r="K489" s="2">
        <v>4.7</v>
      </c>
      <c r="L489" s="2"/>
      <c r="M489" s="2"/>
      <c r="N489" s="2"/>
      <c r="O489" s="2"/>
      <c r="P489" s="2"/>
      <c r="Q489" s="2"/>
      <c r="R489" s="2"/>
      <c r="S489" s="2">
        <v>0.82</v>
      </c>
      <c r="T489" s="2">
        <v>0.05</v>
      </c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>
        <v>0.9</v>
      </c>
      <c r="AG489" s="2"/>
      <c r="AH489" s="2"/>
      <c r="AI489" s="2"/>
      <c r="AJ489" s="2"/>
      <c r="AK489" s="2"/>
      <c r="AL489" s="2"/>
      <c r="AM489" s="2"/>
      <c r="AN489" s="2">
        <v>0.78</v>
      </c>
      <c r="AO489" s="2">
        <v>0.04</v>
      </c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>
        <v>0</v>
      </c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>
        <v>0</v>
      </c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>
        <v>0</v>
      </c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14" t="s">
        <v>81</v>
      </c>
      <c r="DM489" s="2" t="s">
        <v>81</v>
      </c>
      <c r="DN489" s="2">
        <f t="shared" si="49"/>
        <v>0.8135714285714285</v>
      </c>
      <c r="DO489" s="2">
        <f t="shared" si="50"/>
        <v>4.839285714285714E-2</v>
      </c>
      <c r="DP489" s="2" t="s">
        <v>1103</v>
      </c>
      <c r="DQ489" s="2" t="s">
        <v>3</v>
      </c>
      <c r="DR489" s="2">
        <f t="shared" si="51"/>
        <v>5.6000000000000005</v>
      </c>
      <c r="DS489" s="4">
        <f t="shared" si="52"/>
        <v>0.8135714285714285</v>
      </c>
      <c r="DT489" s="15">
        <f t="shared" si="53"/>
        <v>45.56</v>
      </c>
      <c r="DU489" s="2"/>
      <c r="DV489" s="2">
        <f t="shared" si="54"/>
        <v>0</v>
      </c>
      <c r="DW489" s="2"/>
      <c r="DX489" s="2"/>
      <c r="DY489" s="2"/>
      <c r="DZ489" s="2" t="s">
        <v>3</v>
      </c>
      <c r="EA489" s="2" t="s">
        <v>1106</v>
      </c>
      <c r="EB489" s="2" t="s">
        <v>176</v>
      </c>
      <c r="EC489" s="2">
        <v>111.4</v>
      </c>
      <c r="ED489" s="2" t="s">
        <v>176</v>
      </c>
      <c r="EE489" s="2">
        <v>1.7</v>
      </c>
      <c r="EF489" s="2" t="s">
        <v>176</v>
      </c>
      <c r="EG489" s="3">
        <v>447.2</v>
      </c>
      <c r="EH489" s="2"/>
      <c r="EI489" s="3">
        <f>EG489-EE489</f>
        <v>445.5</v>
      </c>
      <c r="EJ489" s="2"/>
      <c r="EK489" s="2"/>
      <c r="EL489" s="2"/>
      <c r="EM489" s="2" t="s">
        <v>1106</v>
      </c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 t="s">
        <v>1106</v>
      </c>
      <c r="FQ489" s="2" t="s">
        <v>3</v>
      </c>
      <c r="FR489" s="2" t="s">
        <v>37</v>
      </c>
      <c r="FS489" s="2" t="s">
        <v>114</v>
      </c>
      <c r="FT489" s="2" t="s">
        <v>114</v>
      </c>
      <c r="FU489" s="2"/>
      <c r="FV489" s="2" t="s">
        <v>3</v>
      </c>
    </row>
    <row r="490" spans="1:178" ht="15.75" customHeight="1" x14ac:dyDescent="0.2">
      <c r="A490" s="14" t="s">
        <v>74</v>
      </c>
      <c r="B490" s="2" t="s">
        <v>164</v>
      </c>
      <c r="C490" s="13" t="s">
        <v>1107</v>
      </c>
      <c r="D490" s="2" t="s">
        <v>99</v>
      </c>
      <c r="E490" s="2"/>
      <c r="F490" s="2"/>
      <c r="G490" s="2" t="s">
        <v>78</v>
      </c>
      <c r="H490" s="2" t="s">
        <v>1102</v>
      </c>
      <c r="I490" s="2"/>
      <c r="J490" s="2" t="s">
        <v>80</v>
      </c>
      <c r="K490" s="2">
        <v>5.4</v>
      </c>
      <c r="L490" s="2"/>
      <c r="M490" s="2"/>
      <c r="N490" s="2"/>
      <c r="O490" s="2"/>
      <c r="P490" s="2"/>
      <c r="Q490" s="2"/>
      <c r="R490" s="2"/>
      <c r="S490" s="2">
        <v>0.77</v>
      </c>
      <c r="T490" s="2">
        <v>6.2E-2</v>
      </c>
      <c r="U490" s="2"/>
      <c r="V490" s="2"/>
      <c r="W490" s="2"/>
      <c r="X490" s="2"/>
      <c r="Y490" s="2"/>
      <c r="Z490" s="2"/>
      <c r="AA490" s="15">
        <v>25</v>
      </c>
      <c r="AB490" s="2"/>
      <c r="AC490" s="2">
        <v>39</v>
      </c>
      <c r="AD490" s="2"/>
      <c r="AE490" s="2"/>
      <c r="AF490" s="2">
        <f>9.9+0.6</f>
        <v>10.5</v>
      </c>
      <c r="AG490" s="2"/>
      <c r="AH490" s="2"/>
      <c r="AI490" s="2"/>
      <c r="AJ490" s="2"/>
      <c r="AK490" s="2"/>
      <c r="AL490" s="2"/>
      <c r="AM490" s="2"/>
      <c r="AN490" s="4">
        <f>(0.71*9.9+0.75*0.6)/AF490</f>
        <v>0.7122857142857143</v>
      </c>
      <c r="AO490" s="19">
        <f>(0.051*9.9+0.054*0.6)/AF490</f>
        <v>5.1171428571428569E-2</v>
      </c>
      <c r="AP490" s="2"/>
      <c r="AQ490" s="2"/>
      <c r="AR490" s="23"/>
      <c r="AS490" s="23"/>
      <c r="AT490" s="23"/>
      <c r="AU490" s="2"/>
      <c r="AV490" s="15">
        <f>(22.2*9.9+12.1*0.6)/AF490</f>
        <v>21.622857142857143</v>
      </c>
      <c r="AW490" s="2"/>
      <c r="AX490" s="23">
        <f>(37*9.9+18*0.6)/AF490</f>
        <v>35.914285714285718</v>
      </c>
      <c r="AY490" s="2"/>
      <c r="AZ490" s="2"/>
      <c r="BA490" s="2">
        <f>1+10.5</f>
        <v>11.5</v>
      </c>
      <c r="BB490" s="2"/>
      <c r="BC490" s="2"/>
      <c r="BD490" s="2"/>
      <c r="BE490" s="2"/>
      <c r="BF490" s="2"/>
      <c r="BG490" s="2"/>
      <c r="BH490" s="2"/>
      <c r="BI490" s="4">
        <f>(0.72*1+0.4*10.5)/BA490</f>
        <v>0.42782608695652175</v>
      </c>
      <c r="BJ490" s="19">
        <f>(0.052*1+0.033*10.5)/BA490</f>
        <v>3.4652173913043482E-2</v>
      </c>
      <c r="BK490" s="2"/>
      <c r="BL490" s="2"/>
      <c r="BM490" s="23"/>
      <c r="BN490" s="23"/>
      <c r="BO490" s="23"/>
      <c r="BP490" s="2"/>
      <c r="BQ490" s="15">
        <f>(22.2*1+31.8*10.5)/BA490</f>
        <v>30.96521739130435</v>
      </c>
      <c r="BR490" s="2"/>
      <c r="BS490" s="23">
        <f>(36*1+45*10.5)/BA490</f>
        <v>44.217391304347828</v>
      </c>
      <c r="BT490" s="2"/>
      <c r="BU490" s="2"/>
      <c r="BV490" s="2">
        <v>0</v>
      </c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>
        <v>0</v>
      </c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14" t="s">
        <v>81</v>
      </c>
      <c r="DM490" s="2" t="s">
        <v>81</v>
      </c>
      <c r="DN490" s="2">
        <f t="shared" si="49"/>
        <v>0.60427007299270086</v>
      </c>
      <c r="DO490" s="2">
        <f t="shared" si="50"/>
        <v>4.6372262773722639E-2</v>
      </c>
      <c r="DP490" s="2" t="s">
        <v>1103</v>
      </c>
      <c r="DQ490" s="2" t="s">
        <v>3</v>
      </c>
      <c r="DR490" s="2">
        <f t="shared" si="51"/>
        <v>27.4</v>
      </c>
      <c r="DS490" s="4">
        <f t="shared" si="52"/>
        <v>0.60427007299270086</v>
      </c>
      <c r="DT490" s="15">
        <f t="shared" si="53"/>
        <v>165.57000000000005</v>
      </c>
      <c r="DU490" s="2"/>
      <c r="DV490" s="2">
        <f t="shared" si="54"/>
        <v>0</v>
      </c>
      <c r="DW490" s="2"/>
      <c r="DX490" s="2"/>
      <c r="DY490" s="2"/>
      <c r="DZ490" s="2" t="s">
        <v>3</v>
      </c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 t="s">
        <v>3</v>
      </c>
      <c r="FR490" s="2" t="s">
        <v>37</v>
      </c>
      <c r="FS490" s="2" t="s">
        <v>235</v>
      </c>
      <c r="FT490" s="2" t="s">
        <v>235</v>
      </c>
      <c r="FU490" s="2"/>
      <c r="FV490" s="2" t="s">
        <v>3</v>
      </c>
    </row>
    <row r="491" spans="1:178" ht="15.75" customHeight="1" x14ac:dyDescent="0.2">
      <c r="A491" s="14" t="s">
        <v>74</v>
      </c>
      <c r="B491" s="2" t="s">
        <v>164</v>
      </c>
      <c r="C491" s="13" t="s">
        <v>1108</v>
      </c>
      <c r="D491" s="2" t="s">
        <v>99</v>
      </c>
      <c r="E491" s="2"/>
      <c r="F491" s="2"/>
      <c r="G491" s="2" t="s">
        <v>78</v>
      </c>
      <c r="H491" s="2" t="s">
        <v>1102</v>
      </c>
      <c r="I491" s="2"/>
      <c r="J491" s="2" t="s">
        <v>80</v>
      </c>
      <c r="K491" s="2">
        <v>2.2000000000000002</v>
      </c>
      <c r="L491" s="2"/>
      <c r="M491" s="2"/>
      <c r="N491" s="2"/>
      <c r="O491" s="2"/>
      <c r="P491" s="2"/>
      <c r="Q491" s="2"/>
      <c r="R491" s="2"/>
      <c r="S491" s="2">
        <v>0.56999999999999995</v>
      </c>
      <c r="T491" s="2">
        <v>0.11</v>
      </c>
      <c r="U491" s="2"/>
      <c r="V491" s="2"/>
      <c r="W491" s="2"/>
      <c r="X491" s="2"/>
      <c r="Y491" s="2"/>
      <c r="Z491" s="2"/>
      <c r="AA491" s="2"/>
      <c r="AB491" s="2"/>
      <c r="AC491" s="2">
        <v>80</v>
      </c>
      <c r="AD491" s="2"/>
      <c r="AE491" s="2"/>
      <c r="AF491" s="2">
        <v>17.2</v>
      </c>
      <c r="AG491" s="2"/>
      <c r="AH491" s="2"/>
      <c r="AI491" s="2"/>
      <c r="AJ491" s="2"/>
      <c r="AK491" s="2"/>
      <c r="AL491" s="2"/>
      <c r="AM491" s="2"/>
      <c r="AN491" s="2">
        <v>0.56000000000000005</v>
      </c>
      <c r="AO491" s="2">
        <v>0.09</v>
      </c>
      <c r="AP491" s="2"/>
      <c r="AQ491" s="2"/>
      <c r="AR491" s="2"/>
      <c r="AS491" s="2"/>
      <c r="AT491" s="2"/>
      <c r="AU491" s="2"/>
      <c r="AV491" s="2"/>
      <c r="AW491" s="2"/>
      <c r="AX491" s="2">
        <v>49</v>
      </c>
      <c r="AY491" s="2"/>
      <c r="AZ491" s="2"/>
      <c r="BA491" s="2">
        <v>10.199999999999999</v>
      </c>
      <c r="BB491" s="2"/>
      <c r="BC491" s="2"/>
      <c r="BD491" s="2"/>
      <c r="BE491" s="2"/>
      <c r="BF491" s="2"/>
      <c r="BG491" s="2"/>
      <c r="BH491" s="2"/>
      <c r="BI491" s="2">
        <v>0.36</v>
      </c>
      <c r="BJ491" s="2">
        <v>0.04</v>
      </c>
      <c r="BK491" s="2"/>
      <c r="BL491" s="2"/>
      <c r="BM491" s="2"/>
      <c r="BN491" s="2"/>
      <c r="BO491" s="2"/>
      <c r="BP491" s="2"/>
      <c r="BQ491" s="2"/>
      <c r="BR491" s="2"/>
      <c r="BS491" s="2">
        <v>59</v>
      </c>
      <c r="BT491" s="2"/>
      <c r="BU491" s="2"/>
      <c r="BV491" s="2">
        <v>0</v>
      </c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>
        <v>0</v>
      </c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14" t="s">
        <v>81</v>
      </c>
      <c r="DM491" s="2" t="s">
        <v>81</v>
      </c>
      <c r="DN491" s="2">
        <f t="shared" si="49"/>
        <v>0.49182432432432438</v>
      </c>
      <c r="DO491" s="2">
        <f t="shared" si="50"/>
        <v>7.4256756756756762E-2</v>
      </c>
      <c r="DP491" s="2" t="s">
        <v>1103</v>
      </c>
      <c r="DQ491" s="2" t="s">
        <v>3</v>
      </c>
      <c r="DR491" s="2">
        <f t="shared" si="51"/>
        <v>29.599999999999998</v>
      </c>
      <c r="DS491" s="4">
        <f t="shared" si="52"/>
        <v>0.49182432432432438</v>
      </c>
      <c r="DT491" s="15">
        <f t="shared" si="53"/>
        <v>145.58000000000001</v>
      </c>
      <c r="DU491" s="2"/>
      <c r="DV491" s="2">
        <f t="shared" si="54"/>
        <v>0</v>
      </c>
      <c r="DW491" s="2"/>
      <c r="DX491" s="2"/>
      <c r="DY491" s="2"/>
      <c r="DZ491" s="2" t="s">
        <v>3</v>
      </c>
      <c r="EA491" s="2" t="s">
        <v>1109</v>
      </c>
      <c r="EB491" s="15">
        <v>9.8680000000000003</v>
      </c>
      <c r="EC491" s="2" t="s">
        <v>176</v>
      </c>
      <c r="ED491" s="2" t="s">
        <v>176</v>
      </c>
      <c r="EE491" s="2" t="s">
        <v>176</v>
      </c>
      <c r="EF491" s="2" t="s">
        <v>176</v>
      </c>
      <c r="EG491" s="2" t="s">
        <v>176</v>
      </c>
      <c r="EH491" s="2"/>
      <c r="EI491" s="2"/>
      <c r="EJ491" s="2"/>
      <c r="EK491" s="2"/>
      <c r="EL491" s="2"/>
      <c r="EM491" s="2" t="s">
        <v>1109</v>
      </c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 t="s">
        <v>1109</v>
      </c>
      <c r="FQ491" s="2" t="s">
        <v>3</v>
      </c>
      <c r="FR491" s="2" t="s">
        <v>37</v>
      </c>
      <c r="FS491" s="2" t="s">
        <v>114</v>
      </c>
      <c r="FT491" s="2" t="s">
        <v>114</v>
      </c>
      <c r="FU491" s="2"/>
      <c r="FV491" s="2" t="s">
        <v>3</v>
      </c>
    </row>
    <row r="492" spans="1:178" ht="15.75" customHeight="1" x14ac:dyDescent="0.2">
      <c r="A492" s="14" t="s">
        <v>74</v>
      </c>
      <c r="B492" s="2" t="s">
        <v>164</v>
      </c>
      <c r="C492" s="13" t="s">
        <v>1110</v>
      </c>
      <c r="D492" s="2" t="s">
        <v>99</v>
      </c>
      <c r="E492" s="2"/>
      <c r="F492" s="2"/>
      <c r="G492" s="2" t="s">
        <v>78</v>
      </c>
      <c r="H492" s="2" t="s">
        <v>1102</v>
      </c>
      <c r="I492" s="2"/>
      <c r="J492" s="2" t="s">
        <v>80</v>
      </c>
      <c r="K492" s="2">
        <v>1.7</v>
      </c>
      <c r="L492" s="2"/>
      <c r="M492" s="2"/>
      <c r="N492" s="2"/>
      <c r="O492" s="2"/>
      <c r="P492" s="2"/>
      <c r="Q492" s="2"/>
      <c r="R492" s="2"/>
      <c r="S492" s="2">
        <v>0.45</v>
      </c>
      <c r="T492" s="4">
        <v>0.1</v>
      </c>
      <c r="U492" s="2"/>
      <c r="V492" s="2"/>
      <c r="W492" s="2"/>
      <c r="X492" s="2"/>
      <c r="Y492" s="2"/>
      <c r="Z492" s="2"/>
      <c r="AA492" s="2"/>
      <c r="AB492" s="2"/>
      <c r="AC492" s="2">
        <v>103</v>
      </c>
      <c r="AD492" s="2"/>
      <c r="AE492" s="2"/>
      <c r="AF492" s="2">
        <v>10.6</v>
      </c>
      <c r="AG492" s="2"/>
      <c r="AH492" s="2"/>
      <c r="AI492" s="2"/>
      <c r="AJ492" s="2"/>
      <c r="AK492" s="2"/>
      <c r="AL492" s="2"/>
      <c r="AM492" s="2"/>
      <c r="AN492" s="2">
        <v>0.27</v>
      </c>
      <c r="AO492" s="2">
        <v>7.0000000000000007E-2</v>
      </c>
      <c r="AP492" s="2"/>
      <c r="AQ492" s="2"/>
      <c r="AR492" s="2"/>
      <c r="AS492" s="2"/>
      <c r="AT492" s="2"/>
      <c r="AU492" s="2"/>
      <c r="AV492" s="2"/>
      <c r="AW492" s="2"/>
      <c r="AX492" s="2">
        <v>128</v>
      </c>
      <c r="AY492" s="2"/>
      <c r="AZ492" s="2"/>
      <c r="BA492" s="2">
        <v>1.5</v>
      </c>
      <c r="BB492" s="2"/>
      <c r="BC492" s="2"/>
      <c r="BD492" s="2"/>
      <c r="BE492" s="2"/>
      <c r="BF492" s="2"/>
      <c r="BG492" s="2"/>
      <c r="BH492" s="2"/>
      <c r="BI492" s="4">
        <v>0.4</v>
      </c>
      <c r="BJ492" s="2">
        <v>7.0000000000000007E-2</v>
      </c>
      <c r="BK492" s="2"/>
      <c r="BL492" s="2"/>
      <c r="BM492" s="2"/>
      <c r="BN492" s="2"/>
      <c r="BO492" s="2"/>
      <c r="BP492" s="2"/>
      <c r="BQ492" s="2"/>
      <c r="BR492" s="2"/>
      <c r="BS492" s="2">
        <v>41</v>
      </c>
      <c r="BT492" s="2"/>
      <c r="BU492" s="2"/>
      <c r="BV492" s="2">
        <v>0</v>
      </c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>
        <v>0</v>
      </c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14" t="s">
        <v>81</v>
      </c>
      <c r="DM492" s="2" t="s">
        <v>81</v>
      </c>
      <c r="DN492" s="2">
        <f t="shared" si="49"/>
        <v>0.30630434782608701</v>
      </c>
      <c r="DO492" s="2">
        <f t="shared" si="50"/>
        <v>7.3695652173913065E-2</v>
      </c>
      <c r="DP492" s="2" t="s">
        <v>1103</v>
      </c>
      <c r="DQ492" s="2" t="s">
        <v>3</v>
      </c>
      <c r="DR492" s="2">
        <f t="shared" si="51"/>
        <v>13.799999999999999</v>
      </c>
      <c r="DS492" s="4">
        <f t="shared" si="52"/>
        <v>0.30630434782608701</v>
      </c>
      <c r="DT492" s="15">
        <f t="shared" si="53"/>
        <v>42.27</v>
      </c>
      <c r="DU492" s="2"/>
      <c r="DV492" s="2">
        <f t="shared" si="54"/>
        <v>0</v>
      </c>
      <c r="DW492" s="2"/>
      <c r="DX492" s="2"/>
      <c r="DY492" s="2"/>
      <c r="DZ492" s="2" t="s">
        <v>3</v>
      </c>
      <c r="EA492" s="2" t="s">
        <v>1111</v>
      </c>
      <c r="EB492" s="15">
        <v>0.36699999999999999</v>
      </c>
      <c r="EC492" s="2" t="s">
        <v>176</v>
      </c>
      <c r="ED492" s="2" t="s">
        <v>176</v>
      </c>
      <c r="EE492" s="2" t="s">
        <v>176</v>
      </c>
      <c r="EF492" s="2" t="s">
        <v>176</v>
      </c>
      <c r="EG492" s="2" t="s">
        <v>176</v>
      </c>
      <c r="EH492" s="2"/>
      <c r="EI492" s="2"/>
      <c r="EJ492" s="2"/>
      <c r="EK492" s="2"/>
      <c r="EL492" s="2"/>
      <c r="EM492" s="2" t="s">
        <v>1111</v>
      </c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 t="s">
        <v>1111</v>
      </c>
      <c r="FQ492" s="2" t="s">
        <v>3</v>
      </c>
      <c r="FR492" s="2" t="s">
        <v>37</v>
      </c>
      <c r="FS492" s="2" t="s">
        <v>114</v>
      </c>
      <c r="FT492" s="2" t="s">
        <v>114</v>
      </c>
      <c r="FU492" s="2"/>
      <c r="FV492" s="2" t="s">
        <v>3</v>
      </c>
    </row>
    <row r="493" spans="1:178" ht="15.75" customHeight="1" x14ac:dyDescent="0.2">
      <c r="A493" s="14" t="s">
        <v>96</v>
      </c>
      <c r="B493" s="2" t="s">
        <v>164</v>
      </c>
      <c r="C493" s="16" t="s">
        <v>1112</v>
      </c>
      <c r="D493" s="2" t="s">
        <v>120</v>
      </c>
      <c r="E493" s="2"/>
      <c r="F493" s="2"/>
      <c r="G493" s="2" t="s">
        <v>179</v>
      </c>
      <c r="H493" s="2" t="s">
        <v>1084</v>
      </c>
      <c r="I493" s="2"/>
      <c r="J493" s="2" t="s">
        <v>181</v>
      </c>
      <c r="K493" s="2">
        <v>0</v>
      </c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>
        <v>0</v>
      </c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>
        <f>0.086+0.135</f>
        <v>0.221</v>
      </c>
      <c r="BB493" s="2"/>
      <c r="BC493" s="2"/>
      <c r="BD493" s="2"/>
      <c r="BE493" s="2"/>
      <c r="BF493" s="2"/>
      <c r="BG493" s="2"/>
      <c r="BH493" s="2"/>
      <c r="BI493" s="15">
        <f>(2*0.086+3.7*0.135)/BA493</f>
        <v>3.0384615384615383</v>
      </c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>
        <v>0</v>
      </c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>
        <v>0</v>
      </c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14" t="s">
        <v>81</v>
      </c>
      <c r="DM493" s="2"/>
      <c r="DN493" s="2">
        <f t="shared" si="49"/>
        <v>3.0384615384615383</v>
      </c>
      <c r="DO493" s="2">
        <f t="shared" si="50"/>
        <v>0</v>
      </c>
      <c r="DP493" s="2" t="s">
        <v>175</v>
      </c>
      <c r="DQ493" s="2" t="s">
        <v>3</v>
      </c>
      <c r="DR493" s="2">
        <f t="shared" si="51"/>
        <v>0.221</v>
      </c>
      <c r="DS493" s="4">
        <f t="shared" si="52"/>
        <v>3.0384615384615383</v>
      </c>
      <c r="DT493" s="15">
        <f t="shared" si="53"/>
        <v>6.7149999999999999</v>
      </c>
      <c r="DU493" s="2"/>
      <c r="DV493" s="2">
        <f t="shared" si="54"/>
        <v>0</v>
      </c>
      <c r="DW493" s="2"/>
      <c r="DX493" s="2"/>
      <c r="DY493" s="2"/>
      <c r="DZ493" s="2" t="s">
        <v>3</v>
      </c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 t="s">
        <v>3</v>
      </c>
      <c r="FR493" s="2" t="s">
        <v>89</v>
      </c>
      <c r="FS493" s="2" t="s">
        <v>137</v>
      </c>
      <c r="FT493" s="2"/>
      <c r="FU493" s="2"/>
      <c r="FV493" s="2" t="s">
        <v>3</v>
      </c>
    </row>
    <row r="494" spans="1:178" ht="15.75" customHeight="1" x14ac:dyDescent="0.2">
      <c r="A494" s="14" t="s">
        <v>96</v>
      </c>
      <c r="B494" s="2" t="s">
        <v>416</v>
      </c>
      <c r="C494" s="16" t="s">
        <v>1113</v>
      </c>
      <c r="D494" s="2" t="s">
        <v>120</v>
      </c>
      <c r="E494" s="2"/>
      <c r="F494" s="2"/>
      <c r="G494" s="2"/>
      <c r="H494" s="2" t="s">
        <v>997</v>
      </c>
      <c r="I494" s="2"/>
      <c r="J494" s="2"/>
      <c r="K494" s="2">
        <v>0</v>
      </c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>
        <v>0</v>
      </c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4">
        <v>4.4675609999999999</v>
      </c>
      <c r="BB494" s="2">
        <v>1.19</v>
      </c>
      <c r="BC494" s="2"/>
      <c r="BD494" s="2"/>
      <c r="BE494" s="2"/>
      <c r="BF494" s="2"/>
      <c r="BG494" s="2"/>
      <c r="BH494" s="2"/>
      <c r="BI494" s="2">
        <v>1.47</v>
      </c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>
        <v>0</v>
      </c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>
        <v>0</v>
      </c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14" t="s">
        <v>81</v>
      </c>
      <c r="DM494" s="2"/>
      <c r="DN494" s="2">
        <f t="shared" si="49"/>
        <v>1.47</v>
      </c>
      <c r="DO494" s="2">
        <f t="shared" si="50"/>
        <v>0</v>
      </c>
      <c r="DP494" s="2" t="s">
        <v>998</v>
      </c>
      <c r="DQ494" s="2" t="s">
        <v>3</v>
      </c>
      <c r="DR494" s="19">
        <f t="shared" si="51"/>
        <v>4.4675609999999999</v>
      </c>
      <c r="DS494" s="2">
        <f t="shared" si="52"/>
        <v>1.47</v>
      </c>
      <c r="DT494" s="15">
        <f t="shared" si="53"/>
        <v>65.673146700000004</v>
      </c>
      <c r="DU494" s="2"/>
      <c r="DV494" s="2">
        <f t="shared" si="54"/>
        <v>0</v>
      </c>
      <c r="DW494" s="2"/>
      <c r="DX494" s="2"/>
      <c r="DY494" s="2"/>
      <c r="DZ494" s="2" t="s">
        <v>3</v>
      </c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 t="s">
        <v>3</v>
      </c>
      <c r="FR494" s="2" t="s">
        <v>89</v>
      </c>
      <c r="FS494" s="2" t="s">
        <v>123</v>
      </c>
      <c r="FT494" s="2"/>
      <c r="FU494" s="2"/>
      <c r="FV494" s="2" t="s">
        <v>3</v>
      </c>
    </row>
    <row r="495" spans="1:178" ht="15.75" customHeight="1" x14ac:dyDescent="0.2">
      <c r="A495" s="14" t="s">
        <v>143</v>
      </c>
      <c r="B495" s="2" t="s">
        <v>85</v>
      </c>
      <c r="C495" s="16" t="s">
        <v>1114</v>
      </c>
      <c r="D495" s="2"/>
      <c r="E495" s="2"/>
      <c r="F495" s="2"/>
      <c r="G495" s="2"/>
      <c r="H495" s="2" t="s">
        <v>1115</v>
      </c>
      <c r="I495" s="2"/>
      <c r="J495" s="2"/>
      <c r="K495" s="2">
        <v>5.85</v>
      </c>
      <c r="L495" s="19">
        <v>4.0000000000000001E-3</v>
      </c>
      <c r="M495" s="4">
        <v>0.02</v>
      </c>
      <c r="N495" s="2"/>
      <c r="O495" s="2"/>
      <c r="P495" s="2"/>
      <c r="Q495" s="2"/>
      <c r="R495" s="2"/>
      <c r="S495" s="4">
        <v>1.4999999999999999E-2</v>
      </c>
      <c r="T495" s="2"/>
      <c r="U495" s="4">
        <v>3.3700000000000006</v>
      </c>
      <c r="V495" s="4">
        <v>1.52</v>
      </c>
      <c r="W495" s="4">
        <v>0.68</v>
      </c>
      <c r="X495" s="2"/>
      <c r="Y495" s="2"/>
      <c r="Z495" s="2"/>
      <c r="AA495" s="2"/>
      <c r="AB495" s="2"/>
      <c r="AC495" s="2"/>
      <c r="AD495" s="2"/>
      <c r="AE495" s="2"/>
      <c r="AF495" s="2">
        <v>54.150000000000006</v>
      </c>
      <c r="AG495" s="4">
        <v>2.5310249307479219E-2</v>
      </c>
      <c r="AH495" s="4">
        <v>7.3240997229916893E-2</v>
      </c>
      <c r="AI495" s="2"/>
      <c r="AJ495" s="2"/>
      <c r="AK495" s="2"/>
      <c r="AL495" s="2"/>
      <c r="AM495" s="2"/>
      <c r="AN495" s="4">
        <v>7.5918744228993543E-2</v>
      </c>
      <c r="AO495" s="2"/>
      <c r="AP495" s="4">
        <v>2.8239796860572479</v>
      </c>
      <c r="AQ495" s="4">
        <v>1.2989566020313943</v>
      </c>
      <c r="AR495" s="4">
        <v>0.40706371191135732</v>
      </c>
      <c r="AS495" s="2"/>
      <c r="AT495" s="2"/>
      <c r="AU495" s="2"/>
      <c r="AV495" s="2"/>
      <c r="AW495" s="2"/>
      <c r="AX495" s="2"/>
      <c r="AY495" s="2"/>
      <c r="AZ495" s="2"/>
      <c r="BA495" s="2">
        <v>48.95</v>
      </c>
      <c r="BB495" s="4">
        <v>2.5000000000000001E-2</v>
      </c>
      <c r="BC495" s="4">
        <v>0.08</v>
      </c>
      <c r="BD495" s="2"/>
      <c r="BE495" s="2"/>
      <c r="BF495" s="2"/>
      <c r="BG495" s="2"/>
      <c r="BH495" s="2"/>
      <c r="BI495" s="4">
        <v>8.1000000000000003E-2</v>
      </c>
      <c r="BJ495" s="2"/>
      <c r="BK495" s="4">
        <v>2.83</v>
      </c>
      <c r="BL495" s="4">
        <v>1.26</v>
      </c>
      <c r="BM495" s="4">
        <v>0.4</v>
      </c>
      <c r="BN495" s="4"/>
      <c r="BO495" s="4"/>
      <c r="BP495" s="2"/>
      <c r="BQ495" s="2"/>
      <c r="BR495" s="2"/>
      <c r="BS495" s="2"/>
      <c r="BT495" s="2"/>
      <c r="BU495" s="2"/>
      <c r="BV495" s="2">
        <v>0</v>
      </c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>
        <v>26.6</v>
      </c>
      <c r="CR495" s="4">
        <v>2.1999999999999995E-2</v>
      </c>
      <c r="CS495" s="4">
        <v>4.9609999999999994E-2</v>
      </c>
      <c r="CT495" s="2"/>
      <c r="CU495" s="2"/>
      <c r="CV495" s="2"/>
      <c r="CW495" s="2"/>
      <c r="CX495" s="2"/>
      <c r="CY495" s="4">
        <v>6.7923497267759564E-2</v>
      </c>
      <c r="CZ495" s="2"/>
      <c r="DA495" s="4">
        <v>2.7465899999999994</v>
      </c>
      <c r="DB495" s="4">
        <v>1.3169199999999999</v>
      </c>
      <c r="DC495" s="4">
        <v>0.39687999999999996</v>
      </c>
      <c r="DD495" s="2"/>
      <c r="DE495" s="2"/>
      <c r="DF495" s="2"/>
      <c r="DG495" s="2"/>
      <c r="DH495" s="2"/>
      <c r="DI495" s="2"/>
      <c r="DJ495" s="2"/>
      <c r="DK495" s="2"/>
      <c r="DL495" s="14" t="s">
        <v>81</v>
      </c>
      <c r="DM495" s="2"/>
      <c r="DN495" s="2">
        <f t="shared" si="49"/>
        <v>7.4930702156952717E-2</v>
      </c>
      <c r="DO495" s="2">
        <f t="shared" si="50"/>
        <v>0</v>
      </c>
      <c r="DP495" s="2" t="s">
        <v>512</v>
      </c>
      <c r="DQ495" s="2" t="s">
        <v>3</v>
      </c>
      <c r="DR495" s="15">
        <f t="shared" si="51"/>
        <v>108.95000000000002</v>
      </c>
      <c r="DS495" s="4">
        <f t="shared" si="52"/>
        <v>7.4930702156952717E-2</v>
      </c>
      <c r="DT495" s="15">
        <f t="shared" si="53"/>
        <v>81.637</v>
      </c>
      <c r="DU495" s="2"/>
      <c r="DV495" s="2">
        <f t="shared" si="54"/>
        <v>26.6</v>
      </c>
      <c r="DW495" s="19">
        <f>(BV495*CD495+CQ495*CY495)/DV495</f>
        <v>6.7923497267759564E-2</v>
      </c>
      <c r="DX495" s="15">
        <f>1000*DV495*DW495/100</f>
        <v>18.067650273224043</v>
      </c>
      <c r="DY495" s="2"/>
      <c r="DZ495" s="2" t="s">
        <v>3</v>
      </c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 t="s">
        <v>3</v>
      </c>
      <c r="FR495" s="2" t="s">
        <v>89</v>
      </c>
      <c r="FS495" s="2" t="s">
        <v>90</v>
      </c>
      <c r="FT495" s="2" t="s">
        <v>91</v>
      </c>
      <c r="FU495" s="2" t="s">
        <v>92</v>
      </c>
      <c r="FV495" s="2" t="s">
        <v>3</v>
      </c>
    </row>
    <row r="496" spans="1:178" ht="15.75" customHeight="1" x14ac:dyDescent="0.2">
      <c r="A496" s="14" t="s">
        <v>96</v>
      </c>
      <c r="B496" s="2" t="s">
        <v>416</v>
      </c>
      <c r="C496" s="16" t="s">
        <v>1116</v>
      </c>
      <c r="D496" s="2" t="s">
        <v>120</v>
      </c>
      <c r="E496" s="2"/>
      <c r="F496" s="2"/>
      <c r="G496" s="2"/>
      <c r="H496" s="2" t="s">
        <v>997</v>
      </c>
      <c r="I496" s="2"/>
      <c r="J496" s="2"/>
      <c r="K496" s="2">
        <v>0</v>
      </c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>
        <v>0</v>
      </c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4">
        <v>26.753516999999999</v>
      </c>
      <c r="BB496" s="2">
        <v>1.1499999999999999</v>
      </c>
      <c r="BC496" s="2"/>
      <c r="BD496" s="2"/>
      <c r="BE496" s="2"/>
      <c r="BF496" s="2"/>
      <c r="BG496" s="2"/>
      <c r="BH496" s="2"/>
      <c r="BI496" s="2">
        <v>0.79</v>
      </c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>
        <v>0</v>
      </c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>
        <v>0</v>
      </c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14" t="s">
        <v>81</v>
      </c>
      <c r="DM496" s="2"/>
      <c r="DN496" s="2">
        <f t="shared" si="49"/>
        <v>0.79</v>
      </c>
      <c r="DO496" s="2">
        <f t="shared" si="50"/>
        <v>0</v>
      </c>
      <c r="DP496" s="2" t="s">
        <v>998</v>
      </c>
      <c r="DQ496" s="2" t="s">
        <v>3</v>
      </c>
      <c r="DR496" s="4">
        <f t="shared" si="51"/>
        <v>26.753516999999999</v>
      </c>
      <c r="DS496" s="2">
        <f t="shared" si="52"/>
        <v>0.79</v>
      </c>
      <c r="DT496" s="15">
        <f t="shared" si="53"/>
        <v>211.35278430000002</v>
      </c>
      <c r="DU496" s="2"/>
      <c r="DV496" s="2">
        <f t="shared" si="54"/>
        <v>0</v>
      </c>
      <c r="DW496" s="2"/>
      <c r="DX496" s="2"/>
      <c r="DY496" s="2"/>
      <c r="DZ496" s="2" t="s">
        <v>3</v>
      </c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 t="s">
        <v>3</v>
      </c>
      <c r="FR496" s="2" t="s">
        <v>89</v>
      </c>
      <c r="FS496" s="2" t="s">
        <v>123</v>
      </c>
      <c r="FT496" s="2"/>
      <c r="FU496" s="2"/>
      <c r="FV496" s="2" t="s">
        <v>3</v>
      </c>
    </row>
    <row r="497" spans="1:178" ht="15.75" customHeight="1" x14ac:dyDescent="0.2">
      <c r="A497" s="14" t="s">
        <v>96</v>
      </c>
      <c r="B497" s="2" t="s">
        <v>416</v>
      </c>
      <c r="C497" s="16" t="s">
        <v>1117</v>
      </c>
      <c r="D497" s="2" t="s">
        <v>120</v>
      </c>
      <c r="E497" s="2"/>
      <c r="F497" s="2"/>
      <c r="G497" s="2"/>
      <c r="H497" s="2" t="s">
        <v>997</v>
      </c>
      <c r="I497" s="2"/>
      <c r="J497" s="2"/>
      <c r="K497" s="2">
        <v>0</v>
      </c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>
        <v>0</v>
      </c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4">
        <v>19.505586000000001</v>
      </c>
      <c r="BB497" s="2">
        <v>0.75</v>
      </c>
      <c r="BC497" s="2"/>
      <c r="BD497" s="2"/>
      <c r="BE497" s="2"/>
      <c r="BF497" s="2"/>
      <c r="BG497" s="2"/>
      <c r="BH497" s="2"/>
      <c r="BI497" s="2">
        <v>0.68</v>
      </c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>
        <v>0</v>
      </c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>
        <v>0</v>
      </c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14" t="s">
        <v>81</v>
      </c>
      <c r="DM497" s="2"/>
      <c r="DN497" s="2">
        <f t="shared" si="49"/>
        <v>0.68</v>
      </c>
      <c r="DO497" s="2">
        <f t="shared" si="50"/>
        <v>0</v>
      </c>
      <c r="DP497" s="2" t="s">
        <v>998</v>
      </c>
      <c r="DQ497" s="2" t="s">
        <v>3</v>
      </c>
      <c r="DR497" s="4">
        <f t="shared" si="51"/>
        <v>19.505586000000001</v>
      </c>
      <c r="DS497" s="2">
        <f t="shared" si="52"/>
        <v>0.68</v>
      </c>
      <c r="DT497" s="15">
        <f t="shared" si="53"/>
        <v>132.63798480000003</v>
      </c>
      <c r="DU497" s="2"/>
      <c r="DV497" s="2">
        <f t="shared" si="54"/>
        <v>0</v>
      </c>
      <c r="DW497" s="2"/>
      <c r="DX497" s="2"/>
      <c r="DY497" s="2"/>
      <c r="DZ497" s="2" t="s">
        <v>3</v>
      </c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 t="s">
        <v>3</v>
      </c>
      <c r="FR497" s="2" t="s">
        <v>89</v>
      </c>
      <c r="FS497" s="2" t="s">
        <v>123</v>
      </c>
      <c r="FT497" s="2"/>
      <c r="FU497" s="2"/>
      <c r="FV497" s="2" t="s">
        <v>3</v>
      </c>
    </row>
    <row r="498" spans="1:178" ht="15.75" customHeight="1" x14ac:dyDescent="0.2">
      <c r="A498" s="14" t="s">
        <v>96</v>
      </c>
      <c r="B498" s="2" t="s">
        <v>416</v>
      </c>
      <c r="C498" s="16" t="s">
        <v>1118</v>
      </c>
      <c r="D498" s="2" t="s">
        <v>120</v>
      </c>
      <c r="E498" s="2"/>
      <c r="F498" s="2"/>
      <c r="G498" s="2"/>
      <c r="H498" s="2" t="s">
        <v>997</v>
      </c>
      <c r="I498" s="2"/>
      <c r="J498" s="2"/>
      <c r="K498" s="2">
        <v>0</v>
      </c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>
        <v>0</v>
      </c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4">
        <v>5.9466710000000003</v>
      </c>
      <c r="BB498" s="2">
        <v>0.95</v>
      </c>
      <c r="BC498" s="2"/>
      <c r="BD498" s="2"/>
      <c r="BE498" s="2"/>
      <c r="BF498" s="2"/>
      <c r="BG498" s="2"/>
      <c r="BH498" s="2"/>
      <c r="BI498" s="2">
        <v>1.0900000000000001</v>
      </c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>
        <v>0</v>
      </c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>
        <v>0</v>
      </c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14" t="s">
        <v>81</v>
      </c>
      <c r="DM498" s="2"/>
      <c r="DN498" s="2">
        <f t="shared" si="49"/>
        <v>1.0900000000000001</v>
      </c>
      <c r="DO498" s="2">
        <f t="shared" si="50"/>
        <v>0</v>
      </c>
      <c r="DP498" s="2" t="s">
        <v>998</v>
      </c>
      <c r="DQ498" s="2" t="s">
        <v>3</v>
      </c>
      <c r="DR498" s="19">
        <f t="shared" si="51"/>
        <v>5.9466710000000003</v>
      </c>
      <c r="DS498" s="2">
        <f t="shared" si="52"/>
        <v>1.0900000000000001</v>
      </c>
      <c r="DT498" s="15">
        <f t="shared" si="53"/>
        <v>64.818713900000006</v>
      </c>
      <c r="DU498" s="2"/>
      <c r="DV498" s="2">
        <f t="shared" si="54"/>
        <v>0</v>
      </c>
      <c r="DW498" s="2"/>
      <c r="DX498" s="2"/>
      <c r="DY498" s="2"/>
      <c r="DZ498" s="2" t="s">
        <v>3</v>
      </c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 t="s">
        <v>3</v>
      </c>
      <c r="FR498" s="2" t="s">
        <v>89</v>
      </c>
      <c r="FS498" s="2" t="s">
        <v>123</v>
      </c>
      <c r="FT498" s="2"/>
      <c r="FU498" s="2"/>
      <c r="FV498" s="2" t="s">
        <v>3</v>
      </c>
    </row>
    <row r="499" spans="1:178" ht="15.75" customHeight="1" x14ac:dyDescent="0.2">
      <c r="A499" s="12" t="s">
        <v>74</v>
      </c>
      <c r="B499" s="2" t="s">
        <v>97</v>
      </c>
      <c r="C499" s="13" t="s">
        <v>1119</v>
      </c>
      <c r="D499" s="2" t="s">
        <v>99</v>
      </c>
      <c r="E499" s="2"/>
      <c r="F499" s="2"/>
      <c r="G499" s="2"/>
      <c r="H499" s="2" t="s">
        <v>79</v>
      </c>
      <c r="I499" s="2"/>
      <c r="J499" s="2"/>
      <c r="K499" s="2">
        <v>0</v>
      </c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>
        <v>0</v>
      </c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>
        <v>770</v>
      </c>
      <c r="BB499" s="2"/>
      <c r="BC499" s="2"/>
      <c r="BD499" s="2"/>
      <c r="BE499" s="2"/>
      <c r="BF499" s="2"/>
      <c r="BG499" s="2"/>
      <c r="BH499" s="2"/>
      <c r="BI499" s="2">
        <v>0.77</v>
      </c>
      <c r="BJ499" s="2">
        <v>4.2999999999999997E-2</v>
      </c>
      <c r="BK499" s="2"/>
      <c r="BL499" s="2">
        <v>1.7</v>
      </c>
      <c r="BM499" s="2"/>
      <c r="BN499" s="2"/>
      <c r="BO499" s="2"/>
      <c r="BP499" s="2"/>
      <c r="BQ499" s="2"/>
      <c r="BR499" s="2"/>
      <c r="BS499" s="2"/>
      <c r="BT499" s="2"/>
      <c r="BU499" s="2"/>
      <c r="BV499" s="2">
        <v>0</v>
      </c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>
        <v>0</v>
      </c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14" t="s">
        <v>100</v>
      </c>
      <c r="DM499" s="2" t="s">
        <v>100</v>
      </c>
      <c r="DN499" s="2">
        <f t="shared" si="49"/>
        <v>0.77</v>
      </c>
      <c r="DO499" s="2">
        <f t="shared" si="50"/>
        <v>4.2999999999999997E-2</v>
      </c>
      <c r="DP499" s="2" t="s">
        <v>1120</v>
      </c>
      <c r="DQ499" s="2" t="s">
        <v>3</v>
      </c>
      <c r="DR499" s="2">
        <f t="shared" si="51"/>
        <v>770</v>
      </c>
      <c r="DS499" s="2">
        <f t="shared" si="52"/>
        <v>0.77</v>
      </c>
      <c r="DT499" s="18">
        <f t="shared" si="53"/>
        <v>5929</v>
      </c>
      <c r="DU499" s="2"/>
      <c r="DV499" s="2">
        <f t="shared" si="54"/>
        <v>0</v>
      </c>
      <c r="DW499" s="2"/>
      <c r="DX499" s="2"/>
      <c r="DY499" s="2"/>
      <c r="DZ499" s="2" t="s">
        <v>3</v>
      </c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 t="s">
        <v>3</v>
      </c>
      <c r="FR499" s="2" t="s">
        <v>37</v>
      </c>
      <c r="FS499" s="2" t="s">
        <v>1121</v>
      </c>
      <c r="FT499" s="2"/>
      <c r="FU499" s="2"/>
      <c r="FV499" s="2" t="s">
        <v>3</v>
      </c>
    </row>
    <row r="500" spans="1:178" ht="15.75" customHeight="1" x14ac:dyDescent="0.2">
      <c r="A500" s="14" t="s">
        <v>96</v>
      </c>
      <c r="B500" s="2" t="s">
        <v>189</v>
      </c>
      <c r="C500" s="16" t="s">
        <v>1122</v>
      </c>
      <c r="D500" s="2" t="s">
        <v>99</v>
      </c>
      <c r="E500" s="43">
        <v>47.946129999999997</v>
      </c>
      <c r="F500" s="43">
        <v>-81.260260000000002</v>
      </c>
      <c r="G500" s="2"/>
      <c r="H500" s="2" t="s">
        <v>79</v>
      </c>
      <c r="I500" s="22"/>
      <c r="J500" s="2"/>
      <c r="K500" s="2">
        <v>0</v>
      </c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>
        <v>0</v>
      </c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3">
        <f>(205+7)*0.9072</f>
        <v>192.32640000000001</v>
      </c>
      <c r="BB500" s="4">
        <f>(0.41*205+0.88*7)/(205+7)</f>
        <v>0.42551886792452825</v>
      </c>
      <c r="BC500" s="2"/>
      <c r="BD500" s="2"/>
      <c r="BE500" s="2"/>
      <c r="BF500" s="2"/>
      <c r="BG500" s="2"/>
      <c r="BH500" s="2"/>
      <c r="BI500" s="4">
        <f>(0.14*205+0.3*7)/(205+7)</f>
        <v>0.14528301886792455</v>
      </c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>
        <v>0</v>
      </c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>
        <v>0</v>
      </c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14" t="s">
        <v>100</v>
      </c>
      <c r="DM500" s="2"/>
      <c r="DN500" s="2">
        <f t="shared" si="49"/>
        <v>0.14528301886792455</v>
      </c>
      <c r="DO500" s="2">
        <f t="shared" si="50"/>
        <v>0</v>
      </c>
      <c r="DP500" s="2" t="s">
        <v>191</v>
      </c>
      <c r="DQ500" s="2" t="s">
        <v>3</v>
      </c>
      <c r="DR500" s="15">
        <f t="shared" si="51"/>
        <v>192.32640000000001</v>
      </c>
      <c r="DS500" s="4">
        <f t="shared" si="52"/>
        <v>0.14528301886792455</v>
      </c>
      <c r="DT500" s="15">
        <f t="shared" si="53"/>
        <v>279.41759999999999</v>
      </c>
      <c r="DU500" s="2"/>
      <c r="DV500" s="2">
        <f t="shared" si="54"/>
        <v>0</v>
      </c>
      <c r="DW500" s="2"/>
      <c r="DX500" s="2"/>
      <c r="DY500" s="2"/>
      <c r="DZ500" s="2" t="s">
        <v>3</v>
      </c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 t="s">
        <v>3</v>
      </c>
      <c r="FR500" s="2" t="s">
        <v>89</v>
      </c>
      <c r="FS500" s="2" t="s">
        <v>123</v>
      </c>
      <c r="FT500" s="2"/>
      <c r="FU500" s="2"/>
      <c r="FV500" s="2" t="s">
        <v>3</v>
      </c>
    </row>
    <row r="501" spans="1:178" ht="15.75" customHeight="1" x14ac:dyDescent="0.2">
      <c r="A501" s="12" t="s">
        <v>74</v>
      </c>
      <c r="B501" s="2" t="s">
        <v>115</v>
      </c>
      <c r="C501" s="13" t="s">
        <v>1123</v>
      </c>
      <c r="D501" s="2" t="s">
        <v>99</v>
      </c>
      <c r="E501" s="2"/>
      <c r="F501" s="2"/>
      <c r="G501" s="2"/>
      <c r="H501" s="2" t="s">
        <v>79</v>
      </c>
      <c r="I501" s="2"/>
      <c r="J501" s="2"/>
      <c r="K501" s="2">
        <v>0</v>
      </c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>
        <v>0</v>
      </c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>
        <v>13</v>
      </c>
      <c r="BB501" s="2"/>
      <c r="BC501" s="2"/>
      <c r="BD501" s="2"/>
      <c r="BE501" s="2"/>
      <c r="BF501" s="2"/>
      <c r="BG501" s="2"/>
      <c r="BH501" s="2"/>
      <c r="BI501" s="2">
        <v>1.3</v>
      </c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>
        <v>0</v>
      </c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>
        <v>0</v>
      </c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14" t="s">
        <v>81</v>
      </c>
      <c r="DM501" s="2"/>
      <c r="DN501" s="2">
        <f t="shared" si="49"/>
        <v>1.3000000000000003</v>
      </c>
      <c r="DO501" s="2">
        <f t="shared" si="50"/>
        <v>0</v>
      </c>
      <c r="DP501" s="2" t="s">
        <v>1124</v>
      </c>
      <c r="DQ501" s="2" t="s">
        <v>3</v>
      </c>
      <c r="DR501" s="2">
        <f t="shared" si="51"/>
        <v>13</v>
      </c>
      <c r="DS501" s="2">
        <f t="shared" si="52"/>
        <v>1.3000000000000003</v>
      </c>
      <c r="DT501" s="15">
        <f t="shared" si="53"/>
        <v>169.00000000000003</v>
      </c>
      <c r="DU501" s="2"/>
      <c r="DV501" s="2">
        <f t="shared" si="54"/>
        <v>0</v>
      </c>
      <c r="DW501" s="2"/>
      <c r="DX501" s="2"/>
      <c r="DY501" s="2"/>
      <c r="DZ501" s="2" t="s">
        <v>3</v>
      </c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 t="s">
        <v>3</v>
      </c>
      <c r="FR501" s="2" t="s">
        <v>37</v>
      </c>
      <c r="FS501" s="2" t="s">
        <v>151</v>
      </c>
      <c r="FT501" s="2"/>
      <c r="FU501" s="2"/>
      <c r="FV501" s="2" t="s">
        <v>3</v>
      </c>
    </row>
    <row r="502" spans="1:178" ht="15.75" customHeight="1" x14ac:dyDescent="0.2">
      <c r="A502" s="12" t="s">
        <v>74</v>
      </c>
      <c r="B502" s="2" t="s">
        <v>115</v>
      </c>
      <c r="C502" s="13" t="s">
        <v>1125</v>
      </c>
      <c r="D502" s="2" t="s">
        <v>99</v>
      </c>
      <c r="E502" s="2"/>
      <c r="F502" s="2"/>
      <c r="G502" s="2"/>
      <c r="H502" s="2" t="s">
        <v>156</v>
      </c>
      <c r="I502" s="2"/>
      <c r="J502" s="2"/>
      <c r="K502" s="2">
        <v>14.295999999999999</v>
      </c>
      <c r="L502" s="2"/>
      <c r="M502" s="2"/>
      <c r="N502" s="2"/>
      <c r="O502" s="2"/>
      <c r="P502" s="2"/>
      <c r="Q502" s="2"/>
      <c r="R502" s="2"/>
      <c r="S502" s="2">
        <v>1.31</v>
      </c>
      <c r="T502" s="2">
        <v>0.05</v>
      </c>
      <c r="U502" s="2"/>
      <c r="V502" s="2"/>
      <c r="W502" s="2"/>
      <c r="X502" s="2"/>
      <c r="Y502" s="2"/>
      <c r="Z502" s="2"/>
      <c r="AA502" s="2">
        <v>16.420000000000002</v>
      </c>
      <c r="AB502" s="2">
        <v>41.27</v>
      </c>
      <c r="AC502" s="2"/>
      <c r="AD502" s="2"/>
      <c r="AE502" s="2"/>
      <c r="AF502" s="2">
        <v>55.970999999999997</v>
      </c>
      <c r="AG502" s="2"/>
      <c r="AH502" s="2"/>
      <c r="AI502" s="2"/>
      <c r="AJ502" s="2"/>
      <c r="AK502" s="2"/>
      <c r="AL502" s="2"/>
      <c r="AM502" s="2"/>
      <c r="AN502" s="4">
        <v>1.2</v>
      </c>
      <c r="AO502" s="2">
        <v>0.05</v>
      </c>
      <c r="AP502" s="2"/>
      <c r="AQ502" s="2"/>
      <c r="AR502" s="2"/>
      <c r="AS502" s="2"/>
      <c r="AT502" s="2"/>
      <c r="AU502" s="2"/>
      <c r="AV502" s="2">
        <v>17.02</v>
      </c>
      <c r="AW502" s="2">
        <v>40.619999999999997</v>
      </c>
      <c r="AX502" s="2"/>
      <c r="AY502" s="2"/>
      <c r="AZ502" s="2"/>
      <c r="BA502" s="2">
        <v>2.68</v>
      </c>
      <c r="BB502" s="2"/>
      <c r="BC502" s="2"/>
      <c r="BD502" s="2"/>
      <c r="BE502" s="2"/>
      <c r="BF502" s="2"/>
      <c r="BG502" s="2"/>
      <c r="BH502" s="2"/>
      <c r="BI502" s="2">
        <v>1.1399999999999999</v>
      </c>
      <c r="BJ502" s="2">
        <v>0.06</v>
      </c>
      <c r="BK502" s="2"/>
      <c r="BL502" s="2"/>
      <c r="BM502" s="2"/>
      <c r="BN502" s="2"/>
      <c r="BO502" s="2"/>
      <c r="BP502" s="2"/>
      <c r="BQ502" s="2">
        <v>22.32</v>
      </c>
      <c r="BR502" s="2">
        <v>35.869999999999997</v>
      </c>
      <c r="BS502" s="2"/>
      <c r="BT502" s="2"/>
      <c r="BU502" s="2"/>
      <c r="BV502" s="2">
        <v>0</v>
      </c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>
        <v>0</v>
      </c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14" t="s">
        <v>81</v>
      </c>
      <c r="DM502" s="2" t="s">
        <v>81</v>
      </c>
      <c r="DN502" s="2">
        <f t="shared" si="49"/>
        <v>1.2193532290567124</v>
      </c>
      <c r="DO502" s="2">
        <f t="shared" si="50"/>
        <v>5.0367390022893331E-2</v>
      </c>
      <c r="DP502" s="2" t="s">
        <v>627</v>
      </c>
      <c r="DQ502" s="2" t="s">
        <v>3</v>
      </c>
      <c r="DR502" s="4">
        <f t="shared" si="51"/>
        <v>72.947000000000003</v>
      </c>
      <c r="DS502" s="4">
        <f t="shared" si="52"/>
        <v>1.2193532290567124</v>
      </c>
      <c r="DT502" s="15">
        <f t="shared" si="53"/>
        <v>889.48160000000007</v>
      </c>
      <c r="DU502" s="2"/>
      <c r="DV502" s="2">
        <f t="shared" si="54"/>
        <v>0</v>
      </c>
      <c r="DW502" s="2"/>
      <c r="DX502" s="2"/>
      <c r="DY502" s="2"/>
      <c r="DZ502" s="2" t="s">
        <v>3</v>
      </c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 t="s">
        <v>3</v>
      </c>
      <c r="FR502" s="2" t="s">
        <v>37</v>
      </c>
      <c r="FS502" s="2" t="s">
        <v>106</v>
      </c>
      <c r="FT502" s="2"/>
      <c r="FU502" s="2"/>
      <c r="FV502" s="2" t="s">
        <v>3</v>
      </c>
    </row>
    <row r="503" spans="1:178" ht="15.75" customHeight="1" x14ac:dyDescent="0.2">
      <c r="A503" s="14" t="s">
        <v>96</v>
      </c>
      <c r="B503" s="2" t="s">
        <v>97</v>
      </c>
      <c r="C503" s="32" t="s">
        <v>1126</v>
      </c>
      <c r="D503" s="2" t="s">
        <v>99</v>
      </c>
      <c r="E503" s="2"/>
      <c r="F503" s="2"/>
      <c r="G503" s="2"/>
      <c r="H503" s="2" t="s">
        <v>79</v>
      </c>
      <c r="I503" s="2"/>
      <c r="J503" s="2"/>
      <c r="K503" s="2">
        <v>0</v>
      </c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>
        <v>0</v>
      </c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>
        <v>8</v>
      </c>
      <c r="BB503" s="2"/>
      <c r="BC503" s="2"/>
      <c r="BD503" s="2"/>
      <c r="BE503" s="2"/>
      <c r="BF503" s="2"/>
      <c r="BG503" s="2"/>
      <c r="BH503" s="2"/>
      <c r="BI503" s="2">
        <v>0.35</v>
      </c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>
        <v>0</v>
      </c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>
        <v>0</v>
      </c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14" t="s">
        <v>100</v>
      </c>
      <c r="DM503" s="2"/>
      <c r="DN503" s="2">
        <f t="shared" si="49"/>
        <v>0.35</v>
      </c>
      <c r="DO503" s="2">
        <f t="shared" si="50"/>
        <v>0</v>
      </c>
      <c r="DP503" s="2" t="s">
        <v>132</v>
      </c>
      <c r="DQ503" s="2" t="s">
        <v>3</v>
      </c>
      <c r="DR503" s="2">
        <f t="shared" si="51"/>
        <v>8</v>
      </c>
      <c r="DS503" s="2">
        <f t="shared" si="52"/>
        <v>0.35</v>
      </c>
      <c r="DT503" s="15">
        <f t="shared" si="53"/>
        <v>28</v>
      </c>
      <c r="DU503" s="2"/>
      <c r="DV503" s="2">
        <f t="shared" si="54"/>
        <v>0</v>
      </c>
      <c r="DW503" s="2"/>
      <c r="DX503" s="2"/>
      <c r="DY503" s="2"/>
      <c r="DZ503" s="2" t="s">
        <v>3</v>
      </c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 t="s">
        <v>3</v>
      </c>
      <c r="FR503" s="2" t="s">
        <v>89</v>
      </c>
      <c r="FS503" s="2" t="s">
        <v>522</v>
      </c>
      <c r="FT503" s="2"/>
      <c r="FU503" s="2"/>
      <c r="FV503" s="2" t="s">
        <v>3</v>
      </c>
    </row>
    <row r="504" spans="1:178" ht="15.75" customHeight="1" x14ac:dyDescent="0.2">
      <c r="A504" s="14" t="s">
        <v>96</v>
      </c>
      <c r="B504" s="2" t="s">
        <v>133</v>
      </c>
      <c r="C504" s="16" t="s">
        <v>1127</v>
      </c>
      <c r="D504" s="2" t="s">
        <v>120</v>
      </c>
      <c r="E504" s="2"/>
      <c r="F504" s="2"/>
      <c r="G504" s="2"/>
      <c r="H504" s="2" t="s">
        <v>1128</v>
      </c>
      <c r="I504" s="2"/>
      <c r="J504" s="2"/>
      <c r="K504" s="2">
        <v>0</v>
      </c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>
        <f>12.43+1.832</f>
        <v>14.262</v>
      </c>
      <c r="AG504" s="4">
        <f>(0.37*12.43+0.41*1.832)/AF504</f>
        <v>0.37513812929462909</v>
      </c>
      <c r="AH504" s="4">
        <f>(0.199*12.43+0.218*1.832)/AF504</f>
        <v>0.20144061141494882</v>
      </c>
      <c r="AI504" s="2"/>
      <c r="AJ504" s="2"/>
      <c r="AK504" s="2"/>
      <c r="AL504" s="2"/>
      <c r="AM504" s="2"/>
      <c r="AN504" s="4">
        <f>(0.35*12.43+0.37*1.832)/AF504</f>
        <v>0.35256906464731447</v>
      </c>
      <c r="AO504" s="4">
        <f>(0.02*12.43+0.03*1.832)/AF504</f>
        <v>2.1284532323657269E-2</v>
      </c>
      <c r="AP504" s="4">
        <f>(0.351*12.43+0.361*1.832)/AF504</f>
        <v>0.3522845323236572</v>
      </c>
      <c r="AQ504" s="4">
        <f>(0.386*12.43+0.387*1.832)/AF504</f>
        <v>0.38612845323236572</v>
      </c>
      <c r="AR504" s="2"/>
      <c r="AS504" s="2"/>
      <c r="AT504" s="2"/>
      <c r="AU504" s="2"/>
      <c r="AV504" s="2"/>
      <c r="AW504" s="2"/>
      <c r="AX504" s="2"/>
      <c r="AY504" s="2"/>
      <c r="AZ504" s="2"/>
      <c r="BA504" s="2">
        <f>0.25+0.736</f>
        <v>0.98599999999999999</v>
      </c>
      <c r="BB504" s="4">
        <f>(0.26*0.25+0.39*0.736)/BA504</f>
        <v>0.35703853955375259</v>
      </c>
      <c r="BC504" s="4">
        <f>(0.132*0.25+0.18*0.736)/BA504</f>
        <v>0.16782961460446247</v>
      </c>
      <c r="BD504" s="2"/>
      <c r="BE504" s="2"/>
      <c r="BF504" s="2"/>
      <c r="BG504" s="2"/>
      <c r="BH504" s="2"/>
      <c r="BI504" s="4">
        <f>(0.32*0.25+0.37*0.736)/BA504</f>
        <v>0.35732251521298175</v>
      </c>
      <c r="BJ504" s="4">
        <f>(0.02*0.25+0.03*0.736)/BA504</f>
        <v>2.7464503042596348E-2</v>
      </c>
      <c r="BK504" s="4">
        <f>(0.234*0.25+0.316*0.736)/BA504</f>
        <v>0.29520892494929007</v>
      </c>
      <c r="BL504" s="4">
        <f>(0.222*0.25+0.333*0.736)/BA504</f>
        <v>0.30485598377281947</v>
      </c>
      <c r="BM504" s="2"/>
      <c r="BN504" s="2"/>
      <c r="BO504" s="2"/>
      <c r="BP504" s="2"/>
      <c r="BQ504" s="2"/>
      <c r="BR504" s="2"/>
      <c r="BS504" s="2"/>
      <c r="BT504" s="2"/>
      <c r="BU504" s="2"/>
      <c r="BV504" s="2">
        <v>0</v>
      </c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>
        <v>11.827999999999999</v>
      </c>
      <c r="CR504" s="2">
        <v>0.35</v>
      </c>
      <c r="CS504" s="2">
        <v>0.18</v>
      </c>
      <c r="CT504" s="2"/>
      <c r="CU504" s="2"/>
      <c r="CV504" s="2"/>
      <c r="CW504" s="2"/>
      <c r="CX504" s="2"/>
      <c r="CY504" s="2">
        <v>0.33</v>
      </c>
      <c r="CZ504" s="2">
        <v>0.02</v>
      </c>
      <c r="DA504" s="2">
        <v>0.33</v>
      </c>
      <c r="DB504" s="2">
        <v>0.36</v>
      </c>
      <c r="DC504" s="2"/>
      <c r="DD504" s="2"/>
      <c r="DE504" s="2"/>
      <c r="DF504" s="2"/>
      <c r="DG504" s="2"/>
      <c r="DH504" s="2"/>
      <c r="DI504" s="2"/>
      <c r="DJ504" s="2"/>
      <c r="DK504" s="2"/>
      <c r="DL504" s="14" t="s">
        <v>81</v>
      </c>
      <c r="DM504" s="2" t="s">
        <v>81</v>
      </c>
      <c r="DN504" s="2">
        <f t="shared" si="49"/>
        <v>0.35287644281217201</v>
      </c>
      <c r="DO504" s="2">
        <f t="shared" si="50"/>
        <v>2.168415529905561E-2</v>
      </c>
      <c r="DP504" s="2" t="s">
        <v>225</v>
      </c>
      <c r="DQ504" s="2" t="s">
        <v>3</v>
      </c>
      <c r="DR504" s="4">
        <f t="shared" si="51"/>
        <v>15.248000000000001</v>
      </c>
      <c r="DS504" s="4">
        <f t="shared" si="52"/>
        <v>0.35287644281217201</v>
      </c>
      <c r="DT504" s="15">
        <f t="shared" si="53"/>
        <v>53.806599999999996</v>
      </c>
      <c r="DU504" s="2"/>
      <c r="DV504" s="4">
        <f t="shared" si="54"/>
        <v>11.827999999999999</v>
      </c>
      <c r="DW504" s="4">
        <f>(BV504*CD504+CQ504*CY504)/DV504</f>
        <v>0.33</v>
      </c>
      <c r="DX504" s="15">
        <f>1000*DV504*DW504/100</f>
        <v>39.032400000000003</v>
      </c>
      <c r="DY504" s="2"/>
      <c r="DZ504" s="2" t="s">
        <v>3</v>
      </c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 t="s">
        <v>3</v>
      </c>
      <c r="FR504" s="2" t="s">
        <v>89</v>
      </c>
      <c r="FS504" s="2" t="s">
        <v>123</v>
      </c>
      <c r="FT504" s="2" t="s">
        <v>123</v>
      </c>
      <c r="FU504" s="2"/>
      <c r="FV504" s="2" t="s">
        <v>3</v>
      </c>
    </row>
    <row r="505" spans="1:178" ht="15.75" customHeight="1" x14ac:dyDescent="0.2">
      <c r="A505" s="14" t="s">
        <v>96</v>
      </c>
      <c r="B505" s="2" t="s">
        <v>133</v>
      </c>
      <c r="C505" s="16" t="s">
        <v>1129</v>
      </c>
      <c r="D505" s="2" t="s">
        <v>99</v>
      </c>
      <c r="E505" s="2"/>
      <c r="F505" s="2"/>
      <c r="G505" s="2"/>
      <c r="H505" s="2" t="s">
        <v>1130</v>
      </c>
      <c r="I505" s="2"/>
      <c r="J505" s="2"/>
      <c r="K505" s="2">
        <v>0</v>
      </c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>
        <v>1.546</v>
      </c>
      <c r="AG505" s="4">
        <v>0.1</v>
      </c>
      <c r="AH505" s="2"/>
      <c r="AI505" s="2"/>
      <c r="AJ505" s="2"/>
      <c r="AK505" s="2"/>
      <c r="AL505" s="2"/>
      <c r="AM505" s="2"/>
      <c r="AN505" s="4">
        <v>1.4</v>
      </c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>
        <v>0.32200000000000001</v>
      </c>
      <c r="BB505" s="2">
        <v>0.08</v>
      </c>
      <c r="BC505" s="2"/>
      <c r="BD505" s="2"/>
      <c r="BE505" s="2"/>
      <c r="BF505" s="2"/>
      <c r="BG505" s="2"/>
      <c r="BH505" s="2"/>
      <c r="BI505" s="4">
        <f>(0.86*12+1.4*228+1.12*59+0.52*22)/(12+228+59+22)</f>
        <v>1.2680373831775702</v>
      </c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>
        <v>0</v>
      </c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>
        <v>0</v>
      </c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14" t="s">
        <v>81</v>
      </c>
      <c r="DM505" s="2"/>
      <c r="DN505" s="2">
        <f t="shared" si="49"/>
        <v>1.3772526966719367</v>
      </c>
      <c r="DO505" s="2">
        <f t="shared" si="50"/>
        <v>0</v>
      </c>
      <c r="DP505" s="2" t="s">
        <v>1131</v>
      </c>
      <c r="DQ505" s="2" t="s">
        <v>3</v>
      </c>
      <c r="DR505" s="2">
        <f t="shared" si="51"/>
        <v>1.8680000000000001</v>
      </c>
      <c r="DS505" s="4">
        <f t="shared" si="52"/>
        <v>1.3772526966719367</v>
      </c>
      <c r="DT505" s="15">
        <f t="shared" si="53"/>
        <v>25.727080373831779</v>
      </c>
      <c r="DU505" s="2"/>
      <c r="DV505" s="2">
        <f t="shared" si="54"/>
        <v>0</v>
      </c>
      <c r="DW505" s="2"/>
      <c r="DX505" s="2"/>
      <c r="DY505" s="2"/>
      <c r="DZ505" s="2" t="s">
        <v>3</v>
      </c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 t="s">
        <v>3</v>
      </c>
      <c r="FR505" s="2" t="s">
        <v>89</v>
      </c>
      <c r="FS505" s="2" t="s">
        <v>137</v>
      </c>
      <c r="FT505" s="2"/>
      <c r="FU505" s="2"/>
      <c r="FV505" s="2" t="s">
        <v>3</v>
      </c>
    </row>
    <row r="506" spans="1:178" ht="15.75" customHeight="1" x14ac:dyDescent="0.2">
      <c r="A506" s="14" t="s">
        <v>96</v>
      </c>
      <c r="B506" s="2" t="s">
        <v>133</v>
      </c>
      <c r="C506" s="16" t="s">
        <v>1132</v>
      </c>
      <c r="D506" s="2" t="s">
        <v>120</v>
      </c>
      <c r="E506" s="2"/>
      <c r="F506" s="2"/>
      <c r="G506" s="2"/>
      <c r="H506" s="2" t="s">
        <v>1130</v>
      </c>
      <c r="I506" s="2"/>
      <c r="J506" s="2"/>
      <c r="K506" s="2">
        <v>0</v>
      </c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>
        <v>0</v>
      </c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19">
        <v>0.79249999999999998</v>
      </c>
      <c r="BB506" s="2"/>
      <c r="BC506" s="2"/>
      <c r="BD506" s="2"/>
      <c r="BE506" s="2"/>
      <c r="BF506" s="2"/>
      <c r="BG506" s="2"/>
      <c r="BH506" s="2"/>
      <c r="BI506" s="2">
        <v>0.81</v>
      </c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>
        <v>0</v>
      </c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>
        <v>0.872</v>
      </c>
      <c r="CR506" s="2"/>
      <c r="CS506" s="2"/>
      <c r="CT506" s="2"/>
      <c r="CU506" s="2"/>
      <c r="CV506" s="2"/>
      <c r="CW506" s="2"/>
      <c r="CX506" s="2"/>
      <c r="CY506" s="4">
        <v>0.7</v>
      </c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14" t="s">
        <v>81</v>
      </c>
      <c r="DM506" s="2"/>
      <c r="DN506" s="2">
        <f t="shared" si="49"/>
        <v>0.81000000000000016</v>
      </c>
      <c r="DO506" s="2">
        <f t="shared" si="50"/>
        <v>0</v>
      </c>
      <c r="DP506" s="2" t="s">
        <v>701</v>
      </c>
      <c r="DQ506" s="2" t="s">
        <v>3</v>
      </c>
      <c r="DR506" s="19">
        <f t="shared" si="51"/>
        <v>0.79249999999999998</v>
      </c>
      <c r="DS506" s="2">
        <f t="shared" si="52"/>
        <v>0.81000000000000016</v>
      </c>
      <c r="DT506" s="15">
        <f t="shared" si="53"/>
        <v>6.4192500000000017</v>
      </c>
      <c r="DU506" s="2"/>
      <c r="DV506" s="2">
        <f t="shared" si="54"/>
        <v>0.872</v>
      </c>
      <c r="DW506" s="4">
        <f t="shared" ref="DW506:DW507" si="102">(BV506*CD506+CQ506*CY506)/DV506</f>
        <v>0.7</v>
      </c>
      <c r="DX506" s="15">
        <f t="shared" ref="DX506:DX507" si="103">1000*DV506*DW506/100</f>
        <v>6.1040000000000001</v>
      </c>
      <c r="DY506" s="2"/>
      <c r="DZ506" s="2" t="s">
        <v>3</v>
      </c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 t="s">
        <v>3</v>
      </c>
      <c r="FR506" s="2" t="s">
        <v>89</v>
      </c>
      <c r="FS506" s="2" t="s">
        <v>137</v>
      </c>
      <c r="FT506" s="2"/>
      <c r="FU506" s="2"/>
      <c r="FV506" s="2" t="s">
        <v>3</v>
      </c>
    </row>
    <row r="507" spans="1:178" ht="15.75" customHeight="1" x14ac:dyDescent="0.2">
      <c r="A507" s="14" t="s">
        <v>96</v>
      </c>
      <c r="B507" s="2" t="s">
        <v>133</v>
      </c>
      <c r="C507" s="16" t="s">
        <v>1133</v>
      </c>
      <c r="D507" s="2" t="s">
        <v>120</v>
      </c>
      <c r="E507" s="2"/>
      <c r="F507" s="2"/>
      <c r="G507" s="2"/>
      <c r="H507" s="2" t="s">
        <v>1130</v>
      </c>
      <c r="I507" s="2"/>
      <c r="J507" s="2"/>
      <c r="K507" s="2">
        <v>0.14799999999999999</v>
      </c>
      <c r="L507" s="2">
        <v>0.03</v>
      </c>
      <c r="M507" s="2"/>
      <c r="N507" s="2"/>
      <c r="O507" s="2"/>
      <c r="P507" s="2"/>
      <c r="Q507" s="2"/>
      <c r="R507" s="2"/>
      <c r="S507" s="2">
        <v>2.4300000000000002</v>
      </c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>
        <v>0.45100000000000001</v>
      </c>
      <c r="AG507" s="2">
        <v>0.01</v>
      </c>
      <c r="AH507" s="2"/>
      <c r="AI507" s="2"/>
      <c r="AJ507" s="2"/>
      <c r="AK507" s="2"/>
      <c r="AL507" s="2"/>
      <c r="AM507" s="2"/>
      <c r="AN507" s="2">
        <v>1.1599999999999999</v>
      </c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>
        <v>0.73699999999999999</v>
      </c>
      <c r="BB507" s="2">
        <v>0.03</v>
      </c>
      <c r="BC507" s="2"/>
      <c r="BD507" s="2"/>
      <c r="BE507" s="2"/>
      <c r="BF507" s="2"/>
      <c r="BG507" s="2"/>
      <c r="BH507" s="2"/>
      <c r="BI507" s="2">
        <v>1.57</v>
      </c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>
        <v>6.2899999999999998E-2</v>
      </c>
      <c r="BW507" s="2"/>
      <c r="BX507" s="2"/>
      <c r="BY507" s="2"/>
      <c r="BZ507" s="2"/>
      <c r="CA507" s="2"/>
      <c r="CB507" s="2"/>
      <c r="CC507" s="2"/>
      <c r="CD507" s="2">
        <v>1.35</v>
      </c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>
        <v>0.19700000000000001</v>
      </c>
      <c r="CR507" s="2"/>
      <c r="CS507" s="2"/>
      <c r="CT507" s="2"/>
      <c r="CU507" s="2"/>
      <c r="CV507" s="2"/>
      <c r="CW507" s="2"/>
      <c r="CX507" s="2"/>
      <c r="CY507" s="2">
        <v>0.95</v>
      </c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14" t="s">
        <v>81</v>
      </c>
      <c r="DM507" s="2"/>
      <c r="DN507" s="2">
        <f t="shared" si="49"/>
        <v>1.5268637724550898</v>
      </c>
      <c r="DO507" s="2">
        <f t="shared" si="50"/>
        <v>0</v>
      </c>
      <c r="DP507" s="2" t="s">
        <v>1131</v>
      </c>
      <c r="DQ507" s="2" t="s">
        <v>3</v>
      </c>
      <c r="DR507" s="2">
        <f t="shared" si="51"/>
        <v>1.3359999999999999</v>
      </c>
      <c r="DS507" s="4">
        <f t="shared" si="52"/>
        <v>1.5268637724550898</v>
      </c>
      <c r="DT507" s="15">
        <f t="shared" si="53"/>
        <v>20.398899999999998</v>
      </c>
      <c r="DU507" s="2"/>
      <c r="DV507" s="19">
        <f t="shared" si="54"/>
        <v>0.25990000000000002</v>
      </c>
      <c r="DW507" s="4">
        <f t="shared" si="102"/>
        <v>1.0468064640246248</v>
      </c>
      <c r="DX507" s="15">
        <f t="shared" si="103"/>
        <v>2.7206500000000005</v>
      </c>
      <c r="DY507" s="2"/>
      <c r="DZ507" s="2" t="s">
        <v>3</v>
      </c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 t="s">
        <v>3</v>
      </c>
      <c r="FR507" s="2" t="s">
        <v>89</v>
      </c>
      <c r="FS507" s="2" t="s">
        <v>137</v>
      </c>
      <c r="FT507" s="2"/>
      <c r="FU507" s="2"/>
      <c r="FV507" s="2" t="s">
        <v>3</v>
      </c>
    </row>
    <row r="508" spans="1:178" ht="15.75" customHeight="1" x14ac:dyDescent="0.2">
      <c r="A508" s="14" t="s">
        <v>96</v>
      </c>
      <c r="B508" s="2" t="s">
        <v>85</v>
      </c>
      <c r="C508" s="16" t="s">
        <v>1134</v>
      </c>
      <c r="D508" s="2" t="s">
        <v>99</v>
      </c>
      <c r="E508" s="2"/>
      <c r="F508" s="2"/>
      <c r="G508" s="2"/>
      <c r="H508" s="2" t="s">
        <v>1135</v>
      </c>
      <c r="I508" s="2"/>
      <c r="J508" s="2"/>
      <c r="K508" s="15">
        <f>28/0.35</f>
        <v>80</v>
      </c>
      <c r="L508" s="2">
        <v>7.0000000000000007E-2</v>
      </c>
      <c r="M508" s="2"/>
      <c r="N508" s="2"/>
      <c r="O508" s="2"/>
      <c r="P508" s="2"/>
      <c r="Q508" s="2"/>
      <c r="R508" s="2"/>
      <c r="S508" s="4">
        <v>0.2</v>
      </c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15">
        <f>34/0.35</f>
        <v>97.142857142857153</v>
      </c>
      <c r="AG508" s="2">
        <v>7.0000000000000007E-2</v>
      </c>
      <c r="AH508" s="2"/>
      <c r="AI508" s="2"/>
      <c r="AJ508" s="2"/>
      <c r="AK508" s="2"/>
      <c r="AL508" s="2"/>
      <c r="AM508" s="2"/>
      <c r="AN508" s="2">
        <v>0.18</v>
      </c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15">
        <f>149.9/0.35</f>
        <v>428.28571428571433</v>
      </c>
      <c r="BB508" s="2">
        <v>0.08</v>
      </c>
      <c r="BC508" s="2"/>
      <c r="BD508" s="2"/>
      <c r="BE508" s="2"/>
      <c r="BF508" s="2"/>
      <c r="BG508" s="2"/>
      <c r="BH508" s="2"/>
      <c r="BI508" s="2">
        <v>0.19</v>
      </c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>
        <v>0</v>
      </c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>
        <v>0</v>
      </c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14" t="s">
        <v>81</v>
      </c>
      <c r="DM508" s="2"/>
      <c r="DN508" s="2">
        <f t="shared" si="49"/>
        <v>0.1897168475696083</v>
      </c>
      <c r="DO508" s="2">
        <f t="shared" si="50"/>
        <v>0</v>
      </c>
      <c r="DP508" s="2" t="s">
        <v>95</v>
      </c>
      <c r="DQ508" s="2" t="s">
        <v>3</v>
      </c>
      <c r="DR508" s="15">
        <f t="shared" si="51"/>
        <v>605.42857142857156</v>
      </c>
      <c r="DS508" s="4">
        <f t="shared" si="52"/>
        <v>0.1897168475696083</v>
      </c>
      <c r="DT508" s="18">
        <f t="shared" si="53"/>
        <v>1148.6000000000004</v>
      </c>
      <c r="DU508" s="2"/>
      <c r="DV508" s="2">
        <f t="shared" si="54"/>
        <v>0</v>
      </c>
      <c r="DW508" s="2"/>
      <c r="DX508" s="2"/>
      <c r="DY508" s="2"/>
      <c r="DZ508" s="2" t="s">
        <v>3</v>
      </c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 t="s">
        <v>3</v>
      </c>
      <c r="FR508" s="2" t="s">
        <v>89</v>
      </c>
      <c r="FS508" s="2" t="s">
        <v>90</v>
      </c>
      <c r="FT508" s="2" t="s">
        <v>162</v>
      </c>
      <c r="FU508" s="2" t="s">
        <v>130</v>
      </c>
      <c r="FV508" s="2" t="s">
        <v>3</v>
      </c>
    </row>
    <row r="509" spans="1:178" ht="15.75" customHeight="1" x14ac:dyDescent="0.2">
      <c r="A509" s="14" t="s">
        <v>96</v>
      </c>
      <c r="B509" s="2" t="s">
        <v>133</v>
      </c>
      <c r="C509" s="16" t="s">
        <v>1136</v>
      </c>
      <c r="D509" s="2" t="s">
        <v>99</v>
      </c>
      <c r="E509" s="2"/>
      <c r="F509" s="2"/>
      <c r="G509" s="2"/>
      <c r="H509" s="2" t="s">
        <v>1137</v>
      </c>
      <c r="I509" s="2"/>
      <c r="J509" s="2"/>
      <c r="K509" s="2">
        <v>0.73599999999999999</v>
      </c>
      <c r="L509" s="2">
        <v>0.66</v>
      </c>
      <c r="M509" s="2">
        <v>0.22</v>
      </c>
      <c r="N509" s="2"/>
      <c r="O509" s="2"/>
      <c r="P509" s="2"/>
      <c r="Q509" s="2"/>
      <c r="R509" s="2"/>
      <c r="S509" s="2">
        <v>0.89</v>
      </c>
      <c r="T509" s="2"/>
      <c r="U509" s="2">
        <v>0.37</v>
      </c>
      <c r="V509" s="2">
        <v>1.19</v>
      </c>
      <c r="W509" s="2"/>
      <c r="X509" s="2"/>
      <c r="Y509" s="2"/>
      <c r="Z509" s="2"/>
      <c r="AA509" s="2"/>
      <c r="AB509" s="2"/>
      <c r="AC509" s="2"/>
      <c r="AD509" s="2"/>
      <c r="AE509" s="2"/>
      <c r="AF509" s="2">
        <v>1.847</v>
      </c>
      <c r="AG509" s="4">
        <v>0.6</v>
      </c>
      <c r="AH509" s="2">
        <v>0.23</v>
      </c>
      <c r="AI509" s="2"/>
      <c r="AJ509" s="2"/>
      <c r="AK509" s="2"/>
      <c r="AL509" s="2"/>
      <c r="AM509" s="2"/>
      <c r="AN509" s="2">
        <v>0.92</v>
      </c>
      <c r="AO509" s="2"/>
      <c r="AP509" s="2">
        <v>0.33</v>
      </c>
      <c r="AQ509" s="2">
        <v>1.05</v>
      </c>
      <c r="AR509" s="2"/>
      <c r="AS509" s="2"/>
      <c r="AT509" s="2"/>
      <c r="AU509" s="2"/>
      <c r="AV509" s="2"/>
      <c r="AW509" s="2"/>
      <c r="AX509" s="2"/>
      <c r="AY509" s="2"/>
      <c r="AZ509" s="2"/>
      <c r="BA509" s="2">
        <v>0.34200000000000003</v>
      </c>
      <c r="BB509" s="2">
        <v>0.61</v>
      </c>
      <c r="BC509" s="2">
        <v>0.18</v>
      </c>
      <c r="BD509" s="2"/>
      <c r="BE509" s="2"/>
      <c r="BF509" s="2"/>
      <c r="BG509" s="2"/>
      <c r="BH509" s="2"/>
      <c r="BI509" s="2">
        <v>1.1100000000000001</v>
      </c>
      <c r="BJ509" s="2"/>
      <c r="BK509" s="2">
        <v>0.27</v>
      </c>
      <c r="BL509" s="2">
        <v>0.97</v>
      </c>
      <c r="BM509" s="2"/>
      <c r="BN509" s="2"/>
      <c r="BO509" s="2"/>
      <c r="BP509" s="2"/>
      <c r="BQ509" s="2"/>
      <c r="BR509" s="2"/>
      <c r="BS509" s="2"/>
      <c r="BT509" s="2"/>
      <c r="BU509" s="2"/>
      <c r="BV509" s="2">
        <v>0</v>
      </c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>
        <v>0</v>
      </c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14" t="s">
        <v>81</v>
      </c>
      <c r="DM509" s="2"/>
      <c r="DN509" s="2">
        <f t="shared" si="49"/>
        <v>0.93466666666666665</v>
      </c>
      <c r="DO509" s="2">
        <f t="shared" si="50"/>
        <v>0</v>
      </c>
      <c r="DP509" s="2" t="s">
        <v>1138</v>
      </c>
      <c r="DQ509" s="2" t="s">
        <v>3</v>
      </c>
      <c r="DR509" s="2">
        <f t="shared" si="51"/>
        <v>2.9250000000000003</v>
      </c>
      <c r="DS509" s="4">
        <f t="shared" si="52"/>
        <v>0.93466666666666665</v>
      </c>
      <c r="DT509" s="15">
        <f t="shared" si="53"/>
        <v>27.339000000000006</v>
      </c>
      <c r="DU509" s="2"/>
      <c r="DV509" s="2">
        <f t="shared" si="54"/>
        <v>0</v>
      </c>
      <c r="DW509" s="2"/>
      <c r="DX509" s="2"/>
      <c r="DY509" s="2"/>
      <c r="DZ509" s="2" t="s">
        <v>3</v>
      </c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 t="s">
        <v>3</v>
      </c>
      <c r="FR509" s="2" t="s">
        <v>89</v>
      </c>
      <c r="FS509" s="2" t="s">
        <v>123</v>
      </c>
      <c r="FT509" s="2" t="s">
        <v>123</v>
      </c>
      <c r="FU509" s="2"/>
      <c r="FV509" s="2" t="s">
        <v>3</v>
      </c>
    </row>
    <row r="510" spans="1:178" ht="15.75" customHeight="1" x14ac:dyDescent="0.2">
      <c r="A510" s="14" t="s">
        <v>96</v>
      </c>
      <c r="B510" s="2" t="s">
        <v>164</v>
      </c>
      <c r="C510" s="21" t="s">
        <v>1139</v>
      </c>
      <c r="D510" s="2" t="s">
        <v>99</v>
      </c>
      <c r="E510" s="2"/>
      <c r="F510" s="2"/>
      <c r="G510" s="2" t="s">
        <v>78</v>
      </c>
      <c r="H510" s="2" t="s">
        <v>1140</v>
      </c>
      <c r="I510" s="2"/>
      <c r="J510" s="2" t="s">
        <v>181</v>
      </c>
      <c r="K510" s="2">
        <v>12.5</v>
      </c>
      <c r="L510" s="2">
        <v>0.11</v>
      </c>
      <c r="M510" s="2"/>
      <c r="N510" s="2"/>
      <c r="O510" s="2"/>
      <c r="P510" s="2"/>
      <c r="Q510" s="2"/>
      <c r="R510" s="2"/>
      <c r="S510" s="2">
        <v>0.38</v>
      </c>
      <c r="T510" s="2">
        <v>2.5000000000000001E-2</v>
      </c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>
        <v>6.1</v>
      </c>
      <c r="AG510" s="2">
        <v>0.08</v>
      </c>
      <c r="AH510" s="2"/>
      <c r="AI510" s="2"/>
      <c r="AJ510" s="2"/>
      <c r="AK510" s="2"/>
      <c r="AL510" s="2"/>
      <c r="AM510" s="2"/>
      <c r="AN510" s="2">
        <v>0.59</v>
      </c>
      <c r="AO510" s="2">
        <v>2.1999999999999999E-2</v>
      </c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>
        <v>6.1</v>
      </c>
      <c r="BB510" s="2">
        <v>0.06</v>
      </c>
      <c r="BC510" s="2"/>
      <c r="BD510" s="2"/>
      <c r="BE510" s="2"/>
      <c r="BF510" s="2"/>
      <c r="BG510" s="2"/>
      <c r="BH510" s="2"/>
      <c r="BI510" s="2">
        <v>0.27</v>
      </c>
      <c r="BJ510" s="2">
        <v>1.6E-2</v>
      </c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>
        <v>0</v>
      </c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>
        <v>0</v>
      </c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14" t="s">
        <v>81</v>
      </c>
      <c r="DM510" s="2" t="s">
        <v>81</v>
      </c>
      <c r="DN510" s="2">
        <f t="shared" si="49"/>
        <v>0.40469635627530359</v>
      </c>
      <c r="DO510" s="2">
        <f t="shared" si="50"/>
        <v>2.203643724696356E-2</v>
      </c>
      <c r="DP510" s="2" t="s">
        <v>211</v>
      </c>
      <c r="DQ510" s="2" t="s">
        <v>3</v>
      </c>
      <c r="DR510" s="2">
        <f t="shared" si="51"/>
        <v>24.700000000000003</v>
      </c>
      <c r="DS510" s="4">
        <f t="shared" si="52"/>
        <v>0.40469635627530359</v>
      </c>
      <c r="DT510" s="15">
        <f t="shared" si="53"/>
        <v>99.96</v>
      </c>
      <c r="DU510" s="2"/>
      <c r="DV510" s="2">
        <f t="shared" si="54"/>
        <v>0</v>
      </c>
      <c r="DW510" s="2"/>
      <c r="DX510" s="2"/>
      <c r="DY510" s="2"/>
      <c r="DZ510" s="2" t="s">
        <v>3</v>
      </c>
      <c r="EA510" s="2" t="s">
        <v>133</v>
      </c>
      <c r="EB510" s="3">
        <f>15635.4229+7.909</f>
        <v>15643.331899999999</v>
      </c>
      <c r="EC510" s="2" t="s">
        <v>176</v>
      </c>
      <c r="ED510" s="3">
        <v>1480.6010000000001</v>
      </c>
      <c r="EE510" s="2" t="s">
        <v>176</v>
      </c>
      <c r="EF510" s="3">
        <v>21923.144605854432</v>
      </c>
      <c r="EG510" s="2" t="s">
        <v>176</v>
      </c>
      <c r="EH510" s="3">
        <f>EF510-ED510</f>
        <v>20442.543605854433</v>
      </c>
      <c r="EI510" s="2"/>
      <c r="EJ510" s="3">
        <f>SUM(EP510,EX510,FB510)</f>
        <v>0</v>
      </c>
      <c r="EK510" s="2"/>
      <c r="EL510" s="3">
        <f>EB510+FD510</f>
        <v>15643.331899999999</v>
      </c>
      <c r="EM510" s="2" t="s">
        <v>133</v>
      </c>
      <c r="EN510" s="3">
        <f>SUM(DR707:DR766)</f>
        <v>0</v>
      </c>
      <c r="EO510" s="4" t="e">
        <f>100*(EP510/1000)/EN510</f>
        <v>#DIV/0!</v>
      </c>
      <c r="EP510" s="3">
        <f>SUM(DT707:DT766)</f>
        <v>0</v>
      </c>
      <c r="EQ510" s="2">
        <f>COUNT(DT707:DT766)</f>
        <v>0</v>
      </c>
      <c r="ER510" s="2" t="s">
        <v>176</v>
      </c>
      <c r="ES510" s="2" t="s">
        <v>176</v>
      </c>
      <c r="ET510" s="2" t="s">
        <v>176</v>
      </c>
      <c r="EU510" s="2" t="s">
        <v>176</v>
      </c>
      <c r="EV510" s="3">
        <f>SUM(DR702:DR706)</f>
        <v>0</v>
      </c>
      <c r="EW510" s="4" t="e">
        <f>100*(EX510/1000)/EV510</f>
        <v>#DIV/0!</v>
      </c>
      <c r="EX510" s="3">
        <f>SUM(DT702:DT706)</f>
        <v>0</v>
      </c>
      <c r="EY510" s="2">
        <f>COUNT(DT702:DT706)</f>
        <v>0</v>
      </c>
      <c r="EZ510" s="15">
        <f>SUM(DR767:DR768)</f>
        <v>0</v>
      </c>
      <c r="FA510" s="4" t="e">
        <f>100*(FB510/1000)/EZ510</f>
        <v>#DIV/0!</v>
      </c>
      <c r="FB510" s="15">
        <f>SUM(DT767:DT768)</f>
        <v>0</v>
      </c>
      <c r="FC510" s="2">
        <f>COUNT(DT767:DT768)</f>
        <v>0</v>
      </c>
      <c r="FD510" s="3">
        <f>SUM(EP510,ET510,EX510,FB510)</f>
        <v>0</v>
      </c>
      <c r="FE510" s="3">
        <f>SUM(DV707:DV766)</f>
        <v>0</v>
      </c>
      <c r="FF510" s="4" t="e">
        <f>100*(FG510/1000)/FE510</f>
        <v>#DIV/0!</v>
      </c>
      <c r="FG510" s="3">
        <f>SUM(DX707:DX766)</f>
        <v>0</v>
      </c>
      <c r="FH510" s="2">
        <f>COUNT(DX707:DX766)</f>
        <v>0</v>
      </c>
      <c r="FI510" s="2" t="s">
        <v>176</v>
      </c>
      <c r="FJ510" s="2" t="s">
        <v>176</v>
      </c>
      <c r="FK510" s="2" t="s">
        <v>176</v>
      </c>
      <c r="FL510" s="2" t="s">
        <v>176</v>
      </c>
      <c r="FM510" s="2" t="s">
        <v>176</v>
      </c>
      <c r="FN510" s="2" t="s">
        <v>176</v>
      </c>
      <c r="FO510" s="3">
        <f>SUM(FG510,FK510,FM510,FN510)</f>
        <v>0</v>
      </c>
      <c r="FP510" s="2" t="s">
        <v>133</v>
      </c>
      <c r="FQ510" s="2" t="s">
        <v>3</v>
      </c>
      <c r="FR510" s="2" t="s">
        <v>183</v>
      </c>
      <c r="FS510" s="2"/>
      <c r="FT510" s="2"/>
      <c r="FU510" s="2"/>
      <c r="FV510" s="2" t="s">
        <v>3</v>
      </c>
    </row>
    <row r="511" spans="1:178" ht="15.75" customHeight="1" x14ac:dyDescent="0.2">
      <c r="A511" s="12" t="s">
        <v>74</v>
      </c>
      <c r="B511" s="2" t="s">
        <v>502</v>
      </c>
      <c r="C511" s="13" t="s">
        <v>1141</v>
      </c>
      <c r="D511" s="2" t="s">
        <v>120</v>
      </c>
      <c r="E511" s="2"/>
      <c r="F511" s="2"/>
      <c r="G511" s="2"/>
      <c r="H511" s="2" t="s">
        <v>1142</v>
      </c>
      <c r="I511" s="2"/>
      <c r="J511" s="2"/>
      <c r="K511" s="2">
        <v>0</v>
      </c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>
        <v>0</v>
      </c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>
        <v>107.4</v>
      </c>
      <c r="BB511" s="2"/>
      <c r="BC511" s="2"/>
      <c r="BD511" s="2"/>
      <c r="BE511" s="2"/>
      <c r="BF511" s="2"/>
      <c r="BG511" s="2"/>
      <c r="BH511" s="2"/>
      <c r="BI511" s="2" t="s">
        <v>1143</v>
      </c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>
        <v>0</v>
      </c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>
        <v>0</v>
      </c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14" t="s">
        <v>100</v>
      </c>
      <c r="DM511" s="2"/>
      <c r="DN511" s="2">
        <f t="shared" si="49"/>
        <v>0.84000000000000008</v>
      </c>
      <c r="DO511" s="2">
        <f t="shared" si="50"/>
        <v>0</v>
      </c>
      <c r="DP511" s="2" t="s">
        <v>113</v>
      </c>
      <c r="DQ511" s="2" t="s">
        <v>3</v>
      </c>
      <c r="DR511" s="2">
        <f t="shared" si="51"/>
        <v>107.4</v>
      </c>
      <c r="DS511" s="2">
        <f t="shared" si="52"/>
        <v>0.84000000000000008</v>
      </c>
      <c r="DT511" s="15">
        <f t="shared" si="53"/>
        <v>902.1600000000002</v>
      </c>
      <c r="DU511" s="2"/>
      <c r="DV511" s="2">
        <f t="shared" si="54"/>
        <v>0</v>
      </c>
      <c r="DW511" s="2"/>
      <c r="DX511" s="2"/>
      <c r="DY511" s="2"/>
      <c r="DZ511" s="2" t="s">
        <v>3</v>
      </c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 t="s">
        <v>3</v>
      </c>
      <c r="FR511" s="2" t="s">
        <v>37</v>
      </c>
      <c r="FS511" s="2" t="s">
        <v>235</v>
      </c>
      <c r="FT511" s="2" t="s">
        <v>235</v>
      </c>
      <c r="FU511" s="2"/>
      <c r="FV511" s="2" t="s">
        <v>3</v>
      </c>
    </row>
    <row r="512" spans="1:178" ht="15.75" customHeight="1" x14ac:dyDescent="0.2">
      <c r="A512" s="14" t="s">
        <v>96</v>
      </c>
      <c r="B512" s="2" t="s">
        <v>133</v>
      </c>
      <c r="C512" s="16" t="s">
        <v>1144</v>
      </c>
      <c r="D512" s="2" t="s">
        <v>99</v>
      </c>
      <c r="E512" s="2"/>
      <c r="F512" s="2"/>
      <c r="G512" s="2"/>
      <c r="H512" s="2" t="s">
        <v>1128</v>
      </c>
      <c r="I512" s="2"/>
      <c r="J512" s="2"/>
      <c r="K512" s="2">
        <v>0</v>
      </c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>
        <v>1.02</v>
      </c>
      <c r="AG512" s="2">
        <v>0.36</v>
      </c>
      <c r="AH512" s="2"/>
      <c r="AI512" s="2"/>
      <c r="AJ512" s="2"/>
      <c r="AK512" s="2"/>
      <c r="AL512" s="2"/>
      <c r="AM512" s="2"/>
      <c r="AN512" s="2">
        <v>0.71</v>
      </c>
      <c r="AO512" s="2">
        <v>0.02</v>
      </c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>
        <v>1.49</v>
      </c>
      <c r="BB512" s="2">
        <v>0.36</v>
      </c>
      <c r="BC512" s="2"/>
      <c r="BD512" s="2"/>
      <c r="BE512" s="2"/>
      <c r="BF512" s="2"/>
      <c r="BG512" s="2"/>
      <c r="BH512" s="2"/>
      <c r="BI512" s="2">
        <v>0.67</v>
      </c>
      <c r="BJ512" s="2">
        <v>0.03</v>
      </c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>
        <v>0</v>
      </c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>
        <v>0</v>
      </c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14" t="s">
        <v>81</v>
      </c>
      <c r="DM512" s="2" t="s">
        <v>81</v>
      </c>
      <c r="DN512" s="2">
        <f t="shared" si="49"/>
        <v>0.68625498007968144</v>
      </c>
      <c r="DO512" s="2">
        <f t="shared" si="50"/>
        <v>2.5936254980079679E-2</v>
      </c>
      <c r="DP512" s="2" t="s">
        <v>1145</v>
      </c>
      <c r="DQ512" s="2" t="s">
        <v>3</v>
      </c>
      <c r="DR512" s="2">
        <f t="shared" si="51"/>
        <v>2.5099999999999998</v>
      </c>
      <c r="DS512" s="4">
        <f t="shared" si="52"/>
        <v>0.68625498007968144</v>
      </c>
      <c r="DT512" s="15">
        <f t="shared" si="53"/>
        <v>17.225000000000005</v>
      </c>
      <c r="DU512" s="2"/>
      <c r="DV512" s="2">
        <f t="shared" si="54"/>
        <v>0</v>
      </c>
      <c r="DW512" s="2"/>
      <c r="DX512" s="2"/>
      <c r="DY512" s="2"/>
      <c r="DZ512" s="2" t="s">
        <v>3</v>
      </c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 t="s">
        <v>3</v>
      </c>
      <c r="FR512" s="2" t="s">
        <v>89</v>
      </c>
      <c r="FS512" s="2" t="s">
        <v>123</v>
      </c>
      <c r="FT512" s="2" t="s">
        <v>123</v>
      </c>
      <c r="FU512" s="2"/>
      <c r="FV512" s="2" t="s">
        <v>3</v>
      </c>
    </row>
    <row r="513" spans="1:178" ht="15.75" customHeight="1" x14ac:dyDescent="0.2">
      <c r="A513" s="12" t="s">
        <v>74</v>
      </c>
      <c r="B513" s="2" t="s">
        <v>928</v>
      </c>
      <c r="C513" s="13" t="s">
        <v>1146</v>
      </c>
      <c r="D513" s="2" t="s">
        <v>99</v>
      </c>
      <c r="E513" s="2"/>
      <c r="F513" s="2"/>
      <c r="G513" s="2"/>
      <c r="H513" s="2" t="s">
        <v>79</v>
      </c>
      <c r="I513" s="2"/>
      <c r="J513" s="2"/>
      <c r="K513" s="2">
        <v>0</v>
      </c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>
        <v>0</v>
      </c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>
        <v>17</v>
      </c>
      <c r="BB513" s="2"/>
      <c r="BC513" s="2"/>
      <c r="BD513" s="2"/>
      <c r="BE513" s="2"/>
      <c r="BF513" s="2"/>
      <c r="BG513" s="2"/>
      <c r="BH513" s="2"/>
      <c r="BI513" s="2">
        <v>1.3</v>
      </c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>
        <v>0</v>
      </c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>
        <v>0</v>
      </c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14" t="s">
        <v>100</v>
      </c>
      <c r="DM513" s="2"/>
      <c r="DN513" s="2">
        <f t="shared" si="49"/>
        <v>1.3</v>
      </c>
      <c r="DO513" s="2">
        <f t="shared" si="50"/>
        <v>0</v>
      </c>
      <c r="DP513" s="2" t="s">
        <v>1147</v>
      </c>
      <c r="DQ513" s="2" t="s">
        <v>3</v>
      </c>
      <c r="DR513" s="2">
        <f t="shared" si="51"/>
        <v>17</v>
      </c>
      <c r="DS513" s="2">
        <f t="shared" si="52"/>
        <v>1.3</v>
      </c>
      <c r="DT513" s="15">
        <f t="shared" si="53"/>
        <v>221</v>
      </c>
      <c r="DU513" s="2"/>
      <c r="DV513" s="2">
        <f t="shared" si="54"/>
        <v>0</v>
      </c>
      <c r="DW513" s="2"/>
      <c r="DX513" s="2"/>
      <c r="DY513" s="2"/>
      <c r="DZ513" s="2" t="s">
        <v>3</v>
      </c>
      <c r="EA513" s="2" t="s">
        <v>928</v>
      </c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 t="s">
        <v>928</v>
      </c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 t="s">
        <v>928</v>
      </c>
      <c r="FQ513" s="2" t="s">
        <v>3</v>
      </c>
      <c r="FR513" s="2" t="s">
        <v>37</v>
      </c>
      <c r="FS513" s="2" t="s">
        <v>396</v>
      </c>
      <c r="FT513" s="2" t="s">
        <v>396</v>
      </c>
      <c r="FU513" s="2"/>
      <c r="FV513" s="2" t="s">
        <v>3</v>
      </c>
    </row>
    <row r="514" spans="1:178" ht="15.75" customHeight="1" x14ac:dyDescent="0.2">
      <c r="A514" s="14" t="s">
        <v>96</v>
      </c>
      <c r="B514" s="2" t="s">
        <v>164</v>
      </c>
      <c r="C514" s="16" t="s">
        <v>1148</v>
      </c>
      <c r="D514" s="2" t="s">
        <v>99</v>
      </c>
      <c r="E514" s="2"/>
      <c r="F514" s="2"/>
      <c r="G514" s="2" t="s">
        <v>179</v>
      </c>
      <c r="H514" s="2" t="s">
        <v>1149</v>
      </c>
      <c r="I514" s="2"/>
      <c r="J514" s="2" t="s">
        <v>181</v>
      </c>
      <c r="K514" s="2">
        <v>0</v>
      </c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>
        <v>3.9</v>
      </c>
      <c r="AG514" s="2">
        <v>0.6</v>
      </c>
      <c r="AH514" s="2"/>
      <c r="AI514" s="2"/>
      <c r="AJ514" s="2"/>
      <c r="AK514" s="2"/>
      <c r="AL514" s="2"/>
      <c r="AM514" s="2"/>
      <c r="AN514" s="2">
        <v>0.8</v>
      </c>
      <c r="AO514" s="2">
        <v>0.04</v>
      </c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>
        <v>0.4</v>
      </c>
      <c r="BB514" s="2">
        <v>0.3</v>
      </c>
      <c r="BC514" s="2"/>
      <c r="BD514" s="2"/>
      <c r="BE514" s="2"/>
      <c r="BF514" s="2"/>
      <c r="BG514" s="2"/>
      <c r="BH514" s="2"/>
      <c r="BI514" s="2">
        <v>0.6</v>
      </c>
      <c r="BJ514" s="2">
        <v>0.03</v>
      </c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>
        <v>0</v>
      </c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>
        <v>0</v>
      </c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14" t="s">
        <v>81</v>
      </c>
      <c r="DM514" s="2" t="s">
        <v>81</v>
      </c>
      <c r="DN514" s="2">
        <f t="shared" si="49"/>
        <v>0.7813953488372094</v>
      </c>
      <c r="DO514" s="2">
        <f t="shared" si="50"/>
        <v>3.906976744186047E-2</v>
      </c>
      <c r="DP514" s="2" t="s">
        <v>175</v>
      </c>
      <c r="DQ514" s="2" t="s">
        <v>3</v>
      </c>
      <c r="DR514" s="2">
        <f t="shared" si="51"/>
        <v>4.3</v>
      </c>
      <c r="DS514" s="4">
        <f t="shared" si="52"/>
        <v>0.7813953488372094</v>
      </c>
      <c r="DT514" s="15">
        <f t="shared" si="53"/>
        <v>33.6</v>
      </c>
      <c r="DU514" s="2"/>
      <c r="DV514" s="2">
        <f t="shared" si="54"/>
        <v>0</v>
      </c>
      <c r="DW514" s="2"/>
      <c r="DX514" s="2"/>
      <c r="DY514" s="2"/>
      <c r="DZ514" s="2" t="s">
        <v>3</v>
      </c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 t="s">
        <v>3</v>
      </c>
      <c r="FR514" s="2" t="s">
        <v>89</v>
      </c>
      <c r="FS514" s="2" t="s">
        <v>378</v>
      </c>
      <c r="FT514" s="2"/>
      <c r="FU514" s="2"/>
      <c r="FV514" s="2" t="s">
        <v>3</v>
      </c>
    </row>
    <row r="515" spans="1:178" ht="15.75" customHeight="1" x14ac:dyDescent="0.2">
      <c r="A515" s="12" t="s">
        <v>74</v>
      </c>
      <c r="B515" s="2" t="s">
        <v>230</v>
      </c>
      <c r="C515" s="13" t="s">
        <v>1150</v>
      </c>
      <c r="D515" s="2" t="s">
        <v>99</v>
      </c>
      <c r="E515" s="2"/>
      <c r="F515" s="2"/>
      <c r="G515" s="2"/>
      <c r="H515" s="2" t="s">
        <v>232</v>
      </c>
      <c r="I515" s="2"/>
      <c r="J515" s="2"/>
      <c r="K515" s="2">
        <v>0</v>
      </c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>
        <v>0</v>
      </c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>
        <v>27</v>
      </c>
      <c r="BB515" s="2"/>
      <c r="BC515" s="2"/>
      <c r="BD515" s="2"/>
      <c r="BE515" s="2"/>
      <c r="BF515" s="2"/>
      <c r="BG515" s="2"/>
      <c r="BH515" s="2"/>
      <c r="BI515" s="15">
        <v>1</v>
      </c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>
        <v>0</v>
      </c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>
        <v>0</v>
      </c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14" t="s">
        <v>100</v>
      </c>
      <c r="DM515" s="2"/>
      <c r="DN515" s="2">
        <f t="shared" ref="DN515:DN631" si="104">(S515*K515+AN515*AF515+BI515*BA515)/(K515+AF515+BA515)</f>
        <v>1</v>
      </c>
      <c r="DO515" s="2">
        <f t="shared" ref="DO515:DO631" si="105">(T515*K515+AO515*AF515+BJ515*BA515)/(K515+AF515+BA515)</f>
        <v>0</v>
      </c>
      <c r="DP515" s="2" t="s">
        <v>113</v>
      </c>
      <c r="DQ515" s="2" t="s">
        <v>3</v>
      </c>
      <c r="DR515" s="2">
        <f t="shared" ref="DR515:DR631" si="106">K515+AF515+BA515</f>
        <v>27</v>
      </c>
      <c r="DS515" s="2">
        <f t="shared" ref="DS515:DS631" si="107">(K515*S515+AF515*AN515+BA515*BI515)/DR515</f>
        <v>1</v>
      </c>
      <c r="DT515" s="15">
        <f t="shared" ref="DT515:DT631" si="108">1000*DR515*DS515/100</f>
        <v>270</v>
      </c>
      <c r="DU515" s="2"/>
      <c r="DV515" s="2">
        <f t="shared" ref="DV515:DV631" si="109">BV515+CQ515</f>
        <v>0</v>
      </c>
      <c r="DW515" s="2"/>
      <c r="DX515" s="2"/>
      <c r="DY515" s="2"/>
      <c r="DZ515" s="2" t="s">
        <v>3</v>
      </c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 t="s">
        <v>3</v>
      </c>
      <c r="FR515" s="2" t="s">
        <v>37</v>
      </c>
      <c r="FS515" s="2" t="s">
        <v>114</v>
      </c>
      <c r="FT515" s="2" t="s">
        <v>114</v>
      </c>
      <c r="FU515" s="2"/>
      <c r="FV515" s="2" t="s">
        <v>3</v>
      </c>
    </row>
    <row r="516" spans="1:178" ht="15.75" customHeight="1" x14ac:dyDescent="0.2">
      <c r="A516" s="12" t="s">
        <v>74</v>
      </c>
      <c r="B516" s="2" t="s">
        <v>97</v>
      </c>
      <c r="C516" s="13" t="s">
        <v>1151</v>
      </c>
      <c r="D516" s="2" t="s">
        <v>99</v>
      </c>
      <c r="E516" s="2"/>
      <c r="F516" s="2"/>
      <c r="G516" s="2"/>
      <c r="H516" s="2" t="s">
        <v>79</v>
      </c>
      <c r="I516" s="2"/>
      <c r="J516" s="2"/>
      <c r="K516" s="2">
        <v>0</v>
      </c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>
        <v>0</v>
      </c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>
        <v>18</v>
      </c>
      <c r="BB516" s="2"/>
      <c r="BC516" s="2"/>
      <c r="BD516" s="2"/>
      <c r="BE516" s="2"/>
      <c r="BF516" s="2"/>
      <c r="BG516" s="2"/>
      <c r="BH516" s="2"/>
      <c r="BI516" s="2">
        <v>1.07</v>
      </c>
      <c r="BJ516" s="2">
        <v>5.5E-2</v>
      </c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>
        <v>0</v>
      </c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>
        <v>0</v>
      </c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14" t="s">
        <v>100</v>
      </c>
      <c r="DM516" s="2" t="s">
        <v>100</v>
      </c>
      <c r="DN516" s="2">
        <f t="shared" si="104"/>
        <v>1.07</v>
      </c>
      <c r="DO516" s="2">
        <f t="shared" si="105"/>
        <v>5.5E-2</v>
      </c>
      <c r="DP516" s="2" t="s">
        <v>113</v>
      </c>
      <c r="DQ516" s="2" t="s">
        <v>3</v>
      </c>
      <c r="DR516" s="2">
        <f t="shared" si="106"/>
        <v>18</v>
      </c>
      <c r="DS516" s="2">
        <f t="shared" si="107"/>
        <v>1.07</v>
      </c>
      <c r="DT516" s="15">
        <f t="shared" si="108"/>
        <v>192.6</v>
      </c>
      <c r="DU516" s="2"/>
      <c r="DV516" s="2">
        <f t="shared" si="109"/>
        <v>0</v>
      </c>
      <c r="DW516" s="2"/>
      <c r="DX516" s="2"/>
      <c r="DY516" s="2"/>
      <c r="DZ516" s="2" t="s">
        <v>3</v>
      </c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 t="s">
        <v>3</v>
      </c>
      <c r="FR516" s="2" t="s">
        <v>37</v>
      </c>
      <c r="FS516" s="2" t="s">
        <v>229</v>
      </c>
      <c r="FT516" s="2"/>
      <c r="FU516" s="2"/>
      <c r="FV516" s="2" t="s">
        <v>3</v>
      </c>
    </row>
    <row r="517" spans="1:178" ht="15.75" customHeight="1" x14ac:dyDescent="0.2">
      <c r="A517" s="14" t="s">
        <v>96</v>
      </c>
      <c r="B517" s="2" t="s">
        <v>164</v>
      </c>
      <c r="C517" s="16" t="s">
        <v>1152</v>
      </c>
      <c r="D517" s="2" t="s">
        <v>120</v>
      </c>
      <c r="E517" s="2"/>
      <c r="F517" s="2"/>
      <c r="G517" s="2" t="s">
        <v>179</v>
      </c>
      <c r="H517" s="2" t="s">
        <v>1153</v>
      </c>
      <c r="I517" s="2"/>
      <c r="J517" s="2" t="s">
        <v>181</v>
      </c>
      <c r="K517" s="2">
        <v>0</v>
      </c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>
        <v>0.25</v>
      </c>
      <c r="AG517" s="2"/>
      <c r="AH517" s="2"/>
      <c r="AI517" s="2"/>
      <c r="AJ517" s="2"/>
      <c r="AK517" s="2"/>
      <c r="AL517" s="2"/>
      <c r="AM517" s="2"/>
      <c r="AN517" s="2">
        <v>2.4</v>
      </c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>
        <v>0.46</v>
      </c>
      <c r="BB517" s="2"/>
      <c r="BC517" s="2"/>
      <c r="BD517" s="2"/>
      <c r="BE517" s="2"/>
      <c r="BF517" s="2"/>
      <c r="BG517" s="2"/>
      <c r="BH517" s="2"/>
      <c r="BI517" s="2">
        <v>2.2000000000000002</v>
      </c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>
        <v>0</v>
      </c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>
        <v>0</v>
      </c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14" t="s">
        <v>81</v>
      </c>
      <c r="DM517" s="2"/>
      <c r="DN517" s="2">
        <f t="shared" si="104"/>
        <v>2.2704225352112677</v>
      </c>
      <c r="DO517" s="2">
        <f t="shared" si="105"/>
        <v>0</v>
      </c>
      <c r="DP517" s="2" t="s">
        <v>1154</v>
      </c>
      <c r="DQ517" s="2" t="s">
        <v>3</v>
      </c>
      <c r="DR517" s="2">
        <f t="shared" si="106"/>
        <v>0.71</v>
      </c>
      <c r="DS517" s="4">
        <f t="shared" si="107"/>
        <v>2.2704225352112677</v>
      </c>
      <c r="DT517" s="15">
        <f t="shared" si="108"/>
        <v>16.12</v>
      </c>
      <c r="DU517" s="2"/>
      <c r="DV517" s="2">
        <f t="shared" si="109"/>
        <v>0</v>
      </c>
      <c r="DW517" s="2"/>
      <c r="DX517" s="2"/>
      <c r="DY517" s="2"/>
      <c r="DZ517" s="2" t="s">
        <v>3</v>
      </c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 t="s">
        <v>3</v>
      </c>
      <c r="FR517" s="2" t="s">
        <v>89</v>
      </c>
      <c r="FS517" s="2" t="s">
        <v>137</v>
      </c>
      <c r="FT517" s="2"/>
      <c r="FU517" s="2"/>
      <c r="FV517" s="2" t="s">
        <v>3</v>
      </c>
    </row>
    <row r="518" spans="1:178" ht="15.75" customHeight="1" x14ac:dyDescent="0.2">
      <c r="A518" s="14" t="s">
        <v>84</v>
      </c>
      <c r="B518" s="2" t="s">
        <v>85</v>
      </c>
      <c r="C518" s="16" t="s">
        <v>1155</v>
      </c>
      <c r="D518" s="2"/>
      <c r="E518" s="2"/>
      <c r="F518" s="2"/>
      <c r="G518" s="2"/>
      <c r="H518" s="2" t="s">
        <v>145</v>
      </c>
      <c r="I518" s="2"/>
      <c r="J518" s="2"/>
      <c r="K518" s="2">
        <v>30.2</v>
      </c>
      <c r="L518" s="4">
        <v>1.5542233663308669E-2</v>
      </c>
      <c r="M518" s="4">
        <v>3.2985647999999999E-2</v>
      </c>
      <c r="N518" s="2"/>
      <c r="O518" s="2"/>
      <c r="P518" s="2"/>
      <c r="Q518" s="2"/>
      <c r="R518" s="2"/>
      <c r="S518" s="4">
        <v>0.11240231217618901</v>
      </c>
      <c r="T518" s="2"/>
      <c r="U518" s="4">
        <v>1.7854391000000001</v>
      </c>
      <c r="V518" s="4">
        <v>0.89645378000000009</v>
      </c>
      <c r="W518" s="4">
        <v>0.305121472</v>
      </c>
      <c r="X518" s="2"/>
      <c r="Y518" s="2"/>
      <c r="Z518" s="2"/>
      <c r="AA518" s="2"/>
      <c r="AB518" s="2"/>
      <c r="AC518" s="2"/>
      <c r="AD518" s="2"/>
      <c r="AE518" s="2"/>
      <c r="AF518" s="2">
        <v>0</v>
      </c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>
        <v>0</v>
      </c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>
        <v>20.7</v>
      </c>
      <c r="BW518" s="4">
        <v>1.5542233663308669E-2</v>
      </c>
      <c r="BX518" s="4">
        <v>2.6869104000000001E-2</v>
      </c>
      <c r="BY518" s="2"/>
      <c r="BZ518" s="2"/>
      <c r="CA518" s="2"/>
      <c r="CB518" s="2"/>
      <c r="CC518" s="2"/>
      <c r="CD518" s="4">
        <v>0.11240231217618901</v>
      </c>
      <c r="CE518" s="2"/>
      <c r="CF518" s="4">
        <v>1.4543642999999999</v>
      </c>
      <c r="CG518" s="4">
        <v>0.73022394000000002</v>
      </c>
      <c r="CH518" s="4">
        <v>0.248542656</v>
      </c>
      <c r="CI518" s="2"/>
      <c r="CJ518" s="2"/>
      <c r="CK518" s="2"/>
      <c r="CL518" s="2"/>
      <c r="CM518" s="2"/>
      <c r="CN518" s="2"/>
      <c r="CO518" s="2"/>
      <c r="CP518" s="2"/>
      <c r="CQ518" s="2">
        <v>0</v>
      </c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14" t="s">
        <v>81</v>
      </c>
      <c r="DM518" s="2"/>
      <c r="DN518" s="2">
        <f t="shared" si="104"/>
        <v>0.11240231217618903</v>
      </c>
      <c r="DO518" s="2">
        <f t="shared" si="105"/>
        <v>0</v>
      </c>
      <c r="DP518" s="2" t="s">
        <v>95</v>
      </c>
      <c r="DQ518" s="2" t="s">
        <v>3</v>
      </c>
      <c r="DR518" s="2">
        <f t="shared" si="106"/>
        <v>30.2</v>
      </c>
      <c r="DS518" s="4">
        <f t="shared" si="107"/>
        <v>0.11240231217618903</v>
      </c>
      <c r="DT518" s="15">
        <f t="shared" si="108"/>
        <v>33.945498277209083</v>
      </c>
      <c r="DU518" s="2"/>
      <c r="DV518" s="2">
        <f t="shared" si="109"/>
        <v>20.7</v>
      </c>
      <c r="DW518" s="4">
        <f t="shared" ref="DW518:DW519" si="110">(BV518*CD518+CQ518*CY518)/DV518</f>
        <v>0.11240231217618901</v>
      </c>
      <c r="DX518" s="15">
        <f t="shared" ref="DX518:DX519" si="111">1000*DV518*DW518/100</f>
        <v>23.267278620471124</v>
      </c>
      <c r="DY518" s="2"/>
      <c r="DZ518" s="2" t="s">
        <v>3</v>
      </c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 t="s">
        <v>3</v>
      </c>
      <c r="FR518" s="2" t="s">
        <v>89</v>
      </c>
      <c r="FS518" s="2" t="s">
        <v>90</v>
      </c>
      <c r="FT518" s="2" t="s">
        <v>91</v>
      </c>
      <c r="FU518" s="2" t="s">
        <v>92</v>
      </c>
      <c r="FV518" s="2" t="s">
        <v>3</v>
      </c>
    </row>
    <row r="519" spans="1:178" ht="15.75" customHeight="1" x14ac:dyDescent="0.2">
      <c r="A519" s="14" t="s">
        <v>222</v>
      </c>
      <c r="B519" s="2" t="s">
        <v>85</v>
      </c>
      <c r="C519" s="16" t="s">
        <v>1156</v>
      </c>
      <c r="D519" s="2"/>
      <c r="E519" s="2"/>
      <c r="F519" s="2"/>
      <c r="G519" s="2"/>
      <c r="H519" s="2" t="s">
        <v>1157</v>
      </c>
      <c r="I519" s="2"/>
      <c r="J519" s="2"/>
      <c r="K519" s="4">
        <v>2.5259659999999999</v>
      </c>
      <c r="L519" s="4">
        <v>2.9148595329822911E-2</v>
      </c>
      <c r="M519" s="4">
        <v>5.6096699999999999E-2</v>
      </c>
      <c r="N519" s="2"/>
      <c r="O519" s="2"/>
      <c r="P519" s="2"/>
      <c r="Q519" s="2"/>
      <c r="R519" s="2"/>
      <c r="S519" s="4">
        <v>0.11240231217618901</v>
      </c>
      <c r="T519" s="2"/>
      <c r="U519" s="4">
        <v>2.6700239999999997</v>
      </c>
      <c r="V519" s="4">
        <v>2.3540719999999999</v>
      </c>
      <c r="W519" s="4">
        <v>0.4807264</v>
      </c>
      <c r="X519" s="2"/>
      <c r="Y519" s="2"/>
      <c r="Z519" s="2"/>
      <c r="AA519" s="2"/>
      <c r="AB519" s="2"/>
      <c r="AC519" s="2"/>
      <c r="AD519" s="2"/>
      <c r="AE519" s="2"/>
      <c r="AF519" s="4">
        <v>1.525439</v>
      </c>
      <c r="AG519" s="4">
        <v>2.9148595329822911E-2</v>
      </c>
      <c r="AH519" s="4">
        <v>9.5874359999999992E-2</v>
      </c>
      <c r="AI519" s="2"/>
      <c r="AJ519" s="2"/>
      <c r="AK519" s="2"/>
      <c r="AL519" s="2"/>
      <c r="AM519" s="2"/>
      <c r="AN519" s="4">
        <v>0.11240231217618901</v>
      </c>
      <c r="AO519" s="2"/>
      <c r="AP519" s="4">
        <v>2.6890955999999999</v>
      </c>
      <c r="AQ519" s="4">
        <v>2.3708868000000001</v>
      </c>
      <c r="AR519" s="4">
        <v>0.48416016000000001</v>
      </c>
      <c r="AS519" s="2"/>
      <c r="AT519" s="2"/>
      <c r="AU519" s="2"/>
      <c r="AV519" s="2"/>
      <c r="AW519" s="2"/>
      <c r="AX519" s="2"/>
      <c r="AY519" s="2"/>
      <c r="AZ519" s="2"/>
      <c r="BA519" s="2">
        <v>0</v>
      </c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4">
        <v>1.9098869999999999</v>
      </c>
      <c r="BW519" s="4">
        <v>2.9148595329822911E-2</v>
      </c>
      <c r="BX519" s="4">
        <v>7.7175460000000001E-2</v>
      </c>
      <c r="BY519" s="2"/>
      <c r="BZ519" s="2"/>
      <c r="CA519" s="2"/>
      <c r="CB519" s="2"/>
      <c r="CC519" s="2"/>
      <c r="CD519" s="4">
        <v>0.11240231217618901</v>
      </c>
      <c r="CE519" s="2"/>
      <c r="CF519" s="4">
        <v>2.1646266000000001</v>
      </c>
      <c r="CG519" s="4">
        <v>1.9084798000000001</v>
      </c>
      <c r="CH519" s="4">
        <v>0.38973176000000004</v>
      </c>
      <c r="CI519" s="2"/>
      <c r="CJ519" s="2"/>
      <c r="CK519" s="2"/>
      <c r="CL519" s="2"/>
      <c r="CM519" s="2"/>
      <c r="CN519" s="2"/>
      <c r="CO519" s="2"/>
      <c r="CP519" s="2"/>
      <c r="CQ519" s="4">
        <v>0.97917799999999999</v>
      </c>
      <c r="CR519" s="4">
        <v>2.9148595329822911E-2</v>
      </c>
      <c r="CS519" s="4">
        <v>4.5899999999999996E-2</v>
      </c>
      <c r="CT519" s="2"/>
      <c r="CU519" s="2"/>
      <c r="CV519" s="2"/>
      <c r="CW519" s="2"/>
      <c r="CX519" s="2"/>
      <c r="CY519" s="4">
        <v>0.11240231217618901</v>
      </c>
      <c r="CZ519" s="2"/>
      <c r="DA519" s="4">
        <v>2.0196000000000001</v>
      </c>
      <c r="DB519" s="4">
        <v>2.0655000000000001</v>
      </c>
      <c r="DC519" s="4">
        <v>0.45900000000000002</v>
      </c>
      <c r="DD519" s="2"/>
      <c r="DE519" s="2"/>
      <c r="DF519" s="2"/>
      <c r="DG519" s="2"/>
      <c r="DH519" s="2"/>
      <c r="DI519" s="2"/>
      <c r="DJ519" s="2"/>
      <c r="DK519" s="2"/>
      <c r="DL519" s="14" t="s">
        <v>81</v>
      </c>
      <c r="DM519" s="2"/>
      <c r="DN519" s="2">
        <f t="shared" si="104"/>
        <v>0.112402312176189</v>
      </c>
      <c r="DO519" s="2">
        <f t="shared" si="105"/>
        <v>0</v>
      </c>
      <c r="DP519" s="2" t="s">
        <v>150</v>
      </c>
      <c r="DQ519" s="2" t="s">
        <v>3</v>
      </c>
      <c r="DR519" s="4">
        <f t="shared" si="106"/>
        <v>4.0514049999999999</v>
      </c>
      <c r="DS519" s="4">
        <f t="shared" si="107"/>
        <v>0.112402312176189</v>
      </c>
      <c r="DT519" s="15">
        <f t="shared" si="108"/>
        <v>4.5538728956217298</v>
      </c>
      <c r="DU519" s="2"/>
      <c r="DV519" s="19">
        <f t="shared" si="109"/>
        <v>2.889065</v>
      </c>
      <c r="DW519" s="4">
        <f t="shared" si="110"/>
        <v>0.11240231217618901</v>
      </c>
      <c r="DX519" s="15">
        <f t="shared" si="111"/>
        <v>3.2473758602730154</v>
      </c>
      <c r="DY519" s="2"/>
      <c r="DZ519" s="2" t="s">
        <v>3</v>
      </c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 t="s">
        <v>3</v>
      </c>
      <c r="FR519" s="2" t="s">
        <v>89</v>
      </c>
      <c r="FS519" s="2" t="s">
        <v>90</v>
      </c>
      <c r="FT519" s="2" t="s">
        <v>91</v>
      </c>
      <c r="FU519" s="2" t="s">
        <v>226</v>
      </c>
      <c r="FV519" s="2" t="s">
        <v>3</v>
      </c>
    </row>
    <row r="520" spans="1:178" ht="15.75" customHeight="1" x14ac:dyDescent="0.2">
      <c r="A520" s="14" t="s">
        <v>96</v>
      </c>
      <c r="B520" s="2" t="s">
        <v>164</v>
      </c>
      <c r="C520" s="16" t="s">
        <v>1158</v>
      </c>
      <c r="D520" s="2" t="s">
        <v>99</v>
      </c>
      <c r="E520" s="2"/>
      <c r="F520" s="2"/>
      <c r="G520" s="2" t="s">
        <v>179</v>
      </c>
      <c r="H520" s="2" t="s">
        <v>1159</v>
      </c>
      <c r="I520" s="2"/>
      <c r="J520" s="2" t="s">
        <v>181</v>
      </c>
      <c r="K520" s="2">
        <v>0</v>
      </c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>
        <v>0</v>
      </c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>
        <v>0.35</v>
      </c>
      <c r="BB520" s="2"/>
      <c r="BC520" s="2"/>
      <c r="BD520" s="2"/>
      <c r="BE520" s="2"/>
      <c r="BF520" s="2"/>
      <c r="BG520" s="2"/>
      <c r="BH520" s="2"/>
      <c r="BI520" s="2">
        <v>0.9</v>
      </c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>
        <v>0</v>
      </c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>
        <v>0</v>
      </c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14" t="s">
        <v>81</v>
      </c>
      <c r="DM520" s="2"/>
      <c r="DN520" s="2">
        <f t="shared" si="104"/>
        <v>0.9</v>
      </c>
      <c r="DO520" s="2">
        <f t="shared" si="105"/>
        <v>0</v>
      </c>
      <c r="DP520" s="2" t="s">
        <v>175</v>
      </c>
      <c r="DQ520" s="2" t="s">
        <v>3</v>
      </c>
      <c r="DR520" s="2">
        <f t="shared" si="106"/>
        <v>0.35</v>
      </c>
      <c r="DS520" s="2">
        <f t="shared" si="107"/>
        <v>0.9</v>
      </c>
      <c r="DT520" s="15">
        <f t="shared" si="108"/>
        <v>3.15</v>
      </c>
      <c r="DU520" s="2"/>
      <c r="DV520" s="2">
        <f t="shared" si="109"/>
        <v>0</v>
      </c>
      <c r="DW520" s="2"/>
      <c r="DX520" s="2"/>
      <c r="DY520" s="2"/>
      <c r="DZ520" s="2" t="s">
        <v>3</v>
      </c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 t="s">
        <v>3</v>
      </c>
      <c r="FR520" s="2" t="s">
        <v>89</v>
      </c>
      <c r="FS520" s="2" t="s">
        <v>137</v>
      </c>
      <c r="FT520" s="2"/>
      <c r="FU520" s="2"/>
      <c r="FV520" s="2" t="s">
        <v>3</v>
      </c>
    </row>
    <row r="521" spans="1:178" ht="15.75" customHeight="1" x14ac:dyDescent="0.2">
      <c r="A521" s="14" t="s">
        <v>96</v>
      </c>
      <c r="B521" s="2" t="s">
        <v>189</v>
      </c>
      <c r="C521" s="16" t="s">
        <v>1160</v>
      </c>
      <c r="D521" s="2" t="s">
        <v>99</v>
      </c>
      <c r="E521" s="43">
        <v>56.422130000000003</v>
      </c>
      <c r="F521" s="43">
        <v>-134.95752999999999</v>
      </c>
      <c r="G521" s="2"/>
      <c r="H521" s="2" t="s">
        <v>79</v>
      </c>
      <c r="I521" s="2"/>
      <c r="J521" s="2"/>
      <c r="K521" s="2">
        <v>0</v>
      </c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>
        <v>0</v>
      </c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4">
        <f>0.43*0.9072</f>
        <v>0.390096</v>
      </c>
      <c r="BB521" s="2">
        <v>0.3</v>
      </c>
      <c r="BC521" s="2"/>
      <c r="BD521" s="15">
        <f>0.13*31.1/0.9072</f>
        <v>4.4565696649029984</v>
      </c>
      <c r="BE521" s="2"/>
      <c r="BF521" s="2"/>
      <c r="BG521" s="2"/>
      <c r="BH521" s="2"/>
      <c r="BI521" s="2">
        <v>0.3</v>
      </c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>
        <v>0</v>
      </c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>
        <v>0</v>
      </c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14" t="s">
        <v>100</v>
      </c>
      <c r="DM521" s="2"/>
      <c r="DN521" s="2">
        <f t="shared" si="104"/>
        <v>0.3</v>
      </c>
      <c r="DO521" s="2">
        <f t="shared" si="105"/>
        <v>0</v>
      </c>
      <c r="DP521" s="2" t="s">
        <v>257</v>
      </c>
      <c r="DQ521" s="2" t="s">
        <v>3</v>
      </c>
      <c r="DR521" s="19">
        <f t="shared" si="106"/>
        <v>0.390096</v>
      </c>
      <c r="DS521" s="2">
        <f t="shared" si="107"/>
        <v>0.3</v>
      </c>
      <c r="DT521" s="15">
        <f t="shared" si="108"/>
        <v>1.170288</v>
      </c>
      <c r="DU521" s="2"/>
      <c r="DV521" s="2">
        <f t="shared" si="109"/>
        <v>0</v>
      </c>
      <c r="DW521" s="2"/>
      <c r="DX521" s="2"/>
      <c r="DY521" s="2"/>
      <c r="DZ521" s="2" t="s">
        <v>3</v>
      </c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 t="s">
        <v>3</v>
      </c>
      <c r="FR521" s="2" t="s">
        <v>89</v>
      </c>
      <c r="FS521" s="2" t="s">
        <v>123</v>
      </c>
      <c r="FT521" s="2" t="s">
        <v>474</v>
      </c>
      <c r="FU521" s="2"/>
      <c r="FV521" s="2" t="s">
        <v>3</v>
      </c>
    </row>
    <row r="522" spans="1:178" ht="15.75" customHeight="1" x14ac:dyDescent="0.2">
      <c r="A522" s="12" t="s">
        <v>74</v>
      </c>
      <c r="B522" s="2" t="s">
        <v>198</v>
      </c>
      <c r="C522" s="13" t="s">
        <v>1161</v>
      </c>
      <c r="D522" s="2" t="s">
        <v>109</v>
      </c>
      <c r="E522" s="2"/>
      <c r="F522" s="2"/>
      <c r="G522" s="2" t="s">
        <v>78</v>
      </c>
      <c r="H522" s="2" t="s">
        <v>200</v>
      </c>
      <c r="I522" s="2"/>
      <c r="J522" s="2" t="s">
        <v>111</v>
      </c>
      <c r="K522" s="2">
        <v>101.8</v>
      </c>
      <c r="L522" s="2"/>
      <c r="M522" s="2"/>
      <c r="N522" s="2"/>
      <c r="O522" s="2"/>
      <c r="P522" s="2"/>
      <c r="Q522" s="2"/>
      <c r="R522" s="2"/>
      <c r="S522" s="2">
        <v>1.76</v>
      </c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>
        <v>14.7</v>
      </c>
      <c r="AG522" s="2"/>
      <c r="AH522" s="2"/>
      <c r="AI522" s="2"/>
      <c r="AJ522" s="2"/>
      <c r="AK522" s="2"/>
      <c r="AL522" s="2"/>
      <c r="AM522" s="2"/>
      <c r="AN522" s="2">
        <v>1.64</v>
      </c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>
        <v>0</v>
      </c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>
        <v>101.8</v>
      </c>
      <c r="BW522" s="2"/>
      <c r="BX522" s="2"/>
      <c r="BY522" s="2"/>
      <c r="BZ522" s="2"/>
      <c r="CA522" s="2"/>
      <c r="CB522" s="2"/>
      <c r="CC522" s="2"/>
      <c r="CD522" s="2">
        <v>1.76</v>
      </c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>
        <v>14.7</v>
      </c>
      <c r="CR522" s="2"/>
      <c r="CS522" s="2"/>
      <c r="CT522" s="2"/>
      <c r="CU522" s="2"/>
      <c r="CV522" s="2"/>
      <c r="CW522" s="2"/>
      <c r="CX522" s="2"/>
      <c r="CY522" s="2">
        <v>1.64</v>
      </c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14" t="s">
        <v>81</v>
      </c>
      <c r="DM522" s="2"/>
      <c r="DN522" s="2">
        <f t="shared" si="104"/>
        <v>1.7448583690987125</v>
      </c>
      <c r="DO522" s="2">
        <f t="shared" si="105"/>
        <v>0</v>
      </c>
      <c r="DP522" s="2" t="s">
        <v>211</v>
      </c>
      <c r="DQ522" s="2" t="s">
        <v>3</v>
      </c>
      <c r="DR522" s="2">
        <f t="shared" si="106"/>
        <v>116.5</v>
      </c>
      <c r="DS522" s="4">
        <f t="shared" si="107"/>
        <v>1.7448583690987125</v>
      </c>
      <c r="DT522" s="18">
        <f t="shared" si="108"/>
        <v>2032.76</v>
      </c>
      <c r="DU522" s="2"/>
      <c r="DV522" s="2">
        <f t="shared" si="109"/>
        <v>116.5</v>
      </c>
      <c r="DW522" s="4">
        <f>(BV522*CD522+CQ522*CY522)/DV522</f>
        <v>1.7448583690987125</v>
      </c>
      <c r="DX522" s="18">
        <f>1000*DV522*DW522/100</f>
        <v>2032.76</v>
      </c>
      <c r="DY522" s="2"/>
      <c r="DZ522" s="2" t="s">
        <v>3</v>
      </c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 t="s">
        <v>3</v>
      </c>
      <c r="FR522" s="2" t="s">
        <v>37</v>
      </c>
      <c r="FS522" s="2" t="s">
        <v>106</v>
      </c>
      <c r="FT522" s="2" t="s">
        <v>106</v>
      </c>
      <c r="FU522" s="2"/>
      <c r="FV522" s="2" t="s">
        <v>3</v>
      </c>
    </row>
    <row r="523" spans="1:178" ht="15.75" customHeight="1" x14ac:dyDescent="0.2">
      <c r="A523" s="14" t="s">
        <v>96</v>
      </c>
      <c r="B523" s="2" t="s">
        <v>97</v>
      </c>
      <c r="C523" s="16" t="s">
        <v>1162</v>
      </c>
      <c r="D523" s="2" t="s">
        <v>99</v>
      </c>
      <c r="E523" s="2"/>
      <c r="F523" s="2"/>
      <c r="G523" s="2"/>
      <c r="H523" s="2" t="s">
        <v>79</v>
      </c>
      <c r="I523" s="2"/>
      <c r="J523" s="2"/>
      <c r="K523" s="2">
        <v>0</v>
      </c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>
        <v>0</v>
      </c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>
        <v>13.41</v>
      </c>
      <c r="BB523" s="2">
        <v>0.1</v>
      </c>
      <c r="BC523" s="2">
        <v>0.10100000000000001</v>
      </c>
      <c r="BD523" s="2">
        <v>2.68</v>
      </c>
      <c r="BE523" s="2"/>
      <c r="BF523" s="2"/>
      <c r="BG523" s="2"/>
      <c r="BH523" s="2"/>
      <c r="BI523" s="2">
        <v>0.37</v>
      </c>
      <c r="BJ523" s="2">
        <v>3.1E-2</v>
      </c>
      <c r="BK523" s="4">
        <f>(0.35-0.101)*0.4</f>
        <v>9.9599999999999994E-2</v>
      </c>
      <c r="BL523" s="4">
        <f>(0.35-0.101)*0.6</f>
        <v>0.14939999999999998</v>
      </c>
      <c r="BM523" s="2"/>
      <c r="BN523" s="2"/>
      <c r="BO523" s="2"/>
      <c r="BP523" s="2"/>
      <c r="BQ523" s="2"/>
      <c r="BR523" s="2"/>
      <c r="BS523" s="2"/>
      <c r="BT523" s="2"/>
      <c r="BU523" s="2"/>
      <c r="BV523" s="2">
        <v>0</v>
      </c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>
        <v>0</v>
      </c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14" t="s">
        <v>81</v>
      </c>
      <c r="DM523" s="2" t="s">
        <v>81</v>
      </c>
      <c r="DN523" s="2">
        <f t="shared" si="104"/>
        <v>0.36999999999999994</v>
      </c>
      <c r="DO523" s="2">
        <f t="shared" si="105"/>
        <v>3.1E-2</v>
      </c>
      <c r="DP523" s="2" t="s">
        <v>101</v>
      </c>
      <c r="DQ523" s="2" t="s">
        <v>3</v>
      </c>
      <c r="DR523" s="2">
        <f t="shared" si="106"/>
        <v>13.41</v>
      </c>
      <c r="DS523" s="2">
        <f t="shared" si="107"/>
        <v>0.36999999999999994</v>
      </c>
      <c r="DT523" s="15">
        <f t="shared" si="108"/>
        <v>49.61699999999999</v>
      </c>
      <c r="DU523" s="2"/>
      <c r="DV523" s="2">
        <f t="shared" si="109"/>
        <v>0</v>
      </c>
      <c r="DW523" s="2"/>
      <c r="DX523" s="2"/>
      <c r="DY523" s="2"/>
      <c r="DZ523" s="2" t="s">
        <v>3</v>
      </c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 t="s">
        <v>3</v>
      </c>
      <c r="FR523" s="2" t="s">
        <v>89</v>
      </c>
      <c r="FS523" s="2" t="s">
        <v>1163</v>
      </c>
      <c r="FT523" s="2" t="s">
        <v>665</v>
      </c>
      <c r="FU523" s="2"/>
      <c r="FV523" s="2" t="s">
        <v>3</v>
      </c>
    </row>
    <row r="524" spans="1:178" ht="15.75" customHeight="1" x14ac:dyDescent="0.2">
      <c r="A524" s="12" t="s">
        <v>74</v>
      </c>
      <c r="B524" s="2" t="s">
        <v>198</v>
      </c>
      <c r="C524" s="13" t="s">
        <v>1164</v>
      </c>
      <c r="D524" s="2" t="s">
        <v>99</v>
      </c>
      <c r="E524" s="2"/>
      <c r="F524" s="2"/>
      <c r="G524" s="2"/>
      <c r="H524" s="2" t="s">
        <v>1165</v>
      </c>
      <c r="I524" s="2"/>
      <c r="J524" s="2" t="s">
        <v>292</v>
      </c>
      <c r="K524" s="2">
        <v>0</v>
      </c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>
        <v>0</v>
      </c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>
        <v>56</v>
      </c>
      <c r="BB524" s="2"/>
      <c r="BC524" s="2"/>
      <c r="BD524" s="2"/>
      <c r="BE524" s="2"/>
      <c r="BF524" s="2"/>
      <c r="BG524" s="2"/>
      <c r="BH524" s="2"/>
      <c r="BI524" s="2">
        <v>1.5</v>
      </c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>
        <v>0</v>
      </c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>
        <v>0</v>
      </c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14" t="s">
        <v>100</v>
      </c>
      <c r="DM524" s="2"/>
      <c r="DN524" s="2">
        <f t="shared" si="104"/>
        <v>1.5</v>
      </c>
      <c r="DO524" s="2">
        <f t="shared" si="105"/>
        <v>0</v>
      </c>
      <c r="DP524" s="2" t="s">
        <v>113</v>
      </c>
      <c r="DQ524" s="2" t="s">
        <v>3</v>
      </c>
      <c r="DR524" s="2">
        <f t="shared" si="106"/>
        <v>56</v>
      </c>
      <c r="DS524" s="4">
        <f t="shared" si="107"/>
        <v>1.5</v>
      </c>
      <c r="DT524" s="15">
        <f t="shared" si="108"/>
        <v>840</v>
      </c>
      <c r="DU524" s="2"/>
      <c r="DV524" s="2">
        <f t="shared" si="109"/>
        <v>0</v>
      </c>
      <c r="DW524" s="2"/>
      <c r="DX524" s="2"/>
      <c r="DY524" s="2"/>
      <c r="DZ524" s="2" t="s">
        <v>3</v>
      </c>
      <c r="EA524" s="2" t="s">
        <v>198</v>
      </c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 t="s">
        <v>198</v>
      </c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 t="s">
        <v>198</v>
      </c>
      <c r="FQ524" s="2" t="s">
        <v>3</v>
      </c>
      <c r="FR524" s="2" t="s">
        <v>37</v>
      </c>
      <c r="FS524" s="2" t="s">
        <v>188</v>
      </c>
      <c r="FT524" s="2" t="s">
        <v>188</v>
      </c>
      <c r="FU524" s="2"/>
      <c r="FV524" s="2" t="s">
        <v>3</v>
      </c>
    </row>
    <row r="525" spans="1:178" ht="15.75" customHeight="1" x14ac:dyDescent="0.2">
      <c r="A525" s="12" t="s">
        <v>74</v>
      </c>
      <c r="B525" s="2" t="s">
        <v>198</v>
      </c>
      <c r="C525" s="13" t="s">
        <v>1166</v>
      </c>
      <c r="D525" s="2" t="s">
        <v>99</v>
      </c>
      <c r="E525" s="2"/>
      <c r="F525" s="2"/>
      <c r="G525" s="2"/>
      <c r="H525" s="2" t="s">
        <v>200</v>
      </c>
      <c r="I525" s="2"/>
      <c r="J525" s="2" t="s">
        <v>111</v>
      </c>
      <c r="K525" s="2">
        <v>0</v>
      </c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>
        <v>0</v>
      </c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>
        <v>97</v>
      </c>
      <c r="BB525" s="2"/>
      <c r="BC525" s="2"/>
      <c r="BD525" s="2"/>
      <c r="BE525" s="2"/>
      <c r="BF525" s="2"/>
      <c r="BG525" s="2"/>
      <c r="BH525" s="2"/>
      <c r="BI525" s="2">
        <v>1.78</v>
      </c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>
        <v>0</v>
      </c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>
        <v>0</v>
      </c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14" t="s">
        <v>81</v>
      </c>
      <c r="DM525" s="2"/>
      <c r="DN525" s="2">
        <f t="shared" si="104"/>
        <v>1.78</v>
      </c>
      <c r="DO525" s="2">
        <f t="shared" si="105"/>
        <v>0</v>
      </c>
      <c r="DP525" s="2" t="s">
        <v>1167</v>
      </c>
      <c r="DQ525" s="2" t="s">
        <v>3</v>
      </c>
      <c r="DR525" s="2">
        <f t="shared" si="106"/>
        <v>97</v>
      </c>
      <c r="DS525" s="4">
        <f t="shared" si="107"/>
        <v>1.78</v>
      </c>
      <c r="DT525" s="18">
        <f t="shared" si="108"/>
        <v>1726.6</v>
      </c>
      <c r="DU525" s="2"/>
      <c r="DV525" s="2">
        <f t="shared" si="109"/>
        <v>0</v>
      </c>
      <c r="DW525" s="2"/>
      <c r="DX525" s="2"/>
      <c r="DY525" s="2"/>
      <c r="DZ525" s="2" t="s">
        <v>3</v>
      </c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 t="s">
        <v>3</v>
      </c>
      <c r="FR525" s="2" t="s">
        <v>37</v>
      </c>
      <c r="FS525" s="2" t="s">
        <v>235</v>
      </c>
      <c r="FT525" s="2" t="s">
        <v>235</v>
      </c>
      <c r="FU525" s="2"/>
      <c r="FV525" s="2" t="s">
        <v>3</v>
      </c>
    </row>
    <row r="526" spans="1:178" ht="15.75" customHeight="1" x14ac:dyDescent="0.2">
      <c r="A526" s="14" t="s">
        <v>262</v>
      </c>
      <c r="B526" s="2" t="s">
        <v>85</v>
      </c>
      <c r="C526" s="16" t="s">
        <v>1168</v>
      </c>
      <c r="D526" s="2"/>
      <c r="E526" s="2"/>
      <c r="F526" s="2"/>
      <c r="G526" s="2"/>
      <c r="H526" s="2" t="s">
        <v>789</v>
      </c>
      <c r="I526" s="2"/>
      <c r="J526" s="2"/>
      <c r="K526" s="2">
        <v>294.75</v>
      </c>
      <c r="L526" s="4">
        <v>4.3032502120441053E-2</v>
      </c>
      <c r="M526" s="4">
        <v>0.12014079728583546</v>
      </c>
      <c r="N526" s="2"/>
      <c r="O526" s="2"/>
      <c r="P526" s="2"/>
      <c r="Q526" s="2"/>
      <c r="R526" s="2"/>
      <c r="S526" s="4">
        <v>8.6632111959287536E-2</v>
      </c>
      <c r="T526" s="2"/>
      <c r="U526" s="4">
        <v>2.0048532654792193</v>
      </c>
      <c r="V526" s="4">
        <v>1.2415368956743003</v>
      </c>
      <c r="W526" s="4">
        <v>0.28224088210347753</v>
      </c>
      <c r="X526" s="2"/>
      <c r="Y526" s="2"/>
      <c r="Z526" s="2"/>
      <c r="AA526" s="2"/>
      <c r="AB526" s="2"/>
      <c r="AC526" s="2"/>
      <c r="AD526" s="2"/>
      <c r="AE526" s="2"/>
      <c r="AF526" s="2">
        <v>141.86000000000001</v>
      </c>
      <c r="AG526" s="4">
        <v>4.6565007754123776E-2</v>
      </c>
      <c r="AH526" s="4">
        <v>0.14311292823910898</v>
      </c>
      <c r="AI526" s="2"/>
      <c r="AJ526" s="2"/>
      <c r="AK526" s="2"/>
      <c r="AL526" s="2"/>
      <c r="AM526" s="2"/>
      <c r="AN526" s="4">
        <v>0.1009392922599746</v>
      </c>
      <c r="AO526" s="2"/>
      <c r="AP526" s="4">
        <v>2.0430762723812204</v>
      </c>
      <c r="AQ526" s="4">
        <v>1.2765289722261381</v>
      </c>
      <c r="AR526" s="4">
        <v>0.24998167207105595</v>
      </c>
      <c r="AS526" s="2"/>
      <c r="AT526" s="2"/>
      <c r="AU526" s="2"/>
      <c r="AV526" s="2"/>
      <c r="AW526" s="2"/>
      <c r="AX526" s="2"/>
      <c r="AY526" s="2"/>
      <c r="AZ526" s="2"/>
      <c r="BA526" s="2">
        <v>169.18</v>
      </c>
      <c r="BB526" s="4">
        <v>4.0914954486345897E-2</v>
      </c>
      <c r="BC526" s="4">
        <v>0.12229223312448279</v>
      </c>
      <c r="BD526" s="2"/>
      <c r="BE526" s="2"/>
      <c r="BF526" s="2"/>
      <c r="BG526" s="2"/>
      <c r="BH526" s="2"/>
      <c r="BI526" s="4">
        <v>0.1023679985813926</v>
      </c>
      <c r="BJ526" s="2"/>
      <c r="BK526" s="4">
        <v>2.0696607163967369</v>
      </c>
      <c r="BL526" s="4">
        <v>1.3596607163967371</v>
      </c>
      <c r="BM526" s="4">
        <v>0.28424518264570281</v>
      </c>
      <c r="BN526" s="4"/>
      <c r="BO526" s="4"/>
      <c r="BP526" s="2"/>
      <c r="BQ526" s="2"/>
      <c r="BR526" s="2"/>
      <c r="BS526" s="2"/>
      <c r="BT526" s="2"/>
      <c r="BU526" s="2"/>
      <c r="BV526" s="2">
        <v>0</v>
      </c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>
        <v>0</v>
      </c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14" t="s">
        <v>81</v>
      </c>
      <c r="DM526" s="2"/>
      <c r="DN526" s="2">
        <f t="shared" si="104"/>
        <v>9.4377063008633355E-2</v>
      </c>
      <c r="DO526" s="2">
        <f t="shared" si="105"/>
        <v>0</v>
      </c>
      <c r="DP526" s="2" t="s">
        <v>150</v>
      </c>
      <c r="DQ526" s="2" t="s">
        <v>3</v>
      </c>
      <c r="DR526" s="15">
        <f t="shared" si="106"/>
        <v>605.79</v>
      </c>
      <c r="DS526" s="4">
        <f t="shared" si="107"/>
        <v>9.4377063008633355E-2</v>
      </c>
      <c r="DT526" s="15">
        <f t="shared" si="108"/>
        <v>571.72681</v>
      </c>
      <c r="DU526" s="2"/>
      <c r="DV526" s="2">
        <f t="shared" si="109"/>
        <v>0</v>
      </c>
      <c r="DW526" s="2"/>
      <c r="DX526" s="2"/>
      <c r="DY526" s="2"/>
      <c r="DZ526" s="2" t="s">
        <v>3</v>
      </c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 t="s">
        <v>3</v>
      </c>
      <c r="FR526" s="2" t="s">
        <v>89</v>
      </c>
      <c r="FS526" s="2" t="s">
        <v>90</v>
      </c>
      <c r="FT526" s="2" t="s">
        <v>91</v>
      </c>
      <c r="FU526" s="2" t="s">
        <v>226</v>
      </c>
      <c r="FV526" s="2" t="s">
        <v>3</v>
      </c>
    </row>
    <row r="527" spans="1:178" ht="15.75" customHeight="1" x14ac:dyDescent="0.2">
      <c r="A527" s="14" t="s">
        <v>96</v>
      </c>
      <c r="B527" s="2" t="s">
        <v>164</v>
      </c>
      <c r="C527" s="16" t="s">
        <v>1169</v>
      </c>
      <c r="D527" s="2" t="s">
        <v>109</v>
      </c>
      <c r="E527" s="2"/>
      <c r="F527" s="2"/>
      <c r="G527" s="2" t="s">
        <v>179</v>
      </c>
      <c r="H527" s="2" t="s">
        <v>385</v>
      </c>
      <c r="I527" s="2"/>
      <c r="J527" s="2" t="s">
        <v>181</v>
      </c>
      <c r="K527" s="19">
        <v>0.36787999999999998</v>
      </c>
      <c r="L527" s="2"/>
      <c r="M527" s="2"/>
      <c r="N527" s="2"/>
      <c r="O527" s="2"/>
      <c r="P527" s="2"/>
      <c r="Q527" s="2"/>
      <c r="R527" s="2"/>
      <c r="S527" s="2">
        <v>5.9</v>
      </c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19">
        <f>1.322173+0.48</f>
        <v>1.802173</v>
      </c>
      <c r="AG527" s="2"/>
      <c r="AH527" s="2"/>
      <c r="AI527" s="2"/>
      <c r="AJ527" s="2"/>
      <c r="AK527" s="2"/>
      <c r="AL527" s="2"/>
      <c r="AM527" s="2"/>
      <c r="AN527" s="15">
        <f>(5.9*1.322173+1.4*0.48)/AF527</f>
        <v>4.7014469199127946</v>
      </c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19">
        <v>0.18101300000000001</v>
      </c>
      <c r="BB527" s="2"/>
      <c r="BC527" s="2"/>
      <c r="BD527" s="2"/>
      <c r="BE527" s="2"/>
      <c r="BF527" s="2"/>
      <c r="BG527" s="2"/>
      <c r="BH527" s="2"/>
      <c r="BI527" s="2">
        <v>5.6</v>
      </c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19">
        <v>8.9599999999999999E-2</v>
      </c>
      <c r="BW527" s="2"/>
      <c r="BX527" s="2"/>
      <c r="BY527" s="2"/>
      <c r="BZ527" s="2"/>
      <c r="CA527" s="2"/>
      <c r="CB527" s="2"/>
      <c r="CC527" s="2"/>
      <c r="CD527" s="2">
        <v>3.8</v>
      </c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19">
        <v>1.7084999999999999</v>
      </c>
      <c r="CR527" s="2"/>
      <c r="CS527" s="2"/>
      <c r="CT527" s="2"/>
      <c r="CU527" s="2"/>
      <c r="CV527" s="2"/>
      <c r="CW527" s="2"/>
      <c r="CX527" s="2"/>
      <c r="CY527" s="15">
        <v>4</v>
      </c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14" t="s">
        <v>81</v>
      </c>
      <c r="DM527" s="2"/>
      <c r="DN527" s="2">
        <f t="shared" si="104"/>
        <v>4.9581702512817589</v>
      </c>
      <c r="DO527" s="2">
        <f t="shared" si="105"/>
        <v>0</v>
      </c>
      <c r="DP527" s="2" t="s">
        <v>211</v>
      </c>
      <c r="DQ527" s="2" t="s">
        <v>3</v>
      </c>
      <c r="DR527" s="19">
        <f t="shared" si="106"/>
        <v>2.3510660000000003</v>
      </c>
      <c r="DS527" s="4">
        <f t="shared" si="107"/>
        <v>4.9581702512817589</v>
      </c>
      <c r="DT527" s="15">
        <f t="shared" si="108"/>
        <v>116.569855</v>
      </c>
      <c r="DU527" s="2"/>
      <c r="DV527" s="19">
        <f t="shared" si="109"/>
        <v>1.7980999999999998</v>
      </c>
      <c r="DW527" s="4">
        <f>(BV527*CD527+CQ527*CY527)/DV527</f>
        <v>3.990033924698293</v>
      </c>
      <c r="DX527" s="15">
        <f>1000*DV527*DW527/100</f>
        <v>71.744799999999998</v>
      </c>
      <c r="DY527" s="2"/>
      <c r="DZ527" s="2" t="s">
        <v>3</v>
      </c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 t="s">
        <v>3</v>
      </c>
      <c r="FR527" s="2" t="s">
        <v>89</v>
      </c>
      <c r="FS527" s="2" t="s">
        <v>137</v>
      </c>
      <c r="FT527" s="2"/>
      <c r="FU527" s="2"/>
      <c r="FV527" s="2" t="s">
        <v>3</v>
      </c>
    </row>
    <row r="528" spans="1:178" ht="15.75" customHeight="1" x14ac:dyDescent="0.2">
      <c r="A528" s="14" t="s">
        <v>96</v>
      </c>
      <c r="B528" s="2" t="s">
        <v>189</v>
      </c>
      <c r="C528" s="16" t="s">
        <v>1170</v>
      </c>
      <c r="D528" s="2" t="s">
        <v>99</v>
      </c>
      <c r="E528" s="43">
        <v>47.83</v>
      </c>
      <c r="F528" s="43">
        <v>-91.7</v>
      </c>
      <c r="G528" s="2"/>
      <c r="H528" s="2" t="s">
        <v>246</v>
      </c>
      <c r="I528" s="2"/>
      <c r="J528" s="2"/>
      <c r="K528" s="2">
        <v>0</v>
      </c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>
        <v>0</v>
      </c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>
        <v>435.5</v>
      </c>
      <c r="BB528" s="2">
        <v>0.43</v>
      </c>
      <c r="BC528" s="2"/>
      <c r="BD528" s="2"/>
      <c r="BE528" s="2"/>
      <c r="BF528" s="2"/>
      <c r="BG528" s="2"/>
      <c r="BH528" s="2"/>
      <c r="BI528" s="2">
        <v>0.16</v>
      </c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>
        <v>0</v>
      </c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>
        <v>0</v>
      </c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14" t="s">
        <v>81</v>
      </c>
      <c r="DM528" s="2"/>
      <c r="DN528" s="2">
        <f t="shared" si="104"/>
        <v>0.16</v>
      </c>
      <c r="DO528" s="2">
        <f t="shared" si="105"/>
        <v>0</v>
      </c>
      <c r="DP528" s="2" t="s">
        <v>211</v>
      </c>
      <c r="DQ528" s="2" t="s">
        <v>3</v>
      </c>
      <c r="DR528" s="2">
        <f t="shared" si="106"/>
        <v>435.5</v>
      </c>
      <c r="DS528" s="2">
        <f t="shared" si="107"/>
        <v>0.16</v>
      </c>
      <c r="DT528" s="15">
        <f t="shared" si="108"/>
        <v>696.8</v>
      </c>
      <c r="DU528" s="2"/>
      <c r="DV528" s="2">
        <f t="shared" si="109"/>
        <v>0</v>
      </c>
      <c r="DW528" s="2"/>
      <c r="DX528" s="2"/>
      <c r="DY528" s="2"/>
      <c r="DZ528" s="2" t="s">
        <v>3</v>
      </c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 t="s">
        <v>3</v>
      </c>
      <c r="FR528" s="2" t="s">
        <v>89</v>
      </c>
      <c r="FS528" s="2" t="s">
        <v>123</v>
      </c>
      <c r="FT528" s="2" t="s">
        <v>192</v>
      </c>
      <c r="FU528" s="2"/>
      <c r="FV528" s="2" t="s">
        <v>3</v>
      </c>
    </row>
    <row r="529" spans="1:178" ht="15.75" customHeight="1" x14ac:dyDescent="0.2">
      <c r="A529" s="20" t="s">
        <v>1171</v>
      </c>
      <c r="B529" s="2" t="s">
        <v>164</v>
      </c>
      <c r="C529" s="21" t="s">
        <v>1172</v>
      </c>
      <c r="D529" s="2" t="s">
        <v>99</v>
      </c>
      <c r="E529" s="2"/>
      <c r="F529" s="2"/>
      <c r="G529" s="2" t="s">
        <v>78</v>
      </c>
      <c r="H529" s="2" t="s">
        <v>1173</v>
      </c>
      <c r="I529" s="2"/>
      <c r="J529" s="2" t="s">
        <v>181</v>
      </c>
      <c r="K529" s="2">
        <v>0</v>
      </c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>
        <f>0.406+0.286</f>
        <v>0.69199999999999995</v>
      </c>
      <c r="AG529" s="4">
        <f>(0.16*0.406+0.09*0.286)/AF529</f>
        <v>0.13106936416184972</v>
      </c>
      <c r="AH529" s="2"/>
      <c r="AI529" s="2"/>
      <c r="AJ529" s="2"/>
      <c r="AK529" s="2"/>
      <c r="AL529" s="2"/>
      <c r="AM529" s="2"/>
      <c r="AN529" s="4">
        <f>(0.05*0.406+0.09*0.286)/AF529</f>
        <v>6.6531791907514459E-2</v>
      </c>
      <c r="AO529" s="4">
        <f>(0.12*0.406+0.18*0.286)/AF529</f>
        <v>0.14479768786127167</v>
      </c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>
        <f>0.008+0.242</f>
        <v>0.25</v>
      </c>
      <c r="BB529" s="4">
        <f>(0.21*0.008+0.08*0.242)/BA529</f>
        <v>8.4159999999999999E-2</v>
      </c>
      <c r="BC529" s="2"/>
      <c r="BD529" s="2"/>
      <c r="BE529" s="2"/>
      <c r="BF529" s="2"/>
      <c r="BG529" s="2"/>
      <c r="BH529" s="2"/>
      <c r="BI529" s="4">
        <f>(0.03*0.008+0.04*0.242)/BA529</f>
        <v>3.968E-2</v>
      </c>
      <c r="BJ529" s="4">
        <f>(0.05*0.008+0.08*0.242)/BA529</f>
        <v>7.9039999999999999E-2</v>
      </c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>
        <v>0</v>
      </c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>
        <v>0</v>
      </c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14" t="s">
        <v>100</v>
      </c>
      <c r="DM529" s="14" t="s">
        <v>100</v>
      </c>
      <c r="DN529" s="2">
        <f t="shared" si="104"/>
        <v>5.9405520169851386E-2</v>
      </c>
      <c r="DO529" s="2">
        <f t="shared" si="105"/>
        <v>0.12734607218683652</v>
      </c>
      <c r="DP529" s="2" t="s">
        <v>1174</v>
      </c>
      <c r="DQ529" s="2" t="s">
        <v>3</v>
      </c>
      <c r="DR529" s="2">
        <f t="shared" si="106"/>
        <v>0.94199999999999995</v>
      </c>
      <c r="DS529" s="19">
        <f t="shared" si="107"/>
        <v>5.9405520169851386E-2</v>
      </c>
      <c r="DT529" s="15">
        <f t="shared" si="108"/>
        <v>0.5596000000000001</v>
      </c>
      <c r="DU529" s="2"/>
      <c r="DV529" s="2">
        <f t="shared" si="109"/>
        <v>0</v>
      </c>
      <c r="DW529" s="2"/>
      <c r="DX529" s="2"/>
      <c r="DY529" s="2"/>
      <c r="DZ529" s="2" t="s">
        <v>3</v>
      </c>
      <c r="EA529" s="2" t="s">
        <v>115</v>
      </c>
      <c r="EB529" s="15">
        <v>249.24600000000001</v>
      </c>
      <c r="EC529" s="3">
        <v>1647.4775999999999</v>
      </c>
      <c r="ED529" s="15">
        <v>126</v>
      </c>
      <c r="EE529" s="2">
        <v>592.6</v>
      </c>
      <c r="EF529" s="3">
        <v>1617.4504167210885</v>
      </c>
      <c r="EG529" s="3">
        <v>14824.174832030001</v>
      </c>
      <c r="EH529" s="3">
        <f t="shared" ref="EH529:EI529" si="112">EF529-ED529</f>
        <v>1491.4504167210885</v>
      </c>
      <c r="EI529" s="3">
        <f t="shared" si="112"/>
        <v>14231.574832030001</v>
      </c>
      <c r="EJ529" s="3">
        <f>SUM(EP529,EX529,FB529)</f>
        <v>0</v>
      </c>
      <c r="EK529" s="3">
        <f>ET529</f>
        <v>0</v>
      </c>
      <c r="EL529" s="3">
        <f>EB529+EC529+FD529</f>
        <v>1896.7236</v>
      </c>
      <c r="EM529" s="2" t="s">
        <v>115</v>
      </c>
      <c r="EN529" s="15">
        <f>SUM(DR715:DR719)</f>
        <v>0</v>
      </c>
      <c r="EO529" s="4" t="e">
        <f>100*(EP529/1000)/EN529</f>
        <v>#DIV/0!</v>
      </c>
      <c r="EP529" s="15">
        <f>SUM(DT715:DT719)</f>
        <v>0</v>
      </c>
      <c r="EQ529" s="2">
        <f>COUNT(DT715:DT719)</f>
        <v>0</v>
      </c>
      <c r="ER529" s="3">
        <f>SUM(DR696:DR714)</f>
        <v>0</v>
      </c>
      <c r="ES529" s="4" t="e">
        <f>100*(ET529/1000)/ER529</f>
        <v>#DIV/0!</v>
      </c>
      <c r="ET529" s="3">
        <f>SUM(DT696:DT714)</f>
        <v>0</v>
      </c>
      <c r="EU529" s="2">
        <f>COUNT(DT696:DT714)</f>
        <v>0</v>
      </c>
      <c r="EV529" s="15">
        <f>DR695</f>
        <v>0</v>
      </c>
      <c r="EW529" s="4" t="e">
        <f>100*(EX529/1000)/EV529</f>
        <v>#DIV/0!</v>
      </c>
      <c r="EX529" s="15">
        <f>DT695</f>
        <v>0</v>
      </c>
      <c r="EY529" s="2">
        <f>COUNT(DT695)</f>
        <v>0</v>
      </c>
      <c r="EZ529" s="2" t="s">
        <v>176</v>
      </c>
      <c r="FA529" s="2" t="s">
        <v>176</v>
      </c>
      <c r="FB529" s="2" t="s">
        <v>176</v>
      </c>
      <c r="FC529" s="2" t="s">
        <v>176</v>
      </c>
      <c r="FD529" s="3">
        <f>SUM(EP529,ET529,EX529,FB529)</f>
        <v>0</v>
      </c>
      <c r="FE529" s="2" t="s">
        <v>176</v>
      </c>
      <c r="FF529" s="2" t="s">
        <v>176</v>
      </c>
      <c r="FG529" s="2" t="s">
        <v>176</v>
      </c>
      <c r="FH529" s="2" t="s">
        <v>176</v>
      </c>
      <c r="FI529" s="15">
        <f>SUM(DV696:DV714)</f>
        <v>0</v>
      </c>
      <c r="FJ529" s="4" t="e">
        <f>100*(FK529/1000)/FI529</f>
        <v>#DIV/0!</v>
      </c>
      <c r="FK529" s="3">
        <f>SUM(DX696:DX714)</f>
        <v>0</v>
      </c>
      <c r="FL529" s="2">
        <f>COUNT(DX696:DX714)</f>
        <v>0</v>
      </c>
      <c r="FM529" s="2" t="s">
        <v>176</v>
      </c>
      <c r="FN529" s="2" t="s">
        <v>176</v>
      </c>
      <c r="FO529" s="3">
        <f>SUM(FG529,FK529,FM529,FN529)</f>
        <v>0</v>
      </c>
      <c r="FP529" s="2" t="s">
        <v>115</v>
      </c>
      <c r="FQ529" s="2" t="s">
        <v>3</v>
      </c>
      <c r="FR529" s="2" t="s">
        <v>183</v>
      </c>
      <c r="FS529" s="2" t="s">
        <v>600</v>
      </c>
      <c r="FT529" s="2"/>
      <c r="FU529" s="2"/>
      <c r="FV529" s="2" t="s">
        <v>3</v>
      </c>
    </row>
    <row r="530" spans="1:178" ht="15.75" customHeight="1" x14ac:dyDescent="0.2">
      <c r="A530" s="14" t="s">
        <v>74</v>
      </c>
      <c r="B530" s="2" t="s">
        <v>164</v>
      </c>
      <c r="C530" s="13" t="s">
        <v>1175</v>
      </c>
      <c r="D530" s="2" t="s">
        <v>99</v>
      </c>
      <c r="E530" s="2"/>
      <c r="F530" s="2"/>
      <c r="G530" s="2" t="s">
        <v>78</v>
      </c>
      <c r="H530" s="2" t="s">
        <v>215</v>
      </c>
      <c r="I530" s="2"/>
      <c r="J530" s="2" t="s">
        <v>242</v>
      </c>
      <c r="K530" s="2">
        <v>0</v>
      </c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>
        <v>0</v>
      </c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4">
        <v>1.3181643999999999</v>
      </c>
      <c r="BB530" s="2"/>
      <c r="BC530" s="2"/>
      <c r="BD530" s="2"/>
      <c r="BE530" s="2"/>
      <c r="BF530" s="2"/>
      <c r="BG530" s="2"/>
      <c r="BH530" s="2"/>
      <c r="BI530" s="2">
        <v>0.44</v>
      </c>
      <c r="BJ530" s="2">
        <v>0.08</v>
      </c>
      <c r="BK530" s="2"/>
      <c r="BL530" s="2"/>
      <c r="BM530" s="20"/>
      <c r="BN530" s="20"/>
      <c r="BO530" s="20"/>
      <c r="BP530" s="2"/>
      <c r="BQ530" s="2"/>
      <c r="BR530" s="2"/>
      <c r="BS530" s="2">
        <v>47.5</v>
      </c>
      <c r="BT530" s="2"/>
      <c r="BU530" s="2"/>
      <c r="BV530" s="2">
        <v>0</v>
      </c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>
        <v>0</v>
      </c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14" t="s">
        <v>100</v>
      </c>
      <c r="DM530" s="2" t="s">
        <v>100</v>
      </c>
      <c r="DN530" s="2">
        <f t="shared" si="104"/>
        <v>0.44000000000000006</v>
      </c>
      <c r="DO530" s="2">
        <f t="shared" si="105"/>
        <v>0.08</v>
      </c>
      <c r="DP530" s="2" t="s">
        <v>739</v>
      </c>
      <c r="DQ530" s="2" t="s">
        <v>3</v>
      </c>
      <c r="DR530" s="19">
        <f t="shared" si="106"/>
        <v>1.3181643999999999</v>
      </c>
      <c r="DS530" s="2">
        <f t="shared" si="107"/>
        <v>0.44000000000000006</v>
      </c>
      <c r="DT530" s="15">
        <f t="shared" si="108"/>
        <v>5.7999233600000002</v>
      </c>
      <c r="DU530" s="2"/>
      <c r="DV530" s="2">
        <f t="shared" si="109"/>
        <v>0</v>
      </c>
      <c r="DW530" s="2"/>
      <c r="DX530" s="2"/>
      <c r="DY530" s="2"/>
      <c r="DZ530" s="2" t="s">
        <v>3</v>
      </c>
      <c r="EA530" s="2" t="s">
        <v>1176</v>
      </c>
      <c r="EB530" s="2">
        <v>7.0000000000000001E-3</v>
      </c>
      <c r="EC530" s="2" t="s">
        <v>176</v>
      </c>
      <c r="ED530" s="2" t="s">
        <v>176</v>
      </c>
      <c r="EE530" s="2" t="s">
        <v>176</v>
      </c>
      <c r="EF530" s="2" t="s">
        <v>176</v>
      </c>
      <c r="EG530" s="2" t="s">
        <v>176</v>
      </c>
      <c r="EH530" s="2"/>
      <c r="EI530" s="2"/>
      <c r="EJ530" s="2"/>
      <c r="EK530" s="2"/>
      <c r="EL530" s="2"/>
      <c r="EM530" s="2" t="s">
        <v>1176</v>
      </c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 t="s">
        <v>1176</v>
      </c>
      <c r="FQ530" s="2" t="s">
        <v>3</v>
      </c>
      <c r="FR530" s="2" t="s">
        <v>37</v>
      </c>
      <c r="FS530" s="2" t="s">
        <v>114</v>
      </c>
      <c r="FT530" s="2" t="s">
        <v>114</v>
      </c>
      <c r="FU530" s="2"/>
      <c r="FV530" s="2" t="s">
        <v>3</v>
      </c>
    </row>
    <row r="531" spans="1:178" ht="15.75" customHeight="1" x14ac:dyDescent="0.2">
      <c r="A531" s="14" t="s">
        <v>158</v>
      </c>
      <c r="B531" s="2" t="s">
        <v>189</v>
      </c>
      <c r="C531" s="16" t="s">
        <v>1177</v>
      </c>
      <c r="D531" s="2" t="s">
        <v>109</v>
      </c>
      <c r="E531" s="43">
        <v>45.39</v>
      </c>
      <c r="F531" s="43">
        <v>-109.9</v>
      </c>
      <c r="G531" s="2"/>
      <c r="H531" s="2" t="s">
        <v>454</v>
      </c>
      <c r="I531" s="2"/>
      <c r="J531" s="2"/>
      <c r="K531" s="15">
        <f>5.1+3.9</f>
        <v>9</v>
      </c>
      <c r="L531" s="4">
        <v>6.9615541498893721E-2</v>
      </c>
      <c r="M531" s="4">
        <v>0.29947964814520067</v>
      </c>
      <c r="N531" s="2"/>
      <c r="O531" s="2"/>
      <c r="P531" s="2"/>
      <c r="Q531" s="2"/>
      <c r="R531" s="2"/>
      <c r="S531" s="4">
        <v>0.10076278475729883</v>
      </c>
      <c r="T531" s="2"/>
      <c r="U531" s="15">
        <f>0.2223*(19.7*5.1+14.7*3.9)/(5.1+3.9)</f>
        <v>3.8976599999999997</v>
      </c>
      <c r="V531" s="15">
        <f>0.7777*(19.7*5.1+14.7*3.9)/(5.1+3.9)</f>
        <v>13.635673333333331</v>
      </c>
      <c r="W531" s="4">
        <v>0.10633697651532487</v>
      </c>
      <c r="X531" s="2"/>
      <c r="Y531" s="2"/>
      <c r="Z531" s="2"/>
      <c r="AA531" s="2"/>
      <c r="AB531" s="2"/>
      <c r="AC531" s="2"/>
      <c r="AD531" s="2"/>
      <c r="AE531" s="2"/>
      <c r="AF531" s="2">
        <f>28.2+27.2</f>
        <v>55.4</v>
      </c>
      <c r="AG531" s="4">
        <v>6.9615541498893721E-2</v>
      </c>
      <c r="AH531" s="4">
        <v>0.29947964814520067</v>
      </c>
      <c r="AI531" s="2"/>
      <c r="AJ531" s="2"/>
      <c r="AK531" s="2"/>
      <c r="AL531" s="2"/>
      <c r="AM531" s="2"/>
      <c r="AN531" s="4">
        <v>0.10076278475729883</v>
      </c>
      <c r="AO531" s="2"/>
      <c r="AP531" s="15">
        <f>0.2223*(17.4*28.2+15.1*27.2)/(28.2+27.2)</f>
        <v>3.6169895306859199</v>
      </c>
      <c r="AQ531" s="15">
        <f>0.7777*(17.4*28.2+15.1*27.2)/(28.2+27.2)</f>
        <v>12.653768592057761</v>
      </c>
      <c r="AR531" s="4">
        <v>0.10633697651532487</v>
      </c>
      <c r="AS531" s="2"/>
      <c r="AT531" s="2"/>
      <c r="AU531" s="2"/>
      <c r="AV531" s="2"/>
      <c r="AW531" s="2"/>
      <c r="AX531" s="2"/>
      <c r="AY531" s="2"/>
      <c r="AZ531" s="2"/>
      <c r="BA531" s="2">
        <f>48.9+38.4</f>
        <v>87.3</v>
      </c>
      <c r="BB531" s="4">
        <v>6.9615541498893721E-2</v>
      </c>
      <c r="BC531" s="4">
        <v>0.29947964814520067</v>
      </c>
      <c r="BD531" s="2"/>
      <c r="BE531" s="2"/>
      <c r="BF531" s="2"/>
      <c r="BG531" s="2"/>
      <c r="BH531" s="2"/>
      <c r="BI531" s="4">
        <v>0.10076278475729883</v>
      </c>
      <c r="BJ531" s="2"/>
      <c r="BK531" s="15">
        <f>0.2223*(17.1*48.9+15.4*38.4)/(48.9+38.4)</f>
        <v>3.6351015463917533</v>
      </c>
      <c r="BL531" s="15">
        <f>0.7777*(17.1*48.9+15.4*38.4)/(48.9+38.4)</f>
        <v>12.717132130584194</v>
      </c>
      <c r="BM531" s="4">
        <v>0.10633697651532487</v>
      </c>
      <c r="BN531" s="4"/>
      <c r="BO531" s="4"/>
      <c r="BP531" s="2"/>
      <c r="BQ531" s="2"/>
      <c r="BR531" s="2"/>
      <c r="BS531" s="2"/>
      <c r="BT531" s="2"/>
      <c r="BU531" s="2"/>
      <c r="BV531" s="2">
        <f>3.4+2.9</f>
        <v>6.3</v>
      </c>
      <c r="BW531" s="4">
        <v>6.9615541498893721E-2</v>
      </c>
      <c r="BX531" s="4">
        <v>0.29947964814520067</v>
      </c>
      <c r="BY531" s="2"/>
      <c r="BZ531" s="2"/>
      <c r="CA531" s="2"/>
      <c r="CB531" s="2"/>
      <c r="CC531" s="2"/>
      <c r="CD531" s="4">
        <v>0.10076278475729883</v>
      </c>
      <c r="CE531" s="2"/>
      <c r="CF531" s="15">
        <f>0.2223*(19.3*3.4+14.6*2.9)/(3.4+2.9)</f>
        <v>3.8094457142857148</v>
      </c>
      <c r="CG531" s="15">
        <f>0.7777*(19.3*3.4+14.6*2.9)/(3.4+2.9)</f>
        <v>13.327062222222223</v>
      </c>
      <c r="CH531" s="4">
        <v>0.10633697651532487</v>
      </c>
      <c r="CI531" s="4"/>
      <c r="CJ531" s="4"/>
      <c r="CK531" s="2"/>
      <c r="CL531" s="2"/>
      <c r="CM531" s="2"/>
      <c r="CN531" s="2"/>
      <c r="CO531" s="2"/>
      <c r="CP531" s="2"/>
      <c r="CQ531" s="2">
        <f>20.5+19.7</f>
        <v>40.200000000000003</v>
      </c>
      <c r="CR531" s="4">
        <v>6.9615541498893721E-2</v>
      </c>
      <c r="CS531" s="4">
        <v>0.29947964814520067</v>
      </c>
      <c r="CT531" s="2"/>
      <c r="CU531" s="2"/>
      <c r="CV531" s="2"/>
      <c r="CW531" s="2"/>
      <c r="CX531" s="2"/>
      <c r="CY531" s="4">
        <v>0.10076278475729883</v>
      </c>
      <c r="CZ531" s="2"/>
      <c r="DA531" s="15">
        <f>0.2223*(19.2*20.5+15.1*19.7)/(20.5+19.7)</f>
        <v>3.8215139552238799</v>
      </c>
      <c r="DB531" s="15">
        <f>0.7777*(19.2*20.5+15.1*19.7)/(20.5+19.7)</f>
        <v>13.369282064676614</v>
      </c>
      <c r="DC531" s="4">
        <v>0.10633697651532487</v>
      </c>
      <c r="DD531" s="4"/>
      <c r="DE531" s="4"/>
      <c r="DF531" s="2"/>
      <c r="DG531" s="2"/>
      <c r="DH531" s="2"/>
      <c r="DI531" s="2"/>
      <c r="DJ531" s="2"/>
      <c r="DK531" s="2"/>
      <c r="DL531" s="14" t="s">
        <v>81</v>
      </c>
      <c r="DM531" s="2"/>
      <c r="DN531" s="2">
        <f t="shared" si="104"/>
        <v>0.10076278475729883</v>
      </c>
      <c r="DO531" s="2">
        <f t="shared" si="105"/>
        <v>0</v>
      </c>
      <c r="DP531" s="2" t="s">
        <v>95</v>
      </c>
      <c r="DQ531" s="2" t="s">
        <v>3</v>
      </c>
      <c r="DR531" s="15">
        <f t="shared" si="106"/>
        <v>151.69999999999999</v>
      </c>
      <c r="DS531" s="4">
        <f t="shared" si="107"/>
        <v>0.10076278475729883</v>
      </c>
      <c r="DT531" s="15">
        <f t="shared" si="108"/>
        <v>152.85714447682233</v>
      </c>
      <c r="DU531" s="2"/>
      <c r="DV531" s="2">
        <f t="shared" si="109"/>
        <v>46.5</v>
      </c>
      <c r="DW531" s="4">
        <f>(BV531*CD531+CQ531*CY531)/DV531</f>
        <v>0.10076278475729886</v>
      </c>
      <c r="DX531" s="15">
        <f>1000*DV531*DW531/100</f>
        <v>46.85469491214397</v>
      </c>
      <c r="DY531" s="2"/>
      <c r="DZ531" s="2" t="s">
        <v>3</v>
      </c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 t="s">
        <v>3</v>
      </c>
      <c r="FR531" s="2" t="s">
        <v>89</v>
      </c>
      <c r="FS531" s="2" t="s">
        <v>90</v>
      </c>
      <c r="FT531" s="2" t="s">
        <v>91</v>
      </c>
      <c r="FU531" s="2"/>
      <c r="FV531" s="2" t="s">
        <v>3</v>
      </c>
    </row>
    <row r="532" spans="1:178" ht="15.75" customHeight="1" x14ac:dyDescent="0.2">
      <c r="A532" s="14" t="s">
        <v>96</v>
      </c>
      <c r="B532" s="2" t="s">
        <v>278</v>
      </c>
      <c r="C532" s="16" t="s">
        <v>1178</v>
      </c>
      <c r="D532" s="2" t="s">
        <v>99</v>
      </c>
      <c r="E532" s="2"/>
      <c r="F532" s="2"/>
      <c r="G532" s="2"/>
      <c r="H532" s="2" t="s">
        <v>79</v>
      </c>
      <c r="I532" s="2"/>
      <c r="J532" s="2"/>
      <c r="K532" s="2">
        <v>0</v>
      </c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>
        <v>0</v>
      </c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>
        <v>1.0129999999999999</v>
      </c>
      <c r="BB532" s="2">
        <v>0.48</v>
      </c>
      <c r="BC532" s="2"/>
      <c r="BD532" s="2"/>
      <c r="BE532" s="2"/>
      <c r="BF532" s="2"/>
      <c r="BG532" s="2"/>
      <c r="BH532" s="2"/>
      <c r="BI532" s="2">
        <v>1.0900000000000001</v>
      </c>
      <c r="BJ532" s="2">
        <v>0.04</v>
      </c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>
        <v>0</v>
      </c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>
        <v>0</v>
      </c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14" t="s">
        <v>81</v>
      </c>
      <c r="DM532" s="2" t="s">
        <v>81</v>
      </c>
      <c r="DN532" s="2">
        <f t="shared" si="104"/>
        <v>1.0900000000000001</v>
      </c>
      <c r="DO532" s="2">
        <f t="shared" si="105"/>
        <v>0.04</v>
      </c>
      <c r="DP532" s="2" t="s">
        <v>399</v>
      </c>
      <c r="DQ532" s="2" t="s">
        <v>3</v>
      </c>
      <c r="DR532" s="2">
        <f t="shared" si="106"/>
        <v>1.0129999999999999</v>
      </c>
      <c r="DS532" s="2">
        <f t="shared" si="107"/>
        <v>1.0900000000000001</v>
      </c>
      <c r="DT532" s="15">
        <f t="shared" si="108"/>
        <v>11.041699999999999</v>
      </c>
      <c r="DU532" s="2"/>
      <c r="DV532" s="2">
        <f t="shared" si="109"/>
        <v>0</v>
      </c>
      <c r="DW532" s="2"/>
      <c r="DX532" s="2"/>
      <c r="DY532" s="2"/>
      <c r="DZ532" s="2" t="s">
        <v>3</v>
      </c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 t="s">
        <v>3</v>
      </c>
      <c r="FR532" s="2" t="s">
        <v>89</v>
      </c>
      <c r="FS532" s="2" t="s">
        <v>123</v>
      </c>
      <c r="FT532" s="2"/>
      <c r="FU532" s="2"/>
      <c r="FV532" s="2" t="s">
        <v>3</v>
      </c>
    </row>
    <row r="533" spans="1:178" ht="15.75" customHeight="1" x14ac:dyDescent="0.2">
      <c r="A533" s="14" t="s">
        <v>96</v>
      </c>
      <c r="B533" s="2" t="s">
        <v>133</v>
      </c>
      <c r="C533" s="16" t="s">
        <v>1179</v>
      </c>
      <c r="D533" s="2" t="s">
        <v>109</v>
      </c>
      <c r="E533" s="29">
        <f>46+(34+(51.72/60))/60</f>
        <v>46.58103333333333</v>
      </c>
      <c r="F533" s="29">
        <f>-80-(47+(59.46/60))/60</f>
        <v>-80.799850000000006</v>
      </c>
      <c r="G533" s="2"/>
      <c r="H533" s="2" t="s">
        <v>309</v>
      </c>
      <c r="I533" s="2"/>
      <c r="J533" s="2"/>
      <c r="K533" s="2">
        <v>5.68</v>
      </c>
      <c r="L533" s="2">
        <v>1.49</v>
      </c>
      <c r="M533" s="2"/>
      <c r="N533" s="2"/>
      <c r="O533" s="2"/>
      <c r="P533" s="2"/>
      <c r="Q533" s="2"/>
      <c r="R533" s="2"/>
      <c r="S533" s="2">
        <v>1.59</v>
      </c>
      <c r="T533" s="2">
        <v>0.04</v>
      </c>
      <c r="U533" s="2">
        <v>0.87</v>
      </c>
      <c r="V533" s="2">
        <v>0.83</v>
      </c>
      <c r="W533" s="2"/>
      <c r="X533" s="2"/>
      <c r="Y533" s="2"/>
      <c r="Z533" s="2"/>
      <c r="AA533" s="2"/>
      <c r="AB533" s="2"/>
      <c r="AC533" s="2"/>
      <c r="AD533" s="2"/>
      <c r="AE533" s="2"/>
      <c r="AF533" s="2">
        <v>23.25</v>
      </c>
      <c r="AG533" s="4">
        <v>2.5</v>
      </c>
      <c r="AH533" s="2"/>
      <c r="AI533" s="2"/>
      <c r="AJ533" s="2"/>
      <c r="AK533" s="2"/>
      <c r="AL533" s="2"/>
      <c r="AM533" s="2"/>
      <c r="AN533" s="4">
        <v>2.1</v>
      </c>
      <c r="AO533" s="2">
        <v>0.05</v>
      </c>
      <c r="AP533" s="2">
        <v>0.91</v>
      </c>
      <c r="AQ533" s="2">
        <v>1.07</v>
      </c>
      <c r="AR533" s="2"/>
      <c r="AS533" s="2"/>
      <c r="AT533" s="2"/>
      <c r="AU533" s="2"/>
      <c r="AV533" s="2"/>
      <c r="AW533" s="2"/>
      <c r="AX533" s="2"/>
      <c r="AY533" s="2"/>
      <c r="AZ533" s="2"/>
      <c r="BA533" s="2">
        <v>25</v>
      </c>
      <c r="BB533" s="2">
        <v>2.6</v>
      </c>
      <c r="BC533" s="2"/>
      <c r="BD533" s="2"/>
      <c r="BE533" s="2"/>
      <c r="BF533" s="2"/>
      <c r="BG533" s="2"/>
      <c r="BH533" s="2"/>
      <c r="BI533" s="2">
        <v>0.9</v>
      </c>
      <c r="BJ533" s="2">
        <v>0.03</v>
      </c>
      <c r="BK533" s="15">
        <v>1</v>
      </c>
      <c r="BL533" s="2">
        <v>1.2</v>
      </c>
      <c r="BM533" s="2"/>
      <c r="BN533" s="2"/>
      <c r="BO533" s="2"/>
      <c r="BP533" s="2"/>
      <c r="BQ533" s="2"/>
      <c r="BR533" s="2"/>
      <c r="BS533" s="2"/>
      <c r="BT533" s="2"/>
      <c r="BU533" s="2"/>
      <c r="BV533" s="2">
        <v>5.74</v>
      </c>
      <c r="BW533" s="2">
        <v>1.17</v>
      </c>
      <c r="BX533" s="2"/>
      <c r="BY533" s="2"/>
      <c r="BZ533" s="2"/>
      <c r="CA533" s="2"/>
      <c r="CB533" s="2"/>
      <c r="CC533" s="2"/>
      <c r="CD533" s="2">
        <v>1.26</v>
      </c>
      <c r="CE533" s="2">
        <v>0.03</v>
      </c>
      <c r="CF533" s="2">
        <v>0.66</v>
      </c>
      <c r="CG533" s="2">
        <v>0.62</v>
      </c>
      <c r="CH533" s="2"/>
      <c r="CI533" s="2"/>
      <c r="CJ533" s="2"/>
      <c r="CK533" s="2"/>
      <c r="CL533" s="2"/>
      <c r="CM533" s="2"/>
      <c r="CN533" s="2"/>
      <c r="CO533" s="2"/>
      <c r="CP533" s="2"/>
      <c r="CQ533" s="2">
        <v>15.03</v>
      </c>
      <c r="CR533" s="2">
        <v>0.98</v>
      </c>
      <c r="CS533" s="2"/>
      <c r="CT533" s="2"/>
      <c r="CU533" s="2"/>
      <c r="CV533" s="2"/>
      <c r="CW533" s="2"/>
      <c r="CX533" s="2"/>
      <c r="CY533" s="2">
        <v>2.06</v>
      </c>
      <c r="CZ533" s="2">
        <v>0.05</v>
      </c>
      <c r="DA533" s="2">
        <v>0.37</v>
      </c>
      <c r="DB533" s="2">
        <v>0.42</v>
      </c>
      <c r="DC533" s="2"/>
      <c r="DD533" s="2"/>
      <c r="DE533" s="2"/>
      <c r="DF533" s="2"/>
      <c r="DG533" s="2"/>
      <c r="DH533" s="2"/>
      <c r="DI533" s="2"/>
      <c r="DJ533" s="2"/>
      <c r="DK533" s="2"/>
      <c r="DL533" s="14" t="s">
        <v>81</v>
      </c>
      <c r="DM533" s="2" t="s">
        <v>81</v>
      </c>
      <c r="DN533" s="2">
        <f t="shared" si="104"/>
        <v>1.4900092712775821</v>
      </c>
      <c r="DO533" s="2">
        <f t="shared" si="105"/>
        <v>3.9675505284628231E-2</v>
      </c>
      <c r="DP533" s="2" t="s">
        <v>95</v>
      </c>
      <c r="DQ533" s="2" t="s">
        <v>3</v>
      </c>
      <c r="DR533" s="2">
        <f t="shared" si="106"/>
        <v>53.93</v>
      </c>
      <c r="DS533" s="4">
        <f t="shared" si="107"/>
        <v>1.4900092712775821</v>
      </c>
      <c r="DT533" s="15">
        <f t="shared" si="108"/>
        <v>803.56200000000001</v>
      </c>
      <c r="DU533" s="2"/>
      <c r="DV533" s="2">
        <f t="shared" si="109"/>
        <v>20.77</v>
      </c>
      <c r="DW533" s="4">
        <f t="shared" ref="DW533:DW534" si="113">(BV533*CD533+CQ533*CY533)/DV533</f>
        <v>1.8389118921521426</v>
      </c>
      <c r="DX533" s="15">
        <f t="shared" ref="DX533:DX534" si="114">1000*DV533*DW533/100</f>
        <v>381.94200000000006</v>
      </c>
      <c r="DY533" s="2"/>
      <c r="DZ533" s="2" t="s">
        <v>3</v>
      </c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 t="s">
        <v>3</v>
      </c>
      <c r="FR533" s="2" t="s">
        <v>89</v>
      </c>
      <c r="FS533" s="2" t="s">
        <v>408</v>
      </c>
      <c r="FT533" s="2" t="s">
        <v>408</v>
      </c>
      <c r="FU533" s="2"/>
      <c r="FV533" s="2" t="s">
        <v>3</v>
      </c>
    </row>
    <row r="534" spans="1:178" ht="15.75" customHeight="1" x14ac:dyDescent="0.2">
      <c r="A534" s="14" t="s">
        <v>96</v>
      </c>
      <c r="B534" s="2" t="s">
        <v>133</v>
      </c>
      <c r="C534" s="16" t="s">
        <v>1180</v>
      </c>
      <c r="D534" s="2" t="s">
        <v>109</v>
      </c>
      <c r="E534" s="29">
        <f>46+(29+(32.28/60))/60</f>
        <v>46.4923</v>
      </c>
      <c r="F534" s="29">
        <f>-81-(4+(3.93/60))/60</f>
        <v>-81.06775833333333</v>
      </c>
      <c r="G534" s="2"/>
      <c r="H534" s="2" t="s">
        <v>200</v>
      </c>
      <c r="I534" s="2"/>
      <c r="J534" s="2"/>
      <c r="K534" s="2">
        <v>20.9</v>
      </c>
      <c r="L534" s="2">
        <v>2.4300000000000002</v>
      </c>
      <c r="M534" s="2">
        <v>0.6</v>
      </c>
      <c r="N534" s="2"/>
      <c r="O534" s="2"/>
      <c r="P534" s="2"/>
      <c r="Q534" s="2"/>
      <c r="R534" s="2"/>
      <c r="S534" s="2">
        <v>1.65</v>
      </c>
      <c r="T534" s="2">
        <v>0.04</v>
      </c>
      <c r="U534" s="2">
        <v>1.3</v>
      </c>
      <c r="V534" s="2">
        <v>1.5</v>
      </c>
      <c r="W534" s="2"/>
      <c r="X534" s="2"/>
      <c r="Y534" s="2"/>
      <c r="Z534" s="2"/>
      <c r="AA534" s="2"/>
      <c r="AB534" s="2"/>
      <c r="AC534" s="2"/>
      <c r="AD534" s="2"/>
      <c r="AE534" s="2"/>
      <c r="AF534" s="2">
        <v>40.799999999999997</v>
      </c>
      <c r="AG534" s="2">
        <v>1.44</v>
      </c>
      <c r="AH534" s="2">
        <v>0.4</v>
      </c>
      <c r="AI534" s="2"/>
      <c r="AJ534" s="2"/>
      <c r="AK534" s="2"/>
      <c r="AL534" s="2"/>
      <c r="AM534" s="2"/>
      <c r="AN534" s="2">
        <v>1.27</v>
      </c>
      <c r="AO534" s="2">
        <v>0.02</v>
      </c>
      <c r="AP534" s="2">
        <v>1.2</v>
      </c>
      <c r="AQ534" s="2">
        <v>1.5</v>
      </c>
      <c r="AR534" s="2"/>
      <c r="AS534" s="2"/>
      <c r="AT534" s="2"/>
      <c r="AU534" s="2"/>
      <c r="AV534" s="2"/>
      <c r="AW534" s="2"/>
      <c r="AX534" s="2"/>
      <c r="AY534" s="2"/>
      <c r="AZ534" s="2"/>
      <c r="BA534" s="2">
        <v>0</v>
      </c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>
        <v>20.9</v>
      </c>
      <c r="BW534" s="2">
        <v>2.4300000000000002</v>
      </c>
      <c r="BX534" s="2">
        <v>0.6</v>
      </c>
      <c r="BY534" s="2"/>
      <c r="BZ534" s="2"/>
      <c r="CA534" s="2"/>
      <c r="CB534" s="2"/>
      <c r="CC534" s="2"/>
      <c r="CD534" s="2">
        <v>1.65</v>
      </c>
      <c r="CE534" s="2">
        <v>0.04</v>
      </c>
      <c r="CF534" s="2">
        <v>1.3</v>
      </c>
      <c r="CG534" s="2">
        <v>1.5</v>
      </c>
      <c r="CH534" s="2"/>
      <c r="CI534" s="2"/>
      <c r="CJ534" s="2"/>
      <c r="CK534" s="2"/>
      <c r="CL534" s="2"/>
      <c r="CM534" s="2"/>
      <c r="CN534" s="2"/>
      <c r="CO534" s="2"/>
      <c r="CP534" s="2"/>
      <c r="CQ534" s="2">
        <v>40.799999999999997</v>
      </c>
      <c r="CR534" s="2">
        <v>1.44</v>
      </c>
      <c r="CS534" s="2">
        <v>0.4</v>
      </c>
      <c r="CT534" s="2"/>
      <c r="CU534" s="2"/>
      <c r="CV534" s="2"/>
      <c r="CW534" s="2"/>
      <c r="CX534" s="2"/>
      <c r="CY534" s="2">
        <v>1.27</v>
      </c>
      <c r="CZ534" s="2">
        <v>0.02</v>
      </c>
      <c r="DA534" s="2">
        <v>1.2</v>
      </c>
      <c r="DB534" s="2">
        <v>1.5</v>
      </c>
      <c r="DC534" s="2"/>
      <c r="DD534" s="2"/>
      <c r="DE534" s="2"/>
      <c r="DF534" s="2"/>
      <c r="DG534" s="2"/>
      <c r="DH534" s="2"/>
      <c r="DI534" s="2"/>
      <c r="DJ534" s="2"/>
      <c r="DK534" s="2"/>
      <c r="DL534" s="14" t="s">
        <v>81</v>
      </c>
      <c r="DM534" s="2" t="s">
        <v>81</v>
      </c>
      <c r="DN534" s="2">
        <f t="shared" si="104"/>
        <v>1.3987196110210696</v>
      </c>
      <c r="DO534" s="2">
        <f t="shared" si="105"/>
        <v>2.6774716369529983E-2</v>
      </c>
      <c r="DP534" s="2" t="s">
        <v>965</v>
      </c>
      <c r="DQ534" s="2" t="s">
        <v>3</v>
      </c>
      <c r="DR534" s="2">
        <f t="shared" si="106"/>
        <v>61.699999999999996</v>
      </c>
      <c r="DS534" s="4">
        <f t="shared" si="107"/>
        <v>1.3987196110210696</v>
      </c>
      <c r="DT534" s="15">
        <f t="shared" si="108"/>
        <v>863.00999999999988</v>
      </c>
      <c r="DU534" s="2"/>
      <c r="DV534" s="2">
        <f t="shared" si="109"/>
        <v>61.699999999999996</v>
      </c>
      <c r="DW534" s="4">
        <f t="shared" si="113"/>
        <v>1.3987196110210696</v>
      </c>
      <c r="DX534" s="15">
        <f t="shared" si="114"/>
        <v>863.00999999999988</v>
      </c>
      <c r="DY534" s="2"/>
      <c r="DZ534" s="2" t="s">
        <v>3</v>
      </c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 t="s">
        <v>3</v>
      </c>
      <c r="FR534" s="2" t="s">
        <v>89</v>
      </c>
      <c r="FS534" s="2" t="s">
        <v>408</v>
      </c>
      <c r="FT534" s="2" t="s">
        <v>408</v>
      </c>
      <c r="FU534" s="2"/>
      <c r="FV534" s="2" t="s">
        <v>3</v>
      </c>
    </row>
    <row r="535" spans="1:178" ht="15.75" customHeight="1" x14ac:dyDescent="0.2">
      <c r="A535" s="14" t="s">
        <v>96</v>
      </c>
      <c r="B535" s="2" t="s">
        <v>133</v>
      </c>
      <c r="C535" s="16" t="s">
        <v>1181</v>
      </c>
      <c r="D535" s="2" t="s">
        <v>99</v>
      </c>
      <c r="E535" s="29">
        <f>46+(23+(51.34/60))/60</f>
        <v>46.397594444444444</v>
      </c>
      <c r="F535" s="29">
        <f>-81-(25+(36.92/60))/60</f>
        <v>-81.426922222222217</v>
      </c>
      <c r="G535" s="2"/>
      <c r="H535" s="2" t="s">
        <v>975</v>
      </c>
      <c r="I535" s="2"/>
      <c r="J535" s="2"/>
      <c r="K535" s="2">
        <v>0</v>
      </c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>
        <v>0</v>
      </c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>
        <f>0.786-0.125</f>
        <v>0.66100000000000003</v>
      </c>
      <c r="BB535" s="2">
        <v>0.76</v>
      </c>
      <c r="BC535" s="2"/>
      <c r="BD535" s="2"/>
      <c r="BE535" s="2"/>
      <c r="BF535" s="2"/>
      <c r="BG535" s="2"/>
      <c r="BH535" s="2"/>
      <c r="BI535" s="2">
        <v>0.56999999999999995</v>
      </c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>
        <v>0</v>
      </c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>
        <v>0</v>
      </c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14" t="s">
        <v>100</v>
      </c>
      <c r="DM535" s="2"/>
      <c r="DN535" s="2">
        <f t="shared" si="104"/>
        <v>0.56999999999999995</v>
      </c>
      <c r="DO535" s="2">
        <f t="shared" si="105"/>
        <v>0</v>
      </c>
      <c r="DP535" s="2" t="s">
        <v>1182</v>
      </c>
      <c r="DQ535" s="2" t="s">
        <v>3</v>
      </c>
      <c r="DR535" s="2">
        <f t="shared" si="106"/>
        <v>0.66100000000000003</v>
      </c>
      <c r="DS535" s="2">
        <f t="shared" si="107"/>
        <v>0.56999999999999995</v>
      </c>
      <c r="DT535" s="15">
        <f t="shared" si="108"/>
        <v>3.7676999999999996</v>
      </c>
      <c r="DU535" s="2"/>
      <c r="DV535" s="2">
        <f t="shared" si="109"/>
        <v>0</v>
      </c>
      <c r="DW535" s="2"/>
      <c r="DX535" s="2"/>
      <c r="DY535" s="2"/>
      <c r="DZ535" s="2" t="s">
        <v>3</v>
      </c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 t="s">
        <v>3</v>
      </c>
      <c r="FR535" s="2" t="s">
        <v>89</v>
      </c>
      <c r="FS535" s="2" t="s">
        <v>408</v>
      </c>
      <c r="FT535" s="2" t="s">
        <v>408</v>
      </c>
      <c r="FU535" s="2"/>
      <c r="FV535" s="2" t="s">
        <v>3</v>
      </c>
    </row>
    <row r="536" spans="1:178" ht="15.75" customHeight="1" x14ac:dyDescent="0.2">
      <c r="A536" s="14" t="s">
        <v>96</v>
      </c>
      <c r="B536" s="2" t="s">
        <v>133</v>
      </c>
      <c r="C536" s="16" t="s">
        <v>1183</v>
      </c>
      <c r="D536" s="2" t="s">
        <v>99</v>
      </c>
      <c r="E536" s="29">
        <f>46+(34+(1.28/60))/60</f>
        <v>46.567022222222221</v>
      </c>
      <c r="F536" s="29">
        <f>-80-(53+(52.29/60))/60</f>
        <v>-80.897858333333332</v>
      </c>
      <c r="G536" s="2"/>
      <c r="H536" s="2" t="s">
        <v>1184</v>
      </c>
      <c r="I536" s="2"/>
      <c r="J536" s="2"/>
      <c r="K536" s="2">
        <v>0</v>
      </c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>
        <v>0.56000000000000005</v>
      </c>
      <c r="AG536" s="2">
        <v>0.49</v>
      </c>
      <c r="AH536" s="2"/>
      <c r="AI536" s="2"/>
      <c r="AJ536" s="2"/>
      <c r="AK536" s="2"/>
      <c r="AL536" s="2"/>
      <c r="AM536" s="2"/>
      <c r="AN536" s="2">
        <v>1.17</v>
      </c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>
        <v>1.59</v>
      </c>
      <c r="BB536" s="2">
        <v>0.97</v>
      </c>
      <c r="BC536" s="2"/>
      <c r="BD536" s="2"/>
      <c r="BE536" s="2"/>
      <c r="BF536" s="2"/>
      <c r="BG536" s="2"/>
      <c r="BH536" s="2"/>
      <c r="BI536" s="2">
        <v>1.27</v>
      </c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>
        <v>0</v>
      </c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>
        <v>0</v>
      </c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14" t="s">
        <v>81</v>
      </c>
      <c r="DM536" s="2"/>
      <c r="DN536" s="2">
        <f t="shared" si="104"/>
        <v>1.2439534883720929</v>
      </c>
      <c r="DO536" s="2">
        <f t="shared" si="105"/>
        <v>0</v>
      </c>
      <c r="DP536" s="2" t="s">
        <v>1185</v>
      </c>
      <c r="DQ536" s="2" t="s">
        <v>3</v>
      </c>
      <c r="DR536" s="2">
        <f t="shared" si="106"/>
        <v>2.1500000000000004</v>
      </c>
      <c r="DS536" s="4">
        <f t="shared" si="107"/>
        <v>1.2439534883720929</v>
      </c>
      <c r="DT536" s="15">
        <f t="shared" si="108"/>
        <v>26.745000000000001</v>
      </c>
      <c r="DU536" s="2"/>
      <c r="DV536" s="2">
        <f t="shared" si="109"/>
        <v>0</v>
      </c>
      <c r="DW536" s="2"/>
      <c r="DX536" s="2"/>
      <c r="DY536" s="2"/>
      <c r="DZ536" s="2" t="s">
        <v>3</v>
      </c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 t="s">
        <v>3</v>
      </c>
      <c r="FR536" s="2" t="s">
        <v>89</v>
      </c>
      <c r="FS536" s="2" t="s">
        <v>408</v>
      </c>
      <c r="FT536" s="2" t="s">
        <v>408</v>
      </c>
      <c r="FU536" s="2"/>
      <c r="FV536" s="2" t="s">
        <v>3</v>
      </c>
    </row>
    <row r="537" spans="1:178" ht="15.75" customHeight="1" x14ac:dyDescent="0.2">
      <c r="A537" s="14" t="s">
        <v>96</v>
      </c>
      <c r="B537" s="2" t="s">
        <v>133</v>
      </c>
      <c r="C537" s="16" t="s">
        <v>1186</v>
      </c>
      <c r="D537" s="2" t="s">
        <v>120</v>
      </c>
      <c r="E537" s="29">
        <f t="shared" ref="E537:E538" si="115">46+(25+(25.67/60))/60</f>
        <v>46.42379722222222</v>
      </c>
      <c r="F537" s="29">
        <f t="shared" ref="F537:F538" si="116">-81-(23+(15.04/60))/60</f>
        <v>-81.38751111111111</v>
      </c>
      <c r="G537" s="2"/>
      <c r="H537" s="2" t="s">
        <v>632</v>
      </c>
      <c r="I537" s="2"/>
      <c r="J537" s="2"/>
      <c r="K537" s="2">
        <v>0</v>
      </c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19">
        <f>8.98+1.365965-0.11057-0.245903-0.248532</f>
        <v>9.7409599999999994</v>
      </c>
      <c r="AG537" s="4">
        <f>(0.34*8.98+1.39*1.365965-1.29*0.11057-1.33*0.245903-1.41*0.248532)/AF537</f>
        <v>0.42416506586619801</v>
      </c>
      <c r="AH537" s="2"/>
      <c r="AI537" s="2"/>
      <c r="AJ537" s="2"/>
      <c r="AK537" s="2"/>
      <c r="AL537" s="2"/>
      <c r="AM537" s="2"/>
      <c r="AN537" s="4">
        <f>(0.5*8.98+2.21*1.365965-2.06*0.11057-2.37*0.245903-2.45*0.248532)/AF537</f>
        <v>0.62512472487311321</v>
      </c>
      <c r="AO537" s="19">
        <f>(0.012*8.98+0.083*1.365965-0.083*0.11057-0.083*0.245903-0.083*0.248532)/AF537</f>
        <v>1.7546492337510881E-2</v>
      </c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>
        <v>2.57</v>
      </c>
      <c r="BB537" s="2">
        <v>0.5</v>
      </c>
      <c r="BC537" s="2"/>
      <c r="BD537" s="2"/>
      <c r="BE537" s="2"/>
      <c r="BF537" s="2"/>
      <c r="BG537" s="2"/>
      <c r="BH537" s="2"/>
      <c r="BI537" s="2">
        <v>0.7</v>
      </c>
      <c r="BJ537" s="2">
        <v>0.02</v>
      </c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19">
        <f>1.365965-0.11057-0.245903-0.248532</f>
        <v>0.76096000000000008</v>
      </c>
      <c r="BW537" s="4">
        <f>(1.39*1.365965-1.29*0.11057-1.33*0.245903-1.41*0.248532)/BV537</f>
        <v>1.4173871688393607</v>
      </c>
      <c r="BX537" s="2"/>
      <c r="BY537" s="2"/>
      <c r="BZ537" s="2"/>
      <c r="CA537" s="2"/>
      <c r="CB537" s="2"/>
      <c r="CC537" s="2"/>
      <c r="CD537" s="4">
        <f>(2.21*1.365965-2.06*0.11057-2.37*0.245903-2.45*0.248532)/BV537</f>
        <v>2.1017069753994959</v>
      </c>
      <c r="CE537" s="2">
        <v>8.3000000000000004E-2</v>
      </c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>
        <v>0</v>
      </c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14" t="s">
        <v>81</v>
      </c>
      <c r="DM537" s="2" t="s">
        <v>81</v>
      </c>
      <c r="DN537" s="2">
        <f t="shared" si="104"/>
        <v>0.64075546829816687</v>
      </c>
      <c r="DO537" s="2">
        <f t="shared" si="105"/>
        <v>1.8058679420613826E-2</v>
      </c>
      <c r="DP537" s="2" t="s">
        <v>1187</v>
      </c>
      <c r="DQ537" s="2" t="s">
        <v>3</v>
      </c>
      <c r="DR537" s="4">
        <f t="shared" si="106"/>
        <v>12.31096</v>
      </c>
      <c r="DS537" s="4">
        <f t="shared" si="107"/>
        <v>0.64075546829816687</v>
      </c>
      <c r="DT537" s="15">
        <f t="shared" si="108"/>
        <v>78.883149400000008</v>
      </c>
      <c r="DU537" s="2"/>
      <c r="DV537" s="19">
        <f t="shared" si="109"/>
        <v>0.76096000000000008</v>
      </c>
      <c r="DW537" s="4">
        <f>(BV537*CD537+CQ537*CY537)/DV537</f>
        <v>2.1017069753994959</v>
      </c>
      <c r="DX537" s="15">
        <f>1000*DV537*DW537/100</f>
        <v>15.993149400000004</v>
      </c>
      <c r="DY537" s="2"/>
      <c r="DZ537" s="2" t="s">
        <v>3</v>
      </c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 t="s">
        <v>3</v>
      </c>
      <c r="FR537" s="2" t="s">
        <v>89</v>
      </c>
      <c r="FS537" s="2" t="s">
        <v>408</v>
      </c>
      <c r="FT537" s="2" t="s">
        <v>408</v>
      </c>
      <c r="FU537" s="2"/>
      <c r="FV537" s="2" t="s">
        <v>3</v>
      </c>
    </row>
    <row r="538" spans="1:178" ht="15.75" customHeight="1" x14ac:dyDescent="0.2">
      <c r="A538" s="14" t="s">
        <v>96</v>
      </c>
      <c r="B538" s="2" t="s">
        <v>133</v>
      </c>
      <c r="C538" s="16" t="s">
        <v>1188</v>
      </c>
      <c r="D538" s="2" t="s">
        <v>99</v>
      </c>
      <c r="E538" s="29">
        <f t="shared" si="115"/>
        <v>46.42379722222222</v>
      </c>
      <c r="F538" s="29">
        <f t="shared" si="116"/>
        <v>-81.38751111111111</v>
      </c>
      <c r="G538" s="2"/>
      <c r="H538" s="2" t="s">
        <v>975</v>
      </c>
      <c r="I538" s="2"/>
      <c r="J538" s="2"/>
      <c r="K538" s="2">
        <v>0</v>
      </c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>
        <v>0.18</v>
      </c>
      <c r="AG538" s="2">
        <v>0.78</v>
      </c>
      <c r="AH538" s="2"/>
      <c r="AI538" s="2"/>
      <c r="AJ538" s="2"/>
      <c r="AK538" s="2"/>
      <c r="AL538" s="2"/>
      <c r="AM538" s="2"/>
      <c r="AN538" s="2">
        <v>2.3199999999999998</v>
      </c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>
        <v>0.04</v>
      </c>
      <c r="BB538" s="4">
        <v>0.8</v>
      </c>
      <c r="BC538" s="2"/>
      <c r="BD538" s="2"/>
      <c r="BE538" s="2"/>
      <c r="BF538" s="2"/>
      <c r="BG538" s="2"/>
      <c r="BH538" s="2"/>
      <c r="BI538" s="2">
        <v>2.93</v>
      </c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>
        <v>0</v>
      </c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>
        <v>0</v>
      </c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14" t="s">
        <v>81</v>
      </c>
      <c r="DM538" s="2"/>
      <c r="DN538" s="2">
        <f t="shared" si="104"/>
        <v>2.4309090909090907</v>
      </c>
      <c r="DO538" s="2">
        <f t="shared" si="105"/>
        <v>0</v>
      </c>
      <c r="DP538" s="2" t="s">
        <v>1182</v>
      </c>
      <c r="DQ538" s="2" t="s">
        <v>3</v>
      </c>
      <c r="DR538" s="2">
        <f t="shared" si="106"/>
        <v>0.22</v>
      </c>
      <c r="DS538" s="4">
        <f t="shared" si="107"/>
        <v>2.4309090909090907</v>
      </c>
      <c r="DT538" s="15">
        <f t="shared" si="108"/>
        <v>5.3479999999999999</v>
      </c>
      <c r="DU538" s="2"/>
      <c r="DV538" s="2">
        <f t="shared" si="109"/>
        <v>0</v>
      </c>
      <c r="DW538" s="2"/>
      <c r="DX538" s="2"/>
      <c r="DY538" s="2"/>
      <c r="DZ538" s="2" t="s">
        <v>3</v>
      </c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 t="s">
        <v>3</v>
      </c>
      <c r="FR538" s="2" t="s">
        <v>89</v>
      </c>
      <c r="FS538" s="2" t="s">
        <v>408</v>
      </c>
      <c r="FT538" s="2" t="s">
        <v>408</v>
      </c>
      <c r="FU538" s="2"/>
      <c r="FV538" s="2" t="s">
        <v>3</v>
      </c>
    </row>
    <row r="539" spans="1:178" ht="15.75" customHeight="1" x14ac:dyDescent="0.2">
      <c r="A539" s="14" t="s">
        <v>96</v>
      </c>
      <c r="B539" s="2" t="s">
        <v>133</v>
      </c>
      <c r="C539" s="16" t="s">
        <v>1189</v>
      </c>
      <c r="D539" s="2" t="s">
        <v>99</v>
      </c>
      <c r="E539" s="29">
        <f>46+(44+(27.74/60))/60</f>
        <v>46.741038888888887</v>
      </c>
      <c r="F539" s="29">
        <f>-81-(7+(57.94/60))/60</f>
        <v>-81.132761111111108</v>
      </c>
      <c r="G539" s="2"/>
      <c r="H539" s="2" t="s">
        <v>1190</v>
      </c>
      <c r="I539" s="2"/>
      <c r="J539" s="2"/>
      <c r="K539" s="2">
        <v>0</v>
      </c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>
        <v>1.56</v>
      </c>
      <c r="AG539" s="2">
        <v>0.46</v>
      </c>
      <c r="AH539" s="2"/>
      <c r="AI539" s="2"/>
      <c r="AJ539" s="2"/>
      <c r="AK539" s="2"/>
      <c r="AL539" s="2"/>
      <c r="AM539" s="2"/>
      <c r="AN539" s="2">
        <v>0.94</v>
      </c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>
        <v>0.8</v>
      </c>
      <c r="BB539" s="2">
        <v>0.56999999999999995</v>
      </c>
      <c r="BC539" s="2"/>
      <c r="BD539" s="2"/>
      <c r="BE539" s="2"/>
      <c r="BF539" s="2"/>
      <c r="BG539" s="2"/>
      <c r="BH539" s="2"/>
      <c r="BI539" s="2">
        <v>1.17</v>
      </c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>
        <v>0</v>
      </c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>
        <v>0</v>
      </c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14" t="s">
        <v>81</v>
      </c>
      <c r="DM539" s="2"/>
      <c r="DN539" s="2">
        <f t="shared" si="104"/>
        <v>1.0179661016949151</v>
      </c>
      <c r="DO539" s="2">
        <f t="shared" si="105"/>
        <v>0</v>
      </c>
      <c r="DP539" s="2" t="s">
        <v>1191</v>
      </c>
      <c r="DQ539" s="2" t="s">
        <v>3</v>
      </c>
      <c r="DR539" s="2">
        <f t="shared" si="106"/>
        <v>2.3600000000000003</v>
      </c>
      <c r="DS539" s="4">
        <f t="shared" si="107"/>
        <v>1.0179661016949151</v>
      </c>
      <c r="DT539" s="15">
        <f t="shared" si="108"/>
        <v>24.024000000000001</v>
      </c>
      <c r="DU539" s="2"/>
      <c r="DV539" s="2">
        <f t="shared" si="109"/>
        <v>0</v>
      </c>
      <c r="DW539" s="2"/>
      <c r="DX539" s="2"/>
      <c r="DY539" s="2"/>
      <c r="DZ539" s="2" t="s">
        <v>3</v>
      </c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 t="s">
        <v>3</v>
      </c>
      <c r="FR539" s="2" t="s">
        <v>89</v>
      </c>
      <c r="FS539" s="2" t="s">
        <v>408</v>
      </c>
      <c r="FT539" s="2" t="s">
        <v>408</v>
      </c>
      <c r="FU539" s="2"/>
      <c r="FV539" s="2" t="s">
        <v>3</v>
      </c>
    </row>
    <row r="540" spans="1:178" ht="15.75" customHeight="1" x14ac:dyDescent="0.2">
      <c r="A540" s="14" t="s">
        <v>96</v>
      </c>
      <c r="B540" s="2" t="s">
        <v>133</v>
      </c>
      <c r="C540" s="16" t="s">
        <v>1192</v>
      </c>
      <c r="D540" s="2" t="s">
        <v>99</v>
      </c>
      <c r="E540" s="29">
        <f>46+(48+(18/60))/60</f>
        <v>46.805</v>
      </c>
      <c r="F540" s="29">
        <f>-80-(52+(41.03/60))/60</f>
        <v>-80.878063888888889</v>
      </c>
      <c r="G540" s="2"/>
      <c r="H540" s="2" t="s">
        <v>1193</v>
      </c>
      <c r="I540" s="2"/>
      <c r="J540" s="2"/>
      <c r="K540" s="2">
        <v>0</v>
      </c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>
        <v>0.26400000000000001</v>
      </c>
      <c r="AG540" s="4">
        <v>0.7</v>
      </c>
      <c r="AH540" s="2">
        <v>0.23</v>
      </c>
      <c r="AI540" s="2"/>
      <c r="AJ540" s="2"/>
      <c r="AK540" s="2"/>
      <c r="AL540" s="2"/>
      <c r="AM540" s="2"/>
      <c r="AN540" s="2">
        <v>0.65</v>
      </c>
      <c r="AO540" s="2">
        <v>0.03</v>
      </c>
      <c r="AP540" s="2">
        <v>0.62</v>
      </c>
      <c r="AQ540" s="4">
        <v>8</v>
      </c>
      <c r="AR540" s="2"/>
      <c r="AS540" s="2"/>
      <c r="AT540" s="2"/>
      <c r="AU540" s="2"/>
      <c r="AV540" s="2"/>
      <c r="AW540" s="2"/>
      <c r="AX540" s="2"/>
      <c r="AY540" s="2"/>
      <c r="AZ540" s="2"/>
      <c r="BA540" s="2">
        <v>8.6999999999999994E-2</v>
      </c>
      <c r="BB540" s="2">
        <v>0.7</v>
      </c>
      <c r="BC540" s="2">
        <v>0.6</v>
      </c>
      <c r="BD540" s="2"/>
      <c r="BE540" s="2"/>
      <c r="BF540" s="2"/>
      <c r="BG540" s="2"/>
      <c r="BH540" s="2"/>
      <c r="BI540" s="2">
        <v>0.4</v>
      </c>
      <c r="BJ540" s="2">
        <v>0.02</v>
      </c>
      <c r="BK540" s="2">
        <v>1.2</v>
      </c>
      <c r="BL540" s="2">
        <v>1.1000000000000001</v>
      </c>
      <c r="BM540" s="2"/>
      <c r="BN540" s="2"/>
      <c r="BO540" s="2"/>
      <c r="BP540" s="2"/>
      <c r="BQ540" s="2"/>
      <c r="BR540" s="2"/>
      <c r="BS540" s="2"/>
      <c r="BT540" s="2"/>
      <c r="BU540" s="2"/>
      <c r="BV540" s="2">
        <v>0</v>
      </c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>
        <v>0</v>
      </c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14" t="s">
        <v>81</v>
      </c>
      <c r="DM540" s="2" t="s">
        <v>81</v>
      </c>
      <c r="DN540" s="2">
        <f t="shared" si="104"/>
        <v>0.58803418803418805</v>
      </c>
      <c r="DO540" s="2">
        <f t="shared" si="105"/>
        <v>2.7521367521367524E-2</v>
      </c>
      <c r="DP540" s="2" t="s">
        <v>150</v>
      </c>
      <c r="DQ540" s="2" t="s">
        <v>3</v>
      </c>
      <c r="DR540" s="2">
        <f t="shared" si="106"/>
        <v>0.35099999999999998</v>
      </c>
      <c r="DS540" s="4">
        <f t="shared" si="107"/>
        <v>0.58803418803418805</v>
      </c>
      <c r="DT540" s="15">
        <f t="shared" si="108"/>
        <v>2.0640000000000001</v>
      </c>
      <c r="DU540" s="2"/>
      <c r="DV540" s="2">
        <f t="shared" si="109"/>
        <v>0</v>
      </c>
      <c r="DW540" s="2"/>
      <c r="DX540" s="2"/>
      <c r="DY540" s="2"/>
      <c r="DZ540" s="2" t="s">
        <v>3</v>
      </c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 t="s">
        <v>3</v>
      </c>
      <c r="FR540" s="2" t="s">
        <v>89</v>
      </c>
      <c r="FS540" s="2" t="s">
        <v>408</v>
      </c>
      <c r="FT540" s="2" t="s">
        <v>408</v>
      </c>
      <c r="FU540" s="2"/>
      <c r="FV540" s="2" t="s">
        <v>3</v>
      </c>
    </row>
    <row r="541" spans="1:178" ht="15.75" customHeight="1" x14ac:dyDescent="0.2">
      <c r="A541" s="14" t="s">
        <v>96</v>
      </c>
      <c r="B541" s="2" t="s">
        <v>133</v>
      </c>
      <c r="C541" s="16" t="s">
        <v>1194</v>
      </c>
      <c r="D541" s="2" t="s">
        <v>120</v>
      </c>
      <c r="E541" s="29">
        <f>46+(46+(41.16/60))/60</f>
        <v>46.778100000000002</v>
      </c>
      <c r="F541" s="29">
        <f>-80-(52+(32.52/60))/60</f>
        <v>-80.875699999999995</v>
      </c>
      <c r="G541" s="2"/>
      <c r="H541" s="2" t="s">
        <v>1184</v>
      </c>
      <c r="I541" s="2"/>
      <c r="J541" s="2"/>
      <c r="K541" s="2">
        <v>0.42</v>
      </c>
      <c r="L541" s="2">
        <v>4.26</v>
      </c>
      <c r="M541" s="2">
        <v>0.69</v>
      </c>
      <c r="N541" s="2"/>
      <c r="O541" s="2"/>
      <c r="P541" s="2"/>
      <c r="Q541" s="2"/>
      <c r="R541" s="2"/>
      <c r="S541" s="2">
        <v>0.36</v>
      </c>
      <c r="T541" s="2"/>
      <c r="U541" s="4">
        <f>0.4*3.43</f>
        <v>1.3720000000000001</v>
      </c>
      <c r="V541" s="4">
        <f>0.6*3.43</f>
        <v>2.0579999999999998</v>
      </c>
      <c r="W541" s="2"/>
      <c r="X541" s="2"/>
      <c r="Y541" s="2"/>
      <c r="Z541" s="2"/>
      <c r="AA541" s="2"/>
      <c r="AB541" s="2"/>
      <c r="AC541" s="2"/>
      <c r="AD541" s="2"/>
      <c r="AE541" s="2"/>
      <c r="AF541" s="4">
        <f>6.06+0.64</f>
        <v>6.6999999999999993</v>
      </c>
      <c r="AG541" s="4">
        <f>(0.21*6.06+4.51*0.64)/AF541</f>
        <v>0.62074626865671645</v>
      </c>
      <c r="AH541" s="4">
        <f>(0*6.06+0.75*0.64)/AF541</f>
        <v>7.1641791044776124E-2</v>
      </c>
      <c r="AI541" s="2"/>
      <c r="AJ541" s="2"/>
      <c r="AK541" s="2"/>
      <c r="AL541" s="2"/>
      <c r="AM541" s="2"/>
      <c r="AN541" s="4">
        <f>(0.75*6.06+0.39*0.64)/AF541</f>
        <v>0.7156119402985075</v>
      </c>
      <c r="AO541" s="2"/>
      <c r="AP541" s="4">
        <f>0.4*((0*6.06+3.44*0.64)/(6.06+0.64))</f>
        <v>0.13143880597014929</v>
      </c>
      <c r="AQ541" s="4">
        <f>0.6*((0*6.06+3.44*0.64)/(6.06+0.64))</f>
        <v>0.1971582089552239</v>
      </c>
      <c r="AR541" s="2"/>
      <c r="AS541" s="2"/>
      <c r="AT541" s="2"/>
      <c r="AU541" s="2"/>
      <c r="AV541" s="2"/>
      <c r="AW541" s="2"/>
      <c r="AX541" s="2"/>
      <c r="AY541" s="2"/>
      <c r="AZ541" s="2"/>
      <c r="BA541" s="2">
        <v>0.32</v>
      </c>
      <c r="BB541" s="2">
        <v>3.44</v>
      </c>
      <c r="BC541" s="2">
        <v>0.52</v>
      </c>
      <c r="BD541" s="2"/>
      <c r="BE541" s="2"/>
      <c r="BF541" s="2"/>
      <c r="BG541" s="2"/>
      <c r="BH541" s="2"/>
      <c r="BI541" s="2">
        <v>0.32</v>
      </c>
      <c r="BJ541" s="2"/>
      <c r="BK541" s="4">
        <f>0.4*2.78</f>
        <v>1.1119999999999999</v>
      </c>
      <c r="BL541" s="4">
        <f>0.6*2.78</f>
        <v>1.6679999999999999</v>
      </c>
      <c r="BM541" s="2"/>
      <c r="BN541" s="2"/>
      <c r="BO541" s="2"/>
      <c r="BP541" s="2"/>
      <c r="BQ541" s="2"/>
      <c r="BR541" s="2"/>
      <c r="BS541" s="2"/>
      <c r="BT541" s="2"/>
      <c r="BU541" s="2"/>
      <c r="BV541" s="2">
        <v>0</v>
      </c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>
        <v>0</v>
      </c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14" t="s">
        <v>81</v>
      </c>
      <c r="DM541" s="2"/>
      <c r="DN541" s="2">
        <f t="shared" si="104"/>
        <v>0.67852150537634415</v>
      </c>
      <c r="DO541" s="2">
        <f t="shared" si="105"/>
        <v>0</v>
      </c>
      <c r="DP541" s="2" t="s">
        <v>1185</v>
      </c>
      <c r="DQ541" s="2" t="s">
        <v>3</v>
      </c>
      <c r="DR541" s="4">
        <f t="shared" si="106"/>
        <v>7.4399999999999995</v>
      </c>
      <c r="DS541" s="4">
        <f t="shared" si="107"/>
        <v>0.67852150537634415</v>
      </c>
      <c r="DT541" s="15">
        <f t="shared" si="108"/>
        <v>50.481999999999999</v>
      </c>
      <c r="DU541" s="2"/>
      <c r="DV541" s="2">
        <f t="shared" si="109"/>
        <v>0</v>
      </c>
      <c r="DW541" s="2"/>
      <c r="DX541" s="2"/>
      <c r="DY541" s="2"/>
      <c r="DZ541" s="2" t="s">
        <v>3</v>
      </c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 t="s">
        <v>3</v>
      </c>
      <c r="FR541" s="2" t="s">
        <v>89</v>
      </c>
      <c r="FS541" s="2" t="s">
        <v>408</v>
      </c>
      <c r="FT541" s="2" t="s">
        <v>408</v>
      </c>
      <c r="FU541" s="2"/>
      <c r="FV541" s="2" t="s">
        <v>3</v>
      </c>
    </row>
    <row r="542" spans="1:178" ht="15.75" customHeight="1" x14ac:dyDescent="0.2">
      <c r="A542" s="14" t="s">
        <v>96</v>
      </c>
      <c r="B542" s="2" t="s">
        <v>133</v>
      </c>
      <c r="C542" s="16" t="s">
        <v>1195</v>
      </c>
      <c r="D542" s="2" t="s">
        <v>120</v>
      </c>
      <c r="E542" s="29">
        <f>46+(25+(25.67/60))/60</f>
        <v>46.42379722222222</v>
      </c>
      <c r="F542" s="29">
        <f>-81-(23+(15.04/60))/60</f>
        <v>-81.38751111111111</v>
      </c>
      <c r="G542" s="2"/>
      <c r="H542" s="2" t="s">
        <v>1184</v>
      </c>
      <c r="I542" s="2"/>
      <c r="J542" s="2"/>
      <c r="K542" s="2">
        <v>0</v>
      </c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>
        <v>0</v>
      </c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>
        <v>14.2</v>
      </c>
      <c r="BB542" s="2">
        <v>2.5</v>
      </c>
      <c r="BC542" s="15">
        <f>0.03*31.1/0.9072</f>
        <v>1.0284391534391535</v>
      </c>
      <c r="BD542" s="15">
        <f>0.4*31.1/0.9072</f>
        <v>13.71252204585538</v>
      </c>
      <c r="BE542" s="2"/>
      <c r="BF542" s="2"/>
      <c r="BG542" s="2"/>
      <c r="BH542" s="2"/>
      <c r="BI542" s="2">
        <v>2.5</v>
      </c>
      <c r="BJ542" s="2">
        <v>0.05</v>
      </c>
      <c r="BK542" s="15">
        <f>0.08*31.1/0.9072</f>
        <v>2.742504409171076</v>
      </c>
      <c r="BL542" s="15">
        <f>0.12*31.1/0.9072</f>
        <v>4.1137566137566139</v>
      </c>
      <c r="BM542" s="2"/>
      <c r="BN542" s="2"/>
      <c r="BO542" s="2"/>
      <c r="BP542" s="2"/>
      <c r="BQ542" s="2"/>
      <c r="BR542" s="2"/>
      <c r="BS542" s="2"/>
      <c r="BT542" s="2"/>
      <c r="BU542" s="2"/>
      <c r="BV542" s="2">
        <v>0</v>
      </c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>
        <v>0</v>
      </c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14" t="s">
        <v>81</v>
      </c>
      <c r="DM542" s="2" t="s">
        <v>81</v>
      </c>
      <c r="DN542" s="2">
        <f t="shared" si="104"/>
        <v>2.5</v>
      </c>
      <c r="DO542" s="2">
        <f t="shared" si="105"/>
        <v>0.05</v>
      </c>
      <c r="DP542" s="2" t="s">
        <v>1196</v>
      </c>
      <c r="DQ542" s="2" t="s">
        <v>3</v>
      </c>
      <c r="DR542" s="2">
        <f t="shared" si="106"/>
        <v>14.2</v>
      </c>
      <c r="DS542" s="2">
        <f t="shared" si="107"/>
        <v>2.5</v>
      </c>
      <c r="DT542" s="15">
        <f t="shared" si="108"/>
        <v>355</v>
      </c>
      <c r="DU542" s="2"/>
      <c r="DV542" s="2">
        <f t="shared" si="109"/>
        <v>0</v>
      </c>
      <c r="DW542" s="2"/>
      <c r="DX542" s="2"/>
      <c r="DY542" s="2"/>
      <c r="DZ542" s="2" t="s">
        <v>3</v>
      </c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 t="s">
        <v>3</v>
      </c>
      <c r="FR542" s="2" t="s">
        <v>89</v>
      </c>
      <c r="FS542" s="2" t="s">
        <v>408</v>
      </c>
      <c r="FT542" s="2" t="s">
        <v>408</v>
      </c>
      <c r="FU542" s="2"/>
      <c r="FV542" s="2" t="s">
        <v>3</v>
      </c>
    </row>
    <row r="543" spans="1:178" ht="15.75" customHeight="1" x14ac:dyDescent="0.2">
      <c r="A543" s="14" t="s">
        <v>96</v>
      </c>
      <c r="B543" s="2" t="s">
        <v>133</v>
      </c>
      <c r="C543" s="16" t="s">
        <v>1197</v>
      </c>
      <c r="D543" s="2" t="s">
        <v>99</v>
      </c>
      <c r="E543" s="29">
        <f>46+(25+(4.7/60))/60</f>
        <v>46.417972222222225</v>
      </c>
      <c r="F543" s="29">
        <f>-81-(18+(46.3/60))/60</f>
        <v>-81.312861111111104</v>
      </c>
      <c r="G543" s="2"/>
      <c r="H543" s="2" t="s">
        <v>1198</v>
      </c>
      <c r="I543" s="2"/>
      <c r="J543" s="2"/>
      <c r="K543" s="2">
        <v>0</v>
      </c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>
        <v>8.5500000000000007</v>
      </c>
      <c r="AG543" s="2">
        <v>0.31</v>
      </c>
      <c r="AH543" s="2">
        <v>0.03</v>
      </c>
      <c r="AI543" s="2"/>
      <c r="AJ543" s="2"/>
      <c r="AK543" s="2"/>
      <c r="AL543" s="2"/>
      <c r="AM543" s="2"/>
      <c r="AN543" s="2">
        <v>0.45</v>
      </c>
      <c r="AO543" s="2">
        <v>0.01</v>
      </c>
      <c r="AP543" s="2">
        <v>7.0000000000000007E-2</v>
      </c>
      <c r="AQ543" s="2">
        <v>0.02</v>
      </c>
      <c r="AR543" s="2"/>
      <c r="AS543" s="2"/>
      <c r="AT543" s="2"/>
      <c r="AU543" s="2"/>
      <c r="AV543" s="2"/>
      <c r="AW543" s="2"/>
      <c r="AX543" s="2"/>
      <c r="AY543" s="2"/>
      <c r="AZ543" s="2"/>
      <c r="BA543" s="15">
        <v>2</v>
      </c>
      <c r="BB543" s="4">
        <v>0.3</v>
      </c>
      <c r="BC543" s="2">
        <v>0.04</v>
      </c>
      <c r="BD543" s="2"/>
      <c r="BE543" s="2"/>
      <c r="BF543" s="2"/>
      <c r="BG543" s="2"/>
      <c r="BH543" s="2"/>
      <c r="BI543" s="2">
        <v>0.38</v>
      </c>
      <c r="BJ543" s="2">
        <v>0.01</v>
      </c>
      <c r="BK543" s="2">
        <v>0.09</v>
      </c>
      <c r="BL543" s="2">
        <v>0.03</v>
      </c>
      <c r="BM543" s="2"/>
      <c r="BN543" s="2"/>
      <c r="BO543" s="2"/>
      <c r="BP543" s="2"/>
      <c r="BQ543" s="2"/>
      <c r="BR543" s="2"/>
      <c r="BS543" s="2"/>
      <c r="BT543" s="2"/>
      <c r="BU543" s="2"/>
      <c r="BV543" s="2">
        <v>0</v>
      </c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>
        <v>0</v>
      </c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14" t="s">
        <v>81</v>
      </c>
      <c r="DM543" s="2" t="s">
        <v>81</v>
      </c>
      <c r="DN543" s="2">
        <f t="shared" si="104"/>
        <v>0.43672985781990525</v>
      </c>
      <c r="DO543" s="2">
        <f t="shared" si="105"/>
        <v>0.01</v>
      </c>
      <c r="DP543" s="2" t="s">
        <v>589</v>
      </c>
      <c r="DQ543" s="2" t="s">
        <v>3</v>
      </c>
      <c r="DR543" s="15">
        <f t="shared" si="106"/>
        <v>10.55</v>
      </c>
      <c r="DS543" s="4">
        <f t="shared" si="107"/>
        <v>0.43672985781990525</v>
      </c>
      <c r="DT543" s="15">
        <f t="shared" si="108"/>
        <v>46.075000000000003</v>
      </c>
      <c r="DU543" s="2"/>
      <c r="DV543" s="2">
        <f t="shared" si="109"/>
        <v>0</v>
      </c>
      <c r="DW543" s="2"/>
      <c r="DX543" s="2"/>
      <c r="DY543" s="2"/>
      <c r="DZ543" s="2" t="s">
        <v>3</v>
      </c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 t="s">
        <v>3</v>
      </c>
      <c r="FR543" s="2" t="s">
        <v>89</v>
      </c>
      <c r="FS543" s="2" t="s">
        <v>408</v>
      </c>
      <c r="FT543" s="2" t="s">
        <v>408</v>
      </c>
      <c r="FU543" s="2"/>
      <c r="FV543" s="2" t="s">
        <v>3</v>
      </c>
    </row>
    <row r="544" spans="1:178" ht="15.75" customHeight="1" x14ac:dyDescent="0.2">
      <c r="A544" s="14" t="s">
        <v>96</v>
      </c>
      <c r="B544" s="2" t="s">
        <v>97</v>
      </c>
      <c r="C544" s="16" t="s">
        <v>1199</v>
      </c>
      <c r="D544" s="2" t="s">
        <v>99</v>
      </c>
      <c r="E544" s="2"/>
      <c r="F544" s="2"/>
      <c r="G544" s="2"/>
      <c r="H544" s="2" t="s">
        <v>79</v>
      </c>
      <c r="I544" s="2"/>
      <c r="J544" s="2"/>
      <c r="K544" s="2">
        <v>0</v>
      </c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>
        <v>0</v>
      </c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>
        <v>2.25</v>
      </c>
      <c r="BB544" s="2">
        <v>0.25</v>
      </c>
      <c r="BC544" s="2"/>
      <c r="BD544" s="2"/>
      <c r="BE544" s="2"/>
      <c r="BF544" s="2"/>
      <c r="BG544" s="2"/>
      <c r="BH544" s="2"/>
      <c r="BI544" s="2">
        <v>0.3</v>
      </c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>
        <v>0</v>
      </c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>
        <v>0</v>
      </c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14" t="s">
        <v>100</v>
      </c>
      <c r="DM544" s="2"/>
      <c r="DN544" s="2">
        <f t="shared" si="104"/>
        <v>0.3</v>
      </c>
      <c r="DO544" s="2">
        <f t="shared" si="105"/>
        <v>0</v>
      </c>
      <c r="DP544" s="2" t="s">
        <v>132</v>
      </c>
      <c r="DQ544" s="2" t="s">
        <v>3</v>
      </c>
      <c r="DR544" s="2">
        <f t="shared" si="106"/>
        <v>2.25</v>
      </c>
      <c r="DS544" s="2">
        <f t="shared" si="107"/>
        <v>0.3</v>
      </c>
      <c r="DT544" s="15">
        <f t="shared" si="108"/>
        <v>6.75</v>
      </c>
      <c r="DU544" s="2"/>
      <c r="DV544" s="2">
        <f t="shared" si="109"/>
        <v>0</v>
      </c>
      <c r="DW544" s="2"/>
      <c r="DX544" s="2"/>
      <c r="DY544" s="2"/>
      <c r="DZ544" s="2" t="s">
        <v>3</v>
      </c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 t="s">
        <v>3</v>
      </c>
      <c r="FR544" s="2" t="s">
        <v>89</v>
      </c>
      <c r="FS544" s="2" t="s">
        <v>123</v>
      </c>
      <c r="FT544" s="2"/>
      <c r="FU544" s="2"/>
      <c r="FV544" s="2" t="s">
        <v>3</v>
      </c>
    </row>
    <row r="545" spans="1:178" ht="15.75" customHeight="1" x14ac:dyDescent="0.2">
      <c r="A545" s="12" t="s">
        <v>74</v>
      </c>
      <c r="B545" s="2" t="s">
        <v>198</v>
      </c>
      <c r="C545" s="13" t="s">
        <v>1200</v>
      </c>
      <c r="D545" s="2" t="s">
        <v>99</v>
      </c>
      <c r="E545" s="2"/>
      <c r="F545" s="2"/>
      <c r="G545" s="2" t="s">
        <v>78</v>
      </c>
      <c r="H545" s="2" t="s">
        <v>79</v>
      </c>
      <c r="I545" s="2"/>
      <c r="J545" s="2" t="s">
        <v>242</v>
      </c>
      <c r="K545" s="2">
        <v>0</v>
      </c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>
        <v>0</v>
      </c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>
        <v>162</v>
      </c>
      <c r="BB545" s="2"/>
      <c r="BC545" s="2"/>
      <c r="BD545" s="2"/>
      <c r="BE545" s="2"/>
      <c r="BF545" s="2"/>
      <c r="BG545" s="2"/>
      <c r="BH545" s="2"/>
      <c r="BI545" s="2">
        <v>1.62</v>
      </c>
      <c r="BJ545" s="2">
        <v>0.08</v>
      </c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>
        <v>0</v>
      </c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>
        <v>0</v>
      </c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14" t="s">
        <v>81</v>
      </c>
      <c r="DM545" s="2" t="s">
        <v>81</v>
      </c>
      <c r="DN545" s="2">
        <f t="shared" si="104"/>
        <v>1.6199999999999999</v>
      </c>
      <c r="DO545" s="2">
        <f t="shared" si="105"/>
        <v>0.08</v>
      </c>
      <c r="DP545" s="2" t="s">
        <v>1201</v>
      </c>
      <c r="DQ545" s="2" t="s">
        <v>3</v>
      </c>
      <c r="DR545" s="2">
        <f t="shared" si="106"/>
        <v>162</v>
      </c>
      <c r="DS545" s="4">
        <f t="shared" si="107"/>
        <v>1.6199999999999999</v>
      </c>
      <c r="DT545" s="18">
        <f t="shared" si="108"/>
        <v>2624.4</v>
      </c>
      <c r="DU545" s="2"/>
      <c r="DV545" s="2">
        <f t="shared" si="109"/>
        <v>0</v>
      </c>
      <c r="DW545" s="2"/>
      <c r="DX545" s="2"/>
      <c r="DY545" s="2"/>
      <c r="DZ545" s="2" t="s">
        <v>3</v>
      </c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 t="s">
        <v>3</v>
      </c>
      <c r="FR545" s="2" t="s">
        <v>37</v>
      </c>
      <c r="FS545" s="2" t="s">
        <v>235</v>
      </c>
      <c r="FT545" s="2" t="s">
        <v>235</v>
      </c>
      <c r="FU545" s="2"/>
      <c r="FV545" s="2" t="s">
        <v>3</v>
      </c>
    </row>
    <row r="546" spans="1:178" ht="15.75" customHeight="1" x14ac:dyDescent="0.2">
      <c r="A546" s="14" t="s">
        <v>96</v>
      </c>
      <c r="B546" s="2" t="s">
        <v>193</v>
      </c>
      <c r="C546" s="16" t="s">
        <v>1202</v>
      </c>
      <c r="D546" s="2" t="s">
        <v>99</v>
      </c>
      <c r="E546" s="2"/>
      <c r="F546" s="2"/>
      <c r="G546" s="2"/>
      <c r="H546" s="2" t="s">
        <v>1062</v>
      </c>
      <c r="I546" s="2"/>
      <c r="J546" s="2"/>
      <c r="K546" s="2">
        <v>0</v>
      </c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>
        <v>0</v>
      </c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>
        <v>185.7</v>
      </c>
      <c r="BB546" s="2"/>
      <c r="BC546" s="2"/>
      <c r="BD546" s="2"/>
      <c r="BE546" s="2"/>
      <c r="BF546" s="2"/>
      <c r="BG546" s="2"/>
      <c r="BH546" s="2"/>
      <c r="BI546" s="2">
        <v>0.17599999999999999</v>
      </c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>
        <v>0</v>
      </c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>
        <v>0</v>
      </c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14" t="s">
        <v>81</v>
      </c>
      <c r="DM546" s="2"/>
      <c r="DN546" s="2">
        <f t="shared" si="104"/>
        <v>0.17600000000000002</v>
      </c>
      <c r="DO546" s="2">
        <f t="shared" si="105"/>
        <v>0</v>
      </c>
      <c r="DP546" s="2" t="s">
        <v>808</v>
      </c>
      <c r="DQ546" s="2" t="s">
        <v>3</v>
      </c>
      <c r="DR546" s="2">
        <f t="shared" si="106"/>
        <v>185.7</v>
      </c>
      <c r="DS546" s="4">
        <f t="shared" si="107"/>
        <v>0.17600000000000002</v>
      </c>
      <c r="DT546" s="15">
        <f t="shared" si="108"/>
        <v>326.83200000000005</v>
      </c>
      <c r="DU546" s="2"/>
      <c r="DV546" s="2">
        <f t="shared" si="109"/>
        <v>0</v>
      </c>
      <c r="DW546" s="2"/>
      <c r="DX546" s="2"/>
      <c r="DY546" s="2"/>
      <c r="DZ546" s="2" t="s">
        <v>3</v>
      </c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 t="s">
        <v>3</v>
      </c>
      <c r="FR546" s="2" t="s">
        <v>89</v>
      </c>
      <c r="FS546" s="2" t="s">
        <v>123</v>
      </c>
      <c r="FT546" s="2"/>
      <c r="FU546" s="2"/>
      <c r="FV546" s="2" t="s">
        <v>3</v>
      </c>
    </row>
    <row r="547" spans="1:178" ht="15.75" customHeight="1" x14ac:dyDescent="0.2">
      <c r="A547" s="14" t="s">
        <v>74</v>
      </c>
      <c r="B547" s="2" t="s">
        <v>164</v>
      </c>
      <c r="C547" s="13" t="s">
        <v>1203</v>
      </c>
      <c r="D547" s="2" t="s">
        <v>99</v>
      </c>
      <c r="E547" s="2"/>
      <c r="F547" s="2"/>
      <c r="G547" s="2" t="s">
        <v>78</v>
      </c>
      <c r="H547" s="2" t="s">
        <v>1204</v>
      </c>
      <c r="I547" s="2"/>
      <c r="J547" s="2" t="s">
        <v>80</v>
      </c>
      <c r="K547" s="2">
        <v>68.8</v>
      </c>
      <c r="L547" s="2"/>
      <c r="M547" s="2"/>
      <c r="N547" s="2"/>
      <c r="O547" s="2"/>
      <c r="P547" s="2"/>
      <c r="Q547" s="2"/>
      <c r="R547" s="2"/>
      <c r="S547" s="2">
        <v>0.63</v>
      </c>
      <c r="T547" s="4">
        <v>0.1</v>
      </c>
      <c r="U547" s="2"/>
      <c r="V547" s="2"/>
      <c r="W547" s="2"/>
      <c r="X547" s="2"/>
      <c r="Y547" s="2"/>
      <c r="Z547" s="2"/>
      <c r="AA547" s="2"/>
      <c r="AB547" s="2"/>
      <c r="AC547" s="2">
        <v>62</v>
      </c>
      <c r="AD547" s="2"/>
      <c r="AE547" s="2"/>
      <c r="AF547" s="2">
        <v>93.9</v>
      </c>
      <c r="AG547" s="2"/>
      <c r="AH547" s="2"/>
      <c r="AI547" s="2"/>
      <c r="AJ547" s="2"/>
      <c r="AK547" s="2"/>
      <c r="AL547" s="2"/>
      <c r="AM547" s="2"/>
      <c r="AN547" s="2">
        <v>0.47</v>
      </c>
      <c r="AO547" s="2">
        <v>0.08</v>
      </c>
      <c r="AP547" s="2"/>
      <c r="AQ547" s="2"/>
      <c r="AR547" s="2"/>
      <c r="AS547" s="2"/>
      <c r="AT547" s="2"/>
      <c r="AU547" s="2"/>
      <c r="AV547" s="2"/>
      <c r="AW547" s="2"/>
      <c r="AX547" s="2">
        <v>86</v>
      </c>
      <c r="AY547" s="2"/>
      <c r="AZ547" s="2"/>
      <c r="BA547" s="2">
        <v>20.6</v>
      </c>
      <c r="BB547" s="2"/>
      <c r="BC547" s="2"/>
      <c r="BD547" s="2"/>
      <c r="BE547" s="2"/>
      <c r="BF547" s="2"/>
      <c r="BG547" s="2"/>
      <c r="BH547" s="2"/>
      <c r="BI547" s="2">
        <v>0.23</v>
      </c>
      <c r="BJ547" s="2">
        <v>0.09</v>
      </c>
      <c r="BK547" s="2"/>
      <c r="BL547" s="2"/>
      <c r="BM547" s="2"/>
      <c r="BN547" s="2"/>
      <c r="BO547" s="2"/>
      <c r="BP547" s="2"/>
      <c r="BQ547" s="2"/>
      <c r="BR547" s="2"/>
      <c r="BS547" s="2">
        <v>283</v>
      </c>
      <c r="BT547" s="2"/>
      <c r="BU547" s="2"/>
      <c r="BV547" s="2">
        <v>65.5</v>
      </c>
      <c r="BW547" s="2"/>
      <c r="BX547" s="2"/>
      <c r="BY547" s="2"/>
      <c r="BZ547" s="2"/>
      <c r="CA547" s="2"/>
      <c r="CB547" s="2"/>
      <c r="CC547" s="2"/>
      <c r="CD547" s="2">
        <v>0.65</v>
      </c>
      <c r="CE547" s="4">
        <v>0.1</v>
      </c>
      <c r="CF547" s="2"/>
      <c r="CG547" s="2"/>
      <c r="CH547" s="2"/>
      <c r="CI547" s="2"/>
      <c r="CJ547" s="2"/>
      <c r="CK547" s="2"/>
      <c r="CL547" s="2"/>
      <c r="CM547" s="2"/>
      <c r="CN547" s="2">
        <v>48</v>
      </c>
      <c r="CO547" s="2"/>
      <c r="CP547" s="2"/>
      <c r="CQ547" s="2">
        <v>81.900000000000006</v>
      </c>
      <c r="CR547" s="2"/>
      <c r="CS547" s="2"/>
      <c r="CT547" s="2"/>
      <c r="CU547" s="2"/>
      <c r="CV547" s="2"/>
      <c r="CW547" s="2"/>
      <c r="CX547" s="2"/>
      <c r="CY547" s="2">
        <v>0.49</v>
      </c>
      <c r="CZ547" s="2">
        <v>0.08</v>
      </c>
      <c r="DA547" s="2"/>
      <c r="DB547" s="2"/>
      <c r="DC547" s="2"/>
      <c r="DD547" s="2"/>
      <c r="DE547" s="2"/>
      <c r="DF547" s="2"/>
      <c r="DG547" s="2"/>
      <c r="DH547" s="2"/>
      <c r="DI547" s="2">
        <v>57</v>
      </c>
      <c r="DJ547" s="2"/>
      <c r="DK547" s="2"/>
      <c r="DL547" s="14" t="s">
        <v>81</v>
      </c>
      <c r="DM547" s="2" t="s">
        <v>81</v>
      </c>
      <c r="DN547" s="2">
        <f t="shared" si="104"/>
        <v>0.50308237861429361</v>
      </c>
      <c r="DO547" s="2">
        <f t="shared" si="105"/>
        <v>8.8630660120021826E-2</v>
      </c>
      <c r="DP547" s="2" t="s">
        <v>1205</v>
      </c>
      <c r="DQ547" s="2" t="s">
        <v>3</v>
      </c>
      <c r="DR547" s="2">
        <f t="shared" si="106"/>
        <v>183.29999999999998</v>
      </c>
      <c r="DS547" s="4">
        <f t="shared" si="107"/>
        <v>0.50308237861429361</v>
      </c>
      <c r="DT547" s="15">
        <f t="shared" si="108"/>
        <v>922.15</v>
      </c>
      <c r="DU547" s="2"/>
      <c r="DV547" s="2">
        <f t="shared" si="109"/>
        <v>147.4</v>
      </c>
      <c r="DW547" s="4">
        <f>(BV547*CD547+CQ547*CY547)/DV547</f>
        <v>0.56109905020352779</v>
      </c>
      <c r="DX547" s="15">
        <f>1000*DV547*DW547/100</f>
        <v>827.06</v>
      </c>
      <c r="DY547" s="2"/>
      <c r="DZ547" s="2" t="s">
        <v>3</v>
      </c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 t="s">
        <v>3</v>
      </c>
      <c r="FR547" s="2" t="s">
        <v>37</v>
      </c>
      <c r="FS547" s="2" t="s">
        <v>235</v>
      </c>
      <c r="FT547" s="2" t="s">
        <v>235</v>
      </c>
      <c r="FU547" s="2"/>
      <c r="FV547" s="2" t="s">
        <v>3</v>
      </c>
    </row>
    <row r="548" spans="1:178" ht="15.75" customHeight="1" x14ac:dyDescent="0.2">
      <c r="A548" s="14" t="s">
        <v>96</v>
      </c>
      <c r="B548" s="2" t="s">
        <v>97</v>
      </c>
      <c r="C548" s="16" t="s">
        <v>1206</v>
      </c>
      <c r="D548" s="2" t="s">
        <v>99</v>
      </c>
      <c r="E548" s="2"/>
      <c r="F548" s="2"/>
      <c r="G548" s="2"/>
      <c r="H548" s="2" t="s">
        <v>79</v>
      </c>
      <c r="I548" s="2"/>
      <c r="J548" s="2"/>
      <c r="K548" s="2">
        <v>0</v>
      </c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>
        <v>0</v>
      </c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>
        <v>5.18</v>
      </c>
      <c r="BB548" s="2">
        <v>0.2</v>
      </c>
      <c r="BC548" s="2"/>
      <c r="BD548" s="2"/>
      <c r="BE548" s="2"/>
      <c r="BF548" s="2"/>
      <c r="BG548" s="2"/>
      <c r="BH548" s="2"/>
      <c r="BI548" s="2">
        <v>0.79</v>
      </c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>
        <v>0</v>
      </c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>
        <v>0</v>
      </c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14" t="s">
        <v>100</v>
      </c>
      <c r="DM548" s="2"/>
      <c r="DN548" s="2">
        <f t="shared" si="104"/>
        <v>0.79</v>
      </c>
      <c r="DO548" s="2">
        <f t="shared" si="105"/>
        <v>0</v>
      </c>
      <c r="DP548" s="2" t="s">
        <v>132</v>
      </c>
      <c r="DQ548" s="2" t="s">
        <v>3</v>
      </c>
      <c r="DR548" s="2">
        <f t="shared" si="106"/>
        <v>5.18</v>
      </c>
      <c r="DS548" s="2">
        <f t="shared" si="107"/>
        <v>0.79</v>
      </c>
      <c r="DT548" s="15">
        <f t="shared" si="108"/>
        <v>40.922000000000004</v>
      </c>
      <c r="DU548" s="2"/>
      <c r="DV548" s="2">
        <f t="shared" si="109"/>
        <v>0</v>
      </c>
      <c r="DW548" s="2"/>
      <c r="DX548" s="2"/>
      <c r="DY548" s="2"/>
      <c r="DZ548" s="2" t="s">
        <v>3</v>
      </c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 t="s">
        <v>3</v>
      </c>
      <c r="FR548" s="2" t="s">
        <v>89</v>
      </c>
      <c r="FS548" s="2" t="s">
        <v>90</v>
      </c>
      <c r="FT548" s="2"/>
      <c r="FU548" s="2"/>
      <c r="FV548" s="2" t="s">
        <v>3</v>
      </c>
    </row>
    <row r="549" spans="1:178" ht="15.75" customHeight="1" x14ac:dyDescent="0.2">
      <c r="A549" s="12" t="s">
        <v>74</v>
      </c>
      <c r="B549" s="2" t="s">
        <v>216</v>
      </c>
      <c r="C549" s="13" t="s">
        <v>1207</v>
      </c>
      <c r="D549" s="2" t="s">
        <v>99</v>
      </c>
      <c r="E549" s="2"/>
      <c r="F549" s="2"/>
      <c r="G549" s="2"/>
      <c r="H549" s="2" t="s">
        <v>79</v>
      </c>
      <c r="I549" s="2"/>
      <c r="J549" s="2"/>
      <c r="K549" s="2">
        <v>0</v>
      </c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>
        <v>0</v>
      </c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>
        <v>16.8</v>
      </c>
      <c r="BB549" s="2"/>
      <c r="BC549" s="2"/>
      <c r="BD549" s="2"/>
      <c r="BE549" s="2"/>
      <c r="BF549" s="2"/>
      <c r="BG549" s="2"/>
      <c r="BH549" s="2"/>
      <c r="BI549" s="2">
        <v>0.6</v>
      </c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>
        <v>0</v>
      </c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>
        <v>0</v>
      </c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14" t="s">
        <v>81</v>
      </c>
      <c r="DM549" s="2"/>
      <c r="DN549" s="2">
        <f t="shared" si="104"/>
        <v>0.6</v>
      </c>
      <c r="DO549" s="2">
        <f t="shared" si="105"/>
        <v>0</v>
      </c>
      <c r="DP549" s="2" t="s">
        <v>82</v>
      </c>
      <c r="DQ549" s="2" t="s">
        <v>3</v>
      </c>
      <c r="DR549" s="2">
        <f t="shared" si="106"/>
        <v>16.8</v>
      </c>
      <c r="DS549" s="2">
        <f t="shared" si="107"/>
        <v>0.6</v>
      </c>
      <c r="DT549" s="15">
        <f t="shared" si="108"/>
        <v>100.8</v>
      </c>
      <c r="DU549" s="2"/>
      <c r="DV549" s="2">
        <f t="shared" si="109"/>
        <v>0</v>
      </c>
      <c r="DW549" s="2"/>
      <c r="DX549" s="2"/>
      <c r="DY549" s="2"/>
      <c r="DZ549" s="2" t="s">
        <v>3</v>
      </c>
      <c r="EA549" s="2" t="s">
        <v>216</v>
      </c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 t="s">
        <v>216</v>
      </c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 t="s">
        <v>216</v>
      </c>
      <c r="FQ549" s="2" t="s">
        <v>3</v>
      </c>
      <c r="FR549" s="2" t="s">
        <v>37</v>
      </c>
      <c r="FS549" s="2" t="s">
        <v>1121</v>
      </c>
      <c r="FT549" s="2"/>
      <c r="FU549" s="2"/>
      <c r="FV549" s="2" t="s">
        <v>3</v>
      </c>
    </row>
    <row r="550" spans="1:178" ht="15.75" customHeight="1" x14ac:dyDescent="0.2">
      <c r="A550" s="12" t="s">
        <v>74</v>
      </c>
      <c r="B550" s="2" t="s">
        <v>305</v>
      </c>
      <c r="C550" s="13" t="s">
        <v>1208</v>
      </c>
      <c r="D550" s="2" t="s">
        <v>99</v>
      </c>
      <c r="E550" s="2"/>
      <c r="F550" s="2"/>
      <c r="G550" s="2"/>
      <c r="H550" s="2" t="s">
        <v>307</v>
      </c>
      <c r="I550" s="2"/>
      <c r="J550" s="2"/>
      <c r="K550" s="2">
        <v>0</v>
      </c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>
        <v>0</v>
      </c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>
        <v>22.6</v>
      </c>
      <c r="BB550" s="2"/>
      <c r="BC550" s="2"/>
      <c r="BD550" s="2"/>
      <c r="BE550" s="2"/>
      <c r="BF550" s="2"/>
      <c r="BG550" s="2"/>
      <c r="BH550" s="2"/>
      <c r="BI550" s="2">
        <v>1.27</v>
      </c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>
        <v>0</v>
      </c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>
        <v>0</v>
      </c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14" t="s">
        <v>100</v>
      </c>
      <c r="DM550" s="2"/>
      <c r="DN550" s="2">
        <f t="shared" si="104"/>
        <v>1.27</v>
      </c>
      <c r="DO550" s="2">
        <f t="shared" si="105"/>
        <v>0</v>
      </c>
      <c r="DP550" s="2" t="s">
        <v>113</v>
      </c>
      <c r="DQ550" s="2" t="s">
        <v>3</v>
      </c>
      <c r="DR550" s="2">
        <f t="shared" si="106"/>
        <v>22.6</v>
      </c>
      <c r="DS550" s="2">
        <f t="shared" si="107"/>
        <v>1.27</v>
      </c>
      <c r="DT550" s="15">
        <f t="shared" si="108"/>
        <v>287.02</v>
      </c>
      <c r="DU550" s="2"/>
      <c r="DV550" s="2">
        <f t="shared" si="109"/>
        <v>0</v>
      </c>
      <c r="DW550" s="2"/>
      <c r="DX550" s="2"/>
      <c r="DY550" s="2"/>
      <c r="DZ550" s="2" t="s">
        <v>3</v>
      </c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 t="s">
        <v>3</v>
      </c>
      <c r="FR550" s="2" t="s">
        <v>37</v>
      </c>
      <c r="FS550" s="2" t="s">
        <v>891</v>
      </c>
      <c r="FT550" s="2" t="s">
        <v>114</v>
      </c>
      <c r="FU550" s="2"/>
      <c r="FV550" s="2" t="s">
        <v>3</v>
      </c>
    </row>
    <row r="551" spans="1:178" ht="15.75" customHeight="1" x14ac:dyDescent="0.2">
      <c r="A551" s="12" t="s">
        <v>74</v>
      </c>
      <c r="B551" s="2" t="s">
        <v>75</v>
      </c>
      <c r="C551" s="13" t="s">
        <v>1209</v>
      </c>
      <c r="D551" s="2" t="s">
        <v>109</v>
      </c>
      <c r="E551" s="2"/>
      <c r="F551" s="2"/>
      <c r="G551" s="2" t="s">
        <v>78</v>
      </c>
      <c r="H551" s="2" t="s">
        <v>1210</v>
      </c>
      <c r="I551" s="2"/>
      <c r="J551" s="2" t="s">
        <v>1052</v>
      </c>
      <c r="K551" s="2">
        <v>0</v>
      </c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15">
        <f>36.969+73.001</f>
        <v>109.97</v>
      </c>
      <c r="AG551" s="2"/>
      <c r="AH551" s="2"/>
      <c r="AI551" s="2"/>
      <c r="AJ551" s="2"/>
      <c r="AK551" s="2"/>
      <c r="AL551" s="2"/>
      <c r="AM551" s="2"/>
      <c r="AN551" s="4">
        <f>(1.65*36.969+1.06*73.001)/AF551</f>
        <v>1.2583423660998454</v>
      </c>
      <c r="AO551" s="2"/>
      <c r="AP551" s="2"/>
      <c r="AQ551" s="2"/>
      <c r="AR551" s="2"/>
      <c r="AS551" s="2"/>
      <c r="AT551" s="2"/>
      <c r="AU551" s="2"/>
      <c r="AV551" s="4">
        <f>(10.18*36.969+45.7*73.001)/AF551</f>
        <v>33.759117213785579</v>
      </c>
      <c r="AW551" s="2"/>
      <c r="AX551" s="2"/>
      <c r="AY551" s="2"/>
      <c r="AZ551" s="4">
        <f>100*((53.03+108.933)-(36.969+73.001))/(53.03+108.933)</f>
        <v>32.101776331631307</v>
      </c>
      <c r="BA551" s="4">
        <v>2.4950000000000001</v>
      </c>
      <c r="BB551" s="2"/>
      <c r="BC551" s="2"/>
      <c r="BD551" s="2"/>
      <c r="BE551" s="2"/>
      <c r="BF551" s="2"/>
      <c r="BG551" s="2"/>
      <c r="BH551" s="2"/>
      <c r="BI551" s="2">
        <v>1.56</v>
      </c>
      <c r="BJ551" s="2"/>
      <c r="BK551" s="2"/>
      <c r="BL551" s="2"/>
      <c r="BM551" s="2"/>
      <c r="BN551" s="2"/>
      <c r="BO551" s="2"/>
      <c r="BP551" s="2"/>
      <c r="BQ551" s="2">
        <v>11.88</v>
      </c>
      <c r="BR551" s="2"/>
      <c r="BS551" s="2"/>
      <c r="BT551" s="2"/>
      <c r="BU551" s="4">
        <f>100*(3.607-2.495)/3.607</f>
        <v>30.828943720543389</v>
      </c>
      <c r="BV551" s="2">
        <v>0</v>
      </c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15">
        <f>36.969+73.001</f>
        <v>109.97</v>
      </c>
      <c r="CR551" s="2"/>
      <c r="CS551" s="2"/>
      <c r="CT551" s="2"/>
      <c r="CU551" s="2"/>
      <c r="CV551" s="2"/>
      <c r="CW551" s="2"/>
      <c r="CX551" s="2"/>
      <c r="CY551" s="4">
        <f>(1.48*36.969+1.06*73.001)/CQ551</f>
        <v>1.2011928707829409</v>
      </c>
      <c r="CZ551" s="2"/>
      <c r="DA551" s="2"/>
      <c r="DB551" s="2"/>
      <c r="DC551" s="2"/>
      <c r="DD551" s="2"/>
      <c r="DE551" s="2"/>
      <c r="DF551" s="2"/>
      <c r="DG551" s="4">
        <f>(10.18*36.969+45.7*73.001)/CQ551</f>
        <v>33.759117213785579</v>
      </c>
      <c r="DH551" s="2"/>
      <c r="DI551" s="2"/>
      <c r="DJ551" s="2"/>
      <c r="DK551" s="4">
        <f>100*((53.03+108.933)-(36.969+73.001))/(53.03+108.933)</f>
        <v>32.101776331631307</v>
      </c>
      <c r="DL551" s="14" t="s">
        <v>81</v>
      </c>
      <c r="DM551" s="2"/>
      <c r="DN551" s="2">
        <f t="shared" si="104"/>
        <v>1.2650345440803805</v>
      </c>
      <c r="DO551" s="2">
        <f t="shared" si="105"/>
        <v>0</v>
      </c>
      <c r="DP551" s="2" t="s">
        <v>211</v>
      </c>
      <c r="DQ551" s="2" t="s">
        <v>3</v>
      </c>
      <c r="DR551" s="15">
        <f t="shared" si="106"/>
        <v>112.465</v>
      </c>
      <c r="DS551" s="4">
        <f t="shared" si="107"/>
        <v>1.2650345440803805</v>
      </c>
      <c r="DT551" s="18">
        <f t="shared" si="108"/>
        <v>1422.7210999999998</v>
      </c>
      <c r="DU551" s="2"/>
      <c r="DV551" s="4">
        <f t="shared" si="109"/>
        <v>109.97</v>
      </c>
      <c r="DW551" s="4">
        <f>(BV551*CD551+CQ551*CY551)/DV551</f>
        <v>1.2011928707829409</v>
      </c>
      <c r="DX551" s="18">
        <f>1000*DV551*DW551/100</f>
        <v>1320.9518000000003</v>
      </c>
      <c r="DY551" s="2"/>
      <c r="DZ551" s="2" t="s">
        <v>3</v>
      </c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 t="s">
        <v>3</v>
      </c>
      <c r="FR551" s="2" t="s">
        <v>37</v>
      </c>
      <c r="FS551" s="2" t="s">
        <v>151</v>
      </c>
      <c r="FT551" s="2" t="s">
        <v>151</v>
      </c>
      <c r="FU551" s="2"/>
      <c r="FV551" s="2" t="s">
        <v>3</v>
      </c>
    </row>
    <row r="552" spans="1:178" ht="15.75" customHeight="1" x14ac:dyDescent="0.2">
      <c r="A552" s="12" t="s">
        <v>74</v>
      </c>
      <c r="B552" s="2" t="s">
        <v>860</v>
      </c>
      <c r="C552" s="13" t="s">
        <v>1211</v>
      </c>
      <c r="D552" s="2" t="s">
        <v>109</v>
      </c>
      <c r="E552" s="29">
        <f>96+(9+(47.41/60))/60</f>
        <v>96.163169444444449</v>
      </c>
      <c r="F552" s="29">
        <f>23+(38+(4.3/60))/60</f>
        <v>23.634527777777777</v>
      </c>
      <c r="G552" s="2" t="s">
        <v>78</v>
      </c>
      <c r="H552" s="2" t="s">
        <v>1212</v>
      </c>
      <c r="I552" s="2"/>
      <c r="J552" s="2" t="s">
        <v>111</v>
      </c>
      <c r="K552" s="2">
        <v>0</v>
      </c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>
        <v>0</v>
      </c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>
        <v>40</v>
      </c>
      <c r="BB552" s="2"/>
      <c r="BC552" s="2"/>
      <c r="BD552" s="2"/>
      <c r="BE552" s="2"/>
      <c r="BF552" s="2"/>
      <c r="BG552" s="2"/>
      <c r="BH552" s="2"/>
      <c r="BI552" s="2" t="s">
        <v>1213</v>
      </c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>
        <v>0</v>
      </c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>
        <v>0</v>
      </c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14" t="s">
        <v>100</v>
      </c>
      <c r="DM552" s="2" t="s">
        <v>100</v>
      </c>
      <c r="DN552" s="2">
        <f t="shared" si="104"/>
        <v>2.15</v>
      </c>
      <c r="DO552" s="2">
        <f t="shared" si="105"/>
        <v>0</v>
      </c>
      <c r="DP552" s="2" t="s">
        <v>113</v>
      </c>
      <c r="DQ552" s="2" t="s">
        <v>3</v>
      </c>
      <c r="DR552" s="2">
        <f t="shared" si="106"/>
        <v>40</v>
      </c>
      <c r="DS552" s="4">
        <f t="shared" si="107"/>
        <v>2.15</v>
      </c>
      <c r="DT552" s="15">
        <f t="shared" si="108"/>
        <v>860</v>
      </c>
      <c r="DU552" s="2"/>
      <c r="DV552" s="2">
        <f t="shared" si="109"/>
        <v>0</v>
      </c>
      <c r="DW552" s="2"/>
      <c r="DX552" s="2"/>
      <c r="DY552" s="2"/>
      <c r="DZ552" s="2" t="s">
        <v>3</v>
      </c>
      <c r="EA552" s="2" t="s">
        <v>860</v>
      </c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 t="s">
        <v>860</v>
      </c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 t="s">
        <v>860</v>
      </c>
      <c r="FQ552" s="2" t="s">
        <v>3</v>
      </c>
      <c r="FR552" s="2" t="s">
        <v>37</v>
      </c>
      <c r="FS552" s="2" t="s">
        <v>188</v>
      </c>
      <c r="FT552" s="2" t="s">
        <v>188</v>
      </c>
      <c r="FU552" s="2"/>
      <c r="FV552" s="2" t="s">
        <v>3</v>
      </c>
    </row>
    <row r="553" spans="1:178" ht="15.75" customHeight="1" x14ac:dyDescent="0.2">
      <c r="A553" s="14" t="s">
        <v>96</v>
      </c>
      <c r="B553" s="2" t="s">
        <v>97</v>
      </c>
      <c r="C553" s="16" t="s">
        <v>1214</v>
      </c>
      <c r="D553" s="2" t="s">
        <v>109</v>
      </c>
      <c r="E553" s="2"/>
      <c r="F553" s="2"/>
      <c r="G553" s="2"/>
      <c r="H553" s="2" t="s">
        <v>536</v>
      </c>
      <c r="I553" s="2"/>
      <c r="J553" s="2"/>
      <c r="K553" s="2">
        <v>0</v>
      </c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3">
        <v>1708.5650000000001</v>
      </c>
      <c r="AG553" s="2">
        <v>1.31</v>
      </c>
      <c r="AH553" s="2">
        <v>0.21</v>
      </c>
      <c r="AI553" s="2"/>
      <c r="AJ553" s="2"/>
      <c r="AK553" s="2"/>
      <c r="AL553" s="2"/>
      <c r="AM553" s="2"/>
      <c r="AN553" s="4">
        <v>0.7</v>
      </c>
      <c r="AO553" s="19">
        <f>(0.036*1172.095+0.027*956.848+0*403.687+0*123.731)/(1172.095+956.848+403.687+123.731)</f>
        <v>2.5610342871319074E-2</v>
      </c>
      <c r="AP553" s="4">
        <v>1</v>
      </c>
      <c r="AQ553" s="2">
        <v>3.56</v>
      </c>
      <c r="AR553" s="2"/>
      <c r="AS553" s="2"/>
      <c r="AT553" s="2"/>
      <c r="AU553" s="2"/>
      <c r="AV553" s="2"/>
      <c r="AW553" s="2"/>
      <c r="AX553" s="2"/>
      <c r="AY553" s="2"/>
      <c r="AZ553" s="2"/>
      <c r="BA553" s="2">
        <v>440.89800000000002</v>
      </c>
      <c r="BB553" s="2">
        <v>1.74</v>
      </c>
      <c r="BC553" s="2">
        <v>0.25</v>
      </c>
      <c r="BD553" s="2"/>
      <c r="BE553" s="2"/>
      <c r="BF553" s="2"/>
      <c r="BG553" s="2"/>
      <c r="BH553" s="2"/>
      <c r="BI553" s="2">
        <v>0.85</v>
      </c>
      <c r="BJ553" s="19">
        <f>(0.036*1172.095+0.027*956.848+0*403.687+0*123.731)/(1172.095+956.848+403.687+123.731)</f>
        <v>2.5610342871319074E-2</v>
      </c>
      <c r="BK553" s="2">
        <v>1.0900000000000001</v>
      </c>
      <c r="BL553" s="2">
        <v>4.22</v>
      </c>
      <c r="BM553" s="2"/>
      <c r="BN553" s="2"/>
      <c r="BO553" s="2"/>
      <c r="BP553" s="2"/>
      <c r="BQ553" s="2"/>
      <c r="BR553" s="2"/>
      <c r="BS553" s="2"/>
      <c r="BT553" s="2"/>
      <c r="BU553" s="2"/>
      <c r="BV553" s="2">
        <v>328.57100000000003</v>
      </c>
      <c r="BW553" s="2">
        <v>1.55</v>
      </c>
      <c r="BX553" s="2">
        <v>0.23</v>
      </c>
      <c r="BY553" s="2"/>
      <c r="BZ553" s="2"/>
      <c r="CA553" s="2"/>
      <c r="CB553" s="2"/>
      <c r="CC553" s="2"/>
      <c r="CD553" s="2">
        <v>0.79</v>
      </c>
      <c r="CE553" s="19">
        <f>(0.036*1172.095+0.027*956.848+0*403.687+0*123.731)/(1172.095+956.848+403.687+123.731)</f>
        <v>2.5610342871319074E-2</v>
      </c>
      <c r="CF553" s="2">
        <v>1.04</v>
      </c>
      <c r="CG553" s="2">
        <v>3.83</v>
      </c>
      <c r="CH553" s="2"/>
      <c r="CI553" s="2"/>
      <c r="CJ553" s="2"/>
      <c r="CK553" s="2"/>
      <c r="CL553" s="2"/>
      <c r="CM553" s="2"/>
      <c r="CN553" s="2"/>
      <c r="CO553" s="2"/>
      <c r="CP553" s="2"/>
      <c r="CQ553" s="2">
        <v>311.62200000000001</v>
      </c>
      <c r="CR553" s="2">
        <v>2.11</v>
      </c>
      <c r="CS553" s="2">
        <v>0.27</v>
      </c>
      <c r="CT553" s="2"/>
      <c r="CU553" s="2"/>
      <c r="CV553" s="2"/>
      <c r="CW553" s="2"/>
      <c r="CX553" s="2"/>
      <c r="CY553" s="2">
        <v>1.1399999999999999</v>
      </c>
      <c r="CZ553" s="19">
        <f>(0.036*1172.095+0.027*956.848+0*403.687+0*123.731)/(1172.095+956.848+403.687+123.731)</f>
        <v>2.5610342871319074E-2</v>
      </c>
      <c r="DA553" s="2">
        <v>1.1299999999999999</v>
      </c>
      <c r="DB553" s="2">
        <v>4.6399999999999997</v>
      </c>
      <c r="DC553" s="2"/>
      <c r="DD553" s="2"/>
      <c r="DE553" s="2"/>
      <c r="DF553" s="2"/>
      <c r="DG553" s="2"/>
      <c r="DH553" s="2"/>
      <c r="DI553" s="2"/>
      <c r="DJ553" s="2"/>
      <c r="DK553" s="2"/>
      <c r="DL553" s="14" t="s">
        <v>81</v>
      </c>
      <c r="DM553" s="2" t="s">
        <v>1215</v>
      </c>
      <c r="DN553" s="2">
        <f t="shared" si="104"/>
        <v>0.73076801042865125</v>
      </c>
      <c r="DO553" s="2">
        <f t="shared" si="105"/>
        <v>2.561034287131907E-2</v>
      </c>
      <c r="DP553" s="2" t="s">
        <v>211</v>
      </c>
      <c r="DQ553" s="2" t="s">
        <v>3</v>
      </c>
      <c r="DR553" s="3">
        <f t="shared" si="106"/>
        <v>2149.4630000000002</v>
      </c>
      <c r="DS553" s="4">
        <f t="shared" si="107"/>
        <v>0.73076801042865125</v>
      </c>
      <c r="DT553" s="18">
        <f t="shared" si="108"/>
        <v>15707.588</v>
      </c>
      <c r="DU553" s="2"/>
      <c r="DV553" s="2">
        <f t="shared" si="109"/>
        <v>640.19299999999998</v>
      </c>
      <c r="DW553" s="4">
        <f>(BV553*CD553+CQ553*CY553)/DV553</f>
        <v>0.96036690498021682</v>
      </c>
      <c r="DX553" s="18">
        <f>1000*DV553*DW553/100</f>
        <v>6148.2016999999996</v>
      </c>
      <c r="DY553" s="2"/>
      <c r="DZ553" s="2" t="s">
        <v>3</v>
      </c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 t="s">
        <v>3</v>
      </c>
      <c r="FR553" s="2" t="s">
        <v>89</v>
      </c>
      <c r="FS553" s="2" t="s">
        <v>123</v>
      </c>
      <c r="FT553" s="2" t="s">
        <v>640</v>
      </c>
      <c r="FU553" s="2"/>
      <c r="FV553" s="2" t="s">
        <v>3</v>
      </c>
    </row>
    <row r="554" spans="1:178" ht="15.75" customHeight="1" x14ac:dyDescent="0.2">
      <c r="A554" s="14" t="s">
        <v>96</v>
      </c>
      <c r="B554" s="2" t="s">
        <v>124</v>
      </c>
      <c r="C554" s="16" t="s">
        <v>1216</v>
      </c>
      <c r="D554" s="2" t="s">
        <v>99</v>
      </c>
      <c r="E554" s="2"/>
      <c r="F554" s="2"/>
      <c r="G554" s="2"/>
      <c r="H554" s="2" t="s">
        <v>79</v>
      </c>
      <c r="I554" s="2"/>
      <c r="J554" s="2"/>
      <c r="K554" s="2">
        <v>0</v>
      </c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>
        <v>0</v>
      </c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>
        <v>0.09</v>
      </c>
      <c r="BB554" s="2">
        <v>0.15</v>
      </c>
      <c r="BC554" s="2"/>
      <c r="BD554" s="2"/>
      <c r="BE554" s="2"/>
      <c r="BF554" s="2"/>
      <c r="BG554" s="2"/>
      <c r="BH554" s="2"/>
      <c r="BI554" s="2">
        <v>0.34</v>
      </c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>
        <v>0</v>
      </c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>
        <v>0</v>
      </c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14" t="s">
        <v>100</v>
      </c>
      <c r="DM554" s="2"/>
      <c r="DN554" s="2">
        <f t="shared" si="104"/>
        <v>0.34</v>
      </c>
      <c r="DO554" s="2">
        <f t="shared" si="105"/>
        <v>0</v>
      </c>
      <c r="DP554" s="2" t="s">
        <v>126</v>
      </c>
      <c r="DQ554" s="2" t="s">
        <v>3</v>
      </c>
      <c r="DR554" s="2">
        <f t="shared" si="106"/>
        <v>0.09</v>
      </c>
      <c r="DS554" s="2">
        <f t="shared" si="107"/>
        <v>0.34</v>
      </c>
      <c r="DT554" s="15">
        <f t="shared" si="108"/>
        <v>0.30599999999999999</v>
      </c>
      <c r="DU554" s="2"/>
      <c r="DV554" s="2">
        <f t="shared" si="109"/>
        <v>0</v>
      </c>
      <c r="DW554" s="2"/>
      <c r="DX554" s="2"/>
      <c r="DY554" s="2"/>
      <c r="DZ554" s="2" t="s">
        <v>3</v>
      </c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 t="s">
        <v>3</v>
      </c>
      <c r="FR554" s="2" t="s">
        <v>89</v>
      </c>
      <c r="FS554" s="2" t="s">
        <v>123</v>
      </c>
      <c r="FT554" s="2"/>
      <c r="FU554" s="2"/>
      <c r="FV554" s="2" t="s">
        <v>3</v>
      </c>
    </row>
    <row r="555" spans="1:178" ht="15.75" customHeight="1" x14ac:dyDescent="0.2">
      <c r="A555" s="14" t="s">
        <v>96</v>
      </c>
      <c r="B555" s="2" t="s">
        <v>124</v>
      </c>
      <c r="C555" s="21" t="s">
        <v>1217</v>
      </c>
      <c r="D555" s="2" t="s">
        <v>109</v>
      </c>
      <c r="E555" s="2"/>
      <c r="F555" s="2"/>
      <c r="G555" s="2"/>
      <c r="H555" s="2" t="s">
        <v>1218</v>
      </c>
      <c r="I555" s="2"/>
      <c r="J555" s="2" t="s">
        <v>781</v>
      </c>
      <c r="K555" s="2">
        <v>0</v>
      </c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>
        <v>0</v>
      </c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18">
        <v>1525</v>
      </c>
      <c r="BB555" s="2">
        <v>0.14399999999999999</v>
      </c>
      <c r="BC555" s="2"/>
      <c r="BD555" s="2">
        <v>2</v>
      </c>
      <c r="BE555" s="2">
        <v>1.6999999999999999E-3</v>
      </c>
      <c r="BF555" s="2">
        <v>7.0000000000000001E-3</v>
      </c>
      <c r="BG555" s="2">
        <v>5.0000000000000001E-3</v>
      </c>
      <c r="BH555" s="2">
        <v>0.54200000000000004</v>
      </c>
      <c r="BI555" s="2">
        <v>0.26700000000000002</v>
      </c>
      <c r="BJ555" s="2">
        <v>2.1000000000000001E-2</v>
      </c>
      <c r="BK555" s="2">
        <v>1.4999999999999999E-2</v>
      </c>
      <c r="BL555" s="2">
        <v>0.02</v>
      </c>
      <c r="BM555" s="2"/>
      <c r="BN555" s="2"/>
      <c r="BO555" s="2"/>
      <c r="BP555" s="2"/>
      <c r="BQ555" s="2"/>
      <c r="BR555" s="2"/>
      <c r="BS555" s="2"/>
      <c r="BT555" s="2"/>
      <c r="BU555" s="2"/>
      <c r="BV555" s="2">
        <v>0</v>
      </c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>
        <v>0</v>
      </c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14" t="s">
        <v>81</v>
      </c>
      <c r="DM555" s="2" t="s">
        <v>81</v>
      </c>
      <c r="DN555" s="2">
        <f t="shared" si="104"/>
        <v>0.26700000000000002</v>
      </c>
      <c r="DO555" s="2">
        <f t="shared" si="105"/>
        <v>2.0999999999999998E-2</v>
      </c>
      <c r="DP555" s="2" t="s">
        <v>211</v>
      </c>
      <c r="DQ555" s="2" t="s">
        <v>3</v>
      </c>
      <c r="DR555" s="18">
        <f t="shared" si="106"/>
        <v>1525</v>
      </c>
      <c r="DS555" s="4">
        <f t="shared" si="107"/>
        <v>0.26700000000000002</v>
      </c>
      <c r="DT555" s="18">
        <f t="shared" si="108"/>
        <v>4071.75</v>
      </c>
      <c r="DU555" s="2"/>
      <c r="DV555" s="2">
        <f t="shared" si="109"/>
        <v>0</v>
      </c>
      <c r="DW555" s="2"/>
      <c r="DX555" s="2"/>
      <c r="DY555" s="2"/>
      <c r="DZ555" s="2" t="s">
        <v>3</v>
      </c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 t="s">
        <v>3</v>
      </c>
      <c r="FR555" s="2" t="s">
        <v>183</v>
      </c>
      <c r="FS555" s="2" t="s">
        <v>289</v>
      </c>
      <c r="FT555" s="2" t="s">
        <v>290</v>
      </c>
      <c r="FU555" s="2"/>
      <c r="FV555" s="2" t="s">
        <v>3</v>
      </c>
    </row>
    <row r="556" spans="1:178" ht="15.75" customHeight="1" x14ac:dyDescent="0.2">
      <c r="A556" s="14" t="s">
        <v>96</v>
      </c>
      <c r="B556" s="2" t="s">
        <v>189</v>
      </c>
      <c r="C556" s="16" t="s">
        <v>1219</v>
      </c>
      <c r="D556" s="2" t="s">
        <v>99</v>
      </c>
      <c r="E556" s="45">
        <v>46.672960000000003</v>
      </c>
      <c r="F556" s="45">
        <v>-93.119590000000002</v>
      </c>
      <c r="G556" s="2"/>
      <c r="H556" s="2" t="s">
        <v>1220</v>
      </c>
      <c r="I556" s="2"/>
      <c r="J556" s="2"/>
      <c r="K556" s="2">
        <v>0</v>
      </c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>
        <v>3.6389999999999998</v>
      </c>
      <c r="AG556" s="2">
        <v>0.99</v>
      </c>
      <c r="AH556" s="2">
        <v>0.2</v>
      </c>
      <c r="AI556" s="2"/>
      <c r="AJ556" s="2"/>
      <c r="AK556" s="2"/>
      <c r="AL556" s="2"/>
      <c r="AM556" s="2"/>
      <c r="AN556" s="2">
        <v>1.83</v>
      </c>
      <c r="AO556" s="2">
        <v>0.05</v>
      </c>
      <c r="AP556" s="2">
        <v>0.42</v>
      </c>
      <c r="AQ556" s="2">
        <v>0.26</v>
      </c>
      <c r="AR556" s="2"/>
      <c r="AS556" s="2"/>
      <c r="AT556" s="2"/>
      <c r="AU556" s="2"/>
      <c r="AV556" s="2"/>
      <c r="AW556" s="2"/>
      <c r="AX556" s="2"/>
      <c r="AY556" s="2"/>
      <c r="AZ556" s="2"/>
      <c r="BA556" s="2">
        <v>4.3819999999999997</v>
      </c>
      <c r="BB556" s="2">
        <v>0.92</v>
      </c>
      <c r="BC556" s="2">
        <v>0.16</v>
      </c>
      <c r="BD556" s="2"/>
      <c r="BE556" s="2"/>
      <c r="BF556" s="2"/>
      <c r="BG556" s="2"/>
      <c r="BH556" s="2"/>
      <c r="BI556" s="2">
        <v>1.58</v>
      </c>
      <c r="BJ556" s="2">
        <v>0.04</v>
      </c>
      <c r="BK556" s="2">
        <v>0.28999999999999998</v>
      </c>
      <c r="BL556" s="2">
        <v>0.18</v>
      </c>
      <c r="BM556" s="2"/>
      <c r="BN556" s="2"/>
      <c r="BO556" s="2"/>
      <c r="BP556" s="2"/>
      <c r="BQ556" s="2"/>
      <c r="BR556" s="2"/>
      <c r="BS556" s="2"/>
      <c r="BT556" s="2"/>
      <c r="BU556" s="2"/>
      <c r="BV556" s="2">
        <v>0</v>
      </c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>
        <v>0</v>
      </c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14" t="s">
        <v>81</v>
      </c>
      <c r="DM556" s="2" t="s">
        <v>81</v>
      </c>
      <c r="DN556" s="2">
        <f t="shared" si="104"/>
        <v>1.6934210198229651</v>
      </c>
      <c r="DO556" s="2">
        <f t="shared" si="105"/>
        <v>4.4536840792918593E-2</v>
      </c>
      <c r="DP556" s="2" t="s">
        <v>150</v>
      </c>
      <c r="DQ556" s="2" t="s">
        <v>3</v>
      </c>
      <c r="DR556" s="2">
        <f t="shared" si="106"/>
        <v>8.020999999999999</v>
      </c>
      <c r="DS556" s="4">
        <f t="shared" si="107"/>
        <v>1.6934210198229651</v>
      </c>
      <c r="DT556" s="15">
        <f t="shared" si="108"/>
        <v>135.82930000000002</v>
      </c>
      <c r="DU556" s="2"/>
      <c r="DV556" s="2">
        <f t="shared" si="109"/>
        <v>0</v>
      </c>
      <c r="DW556" s="2"/>
      <c r="DX556" s="2"/>
      <c r="DY556" s="2"/>
      <c r="DZ556" s="2" t="s">
        <v>3</v>
      </c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 t="s">
        <v>3</v>
      </c>
      <c r="FR556" s="2" t="s">
        <v>89</v>
      </c>
      <c r="FS556" s="2" t="s">
        <v>123</v>
      </c>
      <c r="FT556" s="2" t="s">
        <v>192</v>
      </c>
      <c r="FU556" s="2"/>
      <c r="FV556" s="2" t="s">
        <v>3</v>
      </c>
    </row>
    <row r="557" spans="1:178" ht="15.75" customHeight="1" x14ac:dyDescent="0.2">
      <c r="A557" s="14" t="s">
        <v>96</v>
      </c>
      <c r="B557" s="2" t="s">
        <v>416</v>
      </c>
      <c r="C557" s="16" t="s">
        <v>1221</v>
      </c>
      <c r="D557" s="2" t="s">
        <v>120</v>
      </c>
      <c r="E557" s="2"/>
      <c r="F557" s="2"/>
      <c r="G557" s="2"/>
      <c r="H557" s="2" t="s">
        <v>536</v>
      </c>
      <c r="I557" s="2"/>
      <c r="J557" s="2"/>
      <c r="K557" s="2">
        <v>0</v>
      </c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15">
        <v>106</v>
      </c>
      <c r="AG557" s="2">
        <v>0.17</v>
      </c>
      <c r="AH557" s="2"/>
      <c r="AI557" s="2"/>
      <c r="AJ557" s="2"/>
      <c r="AK557" s="2"/>
      <c r="AL557" s="2"/>
      <c r="AM557" s="2"/>
      <c r="AN557" s="2">
        <v>0.21</v>
      </c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>
        <v>0</v>
      </c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>
        <v>0</v>
      </c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>
        <v>0</v>
      </c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14" t="s">
        <v>81</v>
      </c>
      <c r="DM557" s="2"/>
      <c r="DN557" s="2">
        <f t="shared" si="104"/>
        <v>0.21</v>
      </c>
      <c r="DO557" s="2">
        <f t="shared" si="105"/>
        <v>0</v>
      </c>
      <c r="DP557" s="2" t="s">
        <v>1222</v>
      </c>
      <c r="DQ557" s="2" t="s">
        <v>3</v>
      </c>
      <c r="DR557" s="15">
        <f t="shared" si="106"/>
        <v>106</v>
      </c>
      <c r="DS557" s="2">
        <f t="shared" si="107"/>
        <v>0.21</v>
      </c>
      <c r="DT557" s="15">
        <f t="shared" si="108"/>
        <v>222.6</v>
      </c>
      <c r="DU557" s="2"/>
      <c r="DV557" s="2">
        <f t="shared" si="109"/>
        <v>0</v>
      </c>
      <c r="DW557" s="2"/>
      <c r="DX557" s="2"/>
      <c r="DY557" s="2"/>
      <c r="DZ557" s="2" t="s">
        <v>3</v>
      </c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 t="s">
        <v>3</v>
      </c>
      <c r="FR557" s="2" t="s">
        <v>89</v>
      </c>
      <c r="FS557" s="2" t="s">
        <v>123</v>
      </c>
      <c r="FT557" s="2"/>
      <c r="FU557" s="2"/>
      <c r="FV557" s="2" t="s">
        <v>3</v>
      </c>
    </row>
    <row r="558" spans="1:178" ht="15.75" customHeight="1" x14ac:dyDescent="0.2">
      <c r="A558" s="14" t="s">
        <v>96</v>
      </c>
      <c r="B558" s="2" t="s">
        <v>416</v>
      </c>
      <c r="C558" s="16" t="s">
        <v>1223</v>
      </c>
      <c r="D558" s="2" t="s">
        <v>120</v>
      </c>
      <c r="E558" s="2"/>
      <c r="F558" s="2"/>
      <c r="G558" s="2"/>
      <c r="H558" s="2" t="s">
        <v>536</v>
      </c>
      <c r="I558" s="2"/>
      <c r="J558" s="2"/>
      <c r="K558" s="2">
        <v>0</v>
      </c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>
        <v>124</v>
      </c>
      <c r="AG558" s="2">
        <v>0.27</v>
      </c>
      <c r="AH558" s="2"/>
      <c r="AI558" s="2"/>
      <c r="AJ558" s="2"/>
      <c r="AK558" s="2"/>
      <c r="AL558" s="2"/>
      <c r="AM558" s="2"/>
      <c r="AN558" s="2">
        <v>0.23</v>
      </c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>
        <v>11.3</v>
      </c>
      <c r="BB558" s="2">
        <v>0.3</v>
      </c>
      <c r="BC558" s="2"/>
      <c r="BD558" s="2"/>
      <c r="BE558" s="2"/>
      <c r="BF558" s="2"/>
      <c r="BG558" s="2"/>
      <c r="BH558" s="2"/>
      <c r="BI558" s="2">
        <v>0.27</v>
      </c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>
        <v>0</v>
      </c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>
        <v>0</v>
      </c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14" t="s">
        <v>81</v>
      </c>
      <c r="DM558" s="2"/>
      <c r="DN558" s="2">
        <f t="shared" si="104"/>
        <v>0.23334072431633407</v>
      </c>
      <c r="DO558" s="2">
        <f t="shared" si="105"/>
        <v>0</v>
      </c>
      <c r="DP558" s="2" t="s">
        <v>1222</v>
      </c>
      <c r="DQ558" s="2" t="s">
        <v>3</v>
      </c>
      <c r="DR558" s="2">
        <f t="shared" si="106"/>
        <v>135.30000000000001</v>
      </c>
      <c r="DS558" s="4">
        <f t="shared" si="107"/>
        <v>0.23334072431633407</v>
      </c>
      <c r="DT558" s="15">
        <f t="shared" si="108"/>
        <v>315.70999999999998</v>
      </c>
      <c r="DU558" s="2"/>
      <c r="DV558" s="2">
        <f t="shared" si="109"/>
        <v>0</v>
      </c>
      <c r="DW558" s="2"/>
      <c r="DX558" s="2"/>
      <c r="DY558" s="2"/>
      <c r="DZ558" s="2" t="s">
        <v>3</v>
      </c>
      <c r="EA558" s="2" t="s">
        <v>416</v>
      </c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 t="s">
        <v>416</v>
      </c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 t="s">
        <v>416</v>
      </c>
      <c r="FQ558" s="2" t="s">
        <v>3</v>
      </c>
      <c r="FR558" s="2" t="s">
        <v>89</v>
      </c>
      <c r="FS558" s="2" t="s">
        <v>90</v>
      </c>
      <c r="FT558" s="2"/>
      <c r="FU558" s="2"/>
      <c r="FV558" s="2" t="s">
        <v>3</v>
      </c>
    </row>
    <row r="559" spans="1:178" ht="15.75" customHeight="1" x14ac:dyDescent="0.2">
      <c r="A559" s="14" t="s">
        <v>96</v>
      </c>
      <c r="B559" s="2" t="s">
        <v>133</v>
      </c>
      <c r="C559" s="28" t="s">
        <v>1224</v>
      </c>
      <c r="D559" s="20" t="s">
        <v>447</v>
      </c>
      <c r="E559" s="2"/>
      <c r="F559" s="2"/>
      <c r="G559" s="2"/>
      <c r="H559" s="2" t="s">
        <v>1225</v>
      </c>
      <c r="I559" s="2"/>
      <c r="J559" s="2"/>
      <c r="K559" s="2">
        <v>0</v>
      </c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>
        <v>0</v>
      </c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19">
        <v>0.453592</v>
      </c>
      <c r="BB559" s="2">
        <v>0.5</v>
      </c>
      <c r="BC559" s="2"/>
      <c r="BD559" s="2"/>
      <c r="BE559" s="2"/>
      <c r="BF559" s="2"/>
      <c r="BG559" s="2"/>
      <c r="BH559" s="2"/>
      <c r="BI559" s="2">
        <v>0.5</v>
      </c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>
        <v>0</v>
      </c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>
        <v>0</v>
      </c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14" t="s">
        <v>100</v>
      </c>
      <c r="DM559" s="2"/>
      <c r="DN559" s="2">
        <f t="shared" si="104"/>
        <v>0.5</v>
      </c>
      <c r="DO559" s="2">
        <f t="shared" si="105"/>
        <v>0</v>
      </c>
      <c r="DP559" s="2" t="s">
        <v>1226</v>
      </c>
      <c r="DQ559" s="2" t="s">
        <v>3</v>
      </c>
      <c r="DR559" s="19">
        <f t="shared" si="106"/>
        <v>0.453592</v>
      </c>
      <c r="DS559" s="2">
        <f t="shared" si="107"/>
        <v>0.5</v>
      </c>
      <c r="DT559" s="15">
        <f t="shared" si="108"/>
        <v>2.26796</v>
      </c>
      <c r="DU559" s="2"/>
      <c r="DV559" s="2">
        <f t="shared" si="109"/>
        <v>0</v>
      </c>
      <c r="DW559" s="2"/>
      <c r="DX559" s="2"/>
      <c r="DY559" s="2"/>
      <c r="DZ559" s="2" t="s">
        <v>3</v>
      </c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 t="s">
        <v>3</v>
      </c>
      <c r="FR559" s="2" t="s">
        <v>447</v>
      </c>
      <c r="FS559" s="2" t="s">
        <v>1227</v>
      </c>
      <c r="FT559" s="2" t="s">
        <v>1227</v>
      </c>
      <c r="FU559" s="2"/>
      <c r="FV559" s="2" t="s">
        <v>3</v>
      </c>
    </row>
    <row r="560" spans="1:178" ht="15.75" customHeight="1" x14ac:dyDescent="0.2">
      <c r="A560" s="14" t="s">
        <v>96</v>
      </c>
      <c r="B560" s="2" t="s">
        <v>133</v>
      </c>
      <c r="C560" s="16" t="s">
        <v>1228</v>
      </c>
      <c r="D560" s="2" t="s">
        <v>99</v>
      </c>
      <c r="E560" s="2"/>
      <c r="F560" s="2"/>
      <c r="G560" s="2"/>
      <c r="H560" s="2" t="s">
        <v>1229</v>
      </c>
      <c r="I560" s="2"/>
      <c r="J560" s="2"/>
      <c r="K560" s="2">
        <v>0</v>
      </c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>
        <v>0</v>
      </c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>
        <v>3.19</v>
      </c>
      <c r="BB560" s="2"/>
      <c r="BC560" s="2"/>
      <c r="BD560" s="2"/>
      <c r="BE560" s="2"/>
      <c r="BF560" s="2"/>
      <c r="BG560" s="2"/>
      <c r="BH560" s="2"/>
      <c r="BI560" s="2">
        <v>0.92</v>
      </c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>
        <v>0</v>
      </c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>
        <v>0</v>
      </c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14" t="s">
        <v>100</v>
      </c>
      <c r="DM560" s="2"/>
      <c r="DN560" s="2">
        <f t="shared" si="104"/>
        <v>0.92</v>
      </c>
      <c r="DO560" s="2">
        <f t="shared" si="105"/>
        <v>0</v>
      </c>
      <c r="DP560" s="2" t="s">
        <v>784</v>
      </c>
      <c r="DQ560" s="2" t="s">
        <v>3</v>
      </c>
      <c r="DR560" s="2">
        <f t="shared" si="106"/>
        <v>3.19</v>
      </c>
      <c r="DS560" s="2">
        <f t="shared" si="107"/>
        <v>0.92</v>
      </c>
      <c r="DT560" s="15">
        <f t="shared" si="108"/>
        <v>29.348000000000003</v>
      </c>
      <c r="DU560" s="2"/>
      <c r="DV560" s="2">
        <f t="shared" si="109"/>
        <v>0</v>
      </c>
      <c r="DW560" s="2"/>
      <c r="DX560" s="2"/>
      <c r="DY560" s="2"/>
      <c r="DZ560" s="2" t="s">
        <v>3</v>
      </c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 t="s">
        <v>3</v>
      </c>
      <c r="FR560" s="2" t="s">
        <v>89</v>
      </c>
      <c r="FS560" s="2" t="s">
        <v>137</v>
      </c>
      <c r="FT560" s="2" t="s">
        <v>137</v>
      </c>
      <c r="FU560" s="2"/>
      <c r="FV560" s="2" t="s">
        <v>3</v>
      </c>
    </row>
    <row r="561" spans="1:178" ht="15.75" customHeight="1" x14ac:dyDescent="0.2">
      <c r="A561" s="14" t="s">
        <v>96</v>
      </c>
      <c r="B561" s="2" t="s">
        <v>133</v>
      </c>
      <c r="C561" s="16" t="s">
        <v>1230</v>
      </c>
      <c r="D561" s="2" t="s">
        <v>109</v>
      </c>
      <c r="E561" s="2"/>
      <c r="F561" s="2"/>
      <c r="G561" s="2"/>
      <c r="H561" s="2" t="s">
        <v>200</v>
      </c>
      <c r="I561" s="2"/>
      <c r="J561" s="2"/>
      <c r="K561" s="2">
        <f>6.1-1.643-1.557-1.034</f>
        <v>1.8659999999999999</v>
      </c>
      <c r="L561" s="2">
        <v>0.1</v>
      </c>
      <c r="M561" s="2">
        <v>0.12</v>
      </c>
      <c r="N561" s="2">
        <v>4</v>
      </c>
      <c r="O561" s="2"/>
      <c r="P561" s="2"/>
      <c r="Q561" s="2"/>
      <c r="R561" s="2"/>
      <c r="S561" s="4">
        <f>(1.86*6.1-1.78*1.643-1.81*1.557-2.05*1.034)/K561</f>
        <v>1.8668756698821005</v>
      </c>
      <c r="T561" s="2">
        <v>3.6999999999999998E-2</v>
      </c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>
        <v>14.1</v>
      </c>
      <c r="AG561" s="2">
        <v>0.1</v>
      </c>
      <c r="AH561" s="2">
        <v>0.12</v>
      </c>
      <c r="AI561" s="2">
        <v>4</v>
      </c>
      <c r="AJ561" s="2"/>
      <c r="AK561" s="2"/>
      <c r="AL561" s="2"/>
      <c r="AM561" s="2"/>
      <c r="AN561" s="2">
        <v>1.64</v>
      </c>
      <c r="AO561" s="2">
        <v>3.6999999999999998E-2</v>
      </c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>
        <v>0</v>
      </c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>
        <f>6.1-1.643-1.557-1.034</f>
        <v>1.8659999999999999</v>
      </c>
      <c r="BW561" s="2">
        <v>0.1</v>
      </c>
      <c r="BX561" s="2">
        <v>0.12</v>
      </c>
      <c r="BY561" s="2">
        <v>4</v>
      </c>
      <c r="BZ561" s="2"/>
      <c r="CA561" s="2"/>
      <c r="CB561" s="2"/>
      <c r="CC561" s="2"/>
      <c r="CD561" s="4">
        <f>(1.86*6.1-1.78*1.643-1.81*1.557-2.05*1.034)/BV561</f>
        <v>1.8668756698821005</v>
      </c>
      <c r="CE561" s="2">
        <v>3.6999999999999998E-2</v>
      </c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>
        <v>14.1</v>
      </c>
      <c r="CR561" s="2">
        <v>0.1</v>
      </c>
      <c r="CS561" s="2">
        <v>0.12</v>
      </c>
      <c r="CT561" s="2">
        <v>4</v>
      </c>
      <c r="CU561" s="2"/>
      <c r="CV561" s="2"/>
      <c r="CW561" s="2"/>
      <c r="CX561" s="2"/>
      <c r="CY561" s="2">
        <v>1.64</v>
      </c>
      <c r="CZ561" s="2">
        <v>3.6999999999999998E-2</v>
      </c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14" t="s">
        <v>81</v>
      </c>
      <c r="DM561" s="2" t="s">
        <v>81</v>
      </c>
      <c r="DN561" s="2">
        <f t="shared" si="104"/>
        <v>1.6665157209069272</v>
      </c>
      <c r="DO561" s="2">
        <f t="shared" si="105"/>
        <v>3.6999999999999991E-2</v>
      </c>
      <c r="DP561" s="2" t="s">
        <v>1231</v>
      </c>
      <c r="DQ561" s="2" t="s">
        <v>3</v>
      </c>
      <c r="DR561" s="4">
        <f t="shared" si="106"/>
        <v>15.965999999999999</v>
      </c>
      <c r="DS561" s="4">
        <f t="shared" si="107"/>
        <v>1.6665157209069272</v>
      </c>
      <c r="DT561" s="15">
        <f t="shared" si="108"/>
        <v>266.07589999999999</v>
      </c>
      <c r="DU561" s="2"/>
      <c r="DV561" s="4">
        <f t="shared" si="109"/>
        <v>15.965999999999999</v>
      </c>
      <c r="DW561" s="4">
        <f>(BV561*CD561+CQ561*CY561)/DV561</f>
        <v>1.6665157209069272</v>
      </c>
      <c r="DX561" s="15">
        <f>1000*DV561*DW561/100</f>
        <v>266.07589999999999</v>
      </c>
      <c r="DY561" s="2"/>
      <c r="DZ561" s="2" t="s">
        <v>3</v>
      </c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 t="s">
        <v>3</v>
      </c>
      <c r="FR561" s="2" t="s">
        <v>89</v>
      </c>
      <c r="FS561" s="2" t="s">
        <v>378</v>
      </c>
      <c r="FT561" s="2" t="s">
        <v>378</v>
      </c>
      <c r="FU561" s="2"/>
      <c r="FV561" s="2" t="s">
        <v>3</v>
      </c>
    </row>
    <row r="562" spans="1:178" ht="15.75" customHeight="1" x14ac:dyDescent="0.2">
      <c r="A562" s="14" t="s">
        <v>158</v>
      </c>
      <c r="B562" s="2" t="s">
        <v>133</v>
      </c>
      <c r="C562" s="16" t="s">
        <v>1232</v>
      </c>
      <c r="D562" s="2" t="s">
        <v>99</v>
      </c>
      <c r="E562" s="2"/>
      <c r="F562" s="2"/>
      <c r="G562" s="2"/>
      <c r="H562" s="2" t="s">
        <v>611</v>
      </c>
      <c r="I562" s="2"/>
      <c r="J562" s="2"/>
      <c r="K562" s="2">
        <v>0</v>
      </c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>
        <f>8.46+1.369</f>
        <v>9.8290000000000006</v>
      </c>
      <c r="AG562" s="4">
        <f>(0.25*8.46+0.43*1.369)/AF562</f>
        <v>0.27507070912605558</v>
      </c>
      <c r="AH562" s="4">
        <f>(0.07*8.46+0.11*1.369)/AF562</f>
        <v>7.557126869467902E-2</v>
      </c>
      <c r="AI562" s="4">
        <f>(1.04*8.46+1.65*1.369)/AF562</f>
        <v>1.1249618475938548</v>
      </c>
      <c r="AJ562" s="2"/>
      <c r="AK562" s="2"/>
      <c r="AL562" s="2"/>
      <c r="AM562" s="2"/>
      <c r="AN562" s="4">
        <f>(0.18*8.46+0.24*1.369)/AF562</f>
        <v>0.18835690304201852</v>
      </c>
      <c r="AO562" s="19">
        <f>(0.014*8.46+0.016*1.369)/AF562</f>
        <v>1.4278563434733951E-2</v>
      </c>
      <c r="AP562" s="4">
        <f>(0.98*8.46+1.54*1.369)/AF562</f>
        <v>1.0579977617255061</v>
      </c>
      <c r="AQ562" s="4">
        <f>(0.04*8.46+0.08*1.369)/AF562</f>
        <v>4.5571268694679014E-2</v>
      </c>
      <c r="AR562" s="2"/>
      <c r="AS562" s="2"/>
      <c r="AT562" s="2"/>
      <c r="AU562" s="2"/>
      <c r="AV562" s="2"/>
      <c r="AW562" s="2"/>
      <c r="AX562" s="2"/>
      <c r="AY562" s="2"/>
      <c r="AZ562" s="2"/>
      <c r="BA562" s="2">
        <f>0.053+0.472</f>
        <v>0.52500000000000002</v>
      </c>
      <c r="BB562" s="4">
        <f>(0.22*0.053+0.36*0.472)/BA562</f>
        <v>0.34586666666666666</v>
      </c>
      <c r="BC562" s="4">
        <f>(0.07*0.053+0.09*0.472)/BA562</f>
        <v>8.7980952380952368E-2</v>
      </c>
      <c r="BD562" s="4">
        <f>(0.96*0.053+1.32*0.472)/BA562</f>
        <v>1.2836571428571431</v>
      </c>
      <c r="BE562" s="2"/>
      <c r="BF562" s="2"/>
      <c r="BG562" s="2"/>
      <c r="BH562" s="2"/>
      <c r="BI562" s="4">
        <f>(0.18*0.053+0.19*0.472)/BA562</f>
        <v>0.18899047619047618</v>
      </c>
      <c r="BJ562" s="19">
        <f>(0.014*0.053+0.011*0.472)/BA562</f>
        <v>1.1302857142857142E-2</v>
      </c>
      <c r="BK562" s="4">
        <f>(0.89*0.053+1.25*0.472)/BA562</f>
        <v>1.2136571428571428</v>
      </c>
      <c r="BL562" s="4">
        <f>(0.04*0.053+0.06*0.472)/BA562</f>
        <v>5.7980952380952376E-2</v>
      </c>
      <c r="BM562" s="2"/>
      <c r="BN562" s="2"/>
      <c r="BO562" s="2"/>
      <c r="BP562" s="2"/>
      <c r="BQ562" s="2"/>
      <c r="BR562" s="2"/>
      <c r="BS562" s="2"/>
      <c r="BT562" s="2"/>
      <c r="BU562" s="2"/>
      <c r="BV562" s="2">
        <v>0</v>
      </c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>
        <v>0</v>
      </c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14" t="s">
        <v>81</v>
      </c>
      <c r="DM562" s="2" t="s">
        <v>81</v>
      </c>
      <c r="DN562" s="2">
        <f t="shared" si="104"/>
        <v>0.18838902839482327</v>
      </c>
      <c r="DO562" s="2">
        <f t="shared" si="105"/>
        <v>1.4127680123623721E-2</v>
      </c>
      <c r="DP562" s="2" t="s">
        <v>211</v>
      </c>
      <c r="DQ562" s="2" t="s">
        <v>3</v>
      </c>
      <c r="DR562" s="4">
        <f t="shared" si="106"/>
        <v>10.354000000000001</v>
      </c>
      <c r="DS562" s="4">
        <f t="shared" si="107"/>
        <v>0.18838902839482327</v>
      </c>
      <c r="DT562" s="15">
        <f t="shared" si="108"/>
        <v>19.505800000000004</v>
      </c>
      <c r="DU562" s="2"/>
      <c r="DV562" s="2">
        <f t="shared" si="109"/>
        <v>0</v>
      </c>
      <c r="DW562" s="2"/>
      <c r="DX562" s="2"/>
      <c r="DY562" s="2"/>
      <c r="DZ562" s="2" t="s">
        <v>3</v>
      </c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 t="s">
        <v>3</v>
      </c>
      <c r="FR562" s="2" t="s">
        <v>89</v>
      </c>
      <c r="FS562" s="2" t="s">
        <v>123</v>
      </c>
      <c r="FT562" s="2" t="s">
        <v>123</v>
      </c>
      <c r="FU562" s="2"/>
      <c r="FV562" s="2" t="s">
        <v>3</v>
      </c>
    </row>
    <row r="563" spans="1:178" ht="15.75" customHeight="1" x14ac:dyDescent="0.2">
      <c r="A563" s="14" t="s">
        <v>96</v>
      </c>
      <c r="B563" s="2" t="s">
        <v>164</v>
      </c>
      <c r="C563" s="16" t="s">
        <v>1233</v>
      </c>
      <c r="D563" s="2" t="s">
        <v>99</v>
      </c>
      <c r="E563" s="2"/>
      <c r="F563" s="2"/>
      <c r="G563" s="2" t="s">
        <v>78</v>
      </c>
      <c r="H563" s="2" t="s">
        <v>1234</v>
      </c>
      <c r="I563" s="2"/>
      <c r="J563" s="2" t="s">
        <v>181</v>
      </c>
      <c r="K563" s="2">
        <v>0</v>
      </c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>
        <v>0</v>
      </c>
      <c r="AG563" s="2"/>
      <c r="AH563" s="2"/>
      <c r="AI563" s="2"/>
      <c r="AJ563" s="2"/>
      <c r="AK563" s="2"/>
      <c r="AL563" s="2"/>
      <c r="AM563" s="2"/>
      <c r="AN563" s="2"/>
      <c r="AO563" s="19"/>
      <c r="AP563" s="2"/>
      <c r="AQ563" s="4"/>
      <c r="AR563" s="2"/>
      <c r="AS563" s="2"/>
      <c r="AT563" s="2"/>
      <c r="AU563" s="2"/>
      <c r="AV563" s="2"/>
      <c r="AW563" s="2"/>
      <c r="AX563" s="2"/>
      <c r="AY563" s="2"/>
      <c r="AZ563" s="2"/>
      <c r="BA563" s="2">
        <v>0.68</v>
      </c>
      <c r="BB563" s="2"/>
      <c r="BC563" s="2"/>
      <c r="BD563" s="2"/>
      <c r="BE563" s="2"/>
      <c r="BF563" s="2"/>
      <c r="BG563" s="2"/>
      <c r="BH563" s="2"/>
      <c r="BI563" s="2">
        <v>2.1</v>
      </c>
      <c r="BJ563" s="19"/>
      <c r="BK563" s="2"/>
      <c r="BL563" s="4"/>
      <c r="BM563" s="2"/>
      <c r="BN563" s="2"/>
      <c r="BO563" s="2"/>
      <c r="BP563" s="2"/>
      <c r="BQ563" s="2"/>
      <c r="BR563" s="2"/>
      <c r="BS563" s="2"/>
      <c r="BT563" s="2"/>
      <c r="BU563" s="2"/>
      <c r="BV563" s="2">
        <v>0</v>
      </c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>
        <v>0</v>
      </c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14" t="s">
        <v>81</v>
      </c>
      <c r="DM563" s="2"/>
      <c r="DN563" s="2">
        <f t="shared" si="104"/>
        <v>2.1</v>
      </c>
      <c r="DO563" s="2">
        <f t="shared" si="105"/>
        <v>0</v>
      </c>
      <c r="DP563" s="2" t="s">
        <v>211</v>
      </c>
      <c r="DQ563" s="2" t="s">
        <v>3</v>
      </c>
      <c r="DR563" s="2">
        <f t="shared" si="106"/>
        <v>0.68</v>
      </c>
      <c r="DS563" s="2">
        <f t="shared" si="107"/>
        <v>2.1</v>
      </c>
      <c r="DT563" s="15">
        <f t="shared" si="108"/>
        <v>14.28</v>
      </c>
      <c r="DU563" s="2"/>
      <c r="DV563" s="2">
        <f t="shared" si="109"/>
        <v>0</v>
      </c>
      <c r="DW563" s="2"/>
      <c r="DX563" s="2"/>
      <c r="DY563" s="2"/>
      <c r="DZ563" s="2" t="s">
        <v>3</v>
      </c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 t="s">
        <v>3</v>
      </c>
      <c r="FR563" s="2" t="s">
        <v>89</v>
      </c>
      <c r="FS563" s="2" t="s">
        <v>137</v>
      </c>
      <c r="FT563" s="2"/>
      <c r="FU563" s="2"/>
      <c r="FV563" s="2" t="s">
        <v>3</v>
      </c>
    </row>
    <row r="564" spans="1:178" ht="15.75" customHeight="1" x14ac:dyDescent="0.2">
      <c r="A564" s="14" t="s">
        <v>96</v>
      </c>
      <c r="B564" s="24" t="s">
        <v>202</v>
      </c>
      <c r="C564" s="16" t="s">
        <v>1235</v>
      </c>
      <c r="D564" s="2"/>
      <c r="E564" s="2"/>
      <c r="F564" s="2"/>
      <c r="G564" s="2"/>
      <c r="H564" s="2" t="s">
        <v>79</v>
      </c>
      <c r="I564" s="2"/>
      <c r="J564" s="2"/>
      <c r="K564" s="2">
        <v>0</v>
      </c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>
        <v>0</v>
      </c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>
        <v>8.3000000000000007</v>
      </c>
      <c r="BB564" s="2">
        <v>0.24</v>
      </c>
      <c r="BC564" s="2"/>
      <c r="BD564" s="2"/>
      <c r="BE564" s="2"/>
      <c r="BF564" s="2"/>
      <c r="BG564" s="2"/>
      <c r="BH564" s="2"/>
      <c r="BI564" s="2">
        <v>0.6</v>
      </c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14" t="s">
        <v>100</v>
      </c>
      <c r="DM564" s="2"/>
      <c r="DN564" s="2">
        <f t="shared" si="104"/>
        <v>0.6</v>
      </c>
      <c r="DO564" s="2">
        <f t="shared" si="105"/>
        <v>0</v>
      </c>
      <c r="DP564" s="2" t="s">
        <v>204</v>
      </c>
      <c r="DQ564" s="2" t="s">
        <v>3</v>
      </c>
      <c r="DR564" s="2">
        <f t="shared" si="106"/>
        <v>8.3000000000000007</v>
      </c>
      <c r="DS564" s="2">
        <f t="shared" si="107"/>
        <v>0.6</v>
      </c>
      <c r="DT564" s="15">
        <f t="shared" si="108"/>
        <v>49.8</v>
      </c>
      <c r="DU564" s="2"/>
      <c r="DV564" s="2">
        <f t="shared" si="109"/>
        <v>0</v>
      </c>
      <c r="DW564" s="2"/>
      <c r="DX564" s="2"/>
      <c r="DY564" s="2"/>
      <c r="DZ564" s="2" t="s">
        <v>3</v>
      </c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 t="s">
        <v>3</v>
      </c>
      <c r="FR564" s="2" t="s">
        <v>89</v>
      </c>
      <c r="FS564" s="2" t="s">
        <v>123</v>
      </c>
      <c r="FT564" s="2"/>
      <c r="FU564" s="2"/>
      <c r="FV564" s="2" t="s">
        <v>3</v>
      </c>
    </row>
    <row r="565" spans="1:178" ht="15.75" customHeight="1" x14ac:dyDescent="0.2">
      <c r="A565" s="12" t="s">
        <v>74</v>
      </c>
      <c r="B565" s="2" t="s">
        <v>115</v>
      </c>
      <c r="C565" s="13" t="s">
        <v>1236</v>
      </c>
      <c r="D565" s="2" t="s">
        <v>99</v>
      </c>
      <c r="E565" s="2"/>
      <c r="F565" s="2"/>
      <c r="G565" s="2"/>
      <c r="H565" s="2" t="s">
        <v>79</v>
      </c>
      <c r="I565" s="2"/>
      <c r="J565" s="2"/>
      <c r="K565" s="2">
        <v>0</v>
      </c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>
        <v>0</v>
      </c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>
        <v>45.601999999999997</v>
      </c>
      <c r="BB565" s="2"/>
      <c r="BC565" s="2"/>
      <c r="BD565" s="2"/>
      <c r="BE565" s="2"/>
      <c r="BF565" s="2"/>
      <c r="BG565" s="2"/>
      <c r="BH565" s="2"/>
      <c r="BI565" s="2">
        <v>1.55</v>
      </c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>
        <v>0</v>
      </c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>
        <v>0</v>
      </c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14" t="s">
        <v>100</v>
      </c>
      <c r="DM565" s="2"/>
      <c r="DN565" s="2">
        <f t="shared" si="104"/>
        <v>1.55</v>
      </c>
      <c r="DO565" s="2">
        <f t="shared" si="105"/>
        <v>0</v>
      </c>
      <c r="DP565" s="2" t="s">
        <v>117</v>
      </c>
      <c r="DQ565" s="2" t="s">
        <v>3</v>
      </c>
      <c r="DR565" s="4">
        <f t="shared" si="106"/>
        <v>45.601999999999997</v>
      </c>
      <c r="DS565" s="2">
        <f t="shared" si="107"/>
        <v>1.55</v>
      </c>
      <c r="DT565" s="15">
        <f t="shared" si="108"/>
        <v>706.83100000000002</v>
      </c>
      <c r="DU565" s="2"/>
      <c r="DV565" s="2">
        <f t="shared" si="109"/>
        <v>0</v>
      </c>
      <c r="DW565" s="2"/>
      <c r="DX565" s="2"/>
      <c r="DY565" s="2"/>
      <c r="DZ565" s="2" t="s">
        <v>3</v>
      </c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 t="s">
        <v>3</v>
      </c>
      <c r="FR565" s="2" t="s">
        <v>37</v>
      </c>
      <c r="FS565" s="2" t="s">
        <v>106</v>
      </c>
      <c r="FT565" s="2"/>
      <c r="FU565" s="2"/>
      <c r="FV565" s="2" t="s">
        <v>3</v>
      </c>
    </row>
    <row r="566" spans="1:178" ht="15.75" customHeight="1" x14ac:dyDescent="0.2">
      <c r="A566" s="12" t="s">
        <v>74</v>
      </c>
      <c r="B566" s="2" t="s">
        <v>647</v>
      </c>
      <c r="C566" s="13" t="s">
        <v>1237</v>
      </c>
      <c r="D566" s="2" t="s">
        <v>99</v>
      </c>
      <c r="E566" s="2"/>
      <c r="F566" s="2"/>
      <c r="G566" s="2"/>
      <c r="H566" s="2" t="s">
        <v>1238</v>
      </c>
      <c r="I566" s="2"/>
      <c r="J566" s="2"/>
      <c r="K566" s="2">
        <v>0</v>
      </c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>
        <v>0</v>
      </c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>
        <v>293</v>
      </c>
      <c r="BB566" s="2"/>
      <c r="BC566" s="2"/>
      <c r="BD566" s="2"/>
      <c r="BE566" s="2"/>
      <c r="BF566" s="2"/>
      <c r="BG566" s="2"/>
      <c r="BH566" s="2"/>
      <c r="BI566" s="2">
        <v>1.46</v>
      </c>
      <c r="BJ566" s="2">
        <v>0.11</v>
      </c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>
        <v>0</v>
      </c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>
        <v>0</v>
      </c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14" t="s">
        <v>100</v>
      </c>
      <c r="DM566" s="2" t="s">
        <v>100</v>
      </c>
      <c r="DN566" s="2">
        <f t="shared" si="104"/>
        <v>1.46</v>
      </c>
      <c r="DO566" s="2">
        <f t="shared" si="105"/>
        <v>0.10999999999999999</v>
      </c>
      <c r="DP566" s="2" t="s">
        <v>113</v>
      </c>
      <c r="DQ566" s="2" t="s">
        <v>3</v>
      </c>
      <c r="DR566" s="2">
        <f t="shared" si="106"/>
        <v>293</v>
      </c>
      <c r="DS566" s="2">
        <f t="shared" si="107"/>
        <v>1.46</v>
      </c>
      <c r="DT566" s="18">
        <f t="shared" si="108"/>
        <v>4277.8</v>
      </c>
      <c r="DU566" s="2"/>
      <c r="DV566" s="2">
        <f t="shared" si="109"/>
        <v>0</v>
      </c>
      <c r="DW566" s="2"/>
      <c r="DX566" s="2"/>
      <c r="DY566" s="2"/>
      <c r="DZ566" s="2" t="s">
        <v>3</v>
      </c>
      <c r="EA566" s="2" t="s">
        <v>647</v>
      </c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 t="s">
        <v>647</v>
      </c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 t="s">
        <v>647</v>
      </c>
      <c r="FQ566" s="2" t="s">
        <v>3</v>
      </c>
      <c r="FR566" s="2" t="s">
        <v>37</v>
      </c>
      <c r="FS566" s="2" t="s">
        <v>396</v>
      </c>
      <c r="FT566" s="2"/>
      <c r="FU566" s="2"/>
      <c r="FV566" s="2" t="s">
        <v>3</v>
      </c>
    </row>
    <row r="567" spans="1:178" ht="15.75" customHeight="1" x14ac:dyDescent="0.2">
      <c r="A567" s="14" t="s">
        <v>262</v>
      </c>
      <c r="B567" s="2" t="s">
        <v>85</v>
      </c>
      <c r="C567" s="16" t="s">
        <v>1239</v>
      </c>
      <c r="D567" s="2"/>
      <c r="E567" s="2"/>
      <c r="F567" s="2"/>
      <c r="G567" s="2"/>
      <c r="H567" s="2" t="s">
        <v>1240</v>
      </c>
      <c r="I567" s="2"/>
      <c r="J567" s="2"/>
      <c r="K567" s="2">
        <v>0</v>
      </c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>
        <v>61.099999999999994</v>
      </c>
      <c r="AG567" s="4">
        <v>8.7458246095301187E-2</v>
      </c>
      <c r="AH567" s="4">
        <v>0.28890223941080195</v>
      </c>
      <c r="AI567" s="2"/>
      <c r="AJ567" s="2"/>
      <c r="AK567" s="2"/>
      <c r="AL567" s="2"/>
      <c r="AM567" s="2"/>
      <c r="AN567" s="4">
        <v>0.18894714337318413</v>
      </c>
      <c r="AO567" s="2"/>
      <c r="AP567" s="4">
        <v>2.7475857590834698</v>
      </c>
      <c r="AQ567" s="4">
        <v>1.5293176517184945</v>
      </c>
      <c r="AR567" s="4">
        <v>0.19084396783633389</v>
      </c>
      <c r="AS567" s="2"/>
      <c r="AT567" s="2"/>
      <c r="AU567" s="2"/>
      <c r="AV567" s="2"/>
      <c r="AW567" s="2"/>
      <c r="AX567" s="2"/>
      <c r="AY567" s="2"/>
      <c r="AZ567" s="2"/>
      <c r="BA567" s="2">
        <v>120.9</v>
      </c>
      <c r="BB567" s="4">
        <v>5.5057684981245823E-2</v>
      </c>
      <c r="BC567" s="4">
        <v>0.18089215985111662</v>
      </c>
      <c r="BD567" s="2"/>
      <c r="BE567" s="2"/>
      <c r="BF567" s="2"/>
      <c r="BG567" s="2"/>
      <c r="BH567" s="2"/>
      <c r="BI567" s="4">
        <v>0.14641395292177414</v>
      </c>
      <c r="BJ567" s="2"/>
      <c r="BK567" s="4">
        <v>2.7093271667493792</v>
      </c>
      <c r="BL567" s="4">
        <v>1.9944255995037223</v>
      </c>
      <c r="BM567" s="4">
        <v>0.35366166300248142</v>
      </c>
      <c r="BN567" s="4"/>
      <c r="BO567" s="4"/>
      <c r="BP567" s="2"/>
      <c r="BQ567" s="2"/>
      <c r="BR567" s="2"/>
      <c r="BS567" s="2"/>
      <c r="BT567" s="2"/>
      <c r="BU567" s="2"/>
      <c r="BV567" s="2">
        <v>0</v>
      </c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>
        <v>0</v>
      </c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14" t="s">
        <v>81</v>
      </c>
      <c r="DM567" s="2"/>
      <c r="DN567" s="2">
        <f t="shared" si="104"/>
        <v>0.16069295257331892</v>
      </c>
      <c r="DO567" s="2">
        <f t="shared" si="105"/>
        <v>0</v>
      </c>
      <c r="DP567" s="2" t="s">
        <v>211</v>
      </c>
      <c r="DQ567" s="2" t="s">
        <v>3</v>
      </c>
      <c r="DR567" s="2">
        <f t="shared" si="106"/>
        <v>182</v>
      </c>
      <c r="DS567" s="4">
        <f t="shared" si="107"/>
        <v>0.16069295257331892</v>
      </c>
      <c r="DT567" s="15">
        <f t="shared" si="108"/>
        <v>292.46117368344045</v>
      </c>
      <c r="DU567" s="2"/>
      <c r="DV567" s="2">
        <f t="shared" si="109"/>
        <v>0</v>
      </c>
      <c r="DW567" s="2"/>
      <c r="DX567" s="2"/>
      <c r="DY567" s="2"/>
      <c r="DZ567" s="2" t="s">
        <v>3</v>
      </c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 t="s">
        <v>3</v>
      </c>
      <c r="FR567" s="2" t="s">
        <v>89</v>
      </c>
      <c r="FS567" s="2" t="s">
        <v>90</v>
      </c>
      <c r="FT567" s="2" t="s">
        <v>91</v>
      </c>
      <c r="FU567" s="2" t="s">
        <v>226</v>
      </c>
      <c r="FV567" s="2" t="s">
        <v>3</v>
      </c>
    </row>
    <row r="568" spans="1:178" ht="15.75" customHeight="1" x14ac:dyDescent="0.2">
      <c r="A568" s="12" t="s">
        <v>74</v>
      </c>
      <c r="B568" s="2" t="s">
        <v>75</v>
      </c>
      <c r="C568" s="13" t="s">
        <v>1241</v>
      </c>
      <c r="D568" s="2" t="s">
        <v>99</v>
      </c>
      <c r="E568" s="2"/>
      <c r="F568" s="2"/>
      <c r="G568" s="2" t="s">
        <v>78</v>
      </c>
      <c r="H568" s="2" t="s">
        <v>1021</v>
      </c>
      <c r="I568" s="2"/>
      <c r="J568" s="2" t="s">
        <v>141</v>
      </c>
      <c r="K568" s="19">
        <v>11.217919</v>
      </c>
      <c r="L568" s="2"/>
      <c r="M568" s="2"/>
      <c r="N568" s="2"/>
      <c r="O568" s="2"/>
      <c r="P568" s="2"/>
      <c r="Q568" s="2"/>
      <c r="R568" s="2"/>
      <c r="S568" s="4">
        <v>1.6</v>
      </c>
      <c r="T568" s="2">
        <v>0.06</v>
      </c>
      <c r="U568" s="2"/>
      <c r="V568" s="2"/>
      <c r="W568" s="2"/>
      <c r="X568" s="2"/>
      <c r="Y568" s="2"/>
      <c r="Z568" s="2"/>
      <c r="AA568" s="2">
        <v>21.26</v>
      </c>
      <c r="AB568" s="2"/>
      <c r="AC568" s="2"/>
      <c r="AD568" s="2"/>
      <c r="AE568" s="2"/>
      <c r="AF568" s="19">
        <v>14.439299999999999</v>
      </c>
      <c r="AG568" s="2"/>
      <c r="AH568" s="2"/>
      <c r="AI568" s="2"/>
      <c r="AJ568" s="2"/>
      <c r="AK568" s="2"/>
      <c r="AL568" s="2"/>
      <c r="AM568" s="2"/>
      <c r="AN568" s="2">
        <v>1.57</v>
      </c>
      <c r="AO568" s="2">
        <v>0.04</v>
      </c>
      <c r="AP568" s="2"/>
      <c r="AQ568" s="2"/>
      <c r="AR568" s="2"/>
      <c r="AS568" s="2"/>
      <c r="AT568" s="2"/>
      <c r="AU568" s="2"/>
      <c r="AV568" s="2">
        <v>13.62</v>
      </c>
      <c r="AW568" s="2"/>
      <c r="AX568" s="2"/>
      <c r="AY568" s="2"/>
      <c r="AZ568" s="2"/>
      <c r="BA568" s="19">
        <v>19.232123000000001</v>
      </c>
      <c r="BB568" s="2"/>
      <c r="BC568" s="2"/>
      <c r="BD568" s="2"/>
      <c r="BE568" s="2"/>
      <c r="BF568" s="2"/>
      <c r="BG568" s="2"/>
      <c r="BH568" s="2"/>
      <c r="BI568" s="2">
        <v>1.51</v>
      </c>
      <c r="BJ568" s="2">
        <v>0.03</v>
      </c>
      <c r="BK568" s="2"/>
      <c r="BL568" s="2"/>
      <c r="BM568" s="2"/>
      <c r="BN568" s="2"/>
      <c r="BO568" s="2"/>
      <c r="BP568" s="2"/>
      <c r="BQ568" s="2">
        <v>13.11</v>
      </c>
      <c r="BR568" s="2"/>
      <c r="BS568" s="2"/>
      <c r="BT568" s="2"/>
      <c r="BU568" s="2"/>
      <c r="BV568" s="2">
        <v>0</v>
      </c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>
        <v>0</v>
      </c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14" t="s">
        <v>81</v>
      </c>
      <c r="DM568" s="2" t="s">
        <v>81</v>
      </c>
      <c r="DN568" s="2">
        <f t="shared" si="104"/>
        <v>1.5517910048670351</v>
      </c>
      <c r="DO568" s="2">
        <f t="shared" si="105"/>
        <v>4.0713691682092372E-2</v>
      </c>
      <c r="DP568" s="2" t="s">
        <v>1022</v>
      </c>
      <c r="DQ568" s="2" t="s">
        <v>3</v>
      </c>
      <c r="DR568" s="4">
        <f t="shared" si="106"/>
        <v>44.889341999999999</v>
      </c>
      <c r="DS568" s="4">
        <f t="shared" si="107"/>
        <v>1.5517910048670351</v>
      </c>
      <c r="DT568" s="15">
        <f t="shared" si="108"/>
        <v>696.58877129999996</v>
      </c>
      <c r="DU568" s="2"/>
      <c r="DV568" s="2">
        <f t="shared" si="109"/>
        <v>0</v>
      </c>
      <c r="DW568" s="2"/>
      <c r="DX568" s="2"/>
      <c r="DY568" s="2"/>
      <c r="DZ568" s="2" t="s">
        <v>3</v>
      </c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 t="s">
        <v>3</v>
      </c>
      <c r="FR568" s="2" t="s">
        <v>37</v>
      </c>
      <c r="FS568" s="2" t="s">
        <v>229</v>
      </c>
      <c r="FT568" s="2" t="s">
        <v>106</v>
      </c>
      <c r="FU568" s="2"/>
      <c r="FV568" s="2" t="s">
        <v>3</v>
      </c>
    </row>
    <row r="569" spans="1:178" ht="15.75" customHeight="1" x14ac:dyDescent="0.2">
      <c r="A569" s="14" t="s">
        <v>96</v>
      </c>
      <c r="B569" s="2" t="s">
        <v>164</v>
      </c>
      <c r="C569" s="16" t="s">
        <v>1242</v>
      </c>
      <c r="D569" s="2" t="s">
        <v>99</v>
      </c>
      <c r="E569" s="2"/>
      <c r="F569" s="2"/>
      <c r="G569" s="2" t="s">
        <v>179</v>
      </c>
      <c r="H569" s="2" t="s">
        <v>1243</v>
      </c>
      <c r="I569" s="2"/>
      <c r="J569" s="2" t="s">
        <v>181</v>
      </c>
      <c r="K569" s="2">
        <v>0</v>
      </c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>
        <v>0</v>
      </c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>
        <v>0.02</v>
      </c>
      <c r="BB569" s="2">
        <v>0.15</v>
      </c>
      <c r="BC569" s="2"/>
      <c r="BD569" s="2"/>
      <c r="BE569" s="2"/>
      <c r="BF569" s="2"/>
      <c r="BG569" s="2"/>
      <c r="BH569" s="2"/>
      <c r="BI569" s="2">
        <v>2.7</v>
      </c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>
        <v>0</v>
      </c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>
        <v>0</v>
      </c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14" t="s">
        <v>81</v>
      </c>
      <c r="DM569" s="2"/>
      <c r="DN569" s="2">
        <f t="shared" si="104"/>
        <v>2.7</v>
      </c>
      <c r="DO569" s="2">
        <f t="shared" si="105"/>
        <v>0</v>
      </c>
      <c r="DP569" s="2" t="s">
        <v>175</v>
      </c>
      <c r="DQ569" s="2" t="s">
        <v>3</v>
      </c>
      <c r="DR569" s="2">
        <f t="shared" si="106"/>
        <v>0.02</v>
      </c>
      <c r="DS569" s="2">
        <f t="shared" si="107"/>
        <v>2.7</v>
      </c>
      <c r="DT569" s="15">
        <f t="shared" si="108"/>
        <v>0.54</v>
      </c>
      <c r="DU569" s="2"/>
      <c r="DV569" s="2">
        <f t="shared" si="109"/>
        <v>0</v>
      </c>
      <c r="DW569" s="2"/>
      <c r="DX569" s="2"/>
      <c r="DY569" s="2"/>
      <c r="DZ569" s="2" t="s">
        <v>3</v>
      </c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 t="s">
        <v>3</v>
      </c>
      <c r="FR569" s="2" t="s">
        <v>89</v>
      </c>
      <c r="FS569" s="2" t="s">
        <v>378</v>
      </c>
      <c r="FT569" s="2"/>
      <c r="FU569" s="2"/>
      <c r="FV569" s="2" t="s">
        <v>3</v>
      </c>
    </row>
    <row r="570" spans="1:178" ht="15.75" customHeight="1" x14ac:dyDescent="0.2">
      <c r="A570" s="12" t="s">
        <v>74</v>
      </c>
      <c r="B570" s="2" t="s">
        <v>340</v>
      </c>
      <c r="C570" s="13" t="s">
        <v>1244</v>
      </c>
      <c r="D570" s="2" t="s">
        <v>99</v>
      </c>
      <c r="E570" s="2"/>
      <c r="F570" s="2"/>
      <c r="G570" s="2"/>
      <c r="H570" s="2" t="s">
        <v>79</v>
      </c>
      <c r="I570" s="2"/>
      <c r="J570" s="2"/>
      <c r="K570" s="2">
        <v>0</v>
      </c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>
        <v>0</v>
      </c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>
        <f>1.2/0.4</f>
        <v>2.9999999999999996</v>
      </c>
      <c r="BB570" s="2"/>
      <c r="BC570" s="2"/>
      <c r="BD570" s="2"/>
      <c r="BE570" s="2"/>
      <c r="BF570" s="2"/>
      <c r="BG570" s="2"/>
      <c r="BH570" s="2"/>
      <c r="BI570" s="2">
        <v>1</v>
      </c>
      <c r="BJ570" s="2">
        <v>0.1</v>
      </c>
      <c r="BK570" s="2"/>
      <c r="BL570" s="2"/>
      <c r="BM570" s="2"/>
      <c r="BN570" s="2"/>
      <c r="BO570" s="2"/>
      <c r="BP570" s="2">
        <v>3.5</v>
      </c>
      <c r="BQ570" s="2">
        <v>40</v>
      </c>
      <c r="BR570" s="2"/>
      <c r="BS570" s="2"/>
      <c r="BT570" s="2"/>
      <c r="BU570" s="2"/>
      <c r="BV570" s="2">
        <v>0</v>
      </c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>
        <v>0</v>
      </c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14" t="s">
        <v>100</v>
      </c>
      <c r="DM570" s="2" t="s">
        <v>100</v>
      </c>
      <c r="DN570" s="2">
        <f t="shared" si="104"/>
        <v>1</v>
      </c>
      <c r="DO570" s="2">
        <f t="shared" si="105"/>
        <v>0.1</v>
      </c>
      <c r="DP570" s="2" t="s">
        <v>187</v>
      </c>
      <c r="DQ570" s="2" t="s">
        <v>3</v>
      </c>
      <c r="DR570" s="2">
        <f t="shared" si="106"/>
        <v>2.9999999999999996</v>
      </c>
      <c r="DS570" s="2">
        <f t="shared" si="107"/>
        <v>1</v>
      </c>
      <c r="DT570" s="15">
        <f t="shared" si="108"/>
        <v>29.999999999999996</v>
      </c>
      <c r="DU570" s="2"/>
      <c r="DV570" s="2">
        <f t="shared" si="109"/>
        <v>0</v>
      </c>
      <c r="DW570" s="2"/>
      <c r="DX570" s="2"/>
      <c r="DY570" s="2"/>
      <c r="DZ570" s="2" t="s">
        <v>3</v>
      </c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 t="s">
        <v>3</v>
      </c>
      <c r="FR570" s="2" t="s">
        <v>37</v>
      </c>
      <c r="FS570" s="2" t="s">
        <v>373</v>
      </c>
      <c r="FT570" s="2" t="s">
        <v>373</v>
      </c>
      <c r="FU570" s="2"/>
      <c r="FV570" s="2" t="s">
        <v>3</v>
      </c>
    </row>
    <row r="571" spans="1:178" ht="15.75" customHeight="1" x14ac:dyDescent="0.2">
      <c r="A571" s="14" t="s">
        <v>262</v>
      </c>
      <c r="B571" s="2" t="s">
        <v>85</v>
      </c>
      <c r="C571" s="16" t="s">
        <v>1245</v>
      </c>
      <c r="D571" s="2"/>
      <c r="E571" s="2"/>
      <c r="F571" s="2"/>
      <c r="G571" s="2"/>
      <c r="H571" s="2" t="s">
        <v>483</v>
      </c>
      <c r="I571" s="2"/>
      <c r="J571" s="2"/>
      <c r="K571" s="2">
        <v>0</v>
      </c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>
        <v>0</v>
      </c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>
        <v>102.58000000000001</v>
      </c>
      <c r="BB571" s="4">
        <v>5.881502879483657E-2</v>
      </c>
      <c r="BC571" s="4">
        <v>0.29610219536264376</v>
      </c>
      <c r="BD571" s="2"/>
      <c r="BE571" s="2"/>
      <c r="BF571" s="2"/>
      <c r="BG571" s="2"/>
      <c r="BH571" s="2"/>
      <c r="BI571" s="4">
        <v>0.15134633108190287</v>
      </c>
      <c r="BJ571" s="2"/>
      <c r="BK571" s="4">
        <v>3.5279755133846753</v>
      </c>
      <c r="BL571" s="4">
        <v>2.313827435143303</v>
      </c>
      <c r="BM571" s="4">
        <v>0.36416767315441601</v>
      </c>
      <c r="BN571" s="4"/>
      <c r="BO571" s="4"/>
      <c r="BP571" s="2"/>
      <c r="BQ571" s="2"/>
      <c r="BR571" s="2"/>
      <c r="BS571" s="2"/>
      <c r="BT571" s="2"/>
      <c r="BU571" s="2"/>
      <c r="BV571" s="2">
        <v>0</v>
      </c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>
        <v>0</v>
      </c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14" t="s">
        <v>81</v>
      </c>
      <c r="DM571" s="2"/>
      <c r="DN571" s="2">
        <f t="shared" si="104"/>
        <v>0.15134633108190287</v>
      </c>
      <c r="DO571" s="2">
        <f t="shared" si="105"/>
        <v>0</v>
      </c>
      <c r="DP571" s="2" t="s">
        <v>1201</v>
      </c>
      <c r="DQ571" s="2" t="s">
        <v>3</v>
      </c>
      <c r="DR571" s="15">
        <f t="shared" si="106"/>
        <v>102.58000000000001</v>
      </c>
      <c r="DS571" s="4">
        <f t="shared" si="107"/>
        <v>0.15134633108190287</v>
      </c>
      <c r="DT571" s="15">
        <f t="shared" si="108"/>
        <v>155.25106642381598</v>
      </c>
      <c r="DU571" s="2"/>
      <c r="DV571" s="2">
        <f t="shared" si="109"/>
        <v>0</v>
      </c>
      <c r="DW571" s="2"/>
      <c r="DX571" s="2"/>
      <c r="DY571" s="2"/>
      <c r="DZ571" s="2" t="s">
        <v>3</v>
      </c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 t="s">
        <v>3</v>
      </c>
      <c r="FR571" s="2" t="s">
        <v>89</v>
      </c>
      <c r="FS571" s="2" t="s">
        <v>90</v>
      </c>
      <c r="FT571" s="2" t="s">
        <v>91</v>
      </c>
      <c r="FU571" s="2" t="s">
        <v>226</v>
      </c>
      <c r="FV571" s="2" t="s">
        <v>3</v>
      </c>
    </row>
    <row r="572" spans="1:178" ht="15.75" customHeight="1" x14ac:dyDescent="0.2">
      <c r="A572" s="14" t="s">
        <v>96</v>
      </c>
      <c r="B572" s="2" t="s">
        <v>133</v>
      </c>
      <c r="C572" s="16" t="s">
        <v>1246</v>
      </c>
      <c r="D572" s="2" t="s">
        <v>99</v>
      </c>
      <c r="E572" s="2"/>
      <c r="F572" s="2"/>
      <c r="G572" s="2"/>
      <c r="H572" s="2" t="s">
        <v>1247</v>
      </c>
      <c r="I572" s="2"/>
      <c r="J572" s="2"/>
      <c r="K572" s="2">
        <v>360.91300000000001</v>
      </c>
      <c r="L572" s="2"/>
      <c r="M572" s="2"/>
      <c r="N572" s="2"/>
      <c r="O572" s="2"/>
      <c r="P572" s="2"/>
      <c r="Q572" s="2"/>
      <c r="R572" s="2"/>
      <c r="S572" s="19">
        <v>0.23</v>
      </c>
      <c r="T572" s="2">
        <v>1.4E-2</v>
      </c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>
        <v>712.40599999999995</v>
      </c>
      <c r="AG572" s="2"/>
      <c r="AH572" s="2"/>
      <c r="AI572" s="2"/>
      <c r="AJ572" s="2"/>
      <c r="AK572" s="2"/>
      <c r="AL572" s="2"/>
      <c r="AM572" s="2"/>
      <c r="AN572" s="2">
        <v>0.215</v>
      </c>
      <c r="AO572" s="2">
        <v>1.2999999999999999E-2</v>
      </c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3">
        <v>1142.1010000000001</v>
      </c>
      <c r="BB572" s="2"/>
      <c r="BC572" s="2"/>
      <c r="BD572" s="2"/>
      <c r="BE572" s="2"/>
      <c r="BF572" s="2"/>
      <c r="BG572" s="2"/>
      <c r="BH572" s="2"/>
      <c r="BI572" s="19">
        <v>0.22</v>
      </c>
      <c r="BJ572" s="2">
        <v>1.2999999999999999E-2</v>
      </c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>
        <v>0</v>
      </c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>
        <v>0</v>
      </c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14" t="s">
        <v>81</v>
      </c>
      <c r="DM572" s="2" t="s">
        <v>81</v>
      </c>
      <c r="DN572" s="2">
        <f t="shared" si="104"/>
        <v>0.22002126007709599</v>
      </c>
      <c r="DO572" s="2">
        <f t="shared" si="105"/>
        <v>1.3162909516028564E-2</v>
      </c>
      <c r="DP572" s="2" t="s">
        <v>1248</v>
      </c>
      <c r="DQ572" s="2" t="s">
        <v>3</v>
      </c>
      <c r="DR572" s="3">
        <f t="shared" si="106"/>
        <v>2215.42</v>
      </c>
      <c r="DS572" s="4">
        <f t="shared" si="107"/>
        <v>0.22002126007709599</v>
      </c>
      <c r="DT572" s="18">
        <f t="shared" si="108"/>
        <v>4874.3950000000004</v>
      </c>
      <c r="DU572" s="2"/>
      <c r="DV572" s="2">
        <f t="shared" si="109"/>
        <v>0</v>
      </c>
      <c r="DW572" s="2"/>
      <c r="DX572" s="2"/>
      <c r="DY572" s="2"/>
      <c r="DZ572" s="2" t="s">
        <v>3</v>
      </c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 t="s">
        <v>3</v>
      </c>
      <c r="FR572" s="2" t="s">
        <v>89</v>
      </c>
      <c r="FS572" s="2" t="s">
        <v>1249</v>
      </c>
      <c r="FT572" s="2" t="s">
        <v>1249</v>
      </c>
      <c r="FU572" s="2"/>
      <c r="FV572" s="2" t="s">
        <v>3</v>
      </c>
    </row>
    <row r="573" spans="1:178" ht="15.75" customHeight="1" x14ac:dyDescent="0.2">
      <c r="A573" s="14" t="s">
        <v>262</v>
      </c>
      <c r="B573" s="2" t="s">
        <v>85</v>
      </c>
      <c r="C573" s="16" t="s">
        <v>1250</v>
      </c>
      <c r="D573" s="2"/>
      <c r="E573" s="2"/>
      <c r="F573" s="2"/>
      <c r="G573" s="2"/>
      <c r="H573" s="2" t="s">
        <v>145</v>
      </c>
      <c r="I573" s="2"/>
      <c r="J573" s="2"/>
      <c r="K573" s="2">
        <v>103</v>
      </c>
      <c r="L573" s="4">
        <v>5.8194174757281551E-2</v>
      </c>
      <c r="M573" s="4">
        <v>0.20959168932038835</v>
      </c>
      <c r="N573" s="2"/>
      <c r="O573" s="2"/>
      <c r="P573" s="2"/>
      <c r="Q573" s="2"/>
      <c r="R573" s="2"/>
      <c r="S573" s="4">
        <v>0.19229126213592229</v>
      </c>
      <c r="T573" s="2"/>
      <c r="U573" s="4">
        <v>2.7261865631067961</v>
      </c>
      <c r="V573" s="4">
        <v>2.2912988932038836</v>
      </c>
      <c r="W573" s="4">
        <v>0.33927236893203883</v>
      </c>
      <c r="X573" s="2"/>
      <c r="Y573" s="2"/>
      <c r="Z573" s="15">
        <v>8.9221948800320696</v>
      </c>
      <c r="AA573" s="2"/>
      <c r="AB573" s="2"/>
      <c r="AC573" s="2"/>
      <c r="AD573" s="2"/>
      <c r="AE573" s="2"/>
      <c r="AF573" s="2">
        <v>232.7</v>
      </c>
      <c r="AG573" s="4">
        <v>5.2509669101847872E-2</v>
      </c>
      <c r="AH573" s="4">
        <v>0.19100296519123336</v>
      </c>
      <c r="AI573" s="2"/>
      <c r="AJ573" s="2"/>
      <c r="AK573" s="2"/>
      <c r="AL573" s="2"/>
      <c r="AM573" s="2"/>
      <c r="AN573" s="4">
        <v>0.18376450365277183</v>
      </c>
      <c r="AO573" s="2"/>
      <c r="AP573" s="4">
        <v>2.6991925569402664</v>
      </c>
      <c r="AQ573" s="4">
        <v>2.3906270777825527</v>
      </c>
      <c r="AR573" s="4">
        <v>0.36400335625268587</v>
      </c>
      <c r="AS573" s="2"/>
      <c r="AT573" s="2"/>
      <c r="AU573" s="15">
        <v>10.51681683583355</v>
      </c>
      <c r="AV573" s="2"/>
      <c r="AW573" s="2"/>
      <c r="AX573" s="2"/>
      <c r="AY573" s="2"/>
      <c r="AZ573" s="2"/>
      <c r="BA573" s="2">
        <v>313.89999999999998</v>
      </c>
      <c r="BB573" s="4">
        <v>6.1672507167887858E-2</v>
      </c>
      <c r="BC573" s="4">
        <v>0.23878112774769036</v>
      </c>
      <c r="BD573" s="2"/>
      <c r="BE573" s="2"/>
      <c r="BF573" s="2"/>
      <c r="BG573" s="2"/>
      <c r="BH573" s="2"/>
      <c r="BI573" s="4">
        <v>0.19750876075183177</v>
      </c>
      <c r="BJ573" s="2"/>
      <c r="BK573" s="4">
        <v>2.8097183816502067</v>
      </c>
      <c r="BL573" s="4">
        <v>2.1932789614526915</v>
      </c>
      <c r="BM573" s="4">
        <v>0.31093895508123603</v>
      </c>
      <c r="BN573" s="4"/>
      <c r="BO573" s="4"/>
      <c r="BP573" s="15">
        <v>7.9464503619090516</v>
      </c>
      <c r="BQ573" s="2"/>
      <c r="BR573" s="2"/>
      <c r="BS573" s="2"/>
      <c r="BT573" s="2"/>
      <c r="BU573" s="2"/>
      <c r="BV573" s="2">
        <v>0</v>
      </c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>
        <v>0</v>
      </c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14" t="s">
        <v>81</v>
      </c>
      <c r="DM573" s="2"/>
      <c r="DN573" s="2">
        <f t="shared" si="104"/>
        <v>0.19175800492610839</v>
      </c>
      <c r="DO573" s="2">
        <f t="shared" si="105"/>
        <v>0</v>
      </c>
      <c r="DP573" s="2" t="s">
        <v>95</v>
      </c>
      <c r="DQ573" s="2" t="s">
        <v>3</v>
      </c>
      <c r="DR573" s="2">
        <f t="shared" si="106"/>
        <v>649.59999999999991</v>
      </c>
      <c r="DS573" s="4">
        <f t="shared" si="107"/>
        <v>0.19175800492610839</v>
      </c>
      <c r="DT573" s="15">
        <f t="shared" si="108"/>
        <v>1245.6599999999999</v>
      </c>
      <c r="DU573" s="2"/>
      <c r="DV573" s="2">
        <f t="shared" si="109"/>
        <v>0</v>
      </c>
      <c r="DW573" s="2"/>
      <c r="DX573" s="2"/>
      <c r="DY573" s="2"/>
      <c r="DZ573" s="2" t="s">
        <v>3</v>
      </c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 t="s">
        <v>3</v>
      </c>
      <c r="FR573" s="2" t="s">
        <v>89</v>
      </c>
      <c r="FS573" s="2" t="s">
        <v>90</v>
      </c>
      <c r="FT573" s="2" t="s">
        <v>91</v>
      </c>
      <c r="FU573" s="2" t="s">
        <v>226</v>
      </c>
      <c r="FV573" s="2" t="s">
        <v>3</v>
      </c>
    </row>
    <row r="574" spans="1:178" ht="15.75" customHeight="1" x14ac:dyDescent="0.2">
      <c r="A574" s="14" t="s">
        <v>262</v>
      </c>
      <c r="B574" s="2" t="s">
        <v>85</v>
      </c>
      <c r="C574" s="16" t="s">
        <v>1251</v>
      </c>
      <c r="D574" s="2"/>
      <c r="E574" s="2"/>
      <c r="F574" s="2"/>
      <c r="G574" s="2"/>
      <c r="H574" s="2" t="s">
        <v>1252</v>
      </c>
      <c r="I574" s="2"/>
      <c r="J574" s="2"/>
      <c r="K574" s="2">
        <v>13.11</v>
      </c>
      <c r="L574" s="4">
        <v>0.01</v>
      </c>
      <c r="M574" s="4">
        <v>4.9499999999999995E-2</v>
      </c>
      <c r="N574" s="2"/>
      <c r="O574" s="2"/>
      <c r="P574" s="2"/>
      <c r="Q574" s="2"/>
      <c r="R574" s="2"/>
      <c r="S574" s="4">
        <v>0.04</v>
      </c>
      <c r="T574" s="2"/>
      <c r="U574" s="4">
        <v>2.5465</v>
      </c>
      <c r="V574" s="4">
        <v>1.5784999999999998</v>
      </c>
      <c r="W574" s="4">
        <v>0.47850000000000004</v>
      </c>
      <c r="X574" s="4">
        <v>0.63800000000000001</v>
      </c>
      <c r="Y574" s="4">
        <v>0.20349999999999999</v>
      </c>
      <c r="Z574" s="2"/>
      <c r="AA574" s="2"/>
      <c r="AB574" s="2"/>
      <c r="AC574" s="2"/>
      <c r="AD574" s="2"/>
      <c r="AE574" s="2"/>
      <c r="AF574" s="2">
        <v>155.06</v>
      </c>
      <c r="AG574" s="4">
        <v>4.3857861472978203E-2</v>
      </c>
      <c r="AH574" s="4">
        <v>0.12632297304269313</v>
      </c>
      <c r="AI574" s="2"/>
      <c r="AJ574" s="2"/>
      <c r="AK574" s="2"/>
      <c r="AL574" s="2"/>
      <c r="AM574" s="2"/>
      <c r="AN574" s="4">
        <v>8.8368373532826019E-2</v>
      </c>
      <c r="AO574" s="2"/>
      <c r="AP574" s="4">
        <v>2.2150174216432346</v>
      </c>
      <c r="AQ574" s="4">
        <v>1.2995340423062036</v>
      </c>
      <c r="AR574" s="4">
        <v>0.30459298723074935</v>
      </c>
      <c r="AS574" s="4">
        <v>0.44705007609957437</v>
      </c>
      <c r="AT574" s="4">
        <v>0.12693988520572683</v>
      </c>
      <c r="AU574" s="2"/>
      <c r="AV574" s="2"/>
      <c r="AW574" s="2"/>
      <c r="AX574" s="2"/>
      <c r="AY574" s="2"/>
      <c r="AZ574" s="2"/>
      <c r="BA574" s="2">
        <v>185.09</v>
      </c>
      <c r="BB574" s="4">
        <v>5.5253660381436059E-2</v>
      </c>
      <c r="BC574" s="4">
        <v>0.15902118915122371</v>
      </c>
      <c r="BD574" s="2"/>
      <c r="BE574" s="2"/>
      <c r="BF574" s="2"/>
      <c r="BG574" s="2"/>
      <c r="BH574" s="2"/>
      <c r="BI574" s="4">
        <v>9.6567075476795092E-2</v>
      </c>
      <c r="BJ574" s="2"/>
      <c r="BK574" s="4">
        <v>2.3311177443405913</v>
      </c>
      <c r="BL574" s="4">
        <v>1.3446340790966558</v>
      </c>
      <c r="BM574" s="4">
        <v>0.28560171646226157</v>
      </c>
      <c r="BN574" s="4">
        <v>0.43669055918742239</v>
      </c>
      <c r="BO574" s="4">
        <v>0.11791272732184342</v>
      </c>
      <c r="BP574" s="2"/>
      <c r="BQ574" s="2"/>
      <c r="BR574" s="2"/>
      <c r="BS574" s="2"/>
      <c r="BT574" s="2"/>
      <c r="BU574" s="2"/>
      <c r="BV574" s="2">
        <v>8.2899999999999991</v>
      </c>
      <c r="BW574" s="4">
        <v>0.01</v>
      </c>
      <c r="BX574" s="4">
        <v>3.2489999999999998E-2</v>
      </c>
      <c r="BY574" s="2"/>
      <c r="BZ574" s="2"/>
      <c r="CA574" s="2"/>
      <c r="CB574" s="2"/>
      <c r="CC574" s="2"/>
      <c r="CD574" s="4">
        <v>0.04</v>
      </c>
      <c r="CE574" s="2"/>
      <c r="CF574" s="4">
        <v>1.67143</v>
      </c>
      <c r="CG574" s="4">
        <v>1.0360699999999998</v>
      </c>
      <c r="CH574" s="4">
        <v>0.31406999999999996</v>
      </c>
      <c r="CI574" s="4">
        <v>0.41876000000000002</v>
      </c>
      <c r="CJ574" s="4">
        <v>0.13356999999999999</v>
      </c>
      <c r="CK574" s="2"/>
      <c r="CL574" s="2"/>
      <c r="CM574" s="2"/>
      <c r="CN574" s="2"/>
      <c r="CO574" s="2"/>
      <c r="CP574" s="2"/>
      <c r="CQ574" s="2">
        <v>62.68</v>
      </c>
      <c r="CR574" s="4">
        <v>0.01</v>
      </c>
      <c r="CS574" s="4">
        <v>3.49E-2</v>
      </c>
      <c r="CT574" s="2"/>
      <c r="CU574" s="2"/>
      <c r="CV574" s="2"/>
      <c r="CW574" s="2"/>
      <c r="CX574" s="2"/>
      <c r="CY574" s="4">
        <v>0.04</v>
      </c>
      <c r="CZ574" s="2"/>
      <c r="DA574" s="4">
        <v>1.32969</v>
      </c>
      <c r="DB574" s="4">
        <v>1.33318</v>
      </c>
      <c r="DC574" s="4">
        <v>0.2792</v>
      </c>
      <c r="DD574" s="4">
        <v>0.39437000000000005</v>
      </c>
      <c r="DE574" s="4">
        <v>0.12215000000000002</v>
      </c>
      <c r="DF574" s="2"/>
      <c r="DG574" s="2"/>
      <c r="DH574" s="2"/>
      <c r="DI574" s="2"/>
      <c r="DJ574" s="2"/>
      <c r="DK574" s="2"/>
      <c r="DL574" s="14" t="s">
        <v>81</v>
      </c>
      <c r="DM574" s="2"/>
      <c r="DN574" s="2">
        <f t="shared" si="104"/>
        <v>9.0869048293041974E-2</v>
      </c>
      <c r="DO574" s="2">
        <f t="shared" si="105"/>
        <v>0</v>
      </c>
      <c r="DP574" s="2" t="s">
        <v>95</v>
      </c>
      <c r="DQ574" s="2" t="s">
        <v>3</v>
      </c>
      <c r="DR574" s="15">
        <f t="shared" si="106"/>
        <v>353.26</v>
      </c>
      <c r="DS574" s="4">
        <f t="shared" si="107"/>
        <v>9.0869048293041974E-2</v>
      </c>
      <c r="DT574" s="15">
        <f t="shared" si="108"/>
        <v>321.00400000000008</v>
      </c>
      <c r="DU574" s="2"/>
      <c r="DV574" s="2">
        <f t="shared" si="109"/>
        <v>70.97</v>
      </c>
      <c r="DW574" s="2">
        <f t="shared" ref="DW574:DW576" si="117">(BV574*CD574+CQ574*CY574)/DV574</f>
        <v>0.04</v>
      </c>
      <c r="DX574" s="15">
        <f t="shared" ref="DX574:DX576" si="118">1000*DV574*DW574/100</f>
        <v>28.388000000000002</v>
      </c>
      <c r="DY574" s="2"/>
      <c r="DZ574" s="2" t="s">
        <v>3</v>
      </c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 t="s">
        <v>3</v>
      </c>
      <c r="FR574" s="2" t="s">
        <v>89</v>
      </c>
      <c r="FS574" s="2" t="s">
        <v>90</v>
      </c>
      <c r="FT574" s="2" t="s">
        <v>91</v>
      </c>
      <c r="FU574" s="2" t="s">
        <v>226</v>
      </c>
      <c r="FV574" s="2" t="s">
        <v>3</v>
      </c>
    </row>
    <row r="575" spans="1:178" ht="15.75" customHeight="1" x14ac:dyDescent="0.2">
      <c r="A575" s="14" t="s">
        <v>143</v>
      </c>
      <c r="B575" s="2" t="s">
        <v>85</v>
      </c>
      <c r="C575" s="16" t="s">
        <v>1253</v>
      </c>
      <c r="D575" s="2"/>
      <c r="E575" s="2"/>
      <c r="F575" s="2"/>
      <c r="G575" s="2"/>
      <c r="H575" s="2" t="s">
        <v>1254</v>
      </c>
      <c r="I575" s="2"/>
      <c r="J575" s="2"/>
      <c r="K575" s="2">
        <v>108.00000000000001</v>
      </c>
      <c r="L575" s="4">
        <v>2.5751633986928105E-2</v>
      </c>
      <c r="M575" s="4">
        <v>7.2714455337690637E-2</v>
      </c>
      <c r="N575" s="2"/>
      <c r="O575" s="2"/>
      <c r="P575" s="2"/>
      <c r="Q575" s="2"/>
      <c r="R575" s="2"/>
      <c r="S575" s="4">
        <v>0.14675381263616558</v>
      </c>
      <c r="T575" s="2"/>
      <c r="U575" s="4">
        <v>3.319799869281046</v>
      </c>
      <c r="V575" s="4">
        <v>1.611479411764706</v>
      </c>
      <c r="W575" s="4">
        <v>0.5265190196078432</v>
      </c>
      <c r="X575" s="4"/>
      <c r="Y575" s="4"/>
      <c r="Z575" s="2"/>
      <c r="AA575" s="2"/>
      <c r="AB575" s="2"/>
      <c r="AC575" s="2"/>
      <c r="AD575" s="2"/>
      <c r="AE575" s="2"/>
      <c r="AF575" s="2">
        <v>87.529411764705884</v>
      </c>
      <c r="AG575" s="4">
        <v>3.7177419354838717E-2</v>
      </c>
      <c r="AH575" s="4">
        <v>0.10198407258064517</v>
      </c>
      <c r="AI575" s="2"/>
      <c r="AJ575" s="2"/>
      <c r="AK575" s="2"/>
      <c r="AL575" s="2"/>
      <c r="AM575" s="2"/>
      <c r="AN575" s="4">
        <v>0.17341397849462367</v>
      </c>
      <c r="AO575" s="2"/>
      <c r="AP575" s="4">
        <v>3.4780979032258066</v>
      </c>
      <c r="AQ575" s="4">
        <v>1.6602344354838707</v>
      </c>
      <c r="AR575" s="4">
        <v>0.48369491935483883</v>
      </c>
      <c r="AS575" s="4"/>
      <c r="AT575" s="4"/>
      <c r="AU575" s="2"/>
      <c r="AV575" s="2"/>
      <c r="AW575" s="2"/>
      <c r="AX575" s="2"/>
      <c r="AY575" s="2"/>
      <c r="AZ575" s="2"/>
      <c r="BA575" s="2">
        <v>60.705882352941174</v>
      </c>
      <c r="BB575" s="4">
        <v>3.0581395348837213E-2</v>
      </c>
      <c r="BC575" s="4">
        <v>8.1095813953488374E-2</v>
      </c>
      <c r="BD575" s="2"/>
      <c r="BE575" s="2"/>
      <c r="BF575" s="2"/>
      <c r="BG575" s="2"/>
      <c r="BH575" s="2"/>
      <c r="BI575" s="4">
        <v>0.15802325581395352</v>
      </c>
      <c r="BJ575" s="2"/>
      <c r="BK575" s="4">
        <v>3.3462474418604655</v>
      </c>
      <c r="BL575" s="4">
        <v>1.6158251162790698</v>
      </c>
      <c r="BM575" s="4">
        <v>0.51017302325581393</v>
      </c>
      <c r="BN575" s="4"/>
      <c r="BO575" s="4"/>
      <c r="BP575" s="2"/>
      <c r="BQ575" s="2"/>
      <c r="BR575" s="2"/>
      <c r="BS575" s="2"/>
      <c r="BT575" s="2"/>
      <c r="BU575" s="2"/>
      <c r="BV575" s="2">
        <v>35.529411764705884</v>
      </c>
      <c r="BW575" s="4">
        <v>1.2384105960264902E-2</v>
      </c>
      <c r="BX575" s="4">
        <v>2.7028543046357611E-2</v>
      </c>
      <c r="BY575" s="2"/>
      <c r="BZ575" s="2"/>
      <c r="CA575" s="2"/>
      <c r="CB575" s="2"/>
      <c r="CC575" s="2"/>
      <c r="CD575" s="4">
        <v>0.11556291390728475</v>
      </c>
      <c r="CE575" s="2"/>
      <c r="CF575" s="4">
        <v>2.5959059602649006</v>
      </c>
      <c r="CG575" s="4">
        <v>1.2925601324503311</v>
      </c>
      <c r="CH575" s="4">
        <v>0.49024410596026491</v>
      </c>
      <c r="CI575" s="4"/>
      <c r="CJ575" s="4"/>
      <c r="CK575" s="2"/>
      <c r="CL575" s="2"/>
      <c r="CM575" s="2"/>
      <c r="CN575" s="2"/>
      <c r="CO575" s="2"/>
      <c r="CP575" s="2"/>
      <c r="CQ575" s="2">
        <v>7.2941176470588243</v>
      </c>
      <c r="CR575" s="4">
        <v>1.9677419354838712E-2</v>
      </c>
      <c r="CS575" s="4">
        <v>4.5158064516129026E-2</v>
      </c>
      <c r="CT575" s="2"/>
      <c r="CU575" s="2"/>
      <c r="CV575" s="2"/>
      <c r="CW575" s="2"/>
      <c r="CX575" s="2"/>
      <c r="CY575" s="4">
        <v>0.13258064516129031</v>
      </c>
      <c r="CZ575" s="2"/>
      <c r="DA575" s="4">
        <v>2.4452264516129034</v>
      </c>
      <c r="DB575" s="4">
        <v>1.1960922580645161</v>
      </c>
      <c r="DC575" s="4">
        <v>0.40992774193548387</v>
      </c>
      <c r="DD575" s="4"/>
      <c r="DE575" s="4"/>
      <c r="DF575" s="2"/>
      <c r="DG575" s="2"/>
      <c r="DH575" s="2"/>
      <c r="DI575" s="2"/>
      <c r="DJ575" s="2"/>
      <c r="DK575" s="2"/>
      <c r="DL575" s="14" t="s">
        <v>81</v>
      </c>
      <c r="DM575" s="2"/>
      <c r="DN575" s="2">
        <f t="shared" si="104"/>
        <v>0.1585307621671258</v>
      </c>
      <c r="DO575" s="2">
        <f t="shared" si="105"/>
        <v>0</v>
      </c>
      <c r="DP575" s="2" t="s">
        <v>88</v>
      </c>
      <c r="DQ575" s="2" t="s">
        <v>3</v>
      </c>
      <c r="DR575" s="15">
        <f t="shared" si="106"/>
        <v>256.23529411764707</v>
      </c>
      <c r="DS575" s="4">
        <f t="shared" si="107"/>
        <v>0.1585307621671258</v>
      </c>
      <c r="DT575" s="15">
        <f t="shared" si="108"/>
        <v>406.21176470588239</v>
      </c>
      <c r="DU575" s="2"/>
      <c r="DV575" s="4">
        <f t="shared" si="109"/>
        <v>42.82352941176471</v>
      </c>
      <c r="DW575" s="4">
        <f t="shared" si="117"/>
        <v>0.11846153846153844</v>
      </c>
      <c r="DX575" s="15">
        <f t="shared" si="118"/>
        <v>50.72941176470588</v>
      </c>
      <c r="DY575" s="2"/>
      <c r="DZ575" s="2" t="s">
        <v>3</v>
      </c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 t="s">
        <v>3</v>
      </c>
      <c r="FR575" s="2" t="s">
        <v>89</v>
      </c>
      <c r="FS575" s="2" t="s">
        <v>90</v>
      </c>
      <c r="FT575" s="2" t="s">
        <v>91</v>
      </c>
      <c r="FU575" s="2" t="s">
        <v>92</v>
      </c>
      <c r="FV575" s="2" t="s">
        <v>3</v>
      </c>
    </row>
    <row r="576" spans="1:178" ht="15.75" customHeight="1" x14ac:dyDescent="0.2">
      <c r="A576" s="14" t="s">
        <v>96</v>
      </c>
      <c r="B576" s="2" t="s">
        <v>236</v>
      </c>
      <c r="C576" s="16" t="s">
        <v>1255</v>
      </c>
      <c r="D576" s="2"/>
      <c r="E576" s="2"/>
      <c r="F576" s="2"/>
      <c r="G576" s="2"/>
      <c r="H576" s="2" t="s">
        <v>145</v>
      </c>
      <c r="I576" s="2"/>
      <c r="J576" s="2"/>
      <c r="K576" s="2">
        <v>38.700000000000003</v>
      </c>
      <c r="L576" s="2">
        <v>0.14000000000000001</v>
      </c>
      <c r="M576" s="4">
        <v>0.29925000000000002</v>
      </c>
      <c r="N576" s="2"/>
      <c r="O576" s="2"/>
      <c r="P576" s="2"/>
      <c r="Q576" s="2"/>
      <c r="R576" s="2"/>
      <c r="S576" s="2">
        <v>0.22</v>
      </c>
      <c r="T576" s="2"/>
      <c r="U576" s="4">
        <v>1.9351500000000001</v>
      </c>
      <c r="V576" s="4">
        <v>1.5880200000000002</v>
      </c>
      <c r="W576" s="4">
        <v>0.16359000000000001</v>
      </c>
      <c r="X576" s="4"/>
      <c r="Y576" s="4"/>
      <c r="Z576" s="2"/>
      <c r="AA576" s="2"/>
      <c r="AB576" s="2"/>
      <c r="AC576" s="2"/>
      <c r="AD576" s="2"/>
      <c r="AE576" s="2"/>
      <c r="AF576" s="2">
        <v>138.9</v>
      </c>
      <c r="AG576" s="2">
        <v>0.14000000000000001</v>
      </c>
      <c r="AH576" s="4">
        <v>0.31574999999999998</v>
      </c>
      <c r="AI576" s="2"/>
      <c r="AJ576" s="2"/>
      <c r="AK576" s="2"/>
      <c r="AL576" s="2"/>
      <c r="AM576" s="2"/>
      <c r="AN576" s="2">
        <v>0.22</v>
      </c>
      <c r="AO576" s="2"/>
      <c r="AP576" s="4">
        <v>2.0418499999999997</v>
      </c>
      <c r="AQ576" s="4">
        <v>1.6755800000000001</v>
      </c>
      <c r="AR576" s="4">
        <v>0.17261000000000001</v>
      </c>
      <c r="AS576" s="4"/>
      <c r="AT576" s="4"/>
      <c r="AU576" s="2"/>
      <c r="AV576" s="2"/>
      <c r="AW576" s="2"/>
      <c r="AX576" s="2"/>
      <c r="AY576" s="2"/>
      <c r="AZ576" s="2"/>
      <c r="BA576" s="2">
        <v>47.4</v>
      </c>
      <c r="BB576" s="2">
        <v>0.14000000000000001</v>
      </c>
      <c r="BC576" s="4">
        <v>0.31725000000000003</v>
      </c>
      <c r="BD576" s="2"/>
      <c r="BE576" s="2"/>
      <c r="BF576" s="2"/>
      <c r="BG576" s="2"/>
      <c r="BH576" s="2"/>
      <c r="BI576" s="2">
        <v>0.22</v>
      </c>
      <c r="BJ576" s="2"/>
      <c r="BK576" s="4">
        <v>2.0515500000000002</v>
      </c>
      <c r="BL576" s="4">
        <v>1.6835400000000003</v>
      </c>
      <c r="BM576" s="4">
        <v>0.17343000000000003</v>
      </c>
      <c r="BN576" s="4"/>
      <c r="BO576" s="4"/>
      <c r="BP576" s="2"/>
      <c r="BQ576" s="2"/>
      <c r="BR576" s="2"/>
      <c r="BS576" s="2"/>
      <c r="BT576" s="2"/>
      <c r="BU576" s="2"/>
      <c r="BV576" s="2">
        <v>25.4</v>
      </c>
      <c r="BW576" s="2">
        <v>0.14000000000000001</v>
      </c>
      <c r="BX576" s="4">
        <v>0.25124999999999997</v>
      </c>
      <c r="BY576" s="2"/>
      <c r="BZ576" s="2"/>
      <c r="CA576" s="2"/>
      <c r="CB576" s="2"/>
      <c r="CC576" s="2"/>
      <c r="CD576" s="2">
        <v>0.22</v>
      </c>
      <c r="CE576" s="2"/>
      <c r="CF576" s="4">
        <v>1.6247499999999999</v>
      </c>
      <c r="CG576" s="4">
        <v>1.3333000000000002</v>
      </c>
      <c r="CH576" s="4">
        <v>0.13735</v>
      </c>
      <c r="CI576" s="4"/>
      <c r="CJ576" s="4"/>
      <c r="CK576" s="2"/>
      <c r="CL576" s="2"/>
      <c r="CM576" s="2"/>
      <c r="CN576" s="2"/>
      <c r="CO576" s="2"/>
      <c r="CP576" s="2"/>
      <c r="CQ576" s="15">
        <v>27</v>
      </c>
      <c r="CR576" s="2">
        <v>0.14000000000000001</v>
      </c>
      <c r="CS576" s="4">
        <v>0.24449999999999997</v>
      </c>
      <c r="CT576" s="2"/>
      <c r="CU576" s="2"/>
      <c r="CV576" s="2"/>
      <c r="CW576" s="2"/>
      <c r="CX576" s="2"/>
      <c r="CY576" s="2">
        <v>0.22</v>
      </c>
      <c r="CZ576" s="2"/>
      <c r="DA576" s="4">
        <v>1.5810999999999999</v>
      </c>
      <c r="DB576" s="4">
        <v>1.29748</v>
      </c>
      <c r="DC576" s="4">
        <v>0.13366</v>
      </c>
      <c r="DD576" s="4"/>
      <c r="DE576" s="4"/>
      <c r="DF576" s="2"/>
      <c r="DG576" s="2"/>
      <c r="DH576" s="2"/>
      <c r="DI576" s="2"/>
      <c r="DJ576" s="2"/>
      <c r="DK576" s="2"/>
      <c r="DL576" s="14" t="s">
        <v>81</v>
      </c>
      <c r="DM576" s="2"/>
      <c r="DN576" s="2">
        <f t="shared" si="104"/>
        <v>0.21999999999999997</v>
      </c>
      <c r="DO576" s="2">
        <f t="shared" si="105"/>
        <v>0</v>
      </c>
      <c r="DP576" s="2" t="s">
        <v>95</v>
      </c>
      <c r="DQ576" s="2" t="s">
        <v>3</v>
      </c>
      <c r="DR576" s="2">
        <f t="shared" si="106"/>
        <v>225.00000000000003</v>
      </c>
      <c r="DS576" s="2">
        <f t="shared" si="107"/>
        <v>0.21999999999999997</v>
      </c>
      <c r="DT576" s="15">
        <f t="shared" si="108"/>
        <v>495</v>
      </c>
      <c r="DU576" s="2"/>
      <c r="DV576" s="15">
        <f t="shared" si="109"/>
        <v>52.4</v>
      </c>
      <c r="DW576" s="4">
        <f t="shared" si="117"/>
        <v>0.22</v>
      </c>
      <c r="DX576" s="15">
        <f t="shared" si="118"/>
        <v>115.28</v>
      </c>
      <c r="DY576" s="2"/>
      <c r="DZ576" s="2" t="s">
        <v>3</v>
      </c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 t="s">
        <v>3</v>
      </c>
      <c r="FR576" s="2" t="s">
        <v>89</v>
      </c>
      <c r="FS576" s="2" t="s">
        <v>90</v>
      </c>
      <c r="FT576" s="2" t="s">
        <v>91</v>
      </c>
      <c r="FU576" s="2"/>
      <c r="FV576" s="2" t="s">
        <v>3</v>
      </c>
    </row>
    <row r="577" spans="1:178" ht="15.75" customHeight="1" x14ac:dyDescent="0.2">
      <c r="A577" s="14" t="s">
        <v>96</v>
      </c>
      <c r="B577" s="2" t="s">
        <v>278</v>
      </c>
      <c r="C577" s="16" t="s">
        <v>1256</v>
      </c>
      <c r="D577" s="2" t="s">
        <v>99</v>
      </c>
      <c r="E577" s="2"/>
      <c r="F577" s="2"/>
      <c r="G577" s="2"/>
      <c r="H577" s="2" t="s">
        <v>79</v>
      </c>
      <c r="I577" s="2"/>
      <c r="J577" s="2"/>
      <c r="K577" s="2">
        <v>0</v>
      </c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>
        <v>0</v>
      </c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>
        <v>0.31</v>
      </c>
      <c r="BB577" s="2">
        <v>0.44</v>
      </c>
      <c r="BC577" s="2"/>
      <c r="BD577" s="2"/>
      <c r="BE577" s="2"/>
      <c r="BF577" s="2"/>
      <c r="BG577" s="2"/>
      <c r="BH577" s="2"/>
      <c r="BI577" s="4">
        <v>1.2</v>
      </c>
      <c r="BJ577" s="2">
        <v>3.5000000000000003E-2</v>
      </c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>
        <v>0</v>
      </c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>
        <v>0</v>
      </c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14" t="s">
        <v>100</v>
      </c>
      <c r="DM577" s="2" t="s">
        <v>100</v>
      </c>
      <c r="DN577" s="2">
        <f t="shared" si="104"/>
        <v>1.2</v>
      </c>
      <c r="DO577" s="2">
        <f t="shared" si="105"/>
        <v>3.5000000000000003E-2</v>
      </c>
      <c r="DP577" s="2" t="s">
        <v>467</v>
      </c>
      <c r="DQ577" s="2" t="s">
        <v>3</v>
      </c>
      <c r="DR577" s="2">
        <f t="shared" si="106"/>
        <v>0.31</v>
      </c>
      <c r="DS577" s="2">
        <f t="shared" si="107"/>
        <v>1.2</v>
      </c>
      <c r="DT577" s="15">
        <f t="shared" si="108"/>
        <v>3.72</v>
      </c>
      <c r="DU577" s="2"/>
      <c r="DV577" s="2">
        <f t="shared" si="109"/>
        <v>0</v>
      </c>
      <c r="DW577" s="2"/>
      <c r="DX577" s="2"/>
      <c r="DY577" s="2"/>
      <c r="DZ577" s="2" t="s">
        <v>3</v>
      </c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 t="s">
        <v>3</v>
      </c>
      <c r="FR577" s="2" t="s">
        <v>89</v>
      </c>
      <c r="FS577" s="2" t="s">
        <v>123</v>
      </c>
      <c r="FT577" s="2"/>
      <c r="FU577" s="2"/>
      <c r="FV577" s="2" t="s">
        <v>3</v>
      </c>
    </row>
    <row r="578" spans="1:178" ht="15.75" customHeight="1" x14ac:dyDescent="0.2">
      <c r="A578" s="12" t="s">
        <v>74</v>
      </c>
      <c r="B578" s="2" t="s">
        <v>147</v>
      </c>
      <c r="C578" s="13" t="s">
        <v>1257</v>
      </c>
      <c r="D578" s="2" t="s">
        <v>99</v>
      </c>
      <c r="E578" s="2"/>
      <c r="F578" s="2"/>
      <c r="G578" s="2"/>
      <c r="H578" s="2" t="s">
        <v>79</v>
      </c>
      <c r="I578" s="2"/>
      <c r="J578" s="2"/>
      <c r="K578" s="2">
        <v>0</v>
      </c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>
        <v>0</v>
      </c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>
        <v>3.7</v>
      </c>
      <c r="BB578" s="2"/>
      <c r="BC578" s="2"/>
      <c r="BD578" s="2"/>
      <c r="BE578" s="2"/>
      <c r="BF578" s="2"/>
      <c r="BG578" s="2"/>
      <c r="BH578" s="2"/>
      <c r="BI578" s="2">
        <v>1.75</v>
      </c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>
        <v>0</v>
      </c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>
        <v>0</v>
      </c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14" t="s">
        <v>100</v>
      </c>
      <c r="DM578" s="2" t="s">
        <v>100</v>
      </c>
      <c r="DN578" s="2">
        <f t="shared" si="104"/>
        <v>1.75</v>
      </c>
      <c r="DO578" s="2">
        <f t="shared" si="105"/>
        <v>0</v>
      </c>
      <c r="DP578" s="2" t="s">
        <v>113</v>
      </c>
      <c r="DQ578" s="2" t="s">
        <v>3</v>
      </c>
      <c r="DR578" s="2">
        <f t="shared" si="106"/>
        <v>3.7</v>
      </c>
      <c r="DS578" s="2">
        <f t="shared" si="107"/>
        <v>1.75</v>
      </c>
      <c r="DT578" s="15">
        <f t="shared" si="108"/>
        <v>64.75</v>
      </c>
      <c r="DU578" s="2"/>
      <c r="DV578" s="2">
        <f t="shared" si="109"/>
        <v>0</v>
      </c>
      <c r="DW578" s="2"/>
      <c r="DX578" s="2"/>
      <c r="DY578" s="2"/>
      <c r="DZ578" s="2" t="s">
        <v>3</v>
      </c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 t="s">
        <v>3</v>
      </c>
      <c r="FR578" s="2" t="s">
        <v>37</v>
      </c>
      <c r="FS578" s="2" t="s">
        <v>151</v>
      </c>
      <c r="FT578" s="2" t="s">
        <v>151</v>
      </c>
      <c r="FU578" s="2"/>
      <c r="FV578" s="2" t="s">
        <v>3</v>
      </c>
    </row>
    <row r="579" spans="1:178" ht="15.75" customHeight="1" x14ac:dyDescent="0.2">
      <c r="A579" s="14" t="s">
        <v>96</v>
      </c>
      <c r="B579" s="2" t="s">
        <v>124</v>
      </c>
      <c r="C579" s="16" t="s">
        <v>1258</v>
      </c>
      <c r="D579" s="2" t="s">
        <v>99</v>
      </c>
      <c r="E579" s="2"/>
      <c r="F579" s="2"/>
      <c r="G579" s="2"/>
      <c r="H579" s="2" t="s">
        <v>1259</v>
      </c>
      <c r="I579" s="2"/>
      <c r="J579" s="2"/>
      <c r="K579" s="2">
        <v>0</v>
      </c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>
        <v>0</v>
      </c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>
        <v>1.052</v>
      </c>
      <c r="BB579" s="2">
        <v>0.42</v>
      </c>
      <c r="BC579" s="2"/>
      <c r="BD579" s="2"/>
      <c r="BE579" s="2"/>
      <c r="BF579" s="2"/>
      <c r="BG579" s="2"/>
      <c r="BH579" s="2"/>
      <c r="BI579" s="2">
        <v>0.49</v>
      </c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>
        <v>0</v>
      </c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>
        <v>0</v>
      </c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14" t="s">
        <v>81</v>
      </c>
      <c r="DM579" s="2"/>
      <c r="DN579" s="2">
        <f t="shared" si="104"/>
        <v>0.49000000000000005</v>
      </c>
      <c r="DO579" s="2">
        <f t="shared" si="105"/>
        <v>0</v>
      </c>
      <c r="DP579" s="2" t="s">
        <v>1260</v>
      </c>
      <c r="DQ579" s="2" t="s">
        <v>3</v>
      </c>
      <c r="DR579" s="2">
        <f t="shared" si="106"/>
        <v>1.052</v>
      </c>
      <c r="DS579" s="2">
        <f t="shared" si="107"/>
        <v>0.49000000000000005</v>
      </c>
      <c r="DT579" s="15">
        <f t="shared" si="108"/>
        <v>5.1547999999999998</v>
      </c>
      <c r="DU579" s="2"/>
      <c r="DV579" s="2">
        <f t="shared" si="109"/>
        <v>0</v>
      </c>
      <c r="DW579" s="2"/>
      <c r="DX579" s="2"/>
      <c r="DY579" s="2"/>
      <c r="DZ579" s="2" t="s">
        <v>3</v>
      </c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 t="s">
        <v>3</v>
      </c>
      <c r="FR579" s="2" t="s">
        <v>89</v>
      </c>
      <c r="FS579" s="2" t="s">
        <v>123</v>
      </c>
      <c r="FT579" s="2"/>
      <c r="FU579" s="2"/>
      <c r="FV579" s="2" t="s">
        <v>3</v>
      </c>
    </row>
    <row r="580" spans="1:178" ht="15.75" customHeight="1" x14ac:dyDescent="0.2">
      <c r="A580" s="14" t="s">
        <v>96</v>
      </c>
      <c r="B580" s="2" t="s">
        <v>124</v>
      </c>
      <c r="C580" s="16" t="s">
        <v>1261</v>
      </c>
      <c r="D580" s="2" t="s">
        <v>99</v>
      </c>
      <c r="E580" s="2"/>
      <c r="F580" s="2"/>
      <c r="G580" s="2"/>
      <c r="H580" s="2" t="s">
        <v>79</v>
      </c>
      <c r="I580" s="2"/>
      <c r="J580" s="2"/>
      <c r="K580" s="2">
        <v>0</v>
      </c>
      <c r="L580" s="4"/>
      <c r="M580" s="2"/>
      <c r="N580" s="2"/>
      <c r="O580" s="2"/>
      <c r="P580" s="2"/>
      <c r="Q580" s="2"/>
      <c r="R580" s="2"/>
      <c r="S580" s="4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>
        <v>0</v>
      </c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>
        <v>1.6</v>
      </c>
      <c r="BB580" s="2">
        <v>0.19</v>
      </c>
      <c r="BC580" s="2"/>
      <c r="BD580" s="2"/>
      <c r="BE580" s="2"/>
      <c r="BF580" s="2"/>
      <c r="BG580" s="2"/>
      <c r="BH580" s="2"/>
      <c r="BI580" s="2">
        <v>0.65</v>
      </c>
      <c r="BJ580" s="2">
        <v>0.03</v>
      </c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>
        <v>0</v>
      </c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>
        <v>0</v>
      </c>
      <c r="CR580" s="4"/>
      <c r="CS580" s="2"/>
      <c r="CT580" s="2"/>
      <c r="CU580" s="2"/>
      <c r="CV580" s="2"/>
      <c r="CW580" s="2"/>
      <c r="CX580" s="2"/>
      <c r="CY580" s="4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14" t="s">
        <v>100</v>
      </c>
      <c r="DM580" s="2" t="s">
        <v>100</v>
      </c>
      <c r="DN580" s="2">
        <f t="shared" si="104"/>
        <v>0.65</v>
      </c>
      <c r="DO580" s="2">
        <f t="shared" si="105"/>
        <v>0.03</v>
      </c>
      <c r="DP580" s="2" t="s">
        <v>126</v>
      </c>
      <c r="DQ580" s="2" t="s">
        <v>3</v>
      </c>
      <c r="DR580" s="2">
        <f t="shared" si="106"/>
        <v>1.6</v>
      </c>
      <c r="DS580" s="2">
        <f t="shared" si="107"/>
        <v>0.65</v>
      </c>
      <c r="DT580" s="15">
        <f t="shared" si="108"/>
        <v>10.4</v>
      </c>
      <c r="DU580" s="2"/>
      <c r="DV580" s="2">
        <f t="shared" si="109"/>
        <v>0</v>
      </c>
      <c r="DW580" s="2"/>
      <c r="DX580" s="2"/>
      <c r="DY580" s="2"/>
      <c r="DZ580" s="2" t="s">
        <v>3</v>
      </c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 t="s">
        <v>3</v>
      </c>
      <c r="FR580" s="2" t="s">
        <v>89</v>
      </c>
      <c r="FS580" s="2" t="s">
        <v>123</v>
      </c>
      <c r="FT580" s="2"/>
      <c r="FU580" s="2"/>
      <c r="FV580" s="2" t="s">
        <v>3</v>
      </c>
    </row>
    <row r="581" spans="1:178" ht="15.75" customHeight="1" x14ac:dyDescent="0.2">
      <c r="A581" s="14" t="s">
        <v>96</v>
      </c>
      <c r="B581" s="2" t="s">
        <v>124</v>
      </c>
      <c r="C581" s="16" t="s">
        <v>1262</v>
      </c>
      <c r="D581" s="2" t="s">
        <v>99</v>
      </c>
      <c r="E581" s="2"/>
      <c r="F581" s="2"/>
      <c r="G581" s="2"/>
      <c r="H581" s="2" t="s">
        <v>79</v>
      </c>
      <c r="I581" s="2"/>
      <c r="J581" s="2"/>
      <c r="K581" s="2">
        <v>0</v>
      </c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>
        <v>0</v>
      </c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>
        <v>0.05</v>
      </c>
      <c r="BB581" s="2">
        <v>0.25</v>
      </c>
      <c r="BC581" s="2"/>
      <c r="BD581" s="2"/>
      <c r="BE581" s="2"/>
      <c r="BF581" s="2"/>
      <c r="BG581" s="2"/>
      <c r="BH581" s="2"/>
      <c r="BI581" s="2">
        <v>0.44</v>
      </c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>
        <v>0</v>
      </c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>
        <v>0</v>
      </c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14" t="s">
        <v>100</v>
      </c>
      <c r="DM581" s="2"/>
      <c r="DN581" s="2">
        <f t="shared" si="104"/>
        <v>0.44</v>
      </c>
      <c r="DO581" s="2">
        <f t="shared" si="105"/>
        <v>0</v>
      </c>
      <c r="DP581" s="2" t="s">
        <v>126</v>
      </c>
      <c r="DQ581" s="2" t="s">
        <v>3</v>
      </c>
      <c r="DR581" s="2">
        <f t="shared" si="106"/>
        <v>0.05</v>
      </c>
      <c r="DS581" s="2">
        <f t="shared" si="107"/>
        <v>0.44</v>
      </c>
      <c r="DT581" s="15">
        <f t="shared" si="108"/>
        <v>0.22</v>
      </c>
      <c r="DU581" s="2"/>
      <c r="DV581" s="2">
        <f t="shared" si="109"/>
        <v>0</v>
      </c>
      <c r="DW581" s="2"/>
      <c r="DX581" s="2"/>
      <c r="DY581" s="2"/>
      <c r="DZ581" s="2" t="s">
        <v>3</v>
      </c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 t="s">
        <v>3</v>
      </c>
      <c r="FR581" s="2" t="s">
        <v>89</v>
      </c>
      <c r="FS581" s="2" t="s">
        <v>123</v>
      </c>
      <c r="FT581" s="2"/>
      <c r="FU581" s="2"/>
      <c r="FV581" s="2" t="s">
        <v>3</v>
      </c>
    </row>
    <row r="582" spans="1:178" ht="15.75" customHeight="1" x14ac:dyDescent="0.2">
      <c r="A582" s="14" t="s">
        <v>96</v>
      </c>
      <c r="B582" s="2" t="s">
        <v>124</v>
      </c>
      <c r="C582" s="16" t="s">
        <v>1263</v>
      </c>
      <c r="D582" s="2" t="s">
        <v>99</v>
      </c>
      <c r="E582" s="2"/>
      <c r="F582" s="2"/>
      <c r="G582" s="2"/>
      <c r="H582" s="2" t="s">
        <v>1259</v>
      </c>
      <c r="I582" s="2"/>
      <c r="J582" s="2"/>
      <c r="K582" s="2">
        <v>0</v>
      </c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>
        <v>0</v>
      </c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>
        <v>1.6</v>
      </c>
      <c r="BB582" s="2">
        <v>0.28999999999999998</v>
      </c>
      <c r="BC582" s="2"/>
      <c r="BD582" s="2"/>
      <c r="BE582" s="2"/>
      <c r="BF582" s="2"/>
      <c r="BG582" s="2"/>
      <c r="BH582" s="2"/>
      <c r="BI582" s="2">
        <v>0.44</v>
      </c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>
        <v>0</v>
      </c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>
        <v>0</v>
      </c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14" t="s">
        <v>81</v>
      </c>
      <c r="DM582" s="2"/>
      <c r="DN582" s="2">
        <f t="shared" si="104"/>
        <v>0.44</v>
      </c>
      <c r="DO582" s="2">
        <f t="shared" si="105"/>
        <v>0</v>
      </c>
      <c r="DP582" s="2" t="s">
        <v>1260</v>
      </c>
      <c r="DQ582" s="2" t="s">
        <v>3</v>
      </c>
      <c r="DR582" s="2">
        <f t="shared" si="106"/>
        <v>1.6</v>
      </c>
      <c r="DS582" s="2">
        <f t="shared" si="107"/>
        <v>0.44</v>
      </c>
      <c r="DT582" s="15">
        <f t="shared" si="108"/>
        <v>7.04</v>
      </c>
      <c r="DU582" s="2"/>
      <c r="DV582" s="2">
        <f t="shared" si="109"/>
        <v>0</v>
      </c>
      <c r="DW582" s="2"/>
      <c r="DX582" s="2"/>
      <c r="DY582" s="2"/>
      <c r="DZ582" s="2" t="s">
        <v>3</v>
      </c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 t="s">
        <v>3</v>
      </c>
      <c r="FR582" s="2" t="s">
        <v>89</v>
      </c>
      <c r="FS582" s="2" t="s">
        <v>123</v>
      </c>
      <c r="FT582" s="2"/>
      <c r="FU582" s="2"/>
      <c r="FV582" s="2" t="s">
        <v>3</v>
      </c>
    </row>
    <row r="583" spans="1:178" ht="15.75" customHeight="1" x14ac:dyDescent="0.2">
      <c r="A583" s="14" t="s">
        <v>96</v>
      </c>
      <c r="B583" s="2" t="s">
        <v>124</v>
      </c>
      <c r="C583" s="16" t="s">
        <v>1264</v>
      </c>
      <c r="D583" s="2" t="s">
        <v>99</v>
      </c>
      <c r="E583" s="2"/>
      <c r="F583" s="2"/>
      <c r="G583" s="2"/>
      <c r="H583" s="2" t="s">
        <v>79</v>
      </c>
      <c r="I583" s="2"/>
      <c r="J583" s="2"/>
      <c r="K583" s="2">
        <v>0</v>
      </c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>
        <v>0</v>
      </c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>
        <v>3.5999999999999997E-2</v>
      </c>
      <c r="BB583" s="2">
        <v>0.69</v>
      </c>
      <c r="BC583" s="2"/>
      <c r="BD583" s="2"/>
      <c r="BE583" s="2"/>
      <c r="BF583" s="2"/>
      <c r="BG583" s="2"/>
      <c r="BH583" s="2"/>
      <c r="BI583" s="2">
        <v>0.94</v>
      </c>
      <c r="BJ583" s="2">
        <v>0.06</v>
      </c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>
        <v>0</v>
      </c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>
        <v>0</v>
      </c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14" t="s">
        <v>100</v>
      </c>
      <c r="DM583" s="2" t="s">
        <v>100</v>
      </c>
      <c r="DN583" s="2">
        <f t="shared" si="104"/>
        <v>0.94</v>
      </c>
      <c r="DO583" s="2">
        <f t="shared" si="105"/>
        <v>5.9999999999999991E-2</v>
      </c>
      <c r="DP583" s="2" t="s">
        <v>467</v>
      </c>
      <c r="DQ583" s="2" t="s">
        <v>3</v>
      </c>
      <c r="DR583" s="2">
        <f t="shared" si="106"/>
        <v>3.5999999999999997E-2</v>
      </c>
      <c r="DS583" s="2">
        <f t="shared" si="107"/>
        <v>0.94</v>
      </c>
      <c r="DT583" s="15">
        <f t="shared" si="108"/>
        <v>0.33839999999999998</v>
      </c>
      <c r="DU583" s="2"/>
      <c r="DV583" s="2">
        <f t="shared" si="109"/>
        <v>0</v>
      </c>
      <c r="DW583" s="2"/>
      <c r="DX583" s="2"/>
      <c r="DY583" s="2"/>
      <c r="DZ583" s="2" t="s">
        <v>3</v>
      </c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 t="s">
        <v>3</v>
      </c>
      <c r="FR583" s="2" t="s">
        <v>89</v>
      </c>
      <c r="FS583" s="2" t="s">
        <v>123</v>
      </c>
      <c r="FT583" s="2"/>
      <c r="FU583" s="2"/>
      <c r="FV583" s="2" t="s">
        <v>3</v>
      </c>
    </row>
    <row r="584" spans="1:178" ht="15.75" customHeight="1" x14ac:dyDescent="0.2">
      <c r="A584" s="12" t="s">
        <v>74</v>
      </c>
      <c r="B584" s="2" t="s">
        <v>185</v>
      </c>
      <c r="C584" s="13" t="s">
        <v>1265</v>
      </c>
      <c r="D584" s="2" t="s">
        <v>99</v>
      </c>
      <c r="E584" s="2"/>
      <c r="F584" s="2"/>
      <c r="G584" s="2"/>
      <c r="H584" s="2" t="s">
        <v>79</v>
      </c>
      <c r="I584" s="2"/>
      <c r="J584" s="2"/>
      <c r="K584" s="2">
        <v>0</v>
      </c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>
        <v>0</v>
      </c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>
        <v>3</v>
      </c>
      <c r="BB584" s="2"/>
      <c r="BC584" s="2"/>
      <c r="BD584" s="2"/>
      <c r="BE584" s="2"/>
      <c r="BF584" s="2"/>
      <c r="BG584" s="2"/>
      <c r="BH584" s="2"/>
      <c r="BI584" s="2">
        <v>1.23</v>
      </c>
      <c r="BJ584" s="2">
        <v>0.08</v>
      </c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>
        <v>0</v>
      </c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>
        <v>0</v>
      </c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14" t="s">
        <v>100</v>
      </c>
      <c r="DM584" s="2" t="s">
        <v>100</v>
      </c>
      <c r="DN584" s="2">
        <f t="shared" si="104"/>
        <v>1.23</v>
      </c>
      <c r="DO584" s="2">
        <f t="shared" si="105"/>
        <v>0.08</v>
      </c>
      <c r="DP584" s="2" t="s">
        <v>187</v>
      </c>
      <c r="DQ584" s="2" t="s">
        <v>3</v>
      </c>
      <c r="DR584" s="2">
        <f t="shared" si="106"/>
        <v>3</v>
      </c>
      <c r="DS584" s="2">
        <f t="shared" si="107"/>
        <v>1.23</v>
      </c>
      <c r="DT584" s="15">
        <f t="shared" si="108"/>
        <v>36.9</v>
      </c>
      <c r="DU584" s="2"/>
      <c r="DV584" s="2">
        <f t="shared" si="109"/>
        <v>0</v>
      </c>
      <c r="DW584" s="2"/>
      <c r="DX584" s="2"/>
      <c r="DY584" s="2"/>
      <c r="DZ584" s="2" t="s">
        <v>3</v>
      </c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 t="s">
        <v>3</v>
      </c>
      <c r="FR584" s="2" t="s">
        <v>37</v>
      </c>
      <c r="FS584" s="2" t="s">
        <v>342</v>
      </c>
      <c r="FT584" s="2" t="s">
        <v>342</v>
      </c>
      <c r="FU584" s="2"/>
      <c r="FV584" s="2" t="s">
        <v>3</v>
      </c>
    </row>
    <row r="585" spans="1:178" ht="15.75" customHeight="1" x14ac:dyDescent="0.2">
      <c r="A585" s="14" t="s">
        <v>96</v>
      </c>
      <c r="B585" s="2" t="s">
        <v>164</v>
      </c>
      <c r="C585" s="16" t="s">
        <v>1266</v>
      </c>
      <c r="D585" s="2" t="s">
        <v>99</v>
      </c>
      <c r="E585" s="2"/>
      <c r="F585" s="2"/>
      <c r="G585" s="2" t="s">
        <v>179</v>
      </c>
      <c r="H585" s="2" t="s">
        <v>367</v>
      </c>
      <c r="I585" s="2"/>
      <c r="J585" s="2" t="s">
        <v>181</v>
      </c>
      <c r="K585" s="2">
        <v>0</v>
      </c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>
        <v>0.47</v>
      </c>
      <c r="AG585" s="2"/>
      <c r="AH585" s="2"/>
      <c r="AI585" s="2"/>
      <c r="AJ585" s="2"/>
      <c r="AK585" s="2"/>
      <c r="AL585" s="2"/>
      <c r="AM585" s="2"/>
      <c r="AN585" s="2">
        <v>2.4</v>
      </c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>
        <f>5.4+1.5</f>
        <v>6.9</v>
      </c>
      <c r="BB585" s="2"/>
      <c r="BC585" s="2"/>
      <c r="BD585" s="2"/>
      <c r="BE585" s="2"/>
      <c r="BF585" s="2"/>
      <c r="BG585" s="2"/>
      <c r="BH585" s="2"/>
      <c r="BI585" s="15">
        <f>(1.7*5.4+5.8*1.5)/BA585</f>
        <v>2.5913043478260867</v>
      </c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>
        <v>0</v>
      </c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>
        <v>0</v>
      </c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14" t="s">
        <v>81</v>
      </c>
      <c r="DM585" s="2"/>
      <c r="DN585" s="2">
        <f t="shared" si="104"/>
        <v>2.5791044776119403</v>
      </c>
      <c r="DO585" s="2">
        <f t="shared" si="105"/>
        <v>0</v>
      </c>
      <c r="DP585" s="2" t="s">
        <v>211</v>
      </c>
      <c r="DQ585" s="2" t="s">
        <v>3</v>
      </c>
      <c r="DR585" s="2">
        <f t="shared" si="106"/>
        <v>7.37</v>
      </c>
      <c r="DS585" s="4">
        <f t="shared" si="107"/>
        <v>2.5791044776119403</v>
      </c>
      <c r="DT585" s="15">
        <f t="shared" si="108"/>
        <v>190.08</v>
      </c>
      <c r="DU585" s="2"/>
      <c r="DV585" s="2">
        <f t="shared" si="109"/>
        <v>0</v>
      </c>
      <c r="DW585" s="2"/>
      <c r="DX585" s="2"/>
      <c r="DY585" s="2"/>
      <c r="DZ585" s="2" t="s">
        <v>3</v>
      </c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 t="s">
        <v>3</v>
      </c>
      <c r="FR585" s="2" t="s">
        <v>89</v>
      </c>
      <c r="FS585" s="2" t="s">
        <v>137</v>
      </c>
      <c r="FT585" s="2"/>
      <c r="FU585" s="2"/>
      <c r="FV585" s="2" t="s">
        <v>3</v>
      </c>
    </row>
    <row r="586" spans="1:178" ht="15.75" customHeight="1" x14ac:dyDescent="0.2">
      <c r="A586" s="12" t="s">
        <v>74</v>
      </c>
      <c r="B586" s="2" t="s">
        <v>115</v>
      </c>
      <c r="C586" s="13" t="s">
        <v>1267</v>
      </c>
      <c r="D586" s="2" t="s">
        <v>99</v>
      </c>
      <c r="E586" s="2"/>
      <c r="F586" s="2"/>
      <c r="G586" s="2"/>
      <c r="H586" s="2" t="s">
        <v>156</v>
      </c>
      <c r="I586" s="2"/>
      <c r="J586" s="2"/>
      <c r="K586" s="2">
        <v>185.6</v>
      </c>
      <c r="L586" s="2"/>
      <c r="M586" s="2"/>
      <c r="N586" s="2"/>
      <c r="O586" s="2"/>
      <c r="P586" s="2"/>
      <c r="Q586" s="2"/>
      <c r="R586" s="2"/>
      <c r="S586" s="2">
        <v>0.96</v>
      </c>
      <c r="T586" s="2">
        <v>0.05</v>
      </c>
      <c r="U586" s="2"/>
      <c r="V586" s="2"/>
      <c r="W586" s="2"/>
      <c r="X586" s="2"/>
      <c r="Y586" s="2"/>
      <c r="Z586" s="2"/>
      <c r="AA586" s="4">
        <f>31.53*(2*55.85/(2*55.85+3*16.001))</f>
        <v>22.052816791168606</v>
      </c>
      <c r="AB586" s="2"/>
      <c r="AC586" s="2"/>
      <c r="AD586" s="2"/>
      <c r="AE586" s="2"/>
      <c r="AF586" s="2">
        <v>7.7</v>
      </c>
      <c r="AG586" s="2"/>
      <c r="AH586" s="2"/>
      <c r="AI586" s="2"/>
      <c r="AJ586" s="2"/>
      <c r="AK586" s="2"/>
      <c r="AL586" s="2"/>
      <c r="AM586" s="2"/>
      <c r="AN586" s="2">
        <v>0.88</v>
      </c>
      <c r="AO586" s="2">
        <v>0.06</v>
      </c>
      <c r="AP586" s="2"/>
      <c r="AQ586" s="2"/>
      <c r="AR586" s="2"/>
      <c r="AS586" s="2"/>
      <c r="AT586" s="2"/>
      <c r="AU586" s="2"/>
      <c r="AV586" s="4">
        <f>27.15*(2*55.85/(2*55.85+3*16.001))</f>
        <v>18.989342717419209</v>
      </c>
      <c r="AW586" s="2"/>
      <c r="AX586" s="2"/>
      <c r="AY586" s="2"/>
      <c r="AZ586" s="2"/>
      <c r="BA586" s="2">
        <v>3.8</v>
      </c>
      <c r="BB586" s="2"/>
      <c r="BC586" s="2"/>
      <c r="BD586" s="2"/>
      <c r="BE586" s="2"/>
      <c r="BF586" s="2"/>
      <c r="BG586" s="2"/>
      <c r="BH586" s="2"/>
      <c r="BI586" s="2">
        <v>0.87</v>
      </c>
      <c r="BJ586" s="2">
        <v>0.04</v>
      </c>
      <c r="BK586" s="2"/>
      <c r="BL586" s="2"/>
      <c r="BM586" s="2"/>
      <c r="BN586" s="2"/>
      <c r="BO586" s="2"/>
      <c r="BP586" s="2"/>
      <c r="BQ586" s="4">
        <f>31.53*(2*55.85/(2*55.85+3*16.001))</f>
        <v>22.052816791168606</v>
      </c>
      <c r="BR586" s="2"/>
      <c r="BS586" s="2"/>
      <c r="BT586" s="2"/>
      <c r="BU586" s="2"/>
      <c r="BV586" s="2">
        <v>0</v>
      </c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>
        <v>0</v>
      </c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14" t="s">
        <v>81</v>
      </c>
      <c r="DM586" s="2" t="s">
        <v>81</v>
      </c>
      <c r="DN586" s="2">
        <f t="shared" si="104"/>
        <v>0.9551395230847286</v>
      </c>
      <c r="DO586" s="2">
        <f t="shared" si="105"/>
        <v>5.0197869101978682E-2</v>
      </c>
      <c r="DP586" s="2" t="s">
        <v>1268</v>
      </c>
      <c r="DQ586" s="2" t="s">
        <v>3</v>
      </c>
      <c r="DR586" s="2">
        <f t="shared" si="106"/>
        <v>197.1</v>
      </c>
      <c r="DS586" s="4">
        <f t="shared" si="107"/>
        <v>0.9551395230847286</v>
      </c>
      <c r="DT586" s="18">
        <f t="shared" si="108"/>
        <v>1882.58</v>
      </c>
      <c r="DU586" s="2"/>
      <c r="DV586" s="2">
        <f t="shared" si="109"/>
        <v>0</v>
      </c>
      <c r="DW586" s="2"/>
      <c r="DX586" s="2"/>
      <c r="DY586" s="2"/>
      <c r="DZ586" s="2" t="s">
        <v>3</v>
      </c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 t="s">
        <v>3</v>
      </c>
      <c r="FR586" s="2" t="s">
        <v>37</v>
      </c>
      <c r="FS586" s="2" t="s">
        <v>151</v>
      </c>
      <c r="FT586" s="2" t="s">
        <v>1269</v>
      </c>
      <c r="FU586" s="2"/>
      <c r="FV586" s="2" t="s">
        <v>3</v>
      </c>
    </row>
    <row r="587" spans="1:178" ht="15.75" customHeight="1" x14ac:dyDescent="0.2">
      <c r="A587" s="14" t="s">
        <v>96</v>
      </c>
      <c r="B587" s="2" t="s">
        <v>124</v>
      </c>
      <c r="C587" s="21" t="s">
        <v>1270</v>
      </c>
      <c r="D587" s="2" t="s">
        <v>99</v>
      </c>
      <c r="E587" s="2"/>
      <c r="F587" s="2"/>
      <c r="G587" s="2"/>
      <c r="H587" s="2" t="s">
        <v>79</v>
      </c>
      <c r="I587" s="2"/>
      <c r="J587" s="2"/>
      <c r="K587" s="2">
        <v>0</v>
      </c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>
        <v>0</v>
      </c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>
        <v>1.8</v>
      </c>
      <c r="BB587" s="2">
        <v>0.35</v>
      </c>
      <c r="BC587" s="2"/>
      <c r="BD587" s="2"/>
      <c r="BE587" s="2"/>
      <c r="BF587" s="2"/>
      <c r="BG587" s="2"/>
      <c r="BH587" s="2"/>
      <c r="BI587" s="2">
        <v>0.02</v>
      </c>
      <c r="BJ587" s="2">
        <v>0.01</v>
      </c>
      <c r="BK587" s="2"/>
      <c r="BL587" s="2"/>
      <c r="BM587" s="2"/>
      <c r="BN587" s="2"/>
      <c r="BO587" s="2"/>
      <c r="BP587" s="2"/>
      <c r="BQ587" s="2">
        <v>12</v>
      </c>
      <c r="BR587" s="2"/>
      <c r="BS587" s="2"/>
      <c r="BT587" s="2"/>
      <c r="BU587" s="2"/>
      <c r="BV587" s="2">
        <v>0</v>
      </c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>
        <v>0</v>
      </c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14" t="s">
        <v>100</v>
      </c>
      <c r="DM587" s="2" t="s">
        <v>100</v>
      </c>
      <c r="DN587" s="2">
        <f t="shared" si="104"/>
        <v>0.02</v>
      </c>
      <c r="DO587" s="2">
        <f t="shared" si="105"/>
        <v>0.01</v>
      </c>
      <c r="DP587" s="2" t="s">
        <v>126</v>
      </c>
      <c r="DQ587" s="2" t="s">
        <v>3</v>
      </c>
      <c r="DR587" s="2">
        <f t="shared" si="106"/>
        <v>1.8</v>
      </c>
      <c r="DS587" s="2">
        <f t="shared" si="107"/>
        <v>0.02</v>
      </c>
      <c r="DT587" s="15">
        <f t="shared" si="108"/>
        <v>0.36</v>
      </c>
      <c r="DU587" s="2"/>
      <c r="DV587" s="2">
        <f t="shared" si="109"/>
        <v>0</v>
      </c>
      <c r="DW587" s="2"/>
      <c r="DX587" s="2"/>
      <c r="DY587" s="2"/>
      <c r="DZ587" s="2" t="s">
        <v>3</v>
      </c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 t="s">
        <v>3</v>
      </c>
      <c r="FR587" s="2" t="s">
        <v>183</v>
      </c>
      <c r="FS587" s="2" t="s">
        <v>567</v>
      </c>
      <c r="FT587" s="2"/>
      <c r="FU587" s="2"/>
      <c r="FV587" s="2" t="s">
        <v>3</v>
      </c>
    </row>
    <row r="588" spans="1:178" ht="15.75" customHeight="1" x14ac:dyDescent="0.2">
      <c r="A588" s="14" t="s">
        <v>96</v>
      </c>
      <c r="B588" s="2" t="s">
        <v>193</v>
      </c>
      <c r="C588" s="21" t="s">
        <v>1271</v>
      </c>
      <c r="D588" s="2" t="s">
        <v>99</v>
      </c>
      <c r="E588" s="2"/>
      <c r="F588" s="2"/>
      <c r="G588" s="2"/>
      <c r="H588" s="2" t="s">
        <v>1272</v>
      </c>
      <c r="I588" s="2"/>
      <c r="J588" s="2"/>
      <c r="K588" s="2">
        <v>0</v>
      </c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>
        <v>43</v>
      </c>
      <c r="AG588" s="19">
        <v>0.01</v>
      </c>
      <c r="AH588" s="2"/>
      <c r="AI588" s="2"/>
      <c r="AJ588" s="19">
        <f>0.019/1.179</f>
        <v>1.6115351993214587E-2</v>
      </c>
      <c r="AK588" s="2"/>
      <c r="AL588" s="2"/>
      <c r="AM588" s="2">
        <v>4.1000000000000002E-2</v>
      </c>
      <c r="AN588" s="2">
        <v>3.4000000000000002E-2</v>
      </c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18">
        <v>3019</v>
      </c>
      <c r="BB588" s="2">
        <v>1.9E-2</v>
      </c>
      <c r="BC588" s="2"/>
      <c r="BD588" s="2"/>
      <c r="BE588" s="19">
        <f>0.017/1.179</f>
        <v>1.441899915182358E-2</v>
      </c>
      <c r="BF588" s="2"/>
      <c r="BG588" s="2"/>
      <c r="BH588" s="2">
        <v>4.2000000000000003E-2</v>
      </c>
      <c r="BI588" s="2">
        <v>3.4000000000000002E-2</v>
      </c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>
        <v>0</v>
      </c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>
        <v>0</v>
      </c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14" t="s">
        <v>81</v>
      </c>
      <c r="DM588" s="2"/>
      <c r="DN588" s="2">
        <f t="shared" si="104"/>
        <v>3.4000000000000002E-2</v>
      </c>
      <c r="DO588" s="2">
        <f t="shared" si="105"/>
        <v>0</v>
      </c>
      <c r="DP588" s="2" t="s">
        <v>1273</v>
      </c>
      <c r="DQ588" s="2" t="s">
        <v>3</v>
      </c>
      <c r="DR588" s="18">
        <f t="shared" si="106"/>
        <v>3062</v>
      </c>
      <c r="DS588" s="2">
        <f t="shared" si="107"/>
        <v>3.4000000000000002E-2</v>
      </c>
      <c r="DT588" s="18">
        <f t="shared" si="108"/>
        <v>1041.0800000000002</v>
      </c>
      <c r="DU588" s="2"/>
      <c r="DV588" s="2">
        <f t="shared" si="109"/>
        <v>0</v>
      </c>
      <c r="DW588" s="2"/>
      <c r="DX588" s="2"/>
      <c r="DY588" s="2"/>
      <c r="DZ588" s="2" t="s">
        <v>3</v>
      </c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 t="s">
        <v>3</v>
      </c>
      <c r="FR588" s="2" t="s">
        <v>183</v>
      </c>
      <c r="FS588" s="2" t="s">
        <v>288</v>
      </c>
      <c r="FT588" s="2" t="s">
        <v>289</v>
      </c>
      <c r="FU588" s="2" t="s">
        <v>290</v>
      </c>
      <c r="FV588" s="2" t="s">
        <v>3</v>
      </c>
    </row>
    <row r="589" spans="1:178" ht="15.75" customHeight="1" x14ac:dyDescent="0.2">
      <c r="A589" s="14" t="s">
        <v>96</v>
      </c>
      <c r="B589" s="2" t="s">
        <v>193</v>
      </c>
      <c r="C589" s="16" t="s">
        <v>1274</v>
      </c>
      <c r="D589" s="2" t="s">
        <v>99</v>
      </c>
      <c r="E589" s="2"/>
      <c r="F589" s="2"/>
      <c r="G589" s="2"/>
      <c r="H589" s="2" t="s">
        <v>1062</v>
      </c>
      <c r="I589" s="2"/>
      <c r="J589" s="2"/>
      <c r="K589" s="2">
        <v>28.3</v>
      </c>
      <c r="L589" s="2"/>
      <c r="M589" s="2"/>
      <c r="N589" s="2"/>
      <c r="O589" s="2"/>
      <c r="P589" s="2"/>
      <c r="Q589" s="2"/>
      <c r="R589" s="2"/>
      <c r="S589" s="2">
        <v>0.188</v>
      </c>
      <c r="T589" s="2">
        <v>6.0000000000000001E-3</v>
      </c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>
        <v>23.3</v>
      </c>
      <c r="AG589" s="2"/>
      <c r="AH589" s="2"/>
      <c r="AI589" s="2"/>
      <c r="AJ589" s="2"/>
      <c r="AK589" s="2"/>
      <c r="AL589" s="2"/>
      <c r="AM589" s="2">
        <v>0.183</v>
      </c>
      <c r="AN589" s="2">
        <v>6.0000000000000001E-3</v>
      </c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>
        <v>6.8</v>
      </c>
      <c r="BB589" s="2"/>
      <c r="BC589" s="2"/>
      <c r="BD589" s="2"/>
      <c r="BE589" s="2"/>
      <c r="BF589" s="2"/>
      <c r="BG589" s="2"/>
      <c r="BH589" s="2"/>
      <c r="BI589" s="2">
        <v>0.183</v>
      </c>
      <c r="BJ589" s="2">
        <v>7.0000000000000001E-3</v>
      </c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>
        <v>0</v>
      </c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>
        <v>0</v>
      </c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14" t="s">
        <v>81</v>
      </c>
      <c r="DM589" s="2" t="s">
        <v>81</v>
      </c>
      <c r="DN589" s="2">
        <f t="shared" si="104"/>
        <v>0.11480479452054795</v>
      </c>
      <c r="DO589" s="2">
        <f t="shared" si="105"/>
        <v>3.7226027397260276E-3</v>
      </c>
      <c r="DP589" s="2" t="s">
        <v>808</v>
      </c>
      <c r="DQ589" s="2" t="s">
        <v>3</v>
      </c>
      <c r="DR589" s="2">
        <f t="shared" si="106"/>
        <v>58.4</v>
      </c>
      <c r="DS589" s="4">
        <f t="shared" si="107"/>
        <v>0.11480479452054795</v>
      </c>
      <c r="DT589" s="15">
        <f t="shared" si="108"/>
        <v>67.046000000000006</v>
      </c>
      <c r="DU589" s="2"/>
      <c r="DV589" s="2">
        <f t="shared" si="109"/>
        <v>0</v>
      </c>
      <c r="DW589" s="2"/>
      <c r="DX589" s="2"/>
      <c r="DY589" s="2"/>
      <c r="DZ589" s="2" t="s">
        <v>3</v>
      </c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 t="s">
        <v>3</v>
      </c>
      <c r="FR589" s="2" t="s">
        <v>89</v>
      </c>
      <c r="FS589" s="2" t="s">
        <v>123</v>
      </c>
      <c r="FT589" s="2"/>
      <c r="FU589" s="2"/>
      <c r="FV589" s="2" t="s">
        <v>3</v>
      </c>
    </row>
    <row r="590" spans="1:178" ht="15.75" customHeight="1" x14ac:dyDescent="0.2">
      <c r="A590" s="14" t="s">
        <v>96</v>
      </c>
      <c r="B590" s="2" t="s">
        <v>133</v>
      </c>
      <c r="C590" s="16" t="s">
        <v>1275</v>
      </c>
      <c r="D590" s="2" t="s">
        <v>109</v>
      </c>
      <c r="E590" s="2"/>
      <c r="F590" s="2"/>
      <c r="G590" s="2"/>
      <c r="H590" s="2" t="s">
        <v>200</v>
      </c>
      <c r="I590" s="2"/>
      <c r="J590" s="2"/>
      <c r="K590" s="2">
        <v>15.5</v>
      </c>
      <c r="L590" s="4">
        <v>1</v>
      </c>
      <c r="M590" s="2"/>
      <c r="N590" s="2"/>
      <c r="O590" s="2"/>
      <c r="P590" s="2"/>
      <c r="Q590" s="2"/>
      <c r="R590" s="2"/>
      <c r="S590" s="2">
        <v>2.2400000000000002</v>
      </c>
      <c r="T590" s="2">
        <v>0.13</v>
      </c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>
        <v>15.5</v>
      </c>
      <c r="AG590" s="2">
        <v>0.88</v>
      </c>
      <c r="AH590" s="2"/>
      <c r="AI590" s="2"/>
      <c r="AJ590" s="2"/>
      <c r="AK590" s="2"/>
      <c r="AL590" s="2"/>
      <c r="AM590" s="2"/>
      <c r="AN590" s="4">
        <v>2</v>
      </c>
      <c r="AO590" s="2">
        <v>0.12</v>
      </c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>
        <v>0</v>
      </c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>
        <v>15.5</v>
      </c>
      <c r="BW590" s="4">
        <v>1</v>
      </c>
      <c r="BX590" s="2"/>
      <c r="BY590" s="2"/>
      <c r="BZ590" s="2"/>
      <c r="CA590" s="2"/>
      <c r="CB590" s="2"/>
      <c r="CC590" s="2"/>
      <c r="CD590" s="2">
        <v>2.2400000000000002</v>
      </c>
      <c r="CE590" s="2">
        <v>0.13</v>
      </c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>
        <v>15.5</v>
      </c>
      <c r="CR590" s="2">
        <v>0.88</v>
      </c>
      <c r="CS590" s="2"/>
      <c r="CT590" s="2"/>
      <c r="CU590" s="2"/>
      <c r="CV590" s="2"/>
      <c r="CW590" s="2"/>
      <c r="CX590" s="2"/>
      <c r="CY590" s="4">
        <v>2</v>
      </c>
      <c r="CZ590" s="2">
        <v>0.12</v>
      </c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14" t="s">
        <v>81</v>
      </c>
      <c r="DM590" s="2" t="s">
        <v>81</v>
      </c>
      <c r="DN590" s="2">
        <f t="shared" si="104"/>
        <v>2.12</v>
      </c>
      <c r="DO590" s="2">
        <f t="shared" si="105"/>
        <v>0.125</v>
      </c>
      <c r="DP590" s="2" t="s">
        <v>965</v>
      </c>
      <c r="DQ590" s="2" t="s">
        <v>3</v>
      </c>
      <c r="DR590" s="2">
        <f t="shared" si="106"/>
        <v>31</v>
      </c>
      <c r="DS590" s="2">
        <f t="shared" si="107"/>
        <v>2.12</v>
      </c>
      <c r="DT590" s="15">
        <f t="shared" si="108"/>
        <v>657.2</v>
      </c>
      <c r="DU590" s="2"/>
      <c r="DV590" s="2">
        <f t="shared" si="109"/>
        <v>31</v>
      </c>
      <c r="DW590" s="4">
        <f>(BV590*CD590+CQ590*CY590)/DV590</f>
        <v>2.12</v>
      </c>
      <c r="DX590" s="15">
        <f>1000*DV590*DW590/100</f>
        <v>657.2</v>
      </c>
      <c r="DY590" s="2"/>
      <c r="DZ590" s="2" t="s">
        <v>3</v>
      </c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 t="s">
        <v>3</v>
      </c>
      <c r="FR590" s="2" t="s">
        <v>89</v>
      </c>
      <c r="FS590" s="2" t="s">
        <v>123</v>
      </c>
      <c r="FT590" s="2" t="s">
        <v>123</v>
      </c>
      <c r="FU590" s="2"/>
      <c r="FV590" s="2" t="s">
        <v>3</v>
      </c>
    </row>
    <row r="591" spans="1:178" ht="15.75" customHeight="1" x14ac:dyDescent="0.2">
      <c r="A591" s="14" t="s">
        <v>127</v>
      </c>
      <c r="B591" s="2" t="s">
        <v>85</v>
      </c>
      <c r="C591" s="16" t="s">
        <v>1276</v>
      </c>
      <c r="D591" s="2" t="s">
        <v>99</v>
      </c>
      <c r="E591" s="2"/>
      <c r="F591" s="2"/>
      <c r="G591" s="2"/>
      <c r="H591" s="2" t="s">
        <v>171</v>
      </c>
      <c r="I591" s="2"/>
      <c r="J591" s="2"/>
      <c r="K591" s="2">
        <v>28.47</v>
      </c>
      <c r="L591" s="4">
        <v>0.10798927886436387</v>
      </c>
      <c r="M591" s="4">
        <v>8.7932501999999996E-2</v>
      </c>
      <c r="N591" s="2"/>
      <c r="O591" s="2"/>
      <c r="P591" s="2"/>
      <c r="Q591" s="2"/>
      <c r="R591" s="2"/>
      <c r="S591" s="4">
        <v>0.20463110206781226</v>
      </c>
      <c r="T591" s="2"/>
      <c r="U591" s="4">
        <v>0.52758392399999998</v>
      </c>
      <c r="V591" s="4">
        <v>0.64448369999999999</v>
      </c>
      <c r="W591" s="2"/>
      <c r="X591" s="2"/>
      <c r="Y591" s="2"/>
      <c r="Z591" s="2"/>
      <c r="AA591" s="2"/>
      <c r="AB591" s="2"/>
      <c r="AC591" s="2"/>
      <c r="AD591" s="2"/>
      <c r="AE591" s="2"/>
      <c r="AF591" s="2">
        <v>16.63</v>
      </c>
      <c r="AG591" s="4">
        <v>0.10798927886436387</v>
      </c>
      <c r="AH591" s="4">
        <v>8.0953731999999987E-2</v>
      </c>
      <c r="AI591" s="2"/>
      <c r="AJ591" s="2"/>
      <c r="AK591" s="2"/>
      <c r="AL591" s="2"/>
      <c r="AM591" s="2"/>
      <c r="AN591" s="4">
        <v>0.20463110206781226</v>
      </c>
      <c r="AO591" s="2"/>
      <c r="AP591" s="4">
        <v>0.48571218399999999</v>
      </c>
      <c r="AQ591" s="4">
        <v>0.59333420000000003</v>
      </c>
      <c r="AR591" s="2"/>
      <c r="AS591" s="2"/>
      <c r="AT591" s="2"/>
      <c r="AU591" s="2"/>
      <c r="AV591" s="2"/>
      <c r="AW591" s="2"/>
      <c r="AX591" s="2"/>
      <c r="AY591" s="2"/>
      <c r="AZ591" s="2"/>
      <c r="BA591" s="2">
        <v>0.76</v>
      </c>
      <c r="BB591" s="4">
        <v>0.10798927886436387</v>
      </c>
      <c r="BC591" s="4">
        <v>6.6298314999999997E-2</v>
      </c>
      <c r="BD591" s="2"/>
      <c r="BE591" s="2"/>
      <c r="BF591" s="2"/>
      <c r="BG591" s="2"/>
      <c r="BH591" s="2"/>
      <c r="BI591" s="4">
        <v>0.20463110206781226</v>
      </c>
      <c r="BJ591" s="2"/>
      <c r="BK591" s="4">
        <v>0.39778152999999999</v>
      </c>
      <c r="BL591" s="4">
        <v>0.48592025</v>
      </c>
      <c r="BM591" s="2"/>
      <c r="BN591" s="2"/>
      <c r="BO591" s="2"/>
      <c r="BP591" s="2"/>
      <c r="BQ591" s="2"/>
      <c r="BR591" s="2"/>
      <c r="BS591" s="2"/>
      <c r="BT591" s="2"/>
      <c r="BU591" s="2"/>
      <c r="BV591" s="2">
        <v>0</v>
      </c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>
        <v>0</v>
      </c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14" t="s">
        <v>81</v>
      </c>
      <c r="DM591" s="2"/>
      <c r="DN591" s="2">
        <f t="shared" si="104"/>
        <v>0.20463110206781229</v>
      </c>
      <c r="DO591" s="2">
        <f t="shared" si="105"/>
        <v>0</v>
      </c>
      <c r="DP591" s="2" t="s">
        <v>1277</v>
      </c>
      <c r="DQ591" s="2" t="s">
        <v>3</v>
      </c>
      <c r="DR591" s="2">
        <f t="shared" si="106"/>
        <v>45.859999999999992</v>
      </c>
      <c r="DS591" s="4">
        <f t="shared" si="107"/>
        <v>0.20463110206781229</v>
      </c>
      <c r="DT591" s="15">
        <f t="shared" si="108"/>
        <v>93.843823408298704</v>
      </c>
      <c r="DU591" s="2"/>
      <c r="DV591" s="2">
        <f t="shared" si="109"/>
        <v>0</v>
      </c>
      <c r="DW591" s="2"/>
      <c r="DX591" s="2"/>
      <c r="DY591" s="2"/>
      <c r="DZ591" s="2" t="s">
        <v>3</v>
      </c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 t="s">
        <v>3</v>
      </c>
      <c r="FR591" s="2" t="s">
        <v>89</v>
      </c>
      <c r="FS591" s="2" t="s">
        <v>90</v>
      </c>
      <c r="FT591" s="2" t="s">
        <v>162</v>
      </c>
      <c r="FU591" s="2" t="s">
        <v>130</v>
      </c>
      <c r="FV591" s="2" t="s">
        <v>3</v>
      </c>
    </row>
    <row r="592" spans="1:178" ht="15.75" customHeight="1" x14ac:dyDescent="0.2">
      <c r="A592" s="14" t="s">
        <v>96</v>
      </c>
      <c r="B592" s="2" t="s">
        <v>97</v>
      </c>
      <c r="C592" s="16" t="s">
        <v>1278</v>
      </c>
      <c r="D592" s="2" t="s">
        <v>99</v>
      </c>
      <c r="E592" s="2"/>
      <c r="F592" s="2"/>
      <c r="G592" s="2"/>
      <c r="H592" s="2" t="s">
        <v>79</v>
      </c>
      <c r="I592" s="2"/>
      <c r="J592" s="2"/>
      <c r="K592" s="2">
        <v>0</v>
      </c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>
        <v>0</v>
      </c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>
        <v>1.754</v>
      </c>
      <c r="BB592" s="2"/>
      <c r="BC592" s="2"/>
      <c r="BD592" s="2"/>
      <c r="BE592" s="2"/>
      <c r="BF592" s="2"/>
      <c r="BG592" s="2"/>
      <c r="BH592" s="2"/>
      <c r="BI592" s="2">
        <v>0.56999999999999995</v>
      </c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>
        <v>0</v>
      </c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>
        <v>0</v>
      </c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14" t="s">
        <v>100</v>
      </c>
      <c r="DM592" s="2"/>
      <c r="DN592" s="2">
        <f t="shared" si="104"/>
        <v>0.56999999999999995</v>
      </c>
      <c r="DO592" s="2">
        <f t="shared" si="105"/>
        <v>0</v>
      </c>
      <c r="DP592" s="2" t="s">
        <v>132</v>
      </c>
      <c r="DQ592" s="2" t="s">
        <v>3</v>
      </c>
      <c r="DR592" s="2">
        <f t="shared" si="106"/>
        <v>1.754</v>
      </c>
      <c r="DS592" s="2">
        <f t="shared" si="107"/>
        <v>0.56999999999999995</v>
      </c>
      <c r="DT592" s="15">
        <f t="shared" si="108"/>
        <v>9.997799999999998</v>
      </c>
      <c r="DU592" s="2"/>
      <c r="DV592" s="2">
        <f t="shared" si="109"/>
        <v>0</v>
      </c>
      <c r="DW592" s="2"/>
      <c r="DX592" s="2"/>
      <c r="DY592" s="2"/>
      <c r="DZ592" s="2" t="s">
        <v>3</v>
      </c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 t="s">
        <v>3</v>
      </c>
      <c r="FR592" s="2" t="s">
        <v>89</v>
      </c>
      <c r="FS592" s="2" t="s">
        <v>123</v>
      </c>
      <c r="FT592" s="2"/>
      <c r="FU592" s="2"/>
      <c r="FV592" s="2" t="s">
        <v>3</v>
      </c>
    </row>
    <row r="593" spans="1:178" ht="15.75" customHeight="1" x14ac:dyDescent="0.2">
      <c r="A593" s="12" t="s">
        <v>74</v>
      </c>
      <c r="B593" s="2" t="s">
        <v>182</v>
      </c>
      <c r="C593" s="13" t="s">
        <v>1279</v>
      </c>
      <c r="D593" s="2" t="s">
        <v>99</v>
      </c>
      <c r="E593" s="2"/>
      <c r="F593" s="2"/>
      <c r="G593" s="2"/>
      <c r="H593" s="2" t="s">
        <v>79</v>
      </c>
      <c r="I593" s="2"/>
      <c r="J593" s="2"/>
      <c r="K593" s="2">
        <v>0</v>
      </c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>
        <v>0</v>
      </c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>
        <v>38</v>
      </c>
      <c r="BB593" s="2"/>
      <c r="BC593" s="2"/>
      <c r="BD593" s="2"/>
      <c r="BE593" s="2"/>
      <c r="BF593" s="2"/>
      <c r="BG593" s="2"/>
      <c r="BH593" s="2"/>
      <c r="BI593" s="2">
        <v>1.38</v>
      </c>
      <c r="BJ593" s="2">
        <v>0.04</v>
      </c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>
        <v>0</v>
      </c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>
        <v>0</v>
      </c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14" t="s">
        <v>81</v>
      </c>
      <c r="DM593" s="2" t="s">
        <v>81</v>
      </c>
      <c r="DN593" s="2">
        <f t="shared" si="104"/>
        <v>1.38</v>
      </c>
      <c r="DO593" s="2">
        <f t="shared" si="105"/>
        <v>0.04</v>
      </c>
      <c r="DP593" s="2" t="s">
        <v>622</v>
      </c>
      <c r="DQ593" s="2" t="s">
        <v>3</v>
      </c>
      <c r="DR593" s="2">
        <f t="shared" si="106"/>
        <v>38</v>
      </c>
      <c r="DS593" s="2">
        <f t="shared" si="107"/>
        <v>1.38</v>
      </c>
      <c r="DT593" s="15">
        <f t="shared" si="108"/>
        <v>524.4</v>
      </c>
      <c r="DU593" s="2"/>
      <c r="DV593" s="2">
        <f t="shared" si="109"/>
        <v>0</v>
      </c>
      <c r="DW593" s="2"/>
      <c r="DX593" s="2"/>
      <c r="DY593" s="2"/>
      <c r="DZ593" s="2" t="s">
        <v>3</v>
      </c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 t="s">
        <v>3</v>
      </c>
      <c r="FR593" s="2" t="s">
        <v>37</v>
      </c>
      <c r="FS593" s="2" t="s">
        <v>106</v>
      </c>
      <c r="FT593" s="2" t="s">
        <v>106</v>
      </c>
      <c r="FU593" s="2"/>
      <c r="FV593" s="2" t="s">
        <v>3</v>
      </c>
    </row>
    <row r="594" spans="1:178" ht="15.75" customHeight="1" x14ac:dyDescent="0.2">
      <c r="A594" s="14" t="s">
        <v>74</v>
      </c>
      <c r="B594" s="2" t="s">
        <v>164</v>
      </c>
      <c r="C594" s="13" t="s">
        <v>1280</v>
      </c>
      <c r="D594" s="2" t="s">
        <v>99</v>
      </c>
      <c r="E594" s="2"/>
      <c r="F594" s="2"/>
      <c r="G594" s="2" t="s">
        <v>78</v>
      </c>
      <c r="H594" s="2" t="s">
        <v>215</v>
      </c>
      <c r="I594" s="2"/>
      <c r="J594" s="2" t="s">
        <v>242</v>
      </c>
      <c r="K594" s="2">
        <v>0</v>
      </c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>
        <v>0</v>
      </c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>
        <v>3.9169999999999998</v>
      </c>
      <c r="BB594" s="2"/>
      <c r="BC594" s="2"/>
      <c r="BD594" s="2"/>
      <c r="BE594" s="2"/>
      <c r="BF594" s="2"/>
      <c r="BG594" s="2"/>
      <c r="BH594" s="2"/>
      <c r="BI594" s="2">
        <v>1.04</v>
      </c>
      <c r="BJ594" s="2">
        <v>0.04</v>
      </c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>
        <v>0</v>
      </c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>
        <v>0</v>
      </c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14" t="s">
        <v>81</v>
      </c>
      <c r="DM594" s="2" t="s">
        <v>81</v>
      </c>
      <c r="DN594" s="2">
        <f t="shared" si="104"/>
        <v>1.04</v>
      </c>
      <c r="DO594" s="2">
        <f t="shared" si="105"/>
        <v>0.04</v>
      </c>
      <c r="DP594" s="2" t="s">
        <v>175</v>
      </c>
      <c r="DQ594" s="2" t="s">
        <v>3</v>
      </c>
      <c r="DR594" s="2">
        <f t="shared" si="106"/>
        <v>3.9169999999999998</v>
      </c>
      <c r="DS594" s="2">
        <f t="shared" si="107"/>
        <v>1.04</v>
      </c>
      <c r="DT594" s="15">
        <f t="shared" si="108"/>
        <v>40.736800000000002</v>
      </c>
      <c r="DU594" s="2"/>
      <c r="DV594" s="2">
        <f t="shared" si="109"/>
        <v>0</v>
      </c>
      <c r="DW594" s="2"/>
      <c r="DX594" s="2"/>
      <c r="DY594" s="2"/>
      <c r="DZ594" s="2" t="s">
        <v>3</v>
      </c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 t="s">
        <v>3</v>
      </c>
      <c r="FR594" s="2" t="s">
        <v>37</v>
      </c>
      <c r="FS594" s="2" t="s">
        <v>373</v>
      </c>
      <c r="FT594" s="2" t="s">
        <v>373</v>
      </c>
      <c r="FU594" s="2"/>
      <c r="FV594" s="2" t="s">
        <v>3</v>
      </c>
    </row>
    <row r="595" spans="1:178" ht="15.75" customHeight="1" x14ac:dyDescent="0.2">
      <c r="A595" s="14" t="s">
        <v>74</v>
      </c>
      <c r="B595" s="2" t="s">
        <v>164</v>
      </c>
      <c r="C595" s="13" t="s">
        <v>1281</v>
      </c>
      <c r="D595" s="2" t="s">
        <v>99</v>
      </c>
      <c r="E595" s="2"/>
      <c r="F595" s="2"/>
      <c r="G595" s="2" t="s">
        <v>78</v>
      </c>
      <c r="H595" s="2" t="s">
        <v>1028</v>
      </c>
      <c r="I595" s="2"/>
      <c r="J595" s="2" t="s">
        <v>242</v>
      </c>
      <c r="K595" s="2">
        <v>0</v>
      </c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>
        <v>0</v>
      </c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>
        <v>2.5299999999999998</v>
      </c>
      <c r="BB595" s="2"/>
      <c r="BC595" s="2"/>
      <c r="BD595" s="2"/>
      <c r="BE595" s="2"/>
      <c r="BF595" s="2"/>
      <c r="BG595" s="2"/>
      <c r="BH595" s="2"/>
      <c r="BI595" s="2">
        <v>0.7</v>
      </c>
      <c r="BJ595" s="2">
        <v>0.05</v>
      </c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>
        <v>0</v>
      </c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>
        <v>0</v>
      </c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14" t="s">
        <v>81</v>
      </c>
      <c r="DM595" s="2" t="s">
        <v>81</v>
      </c>
      <c r="DN595" s="2">
        <f t="shared" si="104"/>
        <v>0.7</v>
      </c>
      <c r="DO595" s="2">
        <f t="shared" si="105"/>
        <v>0.05</v>
      </c>
      <c r="DP595" s="2" t="s">
        <v>175</v>
      </c>
      <c r="DQ595" s="2" t="s">
        <v>3</v>
      </c>
      <c r="DR595" s="2">
        <f t="shared" si="106"/>
        <v>2.5299999999999998</v>
      </c>
      <c r="DS595" s="2">
        <f t="shared" si="107"/>
        <v>0.7</v>
      </c>
      <c r="DT595" s="15">
        <f t="shared" si="108"/>
        <v>17.71</v>
      </c>
      <c r="DU595" s="2"/>
      <c r="DV595" s="2">
        <f t="shared" si="109"/>
        <v>0</v>
      </c>
      <c r="DW595" s="2"/>
      <c r="DX595" s="2"/>
      <c r="DY595" s="2"/>
      <c r="DZ595" s="2" t="s">
        <v>3</v>
      </c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 t="s">
        <v>3</v>
      </c>
      <c r="FR595" s="2" t="s">
        <v>37</v>
      </c>
      <c r="FS595" s="2" t="s">
        <v>373</v>
      </c>
      <c r="FT595" s="2" t="s">
        <v>373</v>
      </c>
      <c r="FU595" s="2"/>
      <c r="FV595" s="2" t="s">
        <v>3</v>
      </c>
    </row>
    <row r="596" spans="1:178" ht="15.75" customHeight="1" x14ac:dyDescent="0.2">
      <c r="A596" s="14" t="s">
        <v>127</v>
      </c>
      <c r="B596" s="2" t="s">
        <v>85</v>
      </c>
      <c r="C596" s="16" t="s">
        <v>1282</v>
      </c>
      <c r="D596" s="2" t="s">
        <v>99</v>
      </c>
      <c r="E596" s="2"/>
      <c r="F596" s="2"/>
      <c r="G596" s="2"/>
      <c r="H596" s="2" t="s">
        <v>1283</v>
      </c>
      <c r="I596" s="2"/>
      <c r="J596" s="2"/>
      <c r="K596" s="2">
        <v>0</v>
      </c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>
        <v>0</v>
      </c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15">
        <v>313.10666666666668</v>
      </c>
      <c r="BB596" s="4">
        <v>0.1</v>
      </c>
      <c r="BC596" s="4">
        <v>7.7700000000000019E-2</v>
      </c>
      <c r="BD596" s="2"/>
      <c r="BE596" s="2"/>
      <c r="BF596" s="2"/>
      <c r="BG596" s="2"/>
      <c r="BH596" s="2"/>
      <c r="BI596" s="2">
        <v>0.13</v>
      </c>
      <c r="BJ596" s="2"/>
      <c r="BK596" s="4">
        <v>0.25530000000000003</v>
      </c>
      <c r="BL596" s="4">
        <v>0.77700000000000002</v>
      </c>
      <c r="BM596" s="2"/>
      <c r="BN596" s="2"/>
      <c r="BO596" s="2"/>
      <c r="BP596" s="2"/>
      <c r="BQ596" s="2"/>
      <c r="BR596" s="2"/>
      <c r="BS596" s="2"/>
      <c r="BT596" s="2"/>
      <c r="BU596" s="2"/>
      <c r="BV596" s="2">
        <v>0</v>
      </c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>
        <v>0</v>
      </c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14" t="s">
        <v>81</v>
      </c>
      <c r="DM596" s="2"/>
      <c r="DN596" s="2">
        <f t="shared" si="104"/>
        <v>0.13</v>
      </c>
      <c r="DO596" s="2">
        <f t="shared" si="105"/>
        <v>0</v>
      </c>
      <c r="DP596" s="2" t="s">
        <v>302</v>
      </c>
      <c r="DQ596" s="2" t="s">
        <v>3</v>
      </c>
      <c r="DR596" s="15">
        <f t="shared" si="106"/>
        <v>313.10666666666668</v>
      </c>
      <c r="DS596" s="4">
        <f t="shared" si="107"/>
        <v>0.13</v>
      </c>
      <c r="DT596" s="15">
        <f t="shared" si="108"/>
        <v>407.0386666666667</v>
      </c>
      <c r="DU596" s="2"/>
      <c r="DV596" s="2">
        <f t="shared" si="109"/>
        <v>0</v>
      </c>
      <c r="DW596" s="2"/>
      <c r="DX596" s="2"/>
      <c r="DY596" s="2"/>
      <c r="DZ596" s="2" t="s">
        <v>3</v>
      </c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 t="s">
        <v>3</v>
      </c>
      <c r="FR596" s="2" t="s">
        <v>89</v>
      </c>
      <c r="FS596" s="2" t="s">
        <v>90</v>
      </c>
      <c r="FT596" s="2" t="s">
        <v>91</v>
      </c>
      <c r="FU596" s="2" t="s">
        <v>130</v>
      </c>
      <c r="FV596" s="2" t="s">
        <v>3</v>
      </c>
    </row>
    <row r="597" spans="1:178" ht="15.75" customHeight="1" x14ac:dyDescent="0.2">
      <c r="A597" s="14" t="s">
        <v>127</v>
      </c>
      <c r="B597" s="2" t="s">
        <v>85</v>
      </c>
      <c r="C597" s="16" t="s">
        <v>1284</v>
      </c>
      <c r="D597" s="2" t="s">
        <v>99</v>
      </c>
      <c r="E597" s="2"/>
      <c r="F597" s="2"/>
      <c r="G597" s="2"/>
      <c r="H597" s="2" t="s">
        <v>1285</v>
      </c>
      <c r="I597" s="2"/>
      <c r="J597" s="2"/>
      <c r="K597" s="4">
        <v>78.773368000000005</v>
      </c>
      <c r="L597" s="2">
        <v>8.3000000000000004E-2</v>
      </c>
      <c r="M597" s="2">
        <v>0.18</v>
      </c>
      <c r="N597" s="2"/>
      <c r="O597" s="2"/>
      <c r="P597" s="2"/>
      <c r="Q597" s="2"/>
      <c r="R597" s="2"/>
      <c r="S597" s="2">
        <v>0.186</v>
      </c>
      <c r="T597" s="2"/>
      <c r="U597" s="2">
        <v>0.83</v>
      </c>
      <c r="V597" s="4">
        <v>2</v>
      </c>
      <c r="W597" s="2">
        <v>0.05</v>
      </c>
      <c r="X597" s="2"/>
      <c r="Y597" s="2"/>
      <c r="Z597" s="2"/>
      <c r="AA597" s="2"/>
      <c r="AB597" s="2"/>
      <c r="AC597" s="2"/>
      <c r="AD597" s="2"/>
      <c r="AE597" s="2"/>
      <c r="AF597" s="4">
        <v>296.26998500000002</v>
      </c>
      <c r="AG597" s="2">
        <v>8.2000000000000003E-2</v>
      </c>
      <c r="AH597" s="2">
        <v>0.19</v>
      </c>
      <c r="AI597" s="2"/>
      <c r="AJ597" s="2"/>
      <c r="AK597" s="2"/>
      <c r="AL597" s="2"/>
      <c r="AM597" s="2"/>
      <c r="AN597" s="2">
        <v>0.17399999999999999</v>
      </c>
      <c r="AO597" s="2"/>
      <c r="AP597" s="2">
        <v>0.83</v>
      </c>
      <c r="AQ597" s="2">
        <v>1.86</v>
      </c>
      <c r="AR597" s="2">
        <v>0.04</v>
      </c>
      <c r="AS597" s="2"/>
      <c r="AT597" s="2"/>
      <c r="AU597" s="2"/>
      <c r="AV597" s="2"/>
      <c r="AW597" s="2"/>
      <c r="AX597" s="2"/>
      <c r="AY597" s="2"/>
      <c r="AZ597" s="2"/>
      <c r="BA597" s="4">
        <v>146.564922</v>
      </c>
      <c r="BB597" s="2">
        <v>7.9000000000000001E-2</v>
      </c>
      <c r="BC597" s="2">
        <v>0.21</v>
      </c>
      <c r="BD597" s="2"/>
      <c r="BE597" s="2"/>
      <c r="BF597" s="2"/>
      <c r="BG597" s="2"/>
      <c r="BH597" s="2"/>
      <c r="BI597" s="2">
        <v>0.14599999999999999</v>
      </c>
      <c r="BJ597" s="2"/>
      <c r="BK597" s="2">
        <v>0.78</v>
      </c>
      <c r="BL597" s="2">
        <v>1.66</v>
      </c>
      <c r="BM597" s="2">
        <v>0.04</v>
      </c>
      <c r="BN597" s="2"/>
      <c r="BO597" s="2"/>
      <c r="BP597" s="2"/>
      <c r="BQ597" s="2"/>
      <c r="BR597" s="2"/>
      <c r="BS597" s="2"/>
      <c r="BT597" s="2"/>
      <c r="BU597" s="2"/>
      <c r="BV597" s="2">
        <v>0</v>
      </c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>
        <v>0</v>
      </c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14" t="s">
        <v>81</v>
      </c>
      <c r="DM597" s="2"/>
      <c r="DN597" s="2">
        <f t="shared" si="104"/>
        <v>0.16794461792232876</v>
      </c>
      <c r="DO597" s="2">
        <f t="shared" si="105"/>
        <v>0</v>
      </c>
      <c r="DP597" s="2" t="s">
        <v>1286</v>
      </c>
      <c r="DQ597" s="2" t="s">
        <v>3</v>
      </c>
      <c r="DR597" s="15">
        <f t="shared" si="106"/>
        <v>521.60827500000005</v>
      </c>
      <c r="DS597" s="4">
        <f t="shared" si="107"/>
        <v>0.16794461792232876</v>
      </c>
      <c r="DT597" s="15">
        <f t="shared" si="108"/>
        <v>876.01302449999991</v>
      </c>
      <c r="DU597" s="2"/>
      <c r="DV597" s="2">
        <f t="shared" si="109"/>
        <v>0</v>
      </c>
      <c r="DW597" s="2"/>
      <c r="DX597" s="2"/>
      <c r="DY597" s="2"/>
      <c r="DZ597" s="2" t="s">
        <v>3</v>
      </c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 t="s">
        <v>3</v>
      </c>
      <c r="FR597" s="2" t="s">
        <v>89</v>
      </c>
      <c r="FS597" s="2" t="s">
        <v>90</v>
      </c>
      <c r="FT597" s="2" t="s">
        <v>162</v>
      </c>
      <c r="FU597" s="2" t="s">
        <v>130</v>
      </c>
      <c r="FV597" s="2" t="s">
        <v>3</v>
      </c>
    </row>
    <row r="598" spans="1:178" ht="15.75" customHeight="1" x14ac:dyDescent="0.2">
      <c r="A598" s="14" t="s">
        <v>96</v>
      </c>
      <c r="B598" s="2" t="s">
        <v>133</v>
      </c>
      <c r="C598" s="21" t="s">
        <v>1287</v>
      </c>
      <c r="D598" s="2" t="s">
        <v>99</v>
      </c>
      <c r="E598" s="2"/>
      <c r="F598" s="2"/>
      <c r="G598" s="2"/>
      <c r="H598" s="2" t="s">
        <v>1288</v>
      </c>
      <c r="I598" s="2"/>
      <c r="J598" s="2"/>
      <c r="K598" s="2">
        <v>0</v>
      </c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19">
        <v>0.45768700000000001</v>
      </c>
      <c r="AG598" s="2">
        <v>0.01</v>
      </c>
      <c r="AH598" s="2">
        <v>0.08</v>
      </c>
      <c r="AI598" s="2"/>
      <c r="AJ598" s="4">
        <f>1.04/1.179</f>
        <v>0.88210347752332485</v>
      </c>
      <c r="AK598" s="4">
        <v>0.1</v>
      </c>
      <c r="AL598" s="2"/>
      <c r="AM598" s="2"/>
      <c r="AN598" s="2">
        <v>0.04</v>
      </c>
      <c r="AO598" s="2">
        <v>0.01</v>
      </c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19">
        <v>0.23900199999999999</v>
      </c>
      <c r="BB598" s="2">
        <v>0.02</v>
      </c>
      <c r="BC598" s="2">
        <v>0.04</v>
      </c>
      <c r="BD598" s="2"/>
      <c r="BE598" s="4">
        <f>0.54/1.179</f>
        <v>0.4580152671755725</v>
      </c>
      <c r="BF598" s="2">
        <v>7.0000000000000007E-2</v>
      </c>
      <c r="BG598" s="2"/>
      <c r="BH598" s="2"/>
      <c r="BI598" s="2">
        <v>0.02</v>
      </c>
      <c r="BJ598" s="2">
        <v>0.01</v>
      </c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>
        <v>0</v>
      </c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>
        <v>0</v>
      </c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14" t="s">
        <v>81</v>
      </c>
      <c r="DM598" s="2" t="s">
        <v>81</v>
      </c>
      <c r="DN598" s="2">
        <f t="shared" si="104"/>
        <v>3.3138918513138577E-2</v>
      </c>
      <c r="DO598" s="2">
        <f t="shared" si="105"/>
        <v>0.01</v>
      </c>
      <c r="DP598" s="2" t="s">
        <v>1289</v>
      </c>
      <c r="DQ598" s="2" t="s">
        <v>3</v>
      </c>
      <c r="DR598" s="19">
        <f t="shared" si="106"/>
        <v>0.696689</v>
      </c>
      <c r="DS598" s="19">
        <f t="shared" si="107"/>
        <v>3.3138918513138577E-2</v>
      </c>
      <c r="DT598" s="15">
        <f t="shared" si="108"/>
        <v>0.2308752</v>
      </c>
      <c r="DU598" s="2"/>
      <c r="DV598" s="2">
        <f t="shared" si="109"/>
        <v>0</v>
      </c>
      <c r="DW598" s="2"/>
      <c r="DX598" s="2"/>
      <c r="DY598" s="2"/>
      <c r="DZ598" s="2" t="s">
        <v>3</v>
      </c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 t="s">
        <v>3</v>
      </c>
      <c r="FR598" s="2" t="s">
        <v>183</v>
      </c>
      <c r="FS598" s="2" t="s">
        <v>449</v>
      </c>
      <c r="FT598" s="2"/>
      <c r="FU598" s="2"/>
      <c r="FV598" s="2" t="s">
        <v>3</v>
      </c>
    </row>
    <row r="599" spans="1:178" ht="15.75" customHeight="1" x14ac:dyDescent="0.2">
      <c r="A599" s="12" t="s">
        <v>74</v>
      </c>
      <c r="B599" s="2" t="s">
        <v>198</v>
      </c>
      <c r="C599" s="13" t="s">
        <v>1290</v>
      </c>
      <c r="D599" s="2" t="s">
        <v>99</v>
      </c>
      <c r="E599" s="2"/>
      <c r="F599" s="2"/>
      <c r="G599" s="2" t="s">
        <v>78</v>
      </c>
      <c r="H599" s="2" t="s">
        <v>1291</v>
      </c>
      <c r="I599" s="2"/>
      <c r="J599" s="2" t="s">
        <v>242</v>
      </c>
      <c r="K599" s="2">
        <f>36.2+99.4</f>
        <v>135.60000000000002</v>
      </c>
      <c r="L599" s="2"/>
      <c r="M599" s="2"/>
      <c r="N599" s="2"/>
      <c r="O599" s="2"/>
      <c r="P599" s="2"/>
      <c r="Q599" s="2"/>
      <c r="R599" s="2"/>
      <c r="S599" s="4">
        <f>(1.26*36.2+1.71*99.4)/K599</f>
        <v>1.5898672566371679</v>
      </c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>
        <f>67.4+166.4</f>
        <v>233.8</v>
      </c>
      <c r="AG599" s="2"/>
      <c r="AH599" s="2"/>
      <c r="AI599" s="2"/>
      <c r="AJ599" s="2"/>
      <c r="AK599" s="2"/>
      <c r="AL599" s="2"/>
      <c r="AM599" s="2"/>
      <c r="AN599" s="4">
        <f>(1.22*67.4+1.53*166.4)/AF599</f>
        <v>1.440633019674936</v>
      </c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>
        <f>52.4+213.2</f>
        <v>265.59999999999997</v>
      </c>
      <c r="BB599" s="2"/>
      <c r="BC599" s="2"/>
      <c r="BD599" s="2"/>
      <c r="BE599" s="2"/>
      <c r="BF599" s="2"/>
      <c r="BG599" s="2"/>
      <c r="BH599" s="2"/>
      <c r="BI599" s="4">
        <f>(1.21*52.4+1.49*213.2)/BA599</f>
        <v>1.4347590361445786</v>
      </c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>
        <v>0</v>
      </c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>
        <v>0</v>
      </c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14" t="s">
        <v>81</v>
      </c>
      <c r="DM599" s="2"/>
      <c r="DN599" s="2">
        <f t="shared" si="104"/>
        <v>1.4700440944881892</v>
      </c>
      <c r="DO599" s="2">
        <f t="shared" si="105"/>
        <v>0</v>
      </c>
      <c r="DP599" s="2" t="s">
        <v>211</v>
      </c>
      <c r="DQ599" s="2" t="s">
        <v>3</v>
      </c>
      <c r="DR599" s="2">
        <f t="shared" si="106"/>
        <v>635</v>
      </c>
      <c r="DS599" s="4">
        <f t="shared" si="107"/>
        <v>1.4700440944881892</v>
      </c>
      <c r="DT599" s="18">
        <f t="shared" si="108"/>
        <v>9334.7800000000007</v>
      </c>
      <c r="DU599" s="2"/>
      <c r="DV599" s="2">
        <f t="shared" si="109"/>
        <v>0</v>
      </c>
      <c r="DW599" s="2"/>
      <c r="DX599" s="2"/>
      <c r="DY599" s="2"/>
      <c r="DZ599" s="2" t="s">
        <v>3</v>
      </c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 t="s">
        <v>3</v>
      </c>
      <c r="FR599" s="2" t="s">
        <v>37</v>
      </c>
      <c r="FS599" s="2" t="s">
        <v>235</v>
      </c>
      <c r="FT599" s="2"/>
      <c r="FU599" s="2"/>
      <c r="FV599" s="2" t="s">
        <v>3</v>
      </c>
    </row>
    <row r="600" spans="1:178" ht="15.75" customHeight="1" x14ac:dyDescent="0.2">
      <c r="A600" s="14" t="s">
        <v>74</v>
      </c>
      <c r="B600" s="2" t="s">
        <v>164</v>
      </c>
      <c r="C600" s="13" t="s">
        <v>1292</v>
      </c>
      <c r="D600" s="2" t="s">
        <v>99</v>
      </c>
      <c r="E600" s="2"/>
      <c r="F600" s="2"/>
      <c r="G600" s="2" t="s">
        <v>78</v>
      </c>
      <c r="H600" s="2" t="s">
        <v>1293</v>
      </c>
      <c r="I600" s="2"/>
      <c r="J600" s="2" t="s">
        <v>181</v>
      </c>
      <c r="K600" s="2">
        <v>0</v>
      </c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>
        <v>0</v>
      </c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>
        <v>330</v>
      </c>
      <c r="BB600" s="2"/>
      <c r="BC600" s="2"/>
      <c r="BD600" s="2"/>
      <c r="BE600" s="2"/>
      <c r="BF600" s="2"/>
      <c r="BG600" s="2"/>
      <c r="BH600" s="2"/>
      <c r="BI600" s="2">
        <v>0.75</v>
      </c>
      <c r="BJ600" s="2">
        <v>0.06</v>
      </c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>
        <v>0</v>
      </c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>
        <v>0</v>
      </c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14" t="s">
        <v>81</v>
      </c>
      <c r="DM600" s="2"/>
      <c r="DN600" s="2">
        <f t="shared" si="104"/>
        <v>0.75</v>
      </c>
      <c r="DO600" s="2">
        <f t="shared" si="105"/>
        <v>6.0000000000000005E-2</v>
      </c>
      <c r="DP600" s="2" t="s">
        <v>175</v>
      </c>
      <c r="DQ600" s="2" t="s">
        <v>3</v>
      </c>
      <c r="DR600" s="2">
        <f t="shared" si="106"/>
        <v>330</v>
      </c>
      <c r="DS600" s="2">
        <f t="shared" si="107"/>
        <v>0.75</v>
      </c>
      <c r="DT600" s="18">
        <f t="shared" si="108"/>
        <v>2475</v>
      </c>
      <c r="DU600" s="2"/>
      <c r="DV600" s="2">
        <f t="shared" si="109"/>
        <v>0</v>
      </c>
      <c r="DW600" s="2"/>
      <c r="DX600" s="2"/>
      <c r="DY600" s="2"/>
      <c r="DZ600" s="2" t="s">
        <v>3</v>
      </c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 t="s">
        <v>3</v>
      </c>
      <c r="FR600" s="2" t="s">
        <v>37</v>
      </c>
      <c r="FS600" s="2" t="s">
        <v>235</v>
      </c>
      <c r="FT600" s="2" t="s">
        <v>235</v>
      </c>
      <c r="FU600" s="2"/>
      <c r="FV600" s="2" t="s">
        <v>3</v>
      </c>
    </row>
    <row r="601" spans="1:178" ht="15.75" customHeight="1" x14ac:dyDescent="0.2">
      <c r="A601" s="14" t="s">
        <v>74</v>
      </c>
      <c r="B601" s="2" t="s">
        <v>164</v>
      </c>
      <c r="C601" s="13" t="s">
        <v>1294</v>
      </c>
      <c r="D601" s="2" t="s">
        <v>99</v>
      </c>
      <c r="E601" s="2"/>
      <c r="F601" s="2"/>
      <c r="G601" s="2" t="s">
        <v>78</v>
      </c>
      <c r="H601" s="2" t="s">
        <v>1293</v>
      </c>
      <c r="I601" s="2"/>
      <c r="J601" s="2" t="s">
        <v>1295</v>
      </c>
      <c r="K601" s="2">
        <v>0</v>
      </c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>
        <v>0</v>
      </c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>
        <v>63.5</v>
      </c>
      <c r="BB601" s="2"/>
      <c r="BC601" s="2"/>
      <c r="BD601" s="2"/>
      <c r="BE601" s="2"/>
      <c r="BF601" s="2"/>
      <c r="BG601" s="2"/>
      <c r="BH601" s="2"/>
      <c r="BI601" s="2">
        <v>0.38</v>
      </c>
      <c r="BJ601" s="2"/>
      <c r="BK601" s="2"/>
      <c r="BL601" s="2"/>
      <c r="BM601" s="2"/>
      <c r="BN601" s="2"/>
      <c r="BO601" s="2"/>
      <c r="BP601" s="2">
        <v>5.22</v>
      </c>
      <c r="BQ601" s="2">
        <v>38.08</v>
      </c>
      <c r="BR601" s="2"/>
      <c r="BS601" s="2"/>
      <c r="BT601" s="2"/>
      <c r="BU601" s="2"/>
      <c r="BV601" s="2">
        <v>0</v>
      </c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>
        <v>0</v>
      </c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14" t="s">
        <v>81</v>
      </c>
      <c r="DM601" s="2"/>
      <c r="DN601" s="2">
        <f t="shared" si="104"/>
        <v>0.38</v>
      </c>
      <c r="DO601" s="2">
        <f t="shared" si="105"/>
        <v>0</v>
      </c>
      <c r="DP601" s="2" t="s">
        <v>175</v>
      </c>
      <c r="DQ601" s="2" t="s">
        <v>3</v>
      </c>
      <c r="DR601" s="2">
        <f t="shared" si="106"/>
        <v>63.5</v>
      </c>
      <c r="DS601" s="2">
        <f t="shared" si="107"/>
        <v>0.38</v>
      </c>
      <c r="DT601" s="15">
        <f t="shared" si="108"/>
        <v>241.3</v>
      </c>
      <c r="DU601" s="2"/>
      <c r="DV601" s="2">
        <f t="shared" si="109"/>
        <v>0</v>
      </c>
      <c r="DW601" s="2"/>
      <c r="DX601" s="2"/>
      <c r="DY601" s="2"/>
      <c r="DZ601" s="2" t="s">
        <v>3</v>
      </c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 t="s">
        <v>3</v>
      </c>
      <c r="FR601" s="2" t="s">
        <v>37</v>
      </c>
      <c r="FS601" s="2" t="s">
        <v>235</v>
      </c>
      <c r="FT601" s="2" t="s">
        <v>235</v>
      </c>
      <c r="FU601" s="2"/>
      <c r="FV601" s="2" t="s">
        <v>3</v>
      </c>
    </row>
    <row r="602" spans="1:178" ht="15.75" customHeight="1" x14ac:dyDescent="0.2">
      <c r="A602" s="14" t="s">
        <v>96</v>
      </c>
      <c r="B602" s="2" t="s">
        <v>164</v>
      </c>
      <c r="C602" s="16" t="s">
        <v>1296</v>
      </c>
      <c r="D602" s="2" t="s">
        <v>99</v>
      </c>
      <c r="E602" s="2"/>
      <c r="F602" s="2"/>
      <c r="G602" s="2" t="s">
        <v>78</v>
      </c>
      <c r="H602" s="2" t="s">
        <v>1293</v>
      </c>
      <c r="I602" s="2"/>
      <c r="J602" s="2" t="s">
        <v>181</v>
      </c>
      <c r="K602" s="2">
        <v>0</v>
      </c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>
        <v>0</v>
      </c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>
        <f>15.7+4.7+6.8+3</f>
        <v>30.2</v>
      </c>
      <c r="BB602" s="4">
        <f>(0.08*15.7+0.24*4.7+0.1*6.8+0.25*3)/BA602</f>
        <v>0.12629139072847684</v>
      </c>
      <c r="BC602" s="4">
        <f>(0.1*15.7+0.13*4.7+0.14*6.8+0.12*3)/BA602</f>
        <v>0.11566225165562914</v>
      </c>
      <c r="BD602" s="2"/>
      <c r="BE602" s="2"/>
      <c r="BF602" s="2"/>
      <c r="BG602" s="2"/>
      <c r="BH602" s="2"/>
      <c r="BI602" s="4">
        <f>(0.09*15.7+0.07*4.7+0.12*6.8+0.11*3)/BA602</f>
        <v>9.5629139072847674E-2</v>
      </c>
      <c r="BJ602" s="2"/>
      <c r="BK602" s="4">
        <f>(0.69*15.7+0.07*4.7+0.71*6.8+0.06*3)/BA602</f>
        <v>0.53543046357615887</v>
      </c>
      <c r="BL602" s="4">
        <f>(0.59*15.7+0.05*4.7+0.65*6.8+0.05*3)/BA602</f>
        <v>0.46582781456953642</v>
      </c>
      <c r="BM602" s="2"/>
      <c r="BN602" s="2"/>
      <c r="BO602" s="2"/>
      <c r="BP602" s="2"/>
      <c r="BQ602" s="2"/>
      <c r="BR602" s="2"/>
      <c r="BS602" s="2"/>
      <c r="BT602" s="2"/>
      <c r="BU602" s="2"/>
      <c r="BV602" s="2">
        <v>0</v>
      </c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>
        <v>0</v>
      </c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14" t="s">
        <v>81</v>
      </c>
      <c r="DM602" s="2"/>
      <c r="DN602" s="2">
        <f t="shared" si="104"/>
        <v>9.5629139072847674E-2</v>
      </c>
      <c r="DO602" s="2">
        <f t="shared" si="105"/>
        <v>0</v>
      </c>
      <c r="DP602" s="2" t="s">
        <v>1297</v>
      </c>
      <c r="DQ602" s="2" t="s">
        <v>3</v>
      </c>
      <c r="DR602" s="2">
        <f t="shared" si="106"/>
        <v>30.2</v>
      </c>
      <c r="DS602" s="19">
        <f t="shared" si="107"/>
        <v>9.5629139072847674E-2</v>
      </c>
      <c r="DT602" s="15">
        <f t="shared" si="108"/>
        <v>28.879999999999995</v>
      </c>
      <c r="DU602" s="2"/>
      <c r="DV602" s="2">
        <f t="shared" si="109"/>
        <v>0</v>
      </c>
      <c r="DW602" s="2"/>
      <c r="DX602" s="2"/>
      <c r="DY602" s="2"/>
      <c r="DZ602" s="2" t="s">
        <v>3</v>
      </c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 t="s">
        <v>3</v>
      </c>
      <c r="FR602" s="2" t="s">
        <v>89</v>
      </c>
      <c r="FS602" s="2" t="s">
        <v>90</v>
      </c>
      <c r="FT602" s="2"/>
      <c r="FU602" s="2"/>
      <c r="FV602" s="2" t="s">
        <v>3</v>
      </c>
    </row>
    <row r="603" spans="1:178" ht="15.75" customHeight="1" x14ac:dyDescent="0.2">
      <c r="A603" s="14" t="s">
        <v>96</v>
      </c>
      <c r="B603" s="2" t="s">
        <v>133</v>
      </c>
      <c r="C603" s="16" t="s">
        <v>1298</v>
      </c>
      <c r="D603" s="2" t="s">
        <v>99</v>
      </c>
      <c r="E603" s="2"/>
      <c r="F603" s="2"/>
      <c r="G603" s="2"/>
      <c r="H603" s="2" t="s">
        <v>1299</v>
      </c>
      <c r="I603" s="2"/>
      <c r="J603" s="2"/>
      <c r="K603" s="2">
        <v>93.3</v>
      </c>
      <c r="L603" s="2">
        <v>0.17</v>
      </c>
      <c r="M603" s="2">
        <v>5.3999999999999999E-2</v>
      </c>
      <c r="N603" s="2"/>
      <c r="O603" s="2"/>
      <c r="P603" s="2"/>
      <c r="Q603" s="2"/>
      <c r="R603" s="2"/>
      <c r="S603" s="2">
        <v>0.25</v>
      </c>
      <c r="T603" s="2">
        <v>1.4999999999999999E-2</v>
      </c>
      <c r="U603" s="2">
        <v>0.26200000000000001</v>
      </c>
      <c r="V603" s="2">
        <v>0.24399999999999999</v>
      </c>
      <c r="W603" s="2"/>
      <c r="X603" s="2"/>
      <c r="Y603" s="2"/>
      <c r="Z603" s="2"/>
      <c r="AA603" s="2"/>
      <c r="AB603" s="2"/>
      <c r="AC603" s="2"/>
      <c r="AD603" s="2"/>
      <c r="AE603" s="2"/>
      <c r="AF603" s="2">
        <v>230.1</v>
      </c>
      <c r="AG603" s="2">
        <v>0.15</v>
      </c>
      <c r="AH603" s="2">
        <v>4.2999999999999997E-2</v>
      </c>
      <c r="AI603" s="2"/>
      <c r="AJ603" s="2"/>
      <c r="AK603" s="2"/>
      <c r="AL603" s="2"/>
      <c r="AM603" s="2"/>
      <c r="AN603" s="2">
        <v>0.27</v>
      </c>
      <c r="AO603" s="2">
        <v>1.4999999999999999E-2</v>
      </c>
      <c r="AP603" s="2">
        <v>0.249</v>
      </c>
      <c r="AQ603" s="2">
        <v>0.25900000000000001</v>
      </c>
      <c r="AR603" s="2"/>
      <c r="AS603" s="2"/>
      <c r="AT603" s="2"/>
      <c r="AU603" s="2"/>
      <c r="AV603" s="2"/>
      <c r="AW603" s="2"/>
      <c r="AX603" s="2"/>
      <c r="AY603" s="2"/>
      <c r="AZ603" s="2"/>
      <c r="BA603" s="2">
        <v>108.1</v>
      </c>
      <c r="BB603" s="2">
        <v>0.15</v>
      </c>
      <c r="BC603" s="19">
        <v>0.04</v>
      </c>
      <c r="BD603" s="2"/>
      <c r="BE603" s="2"/>
      <c r="BF603" s="2"/>
      <c r="BG603" s="2"/>
      <c r="BH603" s="2"/>
      <c r="BI603" s="2">
        <v>0.28999999999999998</v>
      </c>
      <c r="BJ603" s="2">
        <v>1.6E-2</v>
      </c>
      <c r="BK603" s="2">
        <v>0.25600000000000001</v>
      </c>
      <c r="BL603" s="2">
        <v>0.27900000000000003</v>
      </c>
      <c r="BM603" s="2"/>
      <c r="BN603" s="2"/>
      <c r="BO603" s="2"/>
      <c r="BP603" s="2"/>
      <c r="BQ603" s="2"/>
      <c r="BR603" s="2"/>
      <c r="BS603" s="2"/>
      <c r="BT603" s="2"/>
      <c r="BU603" s="2"/>
      <c r="BV603" s="2">
        <v>0</v>
      </c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>
        <v>0</v>
      </c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14" t="s">
        <v>81</v>
      </c>
      <c r="DM603" s="2" t="s">
        <v>81</v>
      </c>
      <c r="DN603" s="2">
        <f t="shared" si="104"/>
        <v>0.27068597914252607</v>
      </c>
      <c r="DO603" s="2">
        <f t="shared" si="105"/>
        <v>1.5250521436848205E-2</v>
      </c>
      <c r="DP603" s="2" t="s">
        <v>157</v>
      </c>
      <c r="DQ603" s="2" t="s">
        <v>3</v>
      </c>
      <c r="DR603" s="2">
        <f t="shared" si="106"/>
        <v>431.5</v>
      </c>
      <c r="DS603" s="4">
        <f t="shared" si="107"/>
        <v>0.27068597914252607</v>
      </c>
      <c r="DT603" s="18">
        <f t="shared" si="108"/>
        <v>1168.01</v>
      </c>
      <c r="DU603" s="2"/>
      <c r="DV603" s="2">
        <f t="shared" si="109"/>
        <v>0</v>
      </c>
      <c r="DW603" s="2"/>
      <c r="DX603" s="2"/>
      <c r="DY603" s="2"/>
      <c r="DZ603" s="2" t="s">
        <v>3</v>
      </c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 t="s">
        <v>3</v>
      </c>
      <c r="FR603" s="2" t="s">
        <v>89</v>
      </c>
      <c r="FS603" s="2" t="s">
        <v>123</v>
      </c>
      <c r="FT603" s="2"/>
      <c r="FU603" s="2"/>
      <c r="FV603" s="2" t="s">
        <v>3</v>
      </c>
    </row>
    <row r="604" spans="1:178" ht="15.75" customHeight="1" x14ac:dyDescent="0.2">
      <c r="A604" s="14" t="s">
        <v>96</v>
      </c>
      <c r="B604" s="2" t="s">
        <v>133</v>
      </c>
      <c r="C604" s="16" t="s">
        <v>1300</v>
      </c>
      <c r="D604" s="2" t="s">
        <v>99</v>
      </c>
      <c r="E604" s="2"/>
      <c r="F604" s="2"/>
      <c r="G604" s="2"/>
      <c r="H604" s="2" t="s">
        <v>1301</v>
      </c>
      <c r="I604" s="2"/>
      <c r="J604" s="2"/>
      <c r="K604" s="2">
        <v>0</v>
      </c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>
        <v>0</v>
      </c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19">
        <v>0.17239599999999999</v>
      </c>
      <c r="BB604" s="2">
        <v>0.26</v>
      </c>
      <c r="BC604" s="2"/>
      <c r="BD604" s="2"/>
      <c r="BE604" s="2"/>
      <c r="BF604" s="2"/>
      <c r="BG604" s="2"/>
      <c r="BH604" s="2"/>
      <c r="BI604" s="2">
        <v>0.62</v>
      </c>
      <c r="BJ604" s="2">
        <v>0.02</v>
      </c>
      <c r="BK604" s="4">
        <f>0.009*31.1</f>
        <v>0.27989999999999998</v>
      </c>
      <c r="BL604" s="4">
        <f>0.03*31.1</f>
        <v>0.93300000000000005</v>
      </c>
      <c r="BM604" s="2"/>
      <c r="BN604" s="2"/>
      <c r="BO604" s="2"/>
      <c r="BP604" s="2"/>
      <c r="BQ604" s="2"/>
      <c r="BR604" s="2"/>
      <c r="BS604" s="2"/>
      <c r="BT604" s="2"/>
      <c r="BU604" s="2"/>
      <c r="BV604" s="2">
        <v>0</v>
      </c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>
        <v>0</v>
      </c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14" t="s">
        <v>100</v>
      </c>
      <c r="DM604" s="2" t="s">
        <v>100</v>
      </c>
      <c r="DN604" s="2">
        <f t="shared" si="104"/>
        <v>0.62</v>
      </c>
      <c r="DO604" s="2">
        <f t="shared" si="105"/>
        <v>0.02</v>
      </c>
      <c r="DP604" s="2" t="s">
        <v>1302</v>
      </c>
      <c r="DQ604" s="2" t="s">
        <v>3</v>
      </c>
      <c r="DR604" s="19">
        <f t="shared" si="106"/>
        <v>0.17239599999999999</v>
      </c>
      <c r="DS604" s="2">
        <f t="shared" si="107"/>
        <v>0.62</v>
      </c>
      <c r="DT604" s="15">
        <f t="shared" si="108"/>
        <v>1.0688551999999998</v>
      </c>
      <c r="DU604" s="2"/>
      <c r="DV604" s="2">
        <f t="shared" si="109"/>
        <v>0</v>
      </c>
      <c r="DW604" s="2"/>
      <c r="DX604" s="2"/>
      <c r="DY604" s="2"/>
      <c r="DZ604" s="2" t="s">
        <v>3</v>
      </c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 t="s">
        <v>3</v>
      </c>
      <c r="FR604" s="2" t="s">
        <v>89</v>
      </c>
      <c r="FS604" s="2" t="s">
        <v>90</v>
      </c>
      <c r="FT604" s="2"/>
      <c r="FU604" s="2"/>
      <c r="FV604" s="2" t="s">
        <v>3</v>
      </c>
    </row>
    <row r="605" spans="1:178" ht="15.75" customHeight="1" x14ac:dyDescent="0.2">
      <c r="A605" s="14" t="s">
        <v>96</v>
      </c>
      <c r="B605" s="2" t="s">
        <v>133</v>
      </c>
      <c r="C605" s="16" t="s">
        <v>1303</v>
      </c>
      <c r="D605" s="2" t="s">
        <v>99</v>
      </c>
      <c r="E605" s="2"/>
      <c r="F605" s="2"/>
      <c r="G605" s="2"/>
      <c r="H605" s="2" t="s">
        <v>1304</v>
      </c>
      <c r="I605" s="2"/>
      <c r="J605" s="2"/>
      <c r="K605" s="2">
        <v>0</v>
      </c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>
        <v>0</v>
      </c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>
        <v>1.01</v>
      </c>
      <c r="BB605" s="2">
        <v>0.5</v>
      </c>
      <c r="BC605" s="2"/>
      <c r="BD605" s="2"/>
      <c r="BE605" s="2"/>
      <c r="BF605" s="2"/>
      <c r="BG605" s="2"/>
      <c r="BH605" s="2"/>
      <c r="BI605" s="2">
        <v>1.2</v>
      </c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>
        <v>0</v>
      </c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>
        <v>0</v>
      </c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14" t="s">
        <v>100</v>
      </c>
      <c r="DM605" s="2"/>
      <c r="DN605" s="2">
        <f t="shared" si="104"/>
        <v>1.2</v>
      </c>
      <c r="DO605" s="2">
        <f t="shared" si="105"/>
        <v>0</v>
      </c>
      <c r="DP605" s="2" t="s">
        <v>1305</v>
      </c>
      <c r="DQ605" s="2" t="s">
        <v>3</v>
      </c>
      <c r="DR605" s="2">
        <f t="shared" si="106"/>
        <v>1.01</v>
      </c>
      <c r="DS605" s="2">
        <f t="shared" si="107"/>
        <v>1.2</v>
      </c>
      <c r="DT605" s="15">
        <f t="shared" si="108"/>
        <v>12.12</v>
      </c>
      <c r="DU605" s="2"/>
      <c r="DV605" s="2">
        <f t="shared" si="109"/>
        <v>0</v>
      </c>
      <c r="DW605" s="2"/>
      <c r="DX605" s="2"/>
      <c r="DY605" s="2"/>
      <c r="DZ605" s="2" t="s">
        <v>3</v>
      </c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 t="s">
        <v>3</v>
      </c>
      <c r="FR605" s="2" t="s">
        <v>89</v>
      </c>
      <c r="FS605" s="2" t="s">
        <v>90</v>
      </c>
      <c r="FT605" s="2"/>
      <c r="FU605" s="2"/>
      <c r="FV605" s="2" t="s">
        <v>3</v>
      </c>
    </row>
    <row r="606" spans="1:178" ht="15.75" customHeight="1" x14ac:dyDescent="0.2">
      <c r="A606" s="14" t="s">
        <v>96</v>
      </c>
      <c r="B606" s="2" t="s">
        <v>164</v>
      </c>
      <c r="C606" s="16" t="s">
        <v>1306</v>
      </c>
      <c r="D606" s="2" t="s">
        <v>99</v>
      </c>
      <c r="E606" s="2"/>
      <c r="F606" s="2"/>
      <c r="G606" s="2" t="s">
        <v>78</v>
      </c>
      <c r="H606" s="2" t="s">
        <v>1307</v>
      </c>
      <c r="I606" s="2"/>
      <c r="J606" s="2" t="s">
        <v>181</v>
      </c>
      <c r="K606" s="2">
        <v>0</v>
      </c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>
        <v>73.900000000000006</v>
      </c>
      <c r="AG606" s="2">
        <v>0.41</v>
      </c>
      <c r="AH606" s="2">
        <v>0.06</v>
      </c>
      <c r="AI606" s="2"/>
      <c r="AJ606" s="2"/>
      <c r="AK606" s="2"/>
      <c r="AL606" s="2"/>
      <c r="AM606" s="2"/>
      <c r="AN606" s="2">
        <v>0.36</v>
      </c>
      <c r="AO606" s="19">
        <v>1.32E-2</v>
      </c>
      <c r="AP606" s="2">
        <v>0.09</v>
      </c>
      <c r="AQ606" s="4">
        <v>0.1</v>
      </c>
      <c r="AR606" s="2"/>
      <c r="AS606" s="2"/>
      <c r="AT606" s="2"/>
      <c r="AU606" s="2"/>
      <c r="AV606" s="2"/>
      <c r="AW606" s="2"/>
      <c r="AX606" s="2"/>
      <c r="AY606" s="2"/>
      <c r="AZ606" s="2"/>
      <c r="BA606" s="2">
        <v>169.4</v>
      </c>
      <c r="BB606" s="2">
        <v>0.37</v>
      </c>
      <c r="BC606" s="2">
        <v>0.06</v>
      </c>
      <c r="BD606" s="2"/>
      <c r="BE606" s="2"/>
      <c r="BF606" s="2"/>
      <c r="BG606" s="2"/>
      <c r="BH606" s="2"/>
      <c r="BI606" s="2">
        <v>0.33</v>
      </c>
      <c r="BJ606" s="19">
        <v>1.23E-2</v>
      </c>
      <c r="BK606" s="2">
        <v>0.09</v>
      </c>
      <c r="BL606" s="4">
        <v>0.1</v>
      </c>
      <c r="BM606" s="2"/>
      <c r="BN606" s="2"/>
      <c r="BO606" s="2"/>
      <c r="BP606" s="2"/>
      <c r="BQ606" s="2"/>
      <c r="BR606" s="2"/>
      <c r="BS606" s="2"/>
      <c r="BT606" s="2"/>
      <c r="BU606" s="2"/>
      <c r="BV606" s="2">
        <v>0</v>
      </c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>
        <v>0</v>
      </c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14" t="s">
        <v>81</v>
      </c>
      <c r="DM606" s="2" t="s">
        <v>81</v>
      </c>
      <c r="DN606" s="2">
        <f t="shared" si="104"/>
        <v>0.33911220715166462</v>
      </c>
      <c r="DO606" s="2">
        <f t="shared" si="105"/>
        <v>1.2573366214549939E-2</v>
      </c>
      <c r="DP606" s="2" t="s">
        <v>211</v>
      </c>
      <c r="DQ606" s="2" t="s">
        <v>3</v>
      </c>
      <c r="DR606" s="2">
        <f t="shared" si="106"/>
        <v>243.3</v>
      </c>
      <c r="DS606" s="4">
        <f t="shared" si="107"/>
        <v>0.33911220715166462</v>
      </c>
      <c r="DT606" s="15">
        <f t="shared" si="108"/>
        <v>825.06</v>
      </c>
      <c r="DU606" s="2"/>
      <c r="DV606" s="2">
        <f t="shared" si="109"/>
        <v>0</v>
      </c>
      <c r="DW606" s="2"/>
      <c r="DX606" s="2"/>
      <c r="DY606" s="2"/>
      <c r="DZ606" s="2" t="s">
        <v>3</v>
      </c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 t="s">
        <v>3</v>
      </c>
      <c r="FR606" s="2" t="s">
        <v>89</v>
      </c>
      <c r="FS606" s="2" t="s">
        <v>123</v>
      </c>
      <c r="FT606" s="2"/>
      <c r="FU606" s="2"/>
      <c r="FV606" s="2" t="s">
        <v>3</v>
      </c>
    </row>
    <row r="607" spans="1:178" ht="15.75" customHeight="1" x14ac:dyDescent="0.2">
      <c r="A607" s="14" t="s">
        <v>96</v>
      </c>
      <c r="B607" s="2" t="s">
        <v>164</v>
      </c>
      <c r="C607" s="16" t="s">
        <v>1308</v>
      </c>
      <c r="D607" s="2" t="s">
        <v>99</v>
      </c>
      <c r="E607" s="2"/>
      <c r="F607" s="2"/>
      <c r="G607" s="2" t="s">
        <v>78</v>
      </c>
      <c r="H607" s="2" t="s">
        <v>1307</v>
      </c>
      <c r="I607" s="2"/>
      <c r="J607" s="2" t="s">
        <v>181</v>
      </c>
      <c r="K607" s="2">
        <v>0</v>
      </c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>
        <v>37.799999999999997</v>
      </c>
      <c r="AG607" s="2">
        <v>0.44</v>
      </c>
      <c r="AH607" s="2">
        <v>0.04</v>
      </c>
      <c r="AI607" s="2"/>
      <c r="AJ607" s="2"/>
      <c r="AK607" s="2"/>
      <c r="AL607" s="2"/>
      <c r="AM607" s="2"/>
      <c r="AN607" s="2">
        <v>0.49</v>
      </c>
      <c r="AO607" s="19">
        <v>2.1100000000000001E-2</v>
      </c>
      <c r="AP607" s="2">
        <v>7.0000000000000007E-2</v>
      </c>
      <c r="AQ607" s="2">
        <v>0.08</v>
      </c>
      <c r="AR607" s="2"/>
      <c r="AS607" s="2"/>
      <c r="AT607" s="2"/>
      <c r="AU607" s="2"/>
      <c r="AV607" s="2"/>
      <c r="AW607" s="2"/>
      <c r="AX607" s="2"/>
      <c r="AY607" s="2"/>
      <c r="AZ607" s="2"/>
      <c r="BA607" s="2">
        <v>1.9</v>
      </c>
      <c r="BB607" s="2">
        <v>0.34</v>
      </c>
      <c r="BC607" s="2">
        <v>0.04</v>
      </c>
      <c r="BD607" s="2"/>
      <c r="BE607" s="2"/>
      <c r="BF607" s="2"/>
      <c r="BG607" s="2"/>
      <c r="BH607" s="2"/>
      <c r="BI607" s="2">
        <v>0.37</v>
      </c>
      <c r="BJ607" s="19">
        <v>2.29E-2</v>
      </c>
      <c r="BK607" s="2">
        <v>0.08</v>
      </c>
      <c r="BL607" s="2">
        <v>7.0000000000000007E-2</v>
      </c>
      <c r="BM607" s="2"/>
      <c r="BN607" s="2"/>
      <c r="BO607" s="2"/>
      <c r="BP607" s="2"/>
      <c r="BQ607" s="2"/>
      <c r="BR607" s="2"/>
      <c r="BS607" s="2"/>
      <c r="BT607" s="2"/>
      <c r="BU607" s="2"/>
      <c r="BV607" s="2">
        <v>0</v>
      </c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>
        <v>0</v>
      </c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14" t="s">
        <v>81</v>
      </c>
      <c r="DM607" s="2" t="s">
        <v>81</v>
      </c>
      <c r="DN607" s="2">
        <f t="shared" si="104"/>
        <v>0.48425692695214106</v>
      </c>
      <c r="DO607" s="2">
        <f t="shared" si="105"/>
        <v>2.1186146095717888E-2</v>
      </c>
      <c r="DP607" s="2" t="s">
        <v>211</v>
      </c>
      <c r="DQ607" s="2" t="s">
        <v>3</v>
      </c>
      <c r="DR607" s="2">
        <f t="shared" si="106"/>
        <v>39.699999999999996</v>
      </c>
      <c r="DS607" s="4">
        <f t="shared" si="107"/>
        <v>0.48425692695214106</v>
      </c>
      <c r="DT607" s="15">
        <f t="shared" si="108"/>
        <v>192.24999999999997</v>
      </c>
      <c r="DU607" s="2"/>
      <c r="DV607" s="2">
        <f t="shared" si="109"/>
        <v>0</v>
      </c>
      <c r="DW607" s="2"/>
      <c r="DX607" s="2"/>
      <c r="DY607" s="2"/>
      <c r="DZ607" s="2" t="s">
        <v>3</v>
      </c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 t="s">
        <v>3</v>
      </c>
      <c r="FR607" s="2" t="s">
        <v>89</v>
      </c>
      <c r="FS607" s="2" t="s">
        <v>123</v>
      </c>
      <c r="FT607" s="2"/>
      <c r="FU607" s="2"/>
      <c r="FV607" s="2" t="s">
        <v>3</v>
      </c>
    </row>
    <row r="608" spans="1:178" ht="15.75" customHeight="1" x14ac:dyDescent="0.2">
      <c r="A608" s="14" t="s">
        <v>96</v>
      </c>
      <c r="B608" s="2" t="s">
        <v>189</v>
      </c>
      <c r="C608" s="16" t="s">
        <v>1309</v>
      </c>
      <c r="D608" s="2" t="s">
        <v>99</v>
      </c>
      <c r="E608" s="2"/>
      <c r="F608" s="2"/>
      <c r="G608" s="2"/>
      <c r="H608" s="2" t="s">
        <v>79</v>
      </c>
      <c r="I608" s="22"/>
      <c r="J608" s="2"/>
      <c r="K608" s="2">
        <v>0</v>
      </c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>
        <v>0</v>
      </c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3">
        <f>38*0.9072</f>
        <v>34.473599999999998</v>
      </c>
      <c r="BB608" s="2">
        <v>0.28999999999999998</v>
      </c>
      <c r="BC608" s="2"/>
      <c r="BD608" s="2"/>
      <c r="BE608" s="2"/>
      <c r="BF608" s="2"/>
      <c r="BG608" s="2"/>
      <c r="BH608" s="2"/>
      <c r="BI608" s="4">
        <v>0.1</v>
      </c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>
        <v>0</v>
      </c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>
        <v>0</v>
      </c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14" t="s">
        <v>100</v>
      </c>
      <c r="DM608" s="2"/>
      <c r="DN608" s="2">
        <f t="shared" si="104"/>
        <v>0.1</v>
      </c>
      <c r="DO608" s="2">
        <f t="shared" si="105"/>
        <v>0</v>
      </c>
      <c r="DP608" s="2" t="s">
        <v>191</v>
      </c>
      <c r="DQ608" s="2" t="s">
        <v>3</v>
      </c>
      <c r="DR608" s="4">
        <f t="shared" si="106"/>
        <v>34.473599999999998</v>
      </c>
      <c r="DS608" s="2">
        <f t="shared" si="107"/>
        <v>0.1</v>
      </c>
      <c r="DT608" s="15">
        <f t="shared" si="108"/>
        <v>34.473600000000005</v>
      </c>
      <c r="DU608" s="2"/>
      <c r="DV608" s="2">
        <f t="shared" si="109"/>
        <v>0</v>
      </c>
      <c r="DW608" s="2"/>
      <c r="DX608" s="2"/>
      <c r="DY608" s="2"/>
      <c r="DZ608" s="2" t="s">
        <v>3</v>
      </c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 t="s">
        <v>3</v>
      </c>
      <c r="FR608" s="2" t="s">
        <v>89</v>
      </c>
      <c r="FS608" s="2" t="s">
        <v>123</v>
      </c>
      <c r="FT608" s="2" t="s">
        <v>192</v>
      </c>
      <c r="FU608" s="2"/>
      <c r="FV608" s="2" t="s">
        <v>3</v>
      </c>
    </row>
    <row r="609" spans="1:178" ht="15.75" customHeight="1" x14ac:dyDescent="0.2">
      <c r="A609" s="14" t="s">
        <v>74</v>
      </c>
      <c r="B609" s="2" t="s">
        <v>164</v>
      </c>
      <c r="C609" s="13" t="s">
        <v>1310</v>
      </c>
      <c r="D609" s="2" t="s">
        <v>99</v>
      </c>
      <c r="E609" s="2"/>
      <c r="F609" s="2"/>
      <c r="G609" s="2" t="s">
        <v>78</v>
      </c>
      <c r="H609" s="2" t="s">
        <v>1311</v>
      </c>
      <c r="I609" s="2"/>
      <c r="J609" s="2" t="s">
        <v>80</v>
      </c>
      <c r="K609" s="2">
        <v>0</v>
      </c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>
        <v>0</v>
      </c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>
        <v>80.5</v>
      </c>
      <c r="BB609" s="2"/>
      <c r="BC609" s="2"/>
      <c r="BD609" s="2"/>
      <c r="BE609" s="2"/>
      <c r="BF609" s="2"/>
      <c r="BG609" s="2"/>
      <c r="BH609" s="2"/>
      <c r="BI609" s="2">
        <v>0.77</v>
      </c>
      <c r="BJ609" s="2">
        <v>0.06</v>
      </c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>
        <v>0</v>
      </c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>
        <v>0</v>
      </c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14" t="s">
        <v>81</v>
      </c>
      <c r="DM609" s="2" t="s">
        <v>81</v>
      </c>
      <c r="DN609" s="2">
        <f t="shared" si="104"/>
        <v>0.77</v>
      </c>
      <c r="DO609" s="2">
        <f t="shared" si="105"/>
        <v>0.06</v>
      </c>
      <c r="DP609" s="2" t="s">
        <v>175</v>
      </c>
      <c r="DQ609" s="2" t="s">
        <v>3</v>
      </c>
      <c r="DR609" s="2">
        <f t="shared" si="106"/>
        <v>80.5</v>
      </c>
      <c r="DS609" s="2">
        <f t="shared" si="107"/>
        <v>0.77</v>
      </c>
      <c r="DT609" s="15">
        <f t="shared" si="108"/>
        <v>619.85</v>
      </c>
      <c r="DU609" s="2"/>
      <c r="DV609" s="2">
        <f t="shared" si="109"/>
        <v>0</v>
      </c>
      <c r="DW609" s="2"/>
      <c r="DX609" s="2"/>
      <c r="DY609" s="2"/>
      <c r="DZ609" s="2" t="s">
        <v>3</v>
      </c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 t="s">
        <v>3</v>
      </c>
      <c r="FR609" s="2" t="s">
        <v>37</v>
      </c>
      <c r="FS609" s="2" t="s">
        <v>373</v>
      </c>
      <c r="FT609" s="2" t="s">
        <v>373</v>
      </c>
      <c r="FU609" s="2"/>
      <c r="FV609" s="2" t="s">
        <v>3</v>
      </c>
    </row>
    <row r="610" spans="1:178" ht="15.75" customHeight="1" x14ac:dyDescent="0.2">
      <c r="A610" s="14" t="s">
        <v>96</v>
      </c>
      <c r="B610" s="2" t="s">
        <v>164</v>
      </c>
      <c r="C610" s="16" t="s">
        <v>1312</v>
      </c>
      <c r="D610" s="2" t="s">
        <v>99</v>
      </c>
      <c r="E610" s="2"/>
      <c r="F610" s="2"/>
      <c r="G610" s="2" t="s">
        <v>179</v>
      </c>
      <c r="H610" s="2" t="s">
        <v>1084</v>
      </c>
      <c r="I610" s="2"/>
      <c r="J610" s="2" t="s">
        <v>181</v>
      </c>
      <c r="K610" s="2">
        <v>0</v>
      </c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>
        <v>0</v>
      </c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>
        <v>0.6</v>
      </c>
      <c r="BB610" s="2">
        <v>0.3</v>
      </c>
      <c r="BC610" s="2"/>
      <c r="BD610" s="2"/>
      <c r="BE610" s="2"/>
      <c r="BF610" s="2"/>
      <c r="BG610" s="2"/>
      <c r="BH610" s="2"/>
      <c r="BI610" s="2">
        <v>1.39</v>
      </c>
      <c r="BJ610" s="2"/>
      <c r="BK610" s="20">
        <v>0.15</v>
      </c>
      <c r="BL610" s="20">
        <v>0.3</v>
      </c>
      <c r="BM610" s="20">
        <v>0.05</v>
      </c>
      <c r="BN610" s="20"/>
      <c r="BO610" s="20"/>
      <c r="BP610" s="2"/>
      <c r="BQ610" s="2"/>
      <c r="BR610" s="2"/>
      <c r="BS610" s="2"/>
      <c r="BT610" s="2"/>
      <c r="BU610" s="2"/>
      <c r="BV610" s="2">
        <v>0</v>
      </c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>
        <v>0</v>
      </c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14" t="s">
        <v>81</v>
      </c>
      <c r="DM610" s="2"/>
      <c r="DN610" s="2">
        <f t="shared" si="104"/>
        <v>1.39</v>
      </c>
      <c r="DO610" s="2">
        <f t="shared" si="105"/>
        <v>0</v>
      </c>
      <c r="DP610" s="2" t="s">
        <v>175</v>
      </c>
      <c r="DQ610" s="2" t="s">
        <v>3</v>
      </c>
      <c r="DR610" s="2">
        <f t="shared" si="106"/>
        <v>0.6</v>
      </c>
      <c r="DS610" s="2">
        <f t="shared" si="107"/>
        <v>1.39</v>
      </c>
      <c r="DT610" s="15">
        <f t="shared" si="108"/>
        <v>8.3399999999999981</v>
      </c>
      <c r="DU610" s="2"/>
      <c r="DV610" s="2">
        <f t="shared" si="109"/>
        <v>0</v>
      </c>
      <c r="DW610" s="2"/>
      <c r="DX610" s="2"/>
      <c r="DY610" s="2"/>
      <c r="DZ610" s="2" t="s">
        <v>3</v>
      </c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 t="s">
        <v>3</v>
      </c>
      <c r="FR610" s="2" t="s">
        <v>89</v>
      </c>
      <c r="FS610" s="2" t="s">
        <v>137</v>
      </c>
      <c r="FT610" s="2"/>
      <c r="FU610" s="2"/>
      <c r="FV610" s="2" t="s">
        <v>3</v>
      </c>
    </row>
    <row r="611" spans="1:178" ht="15.75" customHeight="1" x14ac:dyDescent="0.2">
      <c r="A611" s="14" t="s">
        <v>96</v>
      </c>
      <c r="B611" s="2" t="s">
        <v>164</v>
      </c>
      <c r="C611" s="16" t="s">
        <v>1313</v>
      </c>
      <c r="D611" s="2" t="s">
        <v>99</v>
      </c>
      <c r="E611" s="2"/>
      <c r="F611" s="2"/>
      <c r="G611" s="2" t="s">
        <v>179</v>
      </c>
      <c r="H611" s="2" t="s">
        <v>367</v>
      </c>
      <c r="I611" s="2"/>
      <c r="J611" s="2" t="s">
        <v>181</v>
      </c>
      <c r="K611" s="2">
        <v>0</v>
      </c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>
        <v>0.08</v>
      </c>
      <c r="AG611" s="2"/>
      <c r="AH611" s="2"/>
      <c r="AI611" s="2"/>
      <c r="AJ611" s="2"/>
      <c r="AK611" s="2"/>
      <c r="AL611" s="2"/>
      <c r="AM611" s="2"/>
      <c r="AN611" s="2">
        <v>3.5</v>
      </c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>
        <v>0</v>
      </c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>
        <v>0</v>
      </c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>
        <v>0</v>
      </c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14" t="s">
        <v>81</v>
      </c>
      <c r="DM611" s="2"/>
      <c r="DN611" s="2">
        <f t="shared" si="104"/>
        <v>3.5000000000000004</v>
      </c>
      <c r="DO611" s="2">
        <f t="shared" si="105"/>
        <v>0</v>
      </c>
      <c r="DP611" s="2" t="s">
        <v>175</v>
      </c>
      <c r="DQ611" s="2" t="s">
        <v>3</v>
      </c>
      <c r="DR611" s="2">
        <f t="shared" si="106"/>
        <v>0.08</v>
      </c>
      <c r="DS611" s="2">
        <f t="shared" si="107"/>
        <v>3.5000000000000004</v>
      </c>
      <c r="DT611" s="15">
        <f t="shared" si="108"/>
        <v>2.8000000000000007</v>
      </c>
      <c r="DU611" s="2"/>
      <c r="DV611" s="2">
        <f t="shared" si="109"/>
        <v>0</v>
      </c>
      <c r="DW611" s="2"/>
      <c r="DX611" s="2"/>
      <c r="DY611" s="2"/>
      <c r="DZ611" s="2" t="s">
        <v>3</v>
      </c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 t="s">
        <v>3</v>
      </c>
      <c r="FR611" s="2" t="s">
        <v>89</v>
      </c>
      <c r="FS611" s="2" t="s">
        <v>137</v>
      </c>
      <c r="FT611" s="2"/>
      <c r="FU611" s="2"/>
      <c r="FV611" s="2" t="s">
        <v>3</v>
      </c>
    </row>
    <row r="612" spans="1:178" ht="15.75" customHeight="1" x14ac:dyDescent="0.2">
      <c r="A612" s="14" t="s">
        <v>96</v>
      </c>
      <c r="B612" s="2" t="s">
        <v>164</v>
      </c>
      <c r="C612" s="16" t="s">
        <v>1314</v>
      </c>
      <c r="D612" s="2" t="s">
        <v>120</v>
      </c>
      <c r="E612" s="2"/>
      <c r="F612" s="2"/>
      <c r="G612" s="2" t="s">
        <v>179</v>
      </c>
      <c r="H612" s="2" t="s">
        <v>250</v>
      </c>
      <c r="I612" s="2"/>
      <c r="J612" s="2" t="s">
        <v>181</v>
      </c>
      <c r="K612" s="2">
        <v>0</v>
      </c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>
        <f>0.922+0.772+2.773</f>
        <v>4.4670000000000005</v>
      </c>
      <c r="AG612" s="4">
        <f>(0.13*4.358+0*0.772+0.08*4.551)/(4.358+0.772+4.551)</f>
        <v>9.612849912199152E-2</v>
      </c>
      <c r="AH612" s="2"/>
      <c r="AI612" s="2"/>
      <c r="AJ612" s="2"/>
      <c r="AK612" s="2"/>
      <c r="AL612" s="2"/>
      <c r="AM612" s="2"/>
      <c r="AN612" s="4">
        <f>(1.56*0.922+0.98*0.772+1.25*2.773)/AF612</f>
        <v>1.267322587866577</v>
      </c>
      <c r="AO612" s="19">
        <f>(0.03*4.358+0*0.772+0*4.551)/(4.358+0.772+4.551)</f>
        <v>1.350480322280756E-2</v>
      </c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>
        <f>3.436+1.778</f>
        <v>5.2140000000000004</v>
      </c>
      <c r="BB612" s="4">
        <f>(0.13*4.358+0*0.772+0.08*4.551)/(4.358+0.772+4.551)</f>
        <v>9.612849912199152E-2</v>
      </c>
      <c r="BC612" s="2"/>
      <c r="BD612" s="2"/>
      <c r="BE612" s="2"/>
      <c r="BF612" s="2"/>
      <c r="BG612" s="2"/>
      <c r="BH612" s="2"/>
      <c r="BI612" s="4">
        <f>(1.66*3.436+1.91*1.778)/BA612</f>
        <v>1.7452512466436516</v>
      </c>
      <c r="BJ612" s="19">
        <f>(0.03*4.358+0*0.772+0*4.551)/(4.358+0.772+4.551)</f>
        <v>1.350480322280756E-2</v>
      </c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>
        <v>0</v>
      </c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>
        <v>0</v>
      </c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14" t="s">
        <v>81</v>
      </c>
      <c r="DM612" s="2" t="s">
        <v>81</v>
      </c>
      <c r="DN612" s="2">
        <f t="shared" si="104"/>
        <v>1.5247257514719552</v>
      </c>
      <c r="DO612" s="2">
        <f t="shared" si="105"/>
        <v>1.350480322280756E-2</v>
      </c>
      <c r="DP612" s="2" t="s">
        <v>251</v>
      </c>
      <c r="DQ612" s="2" t="s">
        <v>3</v>
      </c>
      <c r="DR612" s="2">
        <f t="shared" si="106"/>
        <v>9.6810000000000009</v>
      </c>
      <c r="DS612" s="4">
        <f t="shared" si="107"/>
        <v>1.5247257514719552</v>
      </c>
      <c r="DT612" s="15">
        <f t="shared" si="108"/>
        <v>147.6087</v>
      </c>
      <c r="DU612" s="2"/>
      <c r="DV612" s="2">
        <f t="shared" si="109"/>
        <v>0</v>
      </c>
      <c r="DW612" s="2"/>
      <c r="DX612" s="2"/>
      <c r="DY612" s="2"/>
      <c r="DZ612" s="2" t="s">
        <v>3</v>
      </c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 t="s">
        <v>3</v>
      </c>
      <c r="FR612" s="2" t="s">
        <v>89</v>
      </c>
      <c r="FS612" s="2" t="s">
        <v>137</v>
      </c>
      <c r="FT612" s="2"/>
      <c r="FU612" s="2"/>
      <c r="FV612" s="2" t="s">
        <v>3</v>
      </c>
    </row>
    <row r="613" spans="1:178" ht="15.75" customHeight="1" x14ac:dyDescent="0.2">
      <c r="A613" s="14" t="s">
        <v>74</v>
      </c>
      <c r="B613" s="2" t="s">
        <v>164</v>
      </c>
      <c r="C613" s="13" t="s">
        <v>1315</v>
      </c>
      <c r="D613" s="2" t="s">
        <v>99</v>
      </c>
      <c r="E613" s="2"/>
      <c r="F613" s="2"/>
      <c r="G613" s="2" t="s">
        <v>78</v>
      </c>
      <c r="H613" s="2" t="s">
        <v>364</v>
      </c>
      <c r="I613" s="2"/>
      <c r="J613" s="2" t="s">
        <v>80</v>
      </c>
      <c r="K613" s="2">
        <v>37.6</v>
      </c>
      <c r="L613" s="2"/>
      <c r="M613" s="2"/>
      <c r="N613" s="2"/>
      <c r="O613" s="2"/>
      <c r="P613" s="2"/>
      <c r="Q613" s="2"/>
      <c r="R613" s="2"/>
      <c r="S613" s="2">
        <v>0.98</v>
      </c>
      <c r="T613" s="2">
        <v>7.0000000000000007E-2</v>
      </c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>
        <v>130.9</v>
      </c>
      <c r="AG613" s="2"/>
      <c r="AH613" s="2"/>
      <c r="AI613" s="2"/>
      <c r="AJ613" s="2"/>
      <c r="AK613" s="2"/>
      <c r="AL613" s="2"/>
      <c r="AM613" s="2"/>
      <c r="AN613" s="2">
        <v>0.91</v>
      </c>
      <c r="AO613" s="2">
        <v>7.0000000000000007E-2</v>
      </c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>
        <v>14.1</v>
      </c>
      <c r="BB613" s="2"/>
      <c r="BC613" s="2"/>
      <c r="BD613" s="2"/>
      <c r="BE613" s="2"/>
      <c r="BF613" s="2"/>
      <c r="BG613" s="2"/>
      <c r="BH613" s="2"/>
      <c r="BI613" s="2">
        <v>0.87</v>
      </c>
      <c r="BJ613" s="2">
        <v>0.06</v>
      </c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>
        <v>0</v>
      </c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>
        <v>168.4</v>
      </c>
      <c r="CR613" s="2"/>
      <c r="CS613" s="2"/>
      <c r="CT613" s="2"/>
      <c r="CU613" s="2"/>
      <c r="CV613" s="2"/>
      <c r="CW613" s="2"/>
      <c r="CX613" s="2"/>
      <c r="CY613" s="2">
        <v>0.93</v>
      </c>
      <c r="CZ613" s="2">
        <v>7.0000000000000007E-2</v>
      </c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14" t="s">
        <v>81</v>
      </c>
      <c r="DM613" s="2" t="s">
        <v>81</v>
      </c>
      <c r="DN613" s="2">
        <f t="shared" si="104"/>
        <v>0.92132530120481937</v>
      </c>
      <c r="DO613" s="2">
        <f t="shared" si="105"/>
        <v>6.9227820372398691E-2</v>
      </c>
      <c r="DP613" s="2" t="s">
        <v>1316</v>
      </c>
      <c r="DQ613" s="2" t="s">
        <v>3</v>
      </c>
      <c r="DR613" s="2">
        <f t="shared" si="106"/>
        <v>182.6</v>
      </c>
      <c r="DS613" s="4">
        <f t="shared" si="107"/>
        <v>0.92132530120481937</v>
      </c>
      <c r="DT613" s="18">
        <f t="shared" si="108"/>
        <v>1682.3400000000004</v>
      </c>
      <c r="DU613" s="2"/>
      <c r="DV613" s="2">
        <f t="shared" si="109"/>
        <v>168.4</v>
      </c>
      <c r="DW613" s="4">
        <f>(BV613*CD613+CQ613*CY613)/DV613</f>
        <v>0.93000000000000016</v>
      </c>
      <c r="DX613" s="18">
        <f>1000*DV613*DW613/100</f>
        <v>1566.1200000000003</v>
      </c>
      <c r="DY613" s="2"/>
      <c r="DZ613" s="2" t="s">
        <v>3</v>
      </c>
      <c r="EA613" s="2" t="s">
        <v>597</v>
      </c>
      <c r="EB613" s="15">
        <v>8.4649999999999999</v>
      </c>
      <c r="EC613" s="2" t="s">
        <v>176</v>
      </c>
      <c r="ED613" s="15">
        <v>0.48699999999999999</v>
      </c>
      <c r="EE613" s="2" t="s">
        <v>176</v>
      </c>
      <c r="EF613" s="15">
        <v>587.3211520000001</v>
      </c>
      <c r="EG613" s="2" t="s">
        <v>176</v>
      </c>
      <c r="EH613" s="15">
        <f>EF613-ED613</f>
        <v>586.83415200000013</v>
      </c>
      <c r="EI613" s="2"/>
      <c r="EJ613" s="15">
        <f>SUM(EP613,EX613,FB613)</f>
        <v>0</v>
      </c>
      <c r="EK613" s="2"/>
      <c r="EL613" s="15">
        <f>EB613+FD613</f>
        <v>8.4649999999999999</v>
      </c>
      <c r="EM613" s="2" t="s">
        <v>597</v>
      </c>
      <c r="EN613" s="15">
        <f>DR1188</f>
        <v>0</v>
      </c>
      <c r="EO613" s="4" t="e">
        <f>100*(EP613/1000)/EN613</f>
        <v>#DIV/0!</v>
      </c>
      <c r="EP613" s="15">
        <f>DT1188</f>
        <v>0</v>
      </c>
      <c r="EQ613" s="2">
        <f>COUNT(DT1188)</f>
        <v>0</v>
      </c>
      <c r="ER613" s="2" t="s">
        <v>176</v>
      </c>
      <c r="ES613" s="2" t="s">
        <v>176</v>
      </c>
      <c r="ET613" s="2" t="s">
        <v>176</v>
      </c>
      <c r="EU613" s="2" t="s">
        <v>176</v>
      </c>
      <c r="EV613" s="15">
        <f>SUM(DR1186:DR1187)</f>
        <v>0</v>
      </c>
      <c r="EW613" s="4" t="e">
        <f>100*(EX613/1000)/EV613</f>
        <v>#DIV/0!</v>
      </c>
      <c r="EX613" s="15">
        <f>SUM(DT1186:DT1187)</f>
        <v>0</v>
      </c>
      <c r="EY613" s="2">
        <f>COUNT(DT1186:DT1187)</f>
        <v>0</v>
      </c>
      <c r="EZ613" s="2" t="s">
        <v>176</v>
      </c>
      <c r="FA613" s="2" t="s">
        <v>176</v>
      </c>
      <c r="FB613" s="2" t="s">
        <v>176</v>
      </c>
      <c r="FC613" s="2" t="s">
        <v>176</v>
      </c>
      <c r="FD613" s="3">
        <f>SUM(EP613,ET613,EX613,FB613)</f>
        <v>0</v>
      </c>
      <c r="FE613" s="2" t="s">
        <v>176</v>
      </c>
      <c r="FF613" s="2" t="s">
        <v>176</v>
      </c>
      <c r="FG613" s="2" t="s">
        <v>176</v>
      </c>
      <c r="FH613" s="2" t="s">
        <v>176</v>
      </c>
      <c r="FI613" s="2" t="s">
        <v>176</v>
      </c>
      <c r="FJ613" s="2" t="s">
        <v>176</v>
      </c>
      <c r="FK613" s="2" t="s">
        <v>176</v>
      </c>
      <c r="FL613" s="2" t="s">
        <v>176</v>
      </c>
      <c r="FM613" s="15">
        <f>SUM(DX1186:DX1187)</f>
        <v>0</v>
      </c>
      <c r="FN613" s="2" t="s">
        <v>176</v>
      </c>
      <c r="FO613" s="15">
        <f>SUM(FG613,FK613,FM613,FN613)</f>
        <v>0</v>
      </c>
      <c r="FP613" s="2" t="s">
        <v>597</v>
      </c>
      <c r="FQ613" s="2" t="s">
        <v>3</v>
      </c>
      <c r="FR613" s="2" t="s">
        <v>37</v>
      </c>
      <c r="FS613" s="2" t="s">
        <v>114</v>
      </c>
      <c r="FT613" s="2" t="s">
        <v>114</v>
      </c>
      <c r="FU613" s="2"/>
      <c r="FV613" s="2" t="s">
        <v>3</v>
      </c>
    </row>
    <row r="614" spans="1:178" ht="15.75" customHeight="1" x14ac:dyDescent="0.2">
      <c r="A614" s="14" t="s">
        <v>143</v>
      </c>
      <c r="B614" s="2" t="s">
        <v>85</v>
      </c>
      <c r="C614" s="16" t="s">
        <v>1317</v>
      </c>
      <c r="D614" s="2"/>
      <c r="E614" s="2"/>
      <c r="F614" s="2"/>
      <c r="G614" s="2"/>
      <c r="H614" s="2" t="s">
        <v>511</v>
      </c>
      <c r="I614" s="2"/>
      <c r="J614" s="2"/>
      <c r="K614" s="2">
        <v>0</v>
      </c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>
        <v>0</v>
      </c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>
        <v>16.3</v>
      </c>
      <c r="BB614" s="4">
        <v>0.02</v>
      </c>
      <c r="BC614" s="4">
        <v>0.11</v>
      </c>
      <c r="BD614" s="2"/>
      <c r="BE614" s="2"/>
      <c r="BF614" s="2"/>
      <c r="BG614" s="2"/>
      <c r="BH614" s="2"/>
      <c r="BI614" s="4">
        <v>0.05</v>
      </c>
      <c r="BJ614" s="2"/>
      <c r="BK614" s="4">
        <v>2.96</v>
      </c>
      <c r="BL614" s="4">
        <v>1.36</v>
      </c>
      <c r="BM614" s="4">
        <v>0.35</v>
      </c>
      <c r="BN614" s="4"/>
      <c r="BO614" s="4"/>
      <c r="BP614" s="2"/>
      <c r="BQ614" s="2"/>
      <c r="BR614" s="2"/>
      <c r="BS614" s="2"/>
      <c r="BT614" s="2"/>
      <c r="BU614" s="2"/>
      <c r="BV614" s="2">
        <v>0</v>
      </c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>
        <v>0</v>
      </c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14" t="s">
        <v>81</v>
      </c>
      <c r="DM614" s="2"/>
      <c r="DN614" s="2">
        <f t="shared" si="104"/>
        <v>0.05</v>
      </c>
      <c r="DO614" s="2">
        <f t="shared" si="105"/>
        <v>0</v>
      </c>
      <c r="DP614" s="2" t="s">
        <v>512</v>
      </c>
      <c r="DQ614" s="2" t="s">
        <v>3</v>
      </c>
      <c r="DR614" s="2">
        <f t="shared" si="106"/>
        <v>16.3</v>
      </c>
      <c r="DS614" s="4">
        <f t="shared" si="107"/>
        <v>0.05</v>
      </c>
      <c r="DT614" s="15">
        <f t="shared" si="108"/>
        <v>8.15</v>
      </c>
      <c r="DU614" s="2"/>
      <c r="DV614" s="2">
        <f t="shared" si="109"/>
        <v>0</v>
      </c>
      <c r="DW614" s="2"/>
      <c r="DX614" s="2"/>
      <c r="DY614" s="2"/>
      <c r="DZ614" s="2" t="s">
        <v>3</v>
      </c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 t="s">
        <v>3</v>
      </c>
      <c r="FR614" s="2" t="s">
        <v>89</v>
      </c>
      <c r="FS614" s="2" t="s">
        <v>90</v>
      </c>
      <c r="FT614" s="2" t="s">
        <v>91</v>
      </c>
      <c r="FU614" s="2" t="s">
        <v>92</v>
      </c>
      <c r="FV614" s="2" t="s">
        <v>3</v>
      </c>
    </row>
    <row r="615" spans="1:178" ht="15.75" customHeight="1" x14ac:dyDescent="0.2">
      <c r="A615" s="14" t="s">
        <v>74</v>
      </c>
      <c r="B615" s="2" t="s">
        <v>469</v>
      </c>
      <c r="C615" s="13" t="s">
        <v>1318</v>
      </c>
      <c r="D615" s="2" t="s">
        <v>99</v>
      </c>
      <c r="E615" s="29">
        <f>-9-30/60</f>
        <v>-9.5</v>
      </c>
      <c r="F615" s="29">
        <f>148+34/60</f>
        <v>148.56666666666666</v>
      </c>
      <c r="G615" s="2" t="s">
        <v>78</v>
      </c>
      <c r="H615" s="2" t="s">
        <v>1319</v>
      </c>
      <c r="I615" s="2"/>
      <c r="J615" s="2" t="s">
        <v>242</v>
      </c>
      <c r="K615" s="2">
        <v>0</v>
      </c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>
        <v>72</v>
      </c>
      <c r="AG615" s="2"/>
      <c r="AH615" s="2"/>
      <c r="AI615" s="2"/>
      <c r="AJ615" s="2"/>
      <c r="AK615" s="2"/>
      <c r="AL615" s="2"/>
      <c r="AM615" s="2"/>
      <c r="AN615" s="2">
        <v>1.03</v>
      </c>
      <c r="AO615" s="2">
        <v>7.0000000000000007E-2</v>
      </c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>
        <v>53</v>
      </c>
      <c r="BB615" s="2"/>
      <c r="BC615" s="2"/>
      <c r="BD615" s="2"/>
      <c r="BE615" s="2"/>
      <c r="BF615" s="2"/>
      <c r="BG615" s="2"/>
      <c r="BH615" s="2"/>
      <c r="BI615" s="2">
        <v>1.08</v>
      </c>
      <c r="BJ615" s="2">
        <v>0.06</v>
      </c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>
        <v>0</v>
      </c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>
        <v>0</v>
      </c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14" t="s">
        <v>81</v>
      </c>
      <c r="DM615" s="2" t="s">
        <v>81</v>
      </c>
      <c r="DN615" s="2">
        <f t="shared" si="104"/>
        <v>1.0512000000000001</v>
      </c>
      <c r="DO615" s="2">
        <f t="shared" si="105"/>
        <v>6.5759999999999999E-2</v>
      </c>
      <c r="DP615" s="2" t="s">
        <v>211</v>
      </c>
      <c r="DQ615" s="2" t="s">
        <v>3</v>
      </c>
      <c r="DR615" s="2">
        <f t="shared" si="106"/>
        <v>125</v>
      </c>
      <c r="DS615" s="4">
        <f t="shared" si="107"/>
        <v>1.0512000000000001</v>
      </c>
      <c r="DT615" s="18">
        <f t="shared" si="108"/>
        <v>1314.0000000000002</v>
      </c>
      <c r="DU615" s="2"/>
      <c r="DV615" s="2">
        <f t="shared" si="109"/>
        <v>0</v>
      </c>
      <c r="DW615" s="2"/>
      <c r="DX615" s="2"/>
      <c r="DY615" s="2"/>
      <c r="DZ615" s="2" t="s">
        <v>3</v>
      </c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 t="s">
        <v>3</v>
      </c>
      <c r="FR615" s="2" t="s">
        <v>37</v>
      </c>
      <c r="FS615" s="2" t="s">
        <v>235</v>
      </c>
      <c r="FT615" s="2" t="s">
        <v>235</v>
      </c>
      <c r="FU615" s="2"/>
      <c r="FV615" s="2" t="s">
        <v>3</v>
      </c>
    </row>
    <row r="616" spans="1:178" ht="15.75" customHeight="1" x14ac:dyDescent="0.2">
      <c r="A616" s="14" t="s">
        <v>74</v>
      </c>
      <c r="B616" s="2" t="s">
        <v>164</v>
      </c>
      <c r="C616" s="13" t="s">
        <v>1320</v>
      </c>
      <c r="D616" s="2" t="s">
        <v>99</v>
      </c>
      <c r="E616" s="2"/>
      <c r="F616" s="2"/>
      <c r="G616" s="2" t="s">
        <v>78</v>
      </c>
      <c r="H616" s="2" t="s">
        <v>1321</v>
      </c>
      <c r="I616" s="2"/>
      <c r="J616" s="2" t="s">
        <v>242</v>
      </c>
      <c r="K616" s="2">
        <v>0</v>
      </c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>
        <v>0</v>
      </c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>
        <v>0.7</v>
      </c>
      <c r="BB616" s="2"/>
      <c r="BC616" s="2"/>
      <c r="BD616" s="2"/>
      <c r="BE616" s="2"/>
      <c r="BF616" s="2"/>
      <c r="BG616" s="2"/>
      <c r="BH616" s="2"/>
      <c r="BI616" s="2">
        <v>0.83</v>
      </c>
      <c r="BJ616" s="2">
        <v>0.04</v>
      </c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>
        <v>0</v>
      </c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>
        <v>0</v>
      </c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14" t="s">
        <v>81</v>
      </c>
      <c r="DM616" s="2" t="s">
        <v>81</v>
      </c>
      <c r="DN616" s="2">
        <f t="shared" si="104"/>
        <v>0.83</v>
      </c>
      <c r="DO616" s="2">
        <f t="shared" si="105"/>
        <v>0.04</v>
      </c>
      <c r="DP616" s="2" t="s">
        <v>175</v>
      </c>
      <c r="DQ616" s="2" t="s">
        <v>3</v>
      </c>
      <c r="DR616" s="2">
        <f t="shared" si="106"/>
        <v>0.7</v>
      </c>
      <c r="DS616" s="2">
        <f t="shared" si="107"/>
        <v>0.83</v>
      </c>
      <c r="DT616" s="15">
        <f t="shared" si="108"/>
        <v>5.81</v>
      </c>
      <c r="DU616" s="2"/>
      <c r="DV616" s="2">
        <f t="shared" si="109"/>
        <v>0</v>
      </c>
      <c r="DW616" s="2"/>
      <c r="DX616" s="2"/>
      <c r="DY616" s="2"/>
      <c r="DZ616" s="2" t="s">
        <v>3</v>
      </c>
      <c r="EA616" s="2" t="s">
        <v>85</v>
      </c>
      <c r="EB616" s="3">
        <v>1648.462</v>
      </c>
      <c r="EC616" s="2" t="s">
        <v>176</v>
      </c>
      <c r="ED616" s="15">
        <v>349.411</v>
      </c>
      <c r="EE616" s="2" t="s">
        <v>176</v>
      </c>
      <c r="EF616" s="3">
        <v>33216.287094229294</v>
      </c>
      <c r="EG616" s="2" t="s">
        <v>176</v>
      </c>
      <c r="EH616" s="3">
        <f>EF616-ED616</f>
        <v>32866.876094229294</v>
      </c>
      <c r="EI616" s="2"/>
      <c r="EJ616" s="3">
        <f>SUM(EP616,EX616,FB616)</f>
        <v>0</v>
      </c>
      <c r="EK616" s="2"/>
      <c r="EL616" s="3">
        <f>EB616+FD616</f>
        <v>1648.462</v>
      </c>
      <c r="EM616" s="2" t="s">
        <v>85</v>
      </c>
      <c r="EN616" s="3">
        <f>SUM(DR1079:DR1147)</f>
        <v>0</v>
      </c>
      <c r="EO616" s="4" t="e">
        <f>100*(EP616/1000)/EN616</f>
        <v>#DIV/0!</v>
      </c>
      <c r="EP616" s="3">
        <f>SUM(DT1079:DT1147)</f>
        <v>0</v>
      </c>
      <c r="EQ616" s="2">
        <f>COUNT(DT1079:DT1147)</f>
        <v>0</v>
      </c>
      <c r="ER616" s="2" t="s">
        <v>176</v>
      </c>
      <c r="ES616" s="2" t="s">
        <v>176</v>
      </c>
      <c r="ET616" s="2" t="s">
        <v>176</v>
      </c>
      <c r="EU616" s="2" t="s">
        <v>176</v>
      </c>
      <c r="EV616" s="2" t="s">
        <v>176</v>
      </c>
      <c r="EW616" s="2" t="s">
        <v>176</v>
      </c>
      <c r="EX616" s="2" t="s">
        <v>176</v>
      </c>
      <c r="EY616" s="2" t="s">
        <v>176</v>
      </c>
      <c r="EZ616" s="2" t="s">
        <v>176</v>
      </c>
      <c r="FA616" s="2" t="s">
        <v>176</v>
      </c>
      <c r="FB616" s="2" t="s">
        <v>176</v>
      </c>
      <c r="FC616" s="2" t="s">
        <v>176</v>
      </c>
      <c r="FD616" s="3">
        <f>SUM(EP616,ET616,EX616,FB616)</f>
        <v>0</v>
      </c>
      <c r="FE616" s="3">
        <f>SUM(DV1079:DV1147)</f>
        <v>0</v>
      </c>
      <c r="FF616" s="4" t="e">
        <f>100*(FG616/1000)/FE616</f>
        <v>#DIV/0!</v>
      </c>
      <c r="FG616" s="3">
        <f>SUM(DX1079:DX1147)</f>
        <v>0</v>
      </c>
      <c r="FH616" s="2">
        <f>COUNT(DX1079:DX1147)</f>
        <v>0</v>
      </c>
      <c r="FI616" s="2" t="s">
        <v>176</v>
      </c>
      <c r="FJ616" s="2" t="s">
        <v>176</v>
      </c>
      <c r="FK616" s="2" t="s">
        <v>176</v>
      </c>
      <c r="FL616" s="2" t="s">
        <v>176</v>
      </c>
      <c r="FM616" s="2" t="s">
        <v>176</v>
      </c>
      <c r="FN616" s="2" t="s">
        <v>176</v>
      </c>
      <c r="FO616" s="3">
        <f>SUM(FG616,FK616,FM616,FN616)</f>
        <v>0</v>
      </c>
      <c r="FP616" s="2" t="s">
        <v>85</v>
      </c>
      <c r="FQ616" s="2" t="s">
        <v>3</v>
      </c>
      <c r="FR616" s="2" t="s">
        <v>37</v>
      </c>
      <c r="FS616" s="2" t="s">
        <v>208</v>
      </c>
      <c r="FT616" s="2"/>
      <c r="FU616" s="2"/>
      <c r="FV616" s="2" t="s">
        <v>3</v>
      </c>
    </row>
    <row r="617" spans="1:178" ht="15.75" customHeight="1" x14ac:dyDescent="0.2">
      <c r="A617" s="14" t="s">
        <v>96</v>
      </c>
      <c r="B617" s="24" t="s">
        <v>202</v>
      </c>
      <c r="C617" s="16" t="s">
        <v>1322</v>
      </c>
      <c r="D617" s="2"/>
      <c r="E617" s="2"/>
      <c r="F617" s="2"/>
      <c r="G617" s="2"/>
      <c r="H617" s="2" t="s">
        <v>79</v>
      </c>
      <c r="I617" s="2"/>
      <c r="J617" s="2"/>
      <c r="K617" s="2">
        <v>0</v>
      </c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>
        <v>0</v>
      </c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>
        <v>157</v>
      </c>
      <c r="BB617" s="2">
        <v>0.14000000000000001</v>
      </c>
      <c r="BC617" s="2"/>
      <c r="BD617" s="2"/>
      <c r="BE617" s="2"/>
      <c r="BF617" s="2"/>
      <c r="BG617" s="2"/>
      <c r="BH617" s="2"/>
      <c r="BI617" s="2">
        <v>0.64</v>
      </c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14" t="s">
        <v>100</v>
      </c>
      <c r="DM617" s="2"/>
      <c r="DN617" s="2">
        <f t="shared" si="104"/>
        <v>0.64</v>
      </c>
      <c r="DO617" s="2">
        <f t="shared" si="105"/>
        <v>0</v>
      </c>
      <c r="DP617" s="2" t="s">
        <v>204</v>
      </c>
      <c r="DQ617" s="2" t="s">
        <v>3</v>
      </c>
      <c r="DR617" s="2">
        <f t="shared" si="106"/>
        <v>157</v>
      </c>
      <c r="DS617" s="2">
        <f t="shared" si="107"/>
        <v>0.64</v>
      </c>
      <c r="DT617" s="18">
        <f t="shared" si="108"/>
        <v>1004.8</v>
      </c>
      <c r="DU617" s="2"/>
      <c r="DV617" s="2">
        <f t="shared" si="109"/>
        <v>0</v>
      </c>
      <c r="DW617" s="2"/>
      <c r="DX617" s="2"/>
      <c r="DY617" s="2"/>
      <c r="DZ617" s="2" t="s">
        <v>3</v>
      </c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 t="s">
        <v>3</v>
      </c>
      <c r="FR617" s="2" t="s">
        <v>89</v>
      </c>
      <c r="FS617" s="2" t="s">
        <v>123</v>
      </c>
      <c r="FT617" s="2"/>
      <c r="FU617" s="2"/>
      <c r="FV617" s="2" t="s">
        <v>3</v>
      </c>
    </row>
    <row r="618" spans="1:178" ht="15.75" customHeight="1" x14ac:dyDescent="0.2">
      <c r="A618" s="14" t="s">
        <v>96</v>
      </c>
      <c r="B618" s="2" t="s">
        <v>164</v>
      </c>
      <c r="C618" s="16" t="s">
        <v>1323</v>
      </c>
      <c r="D618" s="2" t="s">
        <v>99</v>
      </c>
      <c r="E618" s="2"/>
      <c r="F618" s="2"/>
      <c r="G618" s="2" t="s">
        <v>78</v>
      </c>
      <c r="H618" s="2" t="s">
        <v>367</v>
      </c>
      <c r="I618" s="2"/>
      <c r="J618" s="2" t="s">
        <v>181</v>
      </c>
      <c r="K618" s="2">
        <v>156</v>
      </c>
      <c r="L618" s="2"/>
      <c r="M618" s="2"/>
      <c r="N618" s="2"/>
      <c r="O618" s="2"/>
      <c r="P618" s="2"/>
      <c r="Q618" s="2"/>
      <c r="R618" s="2"/>
      <c r="S618" s="2">
        <v>0.59</v>
      </c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>
        <v>113</v>
      </c>
      <c r="AG618" s="2"/>
      <c r="AH618" s="2"/>
      <c r="AI618" s="2"/>
      <c r="AJ618" s="2"/>
      <c r="AK618" s="2"/>
      <c r="AL618" s="2"/>
      <c r="AM618" s="2"/>
      <c r="AN618" s="2">
        <v>0.62</v>
      </c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>
        <v>171</v>
      </c>
      <c r="BB618" s="2"/>
      <c r="BC618" s="2"/>
      <c r="BD618" s="2"/>
      <c r="BE618" s="2"/>
      <c r="BF618" s="2"/>
      <c r="BG618" s="2"/>
      <c r="BH618" s="2"/>
      <c r="BI618" s="2">
        <v>0.61</v>
      </c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>
        <v>57</v>
      </c>
      <c r="BW618" s="2"/>
      <c r="BX618" s="2"/>
      <c r="BY618" s="2"/>
      <c r="BZ618" s="2"/>
      <c r="CA618" s="2"/>
      <c r="CB618" s="2"/>
      <c r="CC618" s="2"/>
      <c r="CD618" s="4">
        <v>0.6</v>
      </c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>
        <v>96</v>
      </c>
      <c r="CR618" s="2"/>
      <c r="CS618" s="2"/>
      <c r="CT618" s="2"/>
      <c r="CU618" s="2"/>
      <c r="CV618" s="2"/>
      <c r="CW618" s="2"/>
      <c r="CX618" s="2"/>
      <c r="CY618" s="2">
        <v>0.61</v>
      </c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14" t="s">
        <v>81</v>
      </c>
      <c r="DM618" s="2"/>
      <c r="DN618" s="2">
        <f t="shared" si="104"/>
        <v>0.6054772727272727</v>
      </c>
      <c r="DO618" s="2">
        <f t="shared" si="105"/>
        <v>0</v>
      </c>
      <c r="DP618" s="2" t="s">
        <v>211</v>
      </c>
      <c r="DQ618" s="2" t="s">
        <v>3</v>
      </c>
      <c r="DR618" s="2">
        <f t="shared" si="106"/>
        <v>440</v>
      </c>
      <c r="DS618" s="4">
        <f t="shared" si="107"/>
        <v>0.6054772727272727</v>
      </c>
      <c r="DT618" s="18">
        <f t="shared" si="108"/>
        <v>2664.1</v>
      </c>
      <c r="DU618" s="2"/>
      <c r="DV618" s="2">
        <f t="shared" si="109"/>
        <v>153</v>
      </c>
      <c r="DW618" s="4">
        <f>(BV618*CD618+CQ618*CY618)/DV618</f>
        <v>0.6062745098039215</v>
      </c>
      <c r="DX618" s="15">
        <f>1000*DV618*DW618/100</f>
        <v>927.59999999999991</v>
      </c>
      <c r="DY618" s="2"/>
      <c r="DZ618" s="2" t="s">
        <v>3</v>
      </c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 t="s">
        <v>3</v>
      </c>
      <c r="FR618" s="2" t="s">
        <v>89</v>
      </c>
      <c r="FS618" s="2" t="s">
        <v>137</v>
      </c>
      <c r="FT618" s="2"/>
      <c r="FU618" s="2"/>
      <c r="FV618" s="2" t="s">
        <v>3</v>
      </c>
    </row>
    <row r="619" spans="1:178" ht="15.75" customHeight="1" x14ac:dyDescent="0.2">
      <c r="A619" s="14" t="s">
        <v>96</v>
      </c>
      <c r="B619" s="24" t="s">
        <v>202</v>
      </c>
      <c r="C619" s="16" t="s">
        <v>1324</v>
      </c>
      <c r="D619" s="2"/>
      <c r="E619" s="2"/>
      <c r="F619" s="2"/>
      <c r="G619" s="2"/>
      <c r="H619" s="2" t="s">
        <v>79</v>
      </c>
      <c r="I619" s="2"/>
      <c r="J619" s="2"/>
      <c r="K619" s="2">
        <v>0</v>
      </c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>
        <v>0</v>
      </c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>
        <v>90</v>
      </c>
      <c r="BB619" s="2">
        <v>0.16</v>
      </c>
      <c r="BC619" s="2"/>
      <c r="BD619" s="2"/>
      <c r="BE619" s="2"/>
      <c r="BF619" s="2"/>
      <c r="BG619" s="2"/>
      <c r="BH619" s="2"/>
      <c r="BI619" s="2">
        <v>0.45</v>
      </c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14" t="s">
        <v>100</v>
      </c>
      <c r="DM619" s="2"/>
      <c r="DN619" s="2">
        <f t="shared" si="104"/>
        <v>0.45</v>
      </c>
      <c r="DO619" s="2">
        <f t="shared" si="105"/>
        <v>0</v>
      </c>
      <c r="DP619" s="2" t="s">
        <v>204</v>
      </c>
      <c r="DQ619" s="2" t="s">
        <v>3</v>
      </c>
      <c r="DR619" s="2">
        <f t="shared" si="106"/>
        <v>90</v>
      </c>
      <c r="DS619" s="2">
        <f t="shared" si="107"/>
        <v>0.45</v>
      </c>
      <c r="DT619" s="15">
        <f t="shared" si="108"/>
        <v>405</v>
      </c>
      <c r="DU619" s="2"/>
      <c r="DV619" s="2">
        <f t="shared" si="109"/>
        <v>0</v>
      </c>
      <c r="DW619" s="2"/>
      <c r="DX619" s="2"/>
      <c r="DY619" s="2"/>
      <c r="DZ619" s="2" t="s">
        <v>3</v>
      </c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 t="s">
        <v>3</v>
      </c>
      <c r="FR619" s="2" t="s">
        <v>89</v>
      </c>
      <c r="FS619" s="2" t="s">
        <v>123</v>
      </c>
      <c r="FT619" s="2" t="s">
        <v>205</v>
      </c>
      <c r="FU619" s="2"/>
      <c r="FV619" s="2" t="s">
        <v>3</v>
      </c>
    </row>
    <row r="620" spans="1:178" ht="15.75" customHeight="1" x14ac:dyDescent="0.2">
      <c r="A620" s="14" t="s">
        <v>74</v>
      </c>
      <c r="B620" s="2" t="s">
        <v>164</v>
      </c>
      <c r="C620" s="13" t="s">
        <v>1325</v>
      </c>
      <c r="D620" s="2" t="s">
        <v>99</v>
      </c>
      <c r="E620" s="2"/>
      <c r="F620" s="2"/>
      <c r="G620" s="2" t="s">
        <v>78</v>
      </c>
      <c r="H620" s="2" t="s">
        <v>309</v>
      </c>
      <c r="I620" s="2"/>
      <c r="J620" s="2" t="s">
        <v>80</v>
      </c>
      <c r="K620" s="2">
        <v>0</v>
      </c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>
        <v>0</v>
      </c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>
        <f>3.444+4.338</f>
        <v>7.782</v>
      </c>
      <c r="BB620" s="2"/>
      <c r="BC620" s="2"/>
      <c r="BD620" s="2"/>
      <c r="BE620" s="2"/>
      <c r="BF620" s="2"/>
      <c r="BG620" s="2"/>
      <c r="BH620" s="2"/>
      <c r="BI620" s="4">
        <f>(1.04*3.444+0.97*4.338)/BA620</f>
        <v>1.0009791827293755</v>
      </c>
      <c r="BJ620" s="19">
        <f>(0.079*3.444+0.084*4.338)/BA620</f>
        <v>8.1787201233616047E-2</v>
      </c>
      <c r="BK620" s="2"/>
      <c r="BL620" s="2"/>
      <c r="BM620" s="2"/>
      <c r="BN620" s="2"/>
      <c r="BO620" s="2"/>
      <c r="BP620" s="2"/>
      <c r="BQ620" s="15">
        <f>(18.1*3.444+21.1*4.338)/BA620</f>
        <v>19.772320740169622</v>
      </c>
      <c r="BR620" s="2"/>
      <c r="BS620" s="2"/>
      <c r="BT620" s="2"/>
      <c r="BU620" s="2"/>
      <c r="BV620" s="2">
        <v>0</v>
      </c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>
        <v>0</v>
      </c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14" t="s">
        <v>81</v>
      </c>
      <c r="DM620" s="2" t="s">
        <v>81</v>
      </c>
      <c r="DN620" s="2">
        <f t="shared" si="104"/>
        <v>1.0009791827293755</v>
      </c>
      <c r="DO620" s="2">
        <f t="shared" si="105"/>
        <v>8.1787201233616047E-2</v>
      </c>
      <c r="DP620" s="2" t="s">
        <v>175</v>
      </c>
      <c r="DQ620" s="2" t="s">
        <v>3</v>
      </c>
      <c r="DR620" s="2">
        <f t="shared" si="106"/>
        <v>7.782</v>
      </c>
      <c r="DS620" s="4">
        <f t="shared" si="107"/>
        <v>1.0009791827293755</v>
      </c>
      <c r="DT620" s="15">
        <f t="shared" si="108"/>
        <v>77.896199999999993</v>
      </c>
      <c r="DU620" s="2"/>
      <c r="DV620" s="2">
        <f t="shared" si="109"/>
        <v>0</v>
      </c>
      <c r="DW620" s="2"/>
      <c r="DX620" s="2"/>
      <c r="DY620" s="2"/>
      <c r="DZ620" s="2" t="s">
        <v>3</v>
      </c>
      <c r="EA620" s="2" t="s">
        <v>547</v>
      </c>
      <c r="EB620" s="2" t="s">
        <v>176</v>
      </c>
      <c r="EC620" s="2" t="s">
        <v>176</v>
      </c>
      <c r="ED620" s="2" t="s">
        <v>176</v>
      </c>
      <c r="EE620" s="2" t="s">
        <v>176</v>
      </c>
      <c r="EF620" s="2" t="s">
        <v>176</v>
      </c>
      <c r="EG620" s="3">
        <v>1050</v>
      </c>
      <c r="EH620" s="2"/>
      <c r="EI620" s="3">
        <v>1050</v>
      </c>
      <c r="EJ620" s="2"/>
      <c r="EK620" s="3">
        <f>ET620</f>
        <v>0</v>
      </c>
      <c r="EL620" s="3">
        <f>FD620</f>
        <v>0</v>
      </c>
      <c r="EM620" s="2" t="s">
        <v>547</v>
      </c>
      <c r="EN620" s="2" t="s">
        <v>176</v>
      </c>
      <c r="EO620" s="2" t="s">
        <v>176</v>
      </c>
      <c r="EP620" s="2" t="s">
        <v>176</v>
      </c>
      <c r="EQ620" s="2" t="s">
        <v>176</v>
      </c>
      <c r="ER620" s="15">
        <f>DR992</f>
        <v>0</v>
      </c>
      <c r="ES620" s="4" t="e">
        <f>100*(ET620/1000)/ER620</f>
        <v>#DIV/0!</v>
      </c>
      <c r="ET620" s="3">
        <f>DT992</f>
        <v>0</v>
      </c>
      <c r="EU620" s="2">
        <f>COUNT(DT992)</f>
        <v>0</v>
      </c>
      <c r="EV620" s="2" t="s">
        <v>176</v>
      </c>
      <c r="EW620" s="2" t="s">
        <v>176</v>
      </c>
      <c r="EX620" s="2" t="s">
        <v>176</v>
      </c>
      <c r="EY620" s="2" t="s">
        <v>176</v>
      </c>
      <c r="EZ620" s="2" t="s">
        <v>176</v>
      </c>
      <c r="FA620" s="2" t="s">
        <v>176</v>
      </c>
      <c r="FB620" s="2" t="s">
        <v>176</v>
      </c>
      <c r="FC620" s="2" t="s">
        <v>176</v>
      </c>
      <c r="FD620" s="3">
        <f>SUM(EP620,ET620,EX620,FB620)</f>
        <v>0</v>
      </c>
      <c r="FE620" s="2" t="s">
        <v>176</v>
      </c>
      <c r="FF620" s="2" t="s">
        <v>176</v>
      </c>
      <c r="FG620" s="2" t="s">
        <v>176</v>
      </c>
      <c r="FH620" s="2" t="s">
        <v>176</v>
      </c>
      <c r="FI620" s="2" t="s">
        <v>176</v>
      </c>
      <c r="FJ620" s="2" t="s">
        <v>176</v>
      </c>
      <c r="FK620" s="2" t="s">
        <v>176</v>
      </c>
      <c r="FL620" s="2" t="s">
        <v>176</v>
      </c>
      <c r="FM620" s="2" t="s">
        <v>176</v>
      </c>
      <c r="FN620" s="2" t="s">
        <v>176</v>
      </c>
      <c r="FO620" s="2" t="s">
        <v>176</v>
      </c>
      <c r="FP620" s="2" t="s">
        <v>547</v>
      </c>
      <c r="FQ620" s="2" t="s">
        <v>3</v>
      </c>
      <c r="FR620" s="2" t="s">
        <v>37</v>
      </c>
      <c r="FS620" s="2" t="s">
        <v>244</v>
      </c>
      <c r="FT620" s="2" t="s">
        <v>208</v>
      </c>
      <c r="FU620" s="2"/>
      <c r="FV620" s="2" t="s">
        <v>3</v>
      </c>
    </row>
    <row r="621" spans="1:178" ht="15.75" customHeight="1" x14ac:dyDescent="0.2">
      <c r="A621" s="14" t="s">
        <v>96</v>
      </c>
      <c r="B621" s="2" t="s">
        <v>97</v>
      </c>
      <c r="C621" s="16" t="s">
        <v>1326</v>
      </c>
      <c r="D621" s="2" t="s">
        <v>99</v>
      </c>
      <c r="E621" s="2"/>
      <c r="F621" s="2"/>
      <c r="G621" s="2"/>
      <c r="H621" s="2" t="s">
        <v>79</v>
      </c>
      <c r="I621" s="2"/>
      <c r="J621" s="2"/>
      <c r="K621" s="2">
        <v>0</v>
      </c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>
        <v>0</v>
      </c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>
        <v>0.56000000000000005</v>
      </c>
      <c r="BB621" s="2">
        <v>0.15</v>
      </c>
      <c r="BC621" s="2"/>
      <c r="BD621" s="2"/>
      <c r="BE621" s="2"/>
      <c r="BF621" s="2"/>
      <c r="BG621" s="2"/>
      <c r="BH621" s="2"/>
      <c r="BI621" s="2">
        <v>0.38</v>
      </c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>
        <v>0</v>
      </c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>
        <v>0</v>
      </c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14" t="s">
        <v>100</v>
      </c>
      <c r="DM621" s="2"/>
      <c r="DN621" s="2">
        <f t="shared" si="104"/>
        <v>0.38</v>
      </c>
      <c r="DO621" s="2">
        <f t="shared" si="105"/>
        <v>0</v>
      </c>
      <c r="DP621" s="2" t="s">
        <v>521</v>
      </c>
      <c r="DQ621" s="2" t="s">
        <v>3</v>
      </c>
      <c r="DR621" s="2">
        <f t="shared" si="106"/>
        <v>0.56000000000000005</v>
      </c>
      <c r="DS621" s="2">
        <f t="shared" si="107"/>
        <v>0.38</v>
      </c>
      <c r="DT621" s="15">
        <f t="shared" si="108"/>
        <v>2.1280000000000001</v>
      </c>
      <c r="DU621" s="2"/>
      <c r="DV621" s="2">
        <f t="shared" si="109"/>
        <v>0</v>
      </c>
      <c r="DW621" s="2"/>
      <c r="DX621" s="2"/>
      <c r="DY621" s="2"/>
      <c r="DZ621" s="2" t="s">
        <v>3</v>
      </c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 t="s">
        <v>3</v>
      </c>
      <c r="FR621" s="2" t="s">
        <v>89</v>
      </c>
      <c r="FS621" s="2" t="s">
        <v>123</v>
      </c>
      <c r="FT621" s="2"/>
      <c r="FU621" s="2"/>
      <c r="FV621" s="2" t="s">
        <v>3</v>
      </c>
    </row>
    <row r="622" spans="1:178" ht="15.75" customHeight="1" x14ac:dyDescent="0.2">
      <c r="A622" s="12" t="s">
        <v>74</v>
      </c>
      <c r="B622" s="2" t="s">
        <v>75</v>
      </c>
      <c r="C622" s="13" t="s">
        <v>1327</v>
      </c>
      <c r="D622" s="27" t="s">
        <v>99</v>
      </c>
      <c r="E622" s="2"/>
      <c r="F622" s="2"/>
      <c r="G622" s="2" t="s">
        <v>78</v>
      </c>
      <c r="H622" s="2" t="s">
        <v>79</v>
      </c>
      <c r="I622" s="2"/>
      <c r="J622" s="2" t="s">
        <v>292</v>
      </c>
      <c r="K622" s="2">
        <v>0</v>
      </c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>
        <v>0</v>
      </c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>
        <v>23.5</v>
      </c>
      <c r="BB622" s="2"/>
      <c r="BC622" s="2"/>
      <c r="BD622" s="2"/>
      <c r="BE622" s="2"/>
      <c r="BF622" s="2"/>
      <c r="BG622" s="2"/>
      <c r="BH622" s="2"/>
      <c r="BI622" s="2">
        <v>1.18</v>
      </c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>
        <v>0</v>
      </c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>
        <v>0</v>
      </c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14" t="s">
        <v>81</v>
      </c>
      <c r="DM622" s="2"/>
      <c r="DN622" s="2">
        <f t="shared" si="104"/>
        <v>1.18</v>
      </c>
      <c r="DO622" s="2">
        <f t="shared" si="105"/>
        <v>0</v>
      </c>
      <c r="DP622" s="2" t="s">
        <v>501</v>
      </c>
      <c r="DQ622" s="2" t="s">
        <v>3</v>
      </c>
      <c r="DR622" s="2">
        <f t="shared" si="106"/>
        <v>23.5</v>
      </c>
      <c r="DS622" s="4">
        <f t="shared" si="107"/>
        <v>1.18</v>
      </c>
      <c r="DT622" s="15">
        <f t="shared" si="108"/>
        <v>277.3</v>
      </c>
      <c r="DU622" s="2"/>
      <c r="DV622" s="2">
        <f t="shared" si="109"/>
        <v>0</v>
      </c>
      <c r="DW622" s="2"/>
      <c r="DX622" s="2"/>
      <c r="DY622" s="2"/>
      <c r="DZ622" s="2" t="s">
        <v>3</v>
      </c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 t="s">
        <v>3</v>
      </c>
      <c r="FR622" s="2" t="s">
        <v>37</v>
      </c>
      <c r="FS622" s="2" t="s">
        <v>114</v>
      </c>
      <c r="FT622" s="2" t="s">
        <v>114</v>
      </c>
      <c r="FU622" s="2"/>
      <c r="FV622" s="2" t="s">
        <v>3</v>
      </c>
    </row>
    <row r="623" spans="1:178" ht="15.75" customHeight="1" x14ac:dyDescent="0.2">
      <c r="A623" s="12" t="s">
        <v>74</v>
      </c>
      <c r="B623" s="2" t="s">
        <v>75</v>
      </c>
      <c r="C623" s="13" t="s">
        <v>1328</v>
      </c>
      <c r="D623" s="2" t="s">
        <v>99</v>
      </c>
      <c r="E623" s="2"/>
      <c r="F623" s="2"/>
      <c r="G623" s="2" t="s">
        <v>78</v>
      </c>
      <c r="H623" s="2" t="s">
        <v>79</v>
      </c>
      <c r="I623" s="2"/>
      <c r="J623" s="2" t="s">
        <v>141</v>
      </c>
      <c r="K623" s="2">
        <v>0</v>
      </c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>
        <v>0</v>
      </c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>
        <v>23</v>
      </c>
      <c r="BB623" s="2"/>
      <c r="BC623" s="2"/>
      <c r="BD623" s="2"/>
      <c r="BE623" s="2"/>
      <c r="BF623" s="2"/>
      <c r="BG623" s="2"/>
      <c r="BH623" s="2"/>
      <c r="BI623" s="2">
        <v>1.75</v>
      </c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>
        <v>0</v>
      </c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>
        <v>0</v>
      </c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14" t="s">
        <v>100</v>
      </c>
      <c r="DM623" s="2"/>
      <c r="DN623" s="2">
        <f t="shared" si="104"/>
        <v>1.75</v>
      </c>
      <c r="DO623" s="2">
        <f t="shared" si="105"/>
        <v>0</v>
      </c>
      <c r="DP623" s="2" t="s">
        <v>317</v>
      </c>
      <c r="DQ623" s="2" t="s">
        <v>3</v>
      </c>
      <c r="DR623" s="2">
        <f t="shared" si="106"/>
        <v>23</v>
      </c>
      <c r="DS623" s="4">
        <f t="shared" si="107"/>
        <v>1.75</v>
      </c>
      <c r="DT623" s="15">
        <f t="shared" si="108"/>
        <v>402.5</v>
      </c>
      <c r="DU623" s="2"/>
      <c r="DV623" s="2">
        <f t="shared" si="109"/>
        <v>0</v>
      </c>
      <c r="DW623" s="2"/>
      <c r="DX623" s="2"/>
      <c r="DY623" s="2"/>
      <c r="DZ623" s="2" t="s">
        <v>3</v>
      </c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 t="s">
        <v>3</v>
      </c>
      <c r="FR623" s="2" t="s">
        <v>37</v>
      </c>
      <c r="FS623" s="2" t="s">
        <v>114</v>
      </c>
      <c r="FT623" s="2" t="s">
        <v>114</v>
      </c>
      <c r="FU623" s="2"/>
      <c r="FV623" s="2" t="s">
        <v>3</v>
      </c>
    </row>
    <row r="624" spans="1:178" ht="15.75" customHeight="1" x14ac:dyDescent="0.2">
      <c r="A624" s="14" t="s">
        <v>96</v>
      </c>
      <c r="B624" s="2" t="s">
        <v>97</v>
      </c>
      <c r="C624" s="32" t="s">
        <v>1329</v>
      </c>
      <c r="D624" s="2" t="s">
        <v>99</v>
      </c>
      <c r="E624" s="2"/>
      <c r="F624" s="2"/>
      <c r="G624" s="2"/>
      <c r="H624" s="2" t="s">
        <v>79</v>
      </c>
      <c r="I624" s="2"/>
      <c r="J624" s="2"/>
      <c r="K624" s="2">
        <v>0</v>
      </c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>
        <v>0</v>
      </c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>
        <v>4.12</v>
      </c>
      <c r="BB624" s="2"/>
      <c r="BC624" s="2"/>
      <c r="BD624" s="2"/>
      <c r="BE624" s="2"/>
      <c r="BF624" s="2"/>
      <c r="BG624" s="2"/>
      <c r="BH624" s="2"/>
      <c r="BI624" s="2">
        <v>0.34</v>
      </c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>
        <v>0</v>
      </c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>
        <v>0</v>
      </c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14" t="s">
        <v>100</v>
      </c>
      <c r="DM624" s="2"/>
      <c r="DN624" s="2">
        <f t="shared" si="104"/>
        <v>0.34</v>
      </c>
      <c r="DO624" s="2">
        <f t="shared" si="105"/>
        <v>0</v>
      </c>
      <c r="DP624" s="2" t="s">
        <v>132</v>
      </c>
      <c r="DQ624" s="2" t="s">
        <v>3</v>
      </c>
      <c r="DR624" s="2">
        <f t="shared" si="106"/>
        <v>4.12</v>
      </c>
      <c r="DS624" s="2">
        <f t="shared" si="107"/>
        <v>0.34</v>
      </c>
      <c r="DT624" s="15">
        <f t="shared" si="108"/>
        <v>14.008000000000003</v>
      </c>
      <c r="DU624" s="2"/>
      <c r="DV624" s="2">
        <f t="shared" si="109"/>
        <v>0</v>
      </c>
      <c r="DW624" s="2"/>
      <c r="DX624" s="2"/>
      <c r="DY624" s="2"/>
      <c r="DZ624" s="2" t="s">
        <v>3</v>
      </c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 t="s">
        <v>3</v>
      </c>
      <c r="FR624" s="2" t="s">
        <v>89</v>
      </c>
      <c r="FS624" s="2" t="s">
        <v>522</v>
      </c>
      <c r="FT624" s="2"/>
      <c r="FU624" s="2"/>
      <c r="FV624" s="2" t="s">
        <v>3</v>
      </c>
    </row>
    <row r="625" spans="1:178" ht="15.75" customHeight="1" x14ac:dyDescent="0.2">
      <c r="A625" s="14" t="s">
        <v>96</v>
      </c>
      <c r="B625" s="24" t="s">
        <v>202</v>
      </c>
      <c r="C625" s="16" t="s">
        <v>1330</v>
      </c>
      <c r="D625" s="2"/>
      <c r="E625" s="2"/>
      <c r="F625" s="2"/>
      <c r="G625" s="2"/>
      <c r="H625" s="2" t="s">
        <v>79</v>
      </c>
      <c r="I625" s="2"/>
      <c r="J625" s="2"/>
      <c r="K625" s="2">
        <v>0</v>
      </c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>
        <v>0</v>
      </c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>
        <v>96</v>
      </c>
      <c r="BB625" s="2">
        <v>0.14000000000000001</v>
      </c>
      <c r="BC625" s="2"/>
      <c r="BD625" s="2"/>
      <c r="BE625" s="2"/>
      <c r="BF625" s="2"/>
      <c r="BG625" s="2"/>
      <c r="BH625" s="2"/>
      <c r="BI625" s="2">
        <v>0.35</v>
      </c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14" t="s">
        <v>100</v>
      </c>
      <c r="DM625" s="2"/>
      <c r="DN625" s="2">
        <f t="shared" si="104"/>
        <v>0.34999999999999992</v>
      </c>
      <c r="DO625" s="2">
        <f t="shared" si="105"/>
        <v>0</v>
      </c>
      <c r="DP625" s="2" t="s">
        <v>204</v>
      </c>
      <c r="DQ625" s="2" t="s">
        <v>3</v>
      </c>
      <c r="DR625" s="2">
        <f t="shared" si="106"/>
        <v>96</v>
      </c>
      <c r="DS625" s="2">
        <f t="shared" si="107"/>
        <v>0.34999999999999992</v>
      </c>
      <c r="DT625" s="15">
        <f t="shared" si="108"/>
        <v>335.99999999999994</v>
      </c>
      <c r="DU625" s="2"/>
      <c r="DV625" s="2">
        <f t="shared" si="109"/>
        <v>0</v>
      </c>
      <c r="DW625" s="2"/>
      <c r="DX625" s="2"/>
      <c r="DY625" s="2"/>
      <c r="DZ625" s="2" t="s">
        <v>3</v>
      </c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 t="s">
        <v>3</v>
      </c>
      <c r="FR625" s="2" t="s">
        <v>89</v>
      </c>
      <c r="FS625" s="2" t="s">
        <v>123</v>
      </c>
      <c r="FT625" s="2"/>
      <c r="FU625" s="2"/>
      <c r="FV625" s="2" t="s">
        <v>3</v>
      </c>
    </row>
    <row r="626" spans="1:178" ht="15.75" customHeight="1" x14ac:dyDescent="0.2">
      <c r="A626" s="14" t="s">
        <v>96</v>
      </c>
      <c r="B626" s="24" t="s">
        <v>202</v>
      </c>
      <c r="C626" s="16" t="s">
        <v>1331</v>
      </c>
      <c r="D626" s="2"/>
      <c r="E626" s="2"/>
      <c r="F626" s="2"/>
      <c r="G626" s="2"/>
      <c r="H626" s="2" t="s">
        <v>79</v>
      </c>
      <c r="I626" s="2"/>
      <c r="J626" s="2"/>
      <c r="K626" s="2">
        <v>0</v>
      </c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>
        <v>0</v>
      </c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>
        <v>6.7</v>
      </c>
      <c r="BB626" s="2">
        <v>0.22</v>
      </c>
      <c r="BC626" s="2"/>
      <c r="BD626" s="2"/>
      <c r="BE626" s="2"/>
      <c r="BF626" s="2"/>
      <c r="BG626" s="2"/>
      <c r="BH626" s="2"/>
      <c r="BI626" s="2">
        <v>0.23</v>
      </c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14" t="s">
        <v>100</v>
      </c>
      <c r="DM626" s="2"/>
      <c r="DN626" s="2">
        <f t="shared" si="104"/>
        <v>0.23</v>
      </c>
      <c r="DO626" s="2">
        <f t="shared" si="105"/>
        <v>0</v>
      </c>
      <c r="DP626" s="2" t="s">
        <v>204</v>
      </c>
      <c r="DQ626" s="2" t="s">
        <v>3</v>
      </c>
      <c r="DR626" s="2">
        <f t="shared" si="106"/>
        <v>6.7</v>
      </c>
      <c r="DS626" s="2">
        <f t="shared" si="107"/>
        <v>0.23</v>
      </c>
      <c r="DT626" s="15">
        <f t="shared" si="108"/>
        <v>15.41</v>
      </c>
      <c r="DU626" s="2"/>
      <c r="DV626" s="2">
        <f t="shared" si="109"/>
        <v>0</v>
      </c>
      <c r="DW626" s="2"/>
      <c r="DX626" s="2"/>
      <c r="DY626" s="2"/>
      <c r="DZ626" s="2" t="s">
        <v>3</v>
      </c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 t="s">
        <v>3</v>
      </c>
      <c r="FR626" s="2" t="s">
        <v>89</v>
      </c>
      <c r="FS626" s="2" t="s">
        <v>123</v>
      </c>
      <c r="FT626" s="2" t="s">
        <v>205</v>
      </c>
      <c r="FU626" s="2"/>
      <c r="FV626" s="2" t="s">
        <v>3</v>
      </c>
    </row>
    <row r="627" spans="1:178" ht="15.75" customHeight="1" x14ac:dyDescent="0.2">
      <c r="A627" s="14" t="s">
        <v>96</v>
      </c>
      <c r="B627" s="2" t="s">
        <v>236</v>
      </c>
      <c r="C627" s="16" t="s">
        <v>1332</v>
      </c>
      <c r="D627" s="2"/>
      <c r="E627" s="2"/>
      <c r="F627" s="2"/>
      <c r="G627" s="2"/>
      <c r="H627" s="2" t="s">
        <v>1333</v>
      </c>
      <c r="I627" s="2"/>
      <c r="J627" s="2"/>
      <c r="K627" s="2">
        <v>181.10000000000002</v>
      </c>
      <c r="L627" s="4">
        <v>7.781336278299282E-2</v>
      </c>
      <c r="M627" s="4">
        <v>0.25274897846493649</v>
      </c>
      <c r="N627" s="2"/>
      <c r="O627" s="2"/>
      <c r="P627" s="2"/>
      <c r="Q627" s="2"/>
      <c r="R627" s="2"/>
      <c r="S627" s="4">
        <v>0.11468801766979568</v>
      </c>
      <c r="T627" s="2"/>
      <c r="U627" s="4">
        <v>1.7395076753175041</v>
      </c>
      <c r="V627" s="4">
        <v>1.3826855880728877</v>
      </c>
      <c r="W627" s="4">
        <v>0.14495897294312532</v>
      </c>
      <c r="X627" s="4">
        <v>0.13009138597459965</v>
      </c>
      <c r="Y627" s="4">
        <v>6.3187244616234123E-2</v>
      </c>
      <c r="Z627" s="2"/>
      <c r="AA627" s="2"/>
      <c r="AB627" s="2"/>
      <c r="AC627" s="2"/>
      <c r="AD627" s="2"/>
      <c r="AE627" s="2"/>
      <c r="AF627" s="2">
        <v>613.4</v>
      </c>
      <c r="AG627" s="4">
        <v>9.414411477013368E-2</v>
      </c>
      <c r="AH627" s="4">
        <v>0.25417732637756768</v>
      </c>
      <c r="AI627" s="2"/>
      <c r="AJ627" s="2"/>
      <c r="AK627" s="2"/>
      <c r="AL627" s="2"/>
      <c r="AM627" s="2"/>
      <c r="AN627" s="4">
        <v>0.12181121617215519</v>
      </c>
      <c r="AO627" s="2"/>
      <c r="AP627" s="4">
        <v>1.7493380697750247</v>
      </c>
      <c r="AQ627" s="4">
        <v>1.3904994913596349</v>
      </c>
      <c r="AR627" s="4">
        <v>0.14577817248125205</v>
      </c>
      <c r="AS627" s="4">
        <v>0.13082656504727749</v>
      </c>
      <c r="AT627" s="4">
        <v>6.354433159439192E-2</v>
      </c>
      <c r="AU627" s="2"/>
      <c r="AV627" s="2"/>
      <c r="AW627" s="2"/>
      <c r="AX627" s="2"/>
      <c r="AY627" s="2"/>
      <c r="AZ627" s="2"/>
      <c r="BA627" s="2">
        <v>207.3</v>
      </c>
      <c r="BB627" s="4">
        <v>9.2233478051133605E-2</v>
      </c>
      <c r="BC627" s="4">
        <v>0.24833941148094546</v>
      </c>
      <c r="BD627" s="2"/>
      <c r="BE627" s="2"/>
      <c r="BF627" s="2"/>
      <c r="BG627" s="2"/>
      <c r="BH627" s="2"/>
      <c r="BI627" s="4">
        <v>0.1222334780511336</v>
      </c>
      <c r="BJ627" s="2"/>
      <c r="BK627" s="4">
        <v>1.7091594790159188</v>
      </c>
      <c r="BL627" s="4">
        <v>1.3585626628075251</v>
      </c>
      <c r="BM627" s="4">
        <v>0.14242995658465987</v>
      </c>
      <c r="BN627" s="4">
        <v>0.12782175590931016</v>
      </c>
      <c r="BO627" s="4">
        <v>6.2084852870236365E-2</v>
      </c>
      <c r="BP627" s="2"/>
      <c r="BQ627" s="2"/>
      <c r="BR627" s="2"/>
      <c r="BS627" s="2"/>
      <c r="BT627" s="2"/>
      <c r="BU627" s="2"/>
      <c r="BV627" s="2">
        <v>93.4</v>
      </c>
      <c r="BW627" s="2">
        <v>7.0000000000000007E-2</v>
      </c>
      <c r="BX627" s="4">
        <v>0.22712000000000002</v>
      </c>
      <c r="BY627" s="2"/>
      <c r="BZ627" s="2"/>
      <c r="CA627" s="2"/>
      <c r="CB627" s="2"/>
      <c r="CC627" s="2"/>
      <c r="CD627" s="4">
        <v>0.1</v>
      </c>
      <c r="CE627" s="2"/>
      <c r="CF627" s="4">
        <v>1.5631200000000001</v>
      </c>
      <c r="CG627" s="4">
        <v>1.24248</v>
      </c>
      <c r="CH627" s="4">
        <v>0.13025999999999999</v>
      </c>
      <c r="CI627" s="4">
        <v>0.1169</v>
      </c>
      <c r="CJ627" s="4">
        <v>5.6780000000000004E-2</v>
      </c>
      <c r="CK627" s="2"/>
      <c r="CL627" s="2"/>
      <c r="CM627" s="2"/>
      <c r="CN627" s="2"/>
      <c r="CO627" s="2"/>
      <c r="CP627" s="2"/>
      <c r="CQ627" s="2">
        <v>132.9</v>
      </c>
      <c r="CR627" s="2">
        <v>7.0000000000000007E-2</v>
      </c>
      <c r="CS627" s="4">
        <v>0.22984000000000002</v>
      </c>
      <c r="CT627" s="2"/>
      <c r="CU627" s="2"/>
      <c r="CV627" s="2"/>
      <c r="CW627" s="2"/>
      <c r="CX627" s="2"/>
      <c r="CY627" s="4">
        <v>0.1</v>
      </c>
      <c r="CZ627" s="2"/>
      <c r="DA627" s="4">
        <v>1.5818400000000001</v>
      </c>
      <c r="DB627" s="4">
        <v>1.25736</v>
      </c>
      <c r="DC627" s="4">
        <v>0.13181999999999999</v>
      </c>
      <c r="DD627" s="4">
        <v>0.1183</v>
      </c>
      <c r="DE627" s="4">
        <v>5.7460000000000004E-2</v>
      </c>
      <c r="DF627" s="2"/>
      <c r="DG627" s="2"/>
      <c r="DH627" s="2"/>
      <c r="DI627" s="2"/>
      <c r="DJ627" s="2"/>
      <c r="DK627" s="2"/>
      <c r="DL627" s="14" t="s">
        <v>81</v>
      </c>
      <c r="DM627" s="2"/>
      <c r="DN627" s="2">
        <f t="shared" si="104"/>
        <v>0.12061090037931722</v>
      </c>
      <c r="DO627" s="2">
        <f t="shared" si="105"/>
        <v>0</v>
      </c>
      <c r="DP627" s="2" t="s">
        <v>95</v>
      </c>
      <c r="DQ627" s="2" t="s">
        <v>3</v>
      </c>
      <c r="DR627" s="3">
        <f t="shared" si="106"/>
        <v>1001.8</v>
      </c>
      <c r="DS627" s="4">
        <f t="shared" si="107"/>
        <v>0.12061090037931722</v>
      </c>
      <c r="DT627" s="18">
        <f t="shared" si="108"/>
        <v>1208.28</v>
      </c>
      <c r="DU627" s="2"/>
      <c r="DV627" s="2">
        <f t="shared" si="109"/>
        <v>226.3</v>
      </c>
      <c r="DW627" s="4">
        <f>(BV627*CD627+CQ627*CY627)/DV627</f>
        <v>0.1</v>
      </c>
      <c r="DX627" s="15">
        <f>1000*DV627*DW627/100</f>
        <v>226.3</v>
      </c>
      <c r="DY627" s="2"/>
      <c r="DZ627" s="2" t="s">
        <v>3</v>
      </c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 t="s">
        <v>3</v>
      </c>
      <c r="FR627" s="2" t="s">
        <v>89</v>
      </c>
      <c r="FS627" s="2" t="s">
        <v>90</v>
      </c>
      <c r="FT627" s="2" t="s">
        <v>91</v>
      </c>
      <c r="FU627" s="2"/>
      <c r="FV627" s="2" t="s">
        <v>3</v>
      </c>
    </row>
    <row r="628" spans="1:178" ht="15.75" customHeight="1" x14ac:dyDescent="0.2">
      <c r="A628" s="14" t="s">
        <v>96</v>
      </c>
      <c r="B628" s="2" t="s">
        <v>97</v>
      </c>
      <c r="C628" s="16" t="s">
        <v>1334</v>
      </c>
      <c r="D628" s="2" t="s">
        <v>99</v>
      </c>
      <c r="E628" s="2"/>
      <c r="F628" s="2"/>
      <c r="G628" s="2"/>
      <c r="H628" s="2" t="s">
        <v>79</v>
      </c>
      <c r="I628" s="2"/>
      <c r="J628" s="2"/>
      <c r="K628" s="2">
        <v>0</v>
      </c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>
        <v>0</v>
      </c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>
        <v>3.0760000000000001</v>
      </c>
      <c r="BB628" s="2"/>
      <c r="BC628" s="2"/>
      <c r="BD628" s="2"/>
      <c r="BE628" s="2"/>
      <c r="BF628" s="2"/>
      <c r="BG628" s="2"/>
      <c r="BH628" s="2"/>
      <c r="BI628" s="2">
        <v>0.52</v>
      </c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>
        <v>0</v>
      </c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>
        <v>0</v>
      </c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14" t="s">
        <v>100</v>
      </c>
      <c r="DM628" s="2"/>
      <c r="DN628" s="2">
        <f t="shared" si="104"/>
        <v>0.52</v>
      </c>
      <c r="DO628" s="2">
        <f t="shared" si="105"/>
        <v>0</v>
      </c>
      <c r="DP628" s="2" t="s">
        <v>132</v>
      </c>
      <c r="DQ628" s="2" t="s">
        <v>3</v>
      </c>
      <c r="DR628" s="2">
        <f t="shared" si="106"/>
        <v>3.0760000000000001</v>
      </c>
      <c r="DS628" s="2">
        <f t="shared" si="107"/>
        <v>0.52</v>
      </c>
      <c r="DT628" s="15">
        <f t="shared" si="108"/>
        <v>15.995200000000001</v>
      </c>
      <c r="DU628" s="2"/>
      <c r="DV628" s="2">
        <f t="shared" si="109"/>
        <v>0</v>
      </c>
      <c r="DW628" s="2"/>
      <c r="DX628" s="2"/>
      <c r="DY628" s="2"/>
      <c r="DZ628" s="2" t="s">
        <v>3</v>
      </c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 t="s">
        <v>3</v>
      </c>
      <c r="FR628" s="2" t="s">
        <v>89</v>
      </c>
      <c r="FS628" s="2" t="s">
        <v>522</v>
      </c>
      <c r="FT628" s="2"/>
      <c r="FU628" s="2"/>
      <c r="FV628" s="2" t="s">
        <v>3</v>
      </c>
    </row>
    <row r="629" spans="1:178" ht="15.75" customHeight="1" x14ac:dyDescent="0.2">
      <c r="A629" s="14" t="s">
        <v>143</v>
      </c>
      <c r="B629" s="2" t="s">
        <v>85</v>
      </c>
      <c r="C629" s="16" t="s">
        <v>1335</v>
      </c>
      <c r="D629" s="2"/>
      <c r="E629" s="2"/>
      <c r="F629" s="2"/>
      <c r="G629" s="2"/>
      <c r="H629" s="2" t="s">
        <v>445</v>
      </c>
      <c r="I629" s="2"/>
      <c r="J629" s="2"/>
      <c r="K629" s="2">
        <v>13.22</v>
      </c>
      <c r="L629" s="4">
        <v>3.2264750378214829E-2</v>
      </c>
      <c r="M629" s="4">
        <v>8.2273403933434186E-2</v>
      </c>
      <c r="N629" s="2"/>
      <c r="O629" s="2"/>
      <c r="P629" s="2"/>
      <c r="Q629" s="2"/>
      <c r="R629" s="2"/>
      <c r="S629" s="4">
        <v>0.13205597579425113</v>
      </c>
      <c r="T629" s="2"/>
      <c r="U629" s="4">
        <v>3.2960441754916792</v>
      </c>
      <c r="V629" s="4">
        <v>1.6871657186081694</v>
      </c>
      <c r="W629" s="4">
        <v>0.48658931921331317</v>
      </c>
      <c r="X629" s="4"/>
      <c r="Y629" s="4"/>
      <c r="Z629" s="15">
        <v>14.833722676247445</v>
      </c>
      <c r="AA629" s="2"/>
      <c r="AB629" s="2"/>
      <c r="AC629" s="2"/>
      <c r="AD629" s="2"/>
      <c r="AE629" s="2"/>
      <c r="AF629" s="2">
        <v>120.7</v>
      </c>
      <c r="AG629" s="4">
        <v>3.8087323943661967E-2</v>
      </c>
      <c r="AH629" s="4">
        <v>0.1002779652029826</v>
      </c>
      <c r="AI629" s="2"/>
      <c r="AJ629" s="2"/>
      <c r="AK629" s="2"/>
      <c r="AL629" s="2"/>
      <c r="AM629" s="2"/>
      <c r="AN629" s="4">
        <v>0.13673686826843412</v>
      </c>
      <c r="AO629" s="2"/>
      <c r="AP629" s="4">
        <v>3.5414482717481355</v>
      </c>
      <c r="AQ629" s="4">
        <v>1.7775399668599834</v>
      </c>
      <c r="AR629" s="4">
        <v>0.47540819552609781</v>
      </c>
      <c r="AS629" s="4"/>
      <c r="AT629" s="4"/>
      <c r="AU629" s="15">
        <v>12.740281403659779</v>
      </c>
      <c r="AV629" s="2"/>
      <c r="AW629" s="2"/>
      <c r="AX629" s="2"/>
      <c r="AY629" s="2"/>
      <c r="AZ629" s="2"/>
      <c r="BA629" s="2">
        <v>414.97</v>
      </c>
      <c r="BB629" s="4">
        <v>4.1342482589102822E-2</v>
      </c>
      <c r="BC629" s="4">
        <v>0.10711648504711183</v>
      </c>
      <c r="BD629" s="2"/>
      <c r="BE629" s="2"/>
      <c r="BF629" s="2"/>
      <c r="BG629" s="2"/>
      <c r="BH629" s="2"/>
      <c r="BI629" s="4">
        <v>0.13935376051280815</v>
      </c>
      <c r="BJ629" s="2"/>
      <c r="BK629" s="4">
        <v>3.6186102874906614</v>
      </c>
      <c r="BL629" s="4">
        <v>1.802463192760922</v>
      </c>
      <c r="BM629" s="4">
        <v>0.46719355640166749</v>
      </c>
      <c r="BN629" s="4"/>
      <c r="BO629" s="4"/>
      <c r="BP629" s="15">
        <v>11.569925481044118</v>
      </c>
      <c r="BQ629" s="2"/>
      <c r="BR629" s="2"/>
      <c r="BS629" s="2"/>
      <c r="BT629" s="2"/>
      <c r="BU629" s="2"/>
      <c r="BV629" s="2">
        <v>14.14</v>
      </c>
      <c r="BW629" s="4">
        <v>3.3659830268741156E-2</v>
      </c>
      <c r="BX629" s="4">
        <v>6.9275714285714274E-2</v>
      </c>
      <c r="BY629" s="2"/>
      <c r="BZ629" s="2"/>
      <c r="CA629" s="2"/>
      <c r="CB629" s="2"/>
      <c r="CC629" s="2"/>
      <c r="CD629" s="4">
        <v>0.13317751060820368</v>
      </c>
      <c r="CE629" s="2"/>
      <c r="CF629" s="4">
        <v>2.7561927722772275</v>
      </c>
      <c r="CG629" s="4">
        <v>1.4094116053748231</v>
      </c>
      <c r="CH629" s="4">
        <v>0.40498553748231952</v>
      </c>
      <c r="CI629" s="4"/>
      <c r="CJ629" s="4"/>
      <c r="CK629" s="15">
        <v>14.196265630542301</v>
      </c>
      <c r="CL629" s="2"/>
      <c r="CM629" s="2"/>
      <c r="CN629" s="2"/>
      <c r="CO629" s="2"/>
      <c r="CP629" s="2"/>
      <c r="CQ629" s="2">
        <v>78.78</v>
      </c>
      <c r="CR629" s="4">
        <v>3.7100152322924594E-2</v>
      </c>
      <c r="CS629" s="4">
        <v>7.4555087585681634E-2</v>
      </c>
      <c r="CT629" s="2"/>
      <c r="CU629" s="2"/>
      <c r="CV629" s="2"/>
      <c r="CW629" s="2"/>
      <c r="CX629" s="2"/>
      <c r="CY629" s="4">
        <v>0.13594325971058643</v>
      </c>
      <c r="CZ629" s="2"/>
      <c r="DA629" s="4">
        <v>2.7828279893373948</v>
      </c>
      <c r="DB629" s="4">
        <v>1.4093552817974104</v>
      </c>
      <c r="DC629" s="4">
        <v>0.39050078827113477</v>
      </c>
      <c r="DD629" s="4"/>
      <c r="DE629" s="4"/>
      <c r="DF629" s="15">
        <v>12.922413008654143</v>
      </c>
      <c r="DG629" s="2"/>
      <c r="DH629" s="2"/>
      <c r="DI629" s="2"/>
      <c r="DJ629" s="2"/>
      <c r="DK629" s="2"/>
      <c r="DL629" s="14" t="s">
        <v>81</v>
      </c>
      <c r="DM629" s="2"/>
      <c r="DN629" s="2">
        <f t="shared" si="104"/>
        <v>0.13860254331468963</v>
      </c>
      <c r="DO629" s="2">
        <f t="shared" si="105"/>
        <v>0</v>
      </c>
      <c r="DP629" s="2" t="s">
        <v>211</v>
      </c>
      <c r="DQ629" s="2" t="s">
        <v>3</v>
      </c>
      <c r="DR629" s="15">
        <f t="shared" si="106"/>
        <v>548.8900000000001</v>
      </c>
      <c r="DS629" s="4">
        <f t="shared" si="107"/>
        <v>0.13860254331468963</v>
      </c>
      <c r="DT629" s="15">
        <f t="shared" si="108"/>
        <v>760.77550000000008</v>
      </c>
      <c r="DU629" s="2"/>
      <c r="DV629" s="2">
        <f t="shared" si="109"/>
        <v>92.92</v>
      </c>
      <c r="DW629" s="4">
        <f>(BV629*CD629+CQ629*CY629)/DV629</f>
        <v>0.13552238484718035</v>
      </c>
      <c r="DX629" s="15">
        <f>1000*DV629*DW629/100</f>
        <v>125.92739999999998</v>
      </c>
      <c r="DY629" s="2"/>
      <c r="DZ629" s="2" t="s">
        <v>3</v>
      </c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 t="s">
        <v>3</v>
      </c>
      <c r="FR629" s="2" t="s">
        <v>89</v>
      </c>
      <c r="FS629" s="2" t="s">
        <v>90</v>
      </c>
      <c r="FT629" s="2" t="s">
        <v>91</v>
      </c>
      <c r="FU629" s="2" t="s">
        <v>92</v>
      </c>
      <c r="FV629" s="2" t="s">
        <v>3</v>
      </c>
    </row>
    <row r="630" spans="1:178" ht="15.75" customHeight="1" x14ac:dyDescent="0.2">
      <c r="A630" s="14" t="s">
        <v>262</v>
      </c>
      <c r="B630" s="2" t="s">
        <v>85</v>
      </c>
      <c r="C630" s="16" t="s">
        <v>1336</v>
      </c>
      <c r="D630" s="2"/>
      <c r="E630" s="2"/>
      <c r="F630" s="2"/>
      <c r="G630" s="2"/>
      <c r="H630" s="2" t="s">
        <v>1337</v>
      </c>
      <c r="I630" s="2"/>
      <c r="J630" s="2"/>
      <c r="K630" s="2">
        <v>0</v>
      </c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>
        <v>0</v>
      </c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>
        <v>77.42</v>
      </c>
      <c r="BB630" s="4">
        <v>6.4352834308755158E-2</v>
      </c>
      <c r="BC630" s="4">
        <v>0.24661038707052438</v>
      </c>
      <c r="BD630" s="2"/>
      <c r="BE630" s="2"/>
      <c r="BF630" s="2"/>
      <c r="BG630" s="2"/>
      <c r="BH630" s="2"/>
      <c r="BI630" s="4">
        <v>0.15861597483212142</v>
      </c>
      <c r="BJ630" s="2"/>
      <c r="BK630" s="4">
        <v>3.3643685826659775</v>
      </c>
      <c r="BL630" s="4">
        <v>2.3737952936450535</v>
      </c>
      <c r="BM630" s="4">
        <v>0.40418513630379749</v>
      </c>
      <c r="BN630" s="4"/>
      <c r="BO630" s="4"/>
      <c r="BP630" s="2"/>
      <c r="BQ630" s="2"/>
      <c r="BR630" s="2"/>
      <c r="BS630" s="2"/>
      <c r="BT630" s="2"/>
      <c r="BU630" s="2"/>
      <c r="BV630" s="2">
        <v>0</v>
      </c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>
        <v>0</v>
      </c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14" t="s">
        <v>81</v>
      </c>
      <c r="DM630" s="2"/>
      <c r="DN630" s="2">
        <f t="shared" si="104"/>
        <v>0.15861597483212142</v>
      </c>
      <c r="DO630" s="2">
        <f t="shared" si="105"/>
        <v>0</v>
      </c>
      <c r="DP630" s="2" t="s">
        <v>95</v>
      </c>
      <c r="DQ630" s="2" t="s">
        <v>3</v>
      </c>
      <c r="DR630" s="2">
        <f t="shared" si="106"/>
        <v>77.42</v>
      </c>
      <c r="DS630" s="4">
        <f t="shared" si="107"/>
        <v>0.15861597483212142</v>
      </c>
      <c r="DT630" s="15">
        <f t="shared" si="108"/>
        <v>122.80048771502841</v>
      </c>
      <c r="DU630" s="2"/>
      <c r="DV630" s="2">
        <f t="shared" si="109"/>
        <v>0</v>
      </c>
      <c r="DW630" s="2"/>
      <c r="DX630" s="2"/>
      <c r="DY630" s="2"/>
      <c r="DZ630" s="2" t="s">
        <v>3</v>
      </c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 t="s">
        <v>3</v>
      </c>
      <c r="FR630" s="2" t="s">
        <v>89</v>
      </c>
      <c r="FS630" s="2" t="s">
        <v>90</v>
      </c>
      <c r="FT630" s="2" t="s">
        <v>91</v>
      </c>
      <c r="FU630" s="2" t="s">
        <v>226</v>
      </c>
      <c r="FV630" s="2" t="s">
        <v>3</v>
      </c>
    </row>
    <row r="631" spans="1:178" ht="15.75" customHeight="1" x14ac:dyDescent="0.2">
      <c r="A631" s="14" t="s">
        <v>96</v>
      </c>
      <c r="B631" s="2" t="s">
        <v>133</v>
      </c>
      <c r="C631" s="16" t="s">
        <v>1338</v>
      </c>
      <c r="D631" s="2" t="s">
        <v>99</v>
      </c>
      <c r="E631" s="2"/>
      <c r="F631" s="2"/>
      <c r="G631" s="2"/>
      <c r="H631" s="2" t="s">
        <v>697</v>
      </c>
      <c r="I631" s="2"/>
      <c r="J631" s="2"/>
      <c r="K631" s="2">
        <v>0</v>
      </c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>
        <v>0</v>
      </c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>
        <v>1.69</v>
      </c>
      <c r="BB631" s="2">
        <v>0.48</v>
      </c>
      <c r="BC631" s="2"/>
      <c r="BD631" s="2"/>
      <c r="BE631" s="2"/>
      <c r="BF631" s="2"/>
      <c r="BG631" s="2"/>
      <c r="BH631" s="2"/>
      <c r="BI631" s="2">
        <v>0.55000000000000004</v>
      </c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>
        <v>0</v>
      </c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>
        <v>0</v>
      </c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14" t="s">
        <v>100</v>
      </c>
      <c r="DM631" s="2"/>
      <c r="DN631" s="2">
        <f t="shared" si="104"/>
        <v>0.55000000000000004</v>
      </c>
      <c r="DO631" s="2">
        <f t="shared" si="105"/>
        <v>0</v>
      </c>
      <c r="DP631" s="2" t="s">
        <v>1339</v>
      </c>
      <c r="DQ631" s="2" t="s">
        <v>3</v>
      </c>
      <c r="DR631" s="2">
        <f t="shared" si="106"/>
        <v>1.69</v>
      </c>
      <c r="DS631" s="2">
        <f t="shared" si="107"/>
        <v>0.55000000000000004</v>
      </c>
      <c r="DT631" s="15">
        <f t="shared" si="108"/>
        <v>9.2950000000000017</v>
      </c>
      <c r="DU631" s="2"/>
      <c r="DV631" s="2">
        <f t="shared" si="109"/>
        <v>0</v>
      </c>
      <c r="DW631" s="2"/>
      <c r="DX631" s="2"/>
      <c r="DY631" s="2"/>
      <c r="DZ631" s="2" t="s">
        <v>3</v>
      </c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 t="s">
        <v>3</v>
      </c>
      <c r="FR631" s="2" t="s">
        <v>89</v>
      </c>
      <c r="FS631" s="2" t="s">
        <v>123</v>
      </c>
      <c r="FT631" s="2"/>
      <c r="FU631" s="2"/>
      <c r="FV631" s="2" t="s">
        <v>3</v>
      </c>
    </row>
    <row r="632" spans="1:178" ht="15.7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 t="s">
        <v>3</v>
      </c>
      <c r="DR632" s="2"/>
      <c r="DS632" s="2"/>
      <c r="DT632" s="2"/>
      <c r="DU632" s="2"/>
      <c r="DV632" s="2"/>
      <c r="DW632" s="2"/>
      <c r="DX632" s="2"/>
      <c r="DY632" s="2"/>
      <c r="DZ632" s="2" t="s">
        <v>3</v>
      </c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 t="s">
        <v>3</v>
      </c>
      <c r="FR632" s="2"/>
      <c r="FS632" s="2"/>
      <c r="FT632" s="2"/>
      <c r="FU632" s="2"/>
      <c r="FV632" s="2" t="s">
        <v>3</v>
      </c>
    </row>
  </sheetData>
  <autoFilter ref="A1:FV632" xr:uid="{00000000-0001-0000-0000-000000000000}"/>
  <mergeCells count="19">
    <mergeCell ref="E2:F2"/>
    <mergeCell ref="K2:BU2"/>
    <mergeCell ref="BV2:DK2"/>
    <mergeCell ref="DR2:DU3"/>
    <mergeCell ref="DV2:DY3"/>
    <mergeCell ref="CQ3:DK3"/>
    <mergeCell ref="EN2:FD2"/>
    <mergeCell ref="FE2:FO2"/>
    <mergeCell ref="K3:AE3"/>
    <mergeCell ref="AF3:AZ3"/>
    <mergeCell ref="BA3:BU3"/>
    <mergeCell ref="BV3:CP3"/>
    <mergeCell ref="DL1:DL4"/>
    <mergeCell ref="DM1:DM4"/>
    <mergeCell ref="EB2:EC2"/>
    <mergeCell ref="ED2:EE2"/>
    <mergeCell ref="EF2:EG2"/>
    <mergeCell ref="EH2:EI2"/>
    <mergeCell ref="EJ2:EK2"/>
  </mergeCells>
  <conditionalFormatting sqref="DL5:DL631">
    <cfRule type="notContainsBlanks" dxfId="191" priority="4">
      <formula>LEN(TRIM(DL5))&gt;0</formula>
    </cfRule>
  </conditionalFormatting>
  <conditionalFormatting sqref="DM5:DM11 DM13:DM18 DM20:DM170 DM193:DM227 DM265:DM334 DM336:DM343 DM345:DM381 DM383:DM385 DM417:DM463 DM465:DM479 DM489:DM491 DM502:DM528 DM567:DM575 DM602:DM631">
    <cfRule type="notContainsBlanks" dxfId="190" priority="3">
      <formula>LEN(TRIM(DM5))&gt;0</formula>
    </cfRule>
  </conditionalFormatting>
  <conditionalFormatting sqref="DM172:DM191">
    <cfRule type="notContainsBlanks" dxfId="189" priority="11">
      <formula>LEN(TRIM(DM172))&gt;0</formula>
    </cfRule>
  </conditionalFormatting>
  <conditionalFormatting sqref="DM229:DM232">
    <cfRule type="notContainsBlanks" dxfId="188" priority="21">
      <formula>LEN(TRIM(DM229))&gt;0</formula>
    </cfRule>
  </conditionalFormatting>
  <conditionalFormatting sqref="DM234">
    <cfRule type="notContainsBlanks" dxfId="187" priority="25">
      <formula>LEN(TRIM(DM234))&gt;0</formula>
    </cfRule>
  </conditionalFormatting>
  <conditionalFormatting sqref="DM236:DM238 DM240:DM256">
    <cfRule type="notContainsBlanks" dxfId="186" priority="29">
      <formula>LEN(TRIM(DM236))&gt;0</formula>
    </cfRule>
  </conditionalFormatting>
  <conditionalFormatting sqref="DM263">
    <cfRule type="notContainsBlanks" dxfId="185" priority="33">
      <formula>LEN(TRIM(DM263))&gt;0</formula>
    </cfRule>
  </conditionalFormatting>
  <conditionalFormatting sqref="DM344">
    <cfRule type="notContainsBlanks" dxfId="184" priority="154">
      <formula>LEN(TRIM(DM344))&gt;0</formula>
    </cfRule>
  </conditionalFormatting>
  <conditionalFormatting sqref="DM387:DM391">
    <cfRule type="notContainsBlanks" dxfId="183" priority="43">
      <formula>LEN(TRIM(DM387))&gt;0</formula>
    </cfRule>
  </conditionalFormatting>
  <conditionalFormatting sqref="DM393:DM396">
    <cfRule type="notContainsBlanks" dxfId="182" priority="158">
      <formula>LEN(TRIM(DM393))&gt;0</formula>
    </cfRule>
  </conditionalFormatting>
  <conditionalFormatting sqref="DM398:DM400">
    <cfRule type="notContainsBlanks" dxfId="181" priority="160">
      <formula>LEN(TRIM(DM398))&gt;0</formula>
    </cfRule>
  </conditionalFormatting>
  <conditionalFormatting sqref="DM402">
    <cfRule type="notContainsBlanks" dxfId="180" priority="52">
      <formula>LEN(TRIM(DM402))&gt;0</formula>
    </cfRule>
  </conditionalFormatting>
  <conditionalFormatting sqref="DM404">
    <cfRule type="notContainsBlanks" dxfId="179" priority="163">
      <formula>LEN(TRIM(DM404))&gt;0</formula>
    </cfRule>
  </conditionalFormatting>
  <conditionalFormatting sqref="DM406">
    <cfRule type="notContainsBlanks" dxfId="178" priority="57">
      <formula>LEN(TRIM(DM406))&gt;0</formula>
    </cfRule>
  </conditionalFormatting>
  <conditionalFormatting sqref="DM408:DM415">
    <cfRule type="notContainsBlanks" dxfId="177" priority="61">
      <formula>LEN(TRIM(DM408))&gt;0</formula>
    </cfRule>
  </conditionalFormatting>
  <conditionalFormatting sqref="DM481:DM487">
    <cfRule type="notContainsBlanks" dxfId="176" priority="72">
      <formula>LEN(TRIM(DM481))&gt;0</formula>
    </cfRule>
  </conditionalFormatting>
  <conditionalFormatting sqref="DM493:DM495">
    <cfRule type="notContainsBlanks" dxfId="175" priority="80">
      <formula>LEN(TRIM(DM493))&gt;0</formula>
    </cfRule>
  </conditionalFormatting>
  <conditionalFormatting sqref="DM497:DM500">
    <cfRule type="notContainsBlanks" dxfId="174" priority="84">
      <formula>LEN(TRIM(DM497))&gt;0</formula>
    </cfRule>
  </conditionalFormatting>
  <conditionalFormatting sqref="DM530">
    <cfRule type="notContainsBlanks" dxfId="173" priority="88">
      <formula>LEN(TRIM(DM530))&gt;0</formula>
    </cfRule>
  </conditionalFormatting>
  <conditionalFormatting sqref="DM532:DM537">
    <cfRule type="notContainsBlanks" dxfId="172" priority="92">
      <formula>LEN(TRIM(DM532))&gt;0</formula>
    </cfRule>
  </conditionalFormatting>
  <conditionalFormatting sqref="DM539">
    <cfRule type="notContainsBlanks" dxfId="171" priority="96">
      <formula>LEN(TRIM(DM539))&gt;0</formula>
    </cfRule>
  </conditionalFormatting>
  <conditionalFormatting sqref="DM541:DM542">
    <cfRule type="notContainsBlanks" dxfId="170" priority="99">
      <formula>LEN(TRIM(DM541))&gt;0</formula>
    </cfRule>
  </conditionalFormatting>
  <conditionalFormatting sqref="DM544:DM547">
    <cfRule type="notContainsBlanks" dxfId="169" priority="105">
      <formula>LEN(TRIM(DM544))&gt;0</formula>
    </cfRule>
  </conditionalFormatting>
  <conditionalFormatting sqref="DM549">
    <cfRule type="notContainsBlanks" dxfId="168" priority="109">
      <formula>LEN(TRIM(DM549))&gt;0</formula>
    </cfRule>
  </conditionalFormatting>
  <conditionalFormatting sqref="DM551">
    <cfRule type="notContainsBlanks" dxfId="167" priority="113">
      <formula>LEN(TRIM(DM551))&gt;0</formula>
    </cfRule>
  </conditionalFormatting>
  <conditionalFormatting sqref="DM553:DM555">
    <cfRule type="notContainsBlanks" dxfId="166" priority="121">
      <formula>LEN(TRIM(DM553))&gt;0</formula>
    </cfRule>
  </conditionalFormatting>
  <conditionalFormatting sqref="DM557:DM558">
    <cfRule type="notContainsBlanks" dxfId="165" priority="124">
      <formula>LEN(TRIM(DM557))&gt;0</formula>
    </cfRule>
  </conditionalFormatting>
  <conditionalFormatting sqref="DM560:DM562">
    <cfRule type="notContainsBlanks" dxfId="164" priority="168">
      <formula>LEN(TRIM(DM560))&gt;0</formula>
    </cfRule>
  </conditionalFormatting>
  <conditionalFormatting sqref="DM564:DM565">
    <cfRule type="notContainsBlanks" dxfId="163" priority="128">
      <formula>LEN(TRIM(DM564))&gt;0</formula>
    </cfRule>
  </conditionalFormatting>
  <conditionalFormatting sqref="DM577:DM581">
    <cfRule type="notContainsBlanks" dxfId="162" priority="117">
      <formula>LEN(TRIM(DM577))&gt;0</formula>
    </cfRule>
  </conditionalFormatting>
  <conditionalFormatting sqref="DM583">
    <cfRule type="notContainsBlanks" dxfId="161" priority="134">
      <formula>LEN(TRIM(DM583))&gt;0</formula>
    </cfRule>
  </conditionalFormatting>
  <conditionalFormatting sqref="DM585">
    <cfRule type="notContainsBlanks" dxfId="160" priority="138">
      <formula>LEN(TRIM(DM585))&gt;0</formula>
    </cfRule>
  </conditionalFormatting>
  <conditionalFormatting sqref="DM587">
    <cfRule type="notContainsBlanks" dxfId="159" priority="142">
      <formula>LEN(TRIM(DM587))&gt;0</formula>
    </cfRule>
  </conditionalFormatting>
  <conditionalFormatting sqref="DM589:DM600">
    <cfRule type="notContainsBlanks" dxfId="158" priority="146">
      <formula>LEN(TRIM(DM589))&gt;0</formula>
    </cfRule>
  </conditionalFormatting>
  <conditionalFormatting sqref="DN5:DN11 DN13:DN18 DN20:DN170 DN193:DN227 DN240:DN261 DN265:DN331 DN336:DN381 DN383:DN385 DN417:DN463 DN465:DN479 DN489:DN491 DN502:DN528 DN567:DN575 DN602:DN631">
    <cfRule type="cellIs" dxfId="157" priority="2" operator="greaterThan">
      <formula>0</formula>
    </cfRule>
  </conditionalFormatting>
  <conditionalFormatting sqref="DN172:DN191">
    <cfRule type="cellIs" dxfId="156" priority="10" operator="greaterThan">
      <formula>0</formula>
    </cfRule>
  </conditionalFormatting>
  <conditionalFormatting sqref="DN229:DN232">
    <cfRule type="cellIs" dxfId="155" priority="20" operator="greaterThan">
      <formula>0</formula>
    </cfRule>
  </conditionalFormatting>
  <conditionalFormatting sqref="DN234">
    <cfRule type="cellIs" dxfId="154" priority="24" operator="greaterThan">
      <formula>0</formula>
    </cfRule>
  </conditionalFormatting>
  <conditionalFormatting sqref="DN236:DN238">
    <cfRule type="cellIs" dxfId="153" priority="28" operator="greaterThan">
      <formula>0</formula>
    </cfRule>
  </conditionalFormatting>
  <conditionalFormatting sqref="DN263">
    <cfRule type="cellIs" dxfId="152" priority="32" operator="greaterThan">
      <formula>0</formula>
    </cfRule>
  </conditionalFormatting>
  <conditionalFormatting sqref="DN333:DN334">
    <cfRule type="cellIs" dxfId="151" priority="37" operator="greaterThan">
      <formula>0</formula>
    </cfRule>
  </conditionalFormatting>
  <conditionalFormatting sqref="DN387:DN391">
    <cfRule type="cellIs" dxfId="150" priority="42" operator="greaterThan">
      <formula>0</formula>
    </cfRule>
  </conditionalFormatting>
  <conditionalFormatting sqref="DN393:DN396">
    <cfRule type="cellIs" dxfId="149" priority="47" operator="greaterThan">
      <formula>0</formula>
    </cfRule>
  </conditionalFormatting>
  <conditionalFormatting sqref="DN398:DN400">
    <cfRule type="cellIs" dxfId="148" priority="49" operator="greaterThan">
      <formula>0</formula>
    </cfRule>
  </conditionalFormatting>
  <conditionalFormatting sqref="DN402">
    <cfRule type="cellIs" dxfId="147" priority="51" operator="greaterThan">
      <formula>0</formula>
    </cfRule>
  </conditionalFormatting>
  <conditionalFormatting sqref="DN404">
    <cfRule type="cellIs" dxfId="146" priority="54" operator="greaterThan">
      <formula>0</formula>
    </cfRule>
  </conditionalFormatting>
  <conditionalFormatting sqref="DN406">
    <cfRule type="cellIs" dxfId="145" priority="56" operator="greaterThan">
      <formula>0</formula>
    </cfRule>
  </conditionalFormatting>
  <conditionalFormatting sqref="DN408:DN415">
    <cfRule type="cellIs" dxfId="144" priority="60" operator="greaterThan">
      <formula>0</formula>
    </cfRule>
  </conditionalFormatting>
  <conditionalFormatting sqref="DN481:DN487">
    <cfRule type="cellIs" dxfId="143" priority="71" operator="greaterThan">
      <formula>0</formula>
    </cfRule>
  </conditionalFormatting>
  <conditionalFormatting sqref="DN493:DN495">
    <cfRule type="cellIs" dxfId="142" priority="79" operator="greaterThan">
      <formula>0</formula>
    </cfRule>
  </conditionalFormatting>
  <conditionalFormatting sqref="DN497:DN500">
    <cfRule type="cellIs" dxfId="141" priority="83" operator="greaterThan">
      <formula>0</formula>
    </cfRule>
  </conditionalFormatting>
  <conditionalFormatting sqref="DN530">
    <cfRule type="cellIs" dxfId="140" priority="87" operator="greaterThan">
      <formula>0</formula>
    </cfRule>
  </conditionalFormatting>
  <conditionalFormatting sqref="DN532:DN537">
    <cfRule type="cellIs" dxfId="139" priority="91" operator="greaterThan">
      <formula>0</formula>
    </cfRule>
  </conditionalFormatting>
  <conditionalFormatting sqref="DN539">
    <cfRule type="cellIs" dxfId="138" priority="95" operator="greaterThan">
      <formula>0</formula>
    </cfRule>
  </conditionalFormatting>
  <conditionalFormatting sqref="DN541:DN542">
    <cfRule type="cellIs" dxfId="137" priority="98" operator="greaterThan">
      <formula>0</formula>
    </cfRule>
  </conditionalFormatting>
  <conditionalFormatting sqref="DN544:DN547">
    <cfRule type="cellIs" dxfId="136" priority="104" operator="greaterThan">
      <formula>0</formula>
    </cfRule>
  </conditionalFormatting>
  <conditionalFormatting sqref="DN549">
    <cfRule type="cellIs" dxfId="135" priority="108" operator="greaterThan">
      <formula>0</formula>
    </cfRule>
  </conditionalFormatting>
  <conditionalFormatting sqref="DN551">
    <cfRule type="cellIs" dxfId="134" priority="112" operator="greaterThan">
      <formula>0</formula>
    </cfRule>
  </conditionalFormatting>
  <conditionalFormatting sqref="DN553:DN555">
    <cfRule type="cellIs" dxfId="133" priority="120" operator="greaterThan">
      <formula>0</formula>
    </cfRule>
  </conditionalFormatting>
  <conditionalFormatting sqref="DN557:DN558">
    <cfRule type="cellIs" dxfId="132" priority="123" operator="greaterThan">
      <formula>0</formula>
    </cfRule>
  </conditionalFormatting>
  <conditionalFormatting sqref="DN560:DN562">
    <cfRule type="cellIs" dxfId="131" priority="127" operator="greaterThan">
      <formula>0</formula>
    </cfRule>
  </conditionalFormatting>
  <conditionalFormatting sqref="DN564:DN565">
    <cfRule type="cellIs" dxfId="130" priority="131" operator="greaterThan">
      <formula>0</formula>
    </cfRule>
  </conditionalFormatting>
  <conditionalFormatting sqref="DN577:DN581">
    <cfRule type="cellIs" dxfId="129" priority="116" operator="greaterThan">
      <formula>0</formula>
    </cfRule>
  </conditionalFormatting>
  <conditionalFormatting sqref="DN583">
    <cfRule type="cellIs" dxfId="128" priority="133" operator="greaterThan">
      <formula>0</formula>
    </cfRule>
  </conditionalFormatting>
  <conditionalFormatting sqref="DN585">
    <cfRule type="cellIs" dxfId="127" priority="137" operator="greaterThan">
      <formula>0</formula>
    </cfRule>
  </conditionalFormatting>
  <conditionalFormatting sqref="DN587">
    <cfRule type="cellIs" dxfId="126" priority="141" operator="greaterThan">
      <formula>0</formula>
    </cfRule>
  </conditionalFormatting>
  <conditionalFormatting sqref="DN589:DN600">
    <cfRule type="cellIs" dxfId="125" priority="145" operator="greaterThan">
      <formula>0</formula>
    </cfRule>
  </conditionalFormatting>
  <conditionalFormatting sqref="DO5:DO11 DO13:DO18 DO20:DO170 DO193:DO227 DO240:DO261 DO265:DO331 DO336:DO381 DO383:DO385 DO417:DO463 DO465:DO479 DO489:DO491 DO502:DO528 DO567:DO575 DO602:DO631">
    <cfRule type="cellIs" dxfId="124" priority="1" operator="greaterThan">
      <formula>0</formula>
    </cfRule>
  </conditionalFormatting>
  <conditionalFormatting sqref="DO172:DO191">
    <cfRule type="cellIs" dxfId="123" priority="9" operator="greaterThan">
      <formula>0</formula>
    </cfRule>
  </conditionalFormatting>
  <conditionalFormatting sqref="DO229:DO232">
    <cfRule type="cellIs" dxfId="122" priority="19" operator="greaterThan">
      <formula>0</formula>
    </cfRule>
  </conditionalFormatting>
  <conditionalFormatting sqref="DO234">
    <cfRule type="cellIs" dxfId="121" priority="23" operator="greaterThan">
      <formula>0</formula>
    </cfRule>
  </conditionalFormatting>
  <conditionalFormatting sqref="DO236:DO238">
    <cfRule type="cellIs" dxfId="120" priority="27" operator="greaterThan">
      <formula>0</formula>
    </cfRule>
  </conditionalFormatting>
  <conditionalFormatting sqref="DO263">
    <cfRule type="cellIs" dxfId="119" priority="31" operator="greaterThan">
      <formula>0</formula>
    </cfRule>
  </conditionalFormatting>
  <conditionalFormatting sqref="DO333:DO334">
    <cfRule type="cellIs" dxfId="118" priority="36" operator="greaterThan">
      <formula>0</formula>
    </cfRule>
  </conditionalFormatting>
  <conditionalFormatting sqref="DO387:DO391">
    <cfRule type="cellIs" dxfId="117" priority="41" operator="greaterThan">
      <formula>0</formula>
    </cfRule>
  </conditionalFormatting>
  <conditionalFormatting sqref="DO393:DO396">
    <cfRule type="cellIs" dxfId="116" priority="46" operator="greaterThan">
      <formula>0</formula>
    </cfRule>
  </conditionalFormatting>
  <conditionalFormatting sqref="DO398:DO400">
    <cfRule type="cellIs" dxfId="115" priority="48" operator="greaterThan">
      <formula>0</formula>
    </cfRule>
  </conditionalFormatting>
  <conditionalFormatting sqref="DO402">
    <cfRule type="cellIs" dxfId="114" priority="50" operator="greaterThan">
      <formula>0</formula>
    </cfRule>
  </conditionalFormatting>
  <conditionalFormatting sqref="DO404">
    <cfRule type="cellIs" dxfId="113" priority="53" operator="greaterThan">
      <formula>0</formula>
    </cfRule>
  </conditionalFormatting>
  <conditionalFormatting sqref="DO406">
    <cfRule type="cellIs" dxfId="112" priority="55" operator="greaterThan">
      <formula>0</formula>
    </cfRule>
  </conditionalFormatting>
  <conditionalFormatting sqref="DO408:DO415">
    <cfRule type="cellIs" dxfId="111" priority="59" operator="greaterThan">
      <formula>0</formula>
    </cfRule>
  </conditionalFormatting>
  <conditionalFormatting sqref="DO481:DO487">
    <cfRule type="cellIs" dxfId="110" priority="70" operator="greaterThan">
      <formula>0</formula>
    </cfRule>
  </conditionalFormatting>
  <conditionalFormatting sqref="DO493:DO495">
    <cfRule type="cellIs" dxfId="109" priority="78" operator="greaterThan">
      <formula>0</formula>
    </cfRule>
  </conditionalFormatting>
  <conditionalFormatting sqref="DO497:DO500">
    <cfRule type="cellIs" dxfId="108" priority="82" operator="greaterThan">
      <formula>0</formula>
    </cfRule>
  </conditionalFormatting>
  <conditionalFormatting sqref="DO530">
    <cfRule type="cellIs" dxfId="107" priority="86" operator="greaterThan">
      <formula>0</formula>
    </cfRule>
  </conditionalFormatting>
  <conditionalFormatting sqref="DO532:DO537">
    <cfRule type="cellIs" dxfId="106" priority="90" operator="greaterThan">
      <formula>0</formula>
    </cfRule>
  </conditionalFormatting>
  <conditionalFormatting sqref="DO539">
    <cfRule type="cellIs" dxfId="105" priority="94" operator="greaterThan">
      <formula>0</formula>
    </cfRule>
  </conditionalFormatting>
  <conditionalFormatting sqref="DO541:DO542">
    <cfRule type="cellIs" dxfId="104" priority="97" operator="greaterThan">
      <formula>0</formula>
    </cfRule>
  </conditionalFormatting>
  <conditionalFormatting sqref="DO544:DO547">
    <cfRule type="cellIs" dxfId="103" priority="103" operator="greaterThan">
      <formula>0</formula>
    </cfRule>
  </conditionalFormatting>
  <conditionalFormatting sqref="DO549">
    <cfRule type="cellIs" dxfId="102" priority="107" operator="greaterThan">
      <formula>0</formula>
    </cfRule>
  </conditionalFormatting>
  <conditionalFormatting sqref="DO551">
    <cfRule type="cellIs" dxfId="101" priority="111" operator="greaterThan">
      <formula>0</formula>
    </cfRule>
  </conditionalFormatting>
  <conditionalFormatting sqref="DO553:DO555">
    <cfRule type="cellIs" dxfId="100" priority="119" operator="greaterThan">
      <formula>0</formula>
    </cfRule>
  </conditionalFormatting>
  <conditionalFormatting sqref="DO557:DO558">
    <cfRule type="cellIs" dxfId="99" priority="122" operator="greaterThan">
      <formula>0</formula>
    </cfRule>
  </conditionalFormatting>
  <conditionalFormatting sqref="DO560:DO562">
    <cfRule type="cellIs" dxfId="98" priority="126" operator="greaterThan">
      <formula>0</formula>
    </cfRule>
  </conditionalFormatting>
  <conditionalFormatting sqref="DO564:DO565">
    <cfRule type="cellIs" dxfId="97" priority="130" operator="greaterThan">
      <formula>0</formula>
    </cfRule>
  </conditionalFormatting>
  <conditionalFormatting sqref="DO577:DO581">
    <cfRule type="cellIs" dxfId="96" priority="115" operator="greaterThan">
      <formula>0</formula>
    </cfRule>
  </conditionalFormatting>
  <conditionalFormatting sqref="DO583">
    <cfRule type="cellIs" dxfId="95" priority="132" operator="greaterThan">
      <formula>0</formula>
    </cfRule>
  </conditionalFormatting>
  <conditionalFormatting sqref="DO585">
    <cfRule type="cellIs" dxfId="94" priority="136" operator="greaterThan">
      <formula>0</formula>
    </cfRule>
  </conditionalFormatting>
  <conditionalFormatting sqref="DO587">
    <cfRule type="cellIs" dxfId="93" priority="140" operator="greaterThan">
      <formula>0</formula>
    </cfRule>
  </conditionalFormatting>
  <conditionalFormatting sqref="DO589:DO600">
    <cfRule type="cellIs" dxfId="92" priority="144" operator="greaterThan">
      <formula>0</formula>
    </cfRule>
  </conditionalFormatting>
  <pageMargins left="0.7" right="0.7" top="0.75" bottom="0.75" header="0" footer="0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H632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baseColWidth="10" defaultColWidth="14.5" defaultRowHeight="15" customHeight="1" x14ac:dyDescent="0.2"/>
  <cols>
    <col min="1" max="1" width="32.6640625" customWidth="1"/>
    <col min="2" max="2" width="10.6640625" customWidth="1"/>
    <col min="3" max="4" width="12.6640625" customWidth="1"/>
    <col min="5" max="5" width="9.6640625" customWidth="1"/>
    <col min="6" max="6" width="28.6640625" customWidth="1"/>
    <col min="7" max="7" width="9.6640625" customWidth="1"/>
    <col min="8" max="8" width="12.6640625" customWidth="1"/>
    <col min="9" max="9" width="7.6640625" customWidth="1"/>
    <col min="10" max="29" width="7.33203125" customWidth="1"/>
    <col min="30" max="30" width="7.6640625" customWidth="1"/>
    <col min="31" max="50" width="7.33203125" customWidth="1"/>
    <col min="51" max="51" width="7.6640625" customWidth="1"/>
    <col min="52" max="71" width="7.33203125" customWidth="1"/>
    <col min="72" max="72" width="7.6640625" customWidth="1"/>
    <col min="73" max="92" width="7.33203125" customWidth="1"/>
    <col min="93" max="93" width="7.6640625" customWidth="1"/>
    <col min="94" max="113" width="7.33203125" customWidth="1"/>
    <col min="114" max="115" width="5.6640625" customWidth="1"/>
    <col min="116" max="117" width="8.6640625" customWidth="1"/>
    <col min="118" max="118" width="18.6640625" customWidth="1"/>
    <col min="119" max="119" width="1.6640625" customWidth="1"/>
    <col min="120" max="195" width="9.6640625" customWidth="1"/>
    <col min="196" max="196" width="1.6640625" customWidth="1"/>
    <col min="197" max="197" width="9.6640625" customWidth="1"/>
    <col min="198" max="198" width="7.6640625" customWidth="1"/>
    <col min="199" max="205" width="9.6640625" customWidth="1"/>
    <col min="206" max="206" width="7.6640625" customWidth="1"/>
    <col min="207" max="211" width="9.6640625" customWidth="1"/>
    <col min="212" max="212" width="1.6640625" customWidth="1"/>
    <col min="213" max="213" width="28.6640625" customWidth="1"/>
    <col min="214" max="215" width="34.6640625" customWidth="1"/>
    <col min="216" max="216" width="22.6640625" customWidth="1"/>
    <col min="217" max="217" width="5.6640625" customWidth="1"/>
    <col min="218" max="218" width="1.6640625" customWidth="1"/>
    <col min="219" max="219" width="28.6640625" customWidth="1"/>
    <col min="220" max="220" width="34.6640625" customWidth="1"/>
    <col min="221" max="221" width="5.6640625" customWidth="1"/>
    <col min="222" max="224" width="9.6640625" customWidth="1"/>
    <col min="225" max="225" width="10.6640625" customWidth="1"/>
    <col min="226" max="228" width="7.6640625" customWidth="1"/>
    <col min="229" max="229" width="10.6640625" customWidth="1"/>
    <col min="230" max="230" width="9.6640625" customWidth="1"/>
    <col min="231" max="231" width="6.6640625" customWidth="1"/>
    <col min="232" max="233" width="9.6640625" customWidth="1"/>
    <col min="234" max="234" width="10.6640625" customWidth="1"/>
    <col min="235" max="235" width="7.6640625" customWidth="1"/>
    <col min="236" max="236" width="10.6640625" customWidth="1"/>
    <col min="237" max="237" width="9.6640625" customWidth="1"/>
    <col min="238" max="238" width="6.6640625" customWidth="1"/>
    <col min="239" max="239" width="1.6640625" customWidth="1"/>
    <col min="240" max="267" width="9.6640625" customWidth="1"/>
    <col min="268" max="268" width="1.6640625" customWidth="1"/>
  </cols>
  <sheetData>
    <row r="1" spans="1:268" ht="15.75" customHeight="1" x14ac:dyDescent="0.2">
      <c r="A1" s="2"/>
      <c r="B1" s="2"/>
      <c r="C1" s="2"/>
      <c r="D1" s="2"/>
      <c r="E1" s="2"/>
      <c r="F1" s="2"/>
      <c r="G1" s="2"/>
      <c r="H1" s="2"/>
      <c r="I1" s="2">
        <f t="shared" ref="I1:DI1" si="0">COUNT(I5:I631)</f>
        <v>627</v>
      </c>
      <c r="J1" s="2">
        <f t="shared" si="0"/>
        <v>96</v>
      </c>
      <c r="K1" s="2">
        <f t="shared" si="0"/>
        <v>71</v>
      </c>
      <c r="L1" s="2">
        <f t="shared" si="0"/>
        <v>5</v>
      </c>
      <c r="M1" s="2">
        <f t="shared" si="0"/>
        <v>0</v>
      </c>
      <c r="N1" s="2">
        <f t="shared" si="0"/>
        <v>0</v>
      </c>
      <c r="O1" s="2">
        <f t="shared" si="0"/>
        <v>1</v>
      </c>
      <c r="P1" s="2">
        <f t="shared" si="0"/>
        <v>3</v>
      </c>
      <c r="Q1" s="2">
        <f t="shared" si="0"/>
        <v>170</v>
      </c>
      <c r="R1" s="2">
        <f t="shared" si="0"/>
        <v>93</v>
      </c>
      <c r="S1" s="2">
        <f t="shared" si="0"/>
        <v>79</v>
      </c>
      <c r="T1" s="2">
        <f t="shared" si="0"/>
        <v>79</v>
      </c>
      <c r="U1" s="2">
        <f t="shared" si="0"/>
        <v>48</v>
      </c>
      <c r="V1" s="2">
        <f t="shared" si="0"/>
        <v>9</v>
      </c>
      <c r="W1" s="2">
        <f t="shared" si="0"/>
        <v>9</v>
      </c>
      <c r="X1" s="2">
        <f t="shared" si="0"/>
        <v>11</v>
      </c>
      <c r="Y1" s="2">
        <f t="shared" si="0"/>
        <v>28</v>
      </c>
      <c r="Z1" s="2">
        <f t="shared" si="0"/>
        <v>11</v>
      </c>
      <c r="AA1" s="2">
        <f t="shared" si="0"/>
        <v>5</v>
      </c>
      <c r="AB1" s="2">
        <f t="shared" si="0"/>
        <v>2</v>
      </c>
      <c r="AC1" s="2">
        <f t="shared" si="0"/>
        <v>2</v>
      </c>
      <c r="AD1" s="2">
        <f t="shared" si="0"/>
        <v>626</v>
      </c>
      <c r="AE1" s="2">
        <f t="shared" si="0"/>
        <v>172</v>
      </c>
      <c r="AF1" s="2">
        <f t="shared" si="0"/>
        <v>100</v>
      </c>
      <c r="AG1" s="2">
        <f t="shared" si="0"/>
        <v>7</v>
      </c>
      <c r="AH1" s="2">
        <f t="shared" si="0"/>
        <v>5</v>
      </c>
      <c r="AI1" s="2">
        <f t="shared" si="0"/>
        <v>3</v>
      </c>
      <c r="AJ1" s="2">
        <f t="shared" si="0"/>
        <v>2</v>
      </c>
      <c r="AK1" s="2">
        <f t="shared" si="0"/>
        <v>9</v>
      </c>
      <c r="AL1" s="2">
        <f t="shared" si="0"/>
        <v>297</v>
      </c>
      <c r="AM1" s="2">
        <f t="shared" si="0"/>
        <v>175</v>
      </c>
      <c r="AN1" s="2">
        <f t="shared" si="0"/>
        <v>116</v>
      </c>
      <c r="AO1" s="2">
        <f t="shared" si="0"/>
        <v>118</v>
      </c>
      <c r="AP1" s="2">
        <f t="shared" si="0"/>
        <v>57</v>
      </c>
      <c r="AQ1" s="2">
        <f t="shared" si="0"/>
        <v>9</v>
      </c>
      <c r="AR1" s="2">
        <f t="shared" si="0"/>
        <v>9</v>
      </c>
      <c r="AS1" s="2">
        <f t="shared" si="0"/>
        <v>14</v>
      </c>
      <c r="AT1" s="2">
        <f t="shared" si="0"/>
        <v>42</v>
      </c>
      <c r="AU1" s="2">
        <f t="shared" si="0"/>
        <v>14</v>
      </c>
      <c r="AV1" s="2">
        <f t="shared" si="0"/>
        <v>6</v>
      </c>
      <c r="AW1" s="2">
        <f t="shared" si="0"/>
        <v>2</v>
      </c>
      <c r="AX1" s="2">
        <f t="shared" si="0"/>
        <v>7</v>
      </c>
      <c r="AY1" s="2">
        <f t="shared" si="0"/>
        <v>627</v>
      </c>
      <c r="AZ1" s="2">
        <f t="shared" si="0"/>
        <v>303</v>
      </c>
      <c r="BA1" s="2">
        <f t="shared" si="0"/>
        <v>123</v>
      </c>
      <c r="BB1" s="2">
        <f t="shared" si="0"/>
        <v>17</v>
      </c>
      <c r="BC1" s="2">
        <f t="shared" si="0"/>
        <v>8</v>
      </c>
      <c r="BD1" s="2">
        <f t="shared" si="0"/>
        <v>5</v>
      </c>
      <c r="BE1" s="2">
        <f t="shared" si="0"/>
        <v>4</v>
      </c>
      <c r="BF1" s="2">
        <f t="shared" si="0"/>
        <v>15</v>
      </c>
      <c r="BG1" s="2">
        <f t="shared" si="0"/>
        <v>572</v>
      </c>
      <c r="BH1" s="2">
        <f t="shared" si="0"/>
        <v>284</v>
      </c>
      <c r="BI1" s="2">
        <f t="shared" si="0"/>
        <v>141</v>
      </c>
      <c r="BJ1" s="2">
        <f t="shared" si="0"/>
        <v>144</v>
      </c>
      <c r="BK1" s="2">
        <f t="shared" si="0"/>
        <v>64</v>
      </c>
      <c r="BL1" s="2">
        <f t="shared" si="0"/>
        <v>8</v>
      </c>
      <c r="BM1" s="2">
        <f t="shared" si="0"/>
        <v>8</v>
      </c>
      <c r="BN1" s="2">
        <f t="shared" si="0"/>
        <v>21</v>
      </c>
      <c r="BO1" s="2">
        <f t="shared" si="0"/>
        <v>54</v>
      </c>
      <c r="BP1" s="2">
        <f t="shared" si="0"/>
        <v>13</v>
      </c>
      <c r="BQ1" s="2">
        <f t="shared" si="0"/>
        <v>15</v>
      </c>
      <c r="BR1" s="2">
        <f t="shared" si="0"/>
        <v>5</v>
      </c>
      <c r="BS1" s="2">
        <f t="shared" si="0"/>
        <v>6</v>
      </c>
      <c r="BT1" s="2">
        <f t="shared" si="0"/>
        <v>614</v>
      </c>
      <c r="BU1" s="2">
        <f t="shared" si="0"/>
        <v>46</v>
      </c>
      <c r="BV1" s="2">
        <f t="shared" si="0"/>
        <v>37</v>
      </c>
      <c r="BW1" s="2">
        <f t="shared" si="0"/>
        <v>2</v>
      </c>
      <c r="BX1" s="2">
        <f t="shared" si="0"/>
        <v>0</v>
      </c>
      <c r="BY1" s="2">
        <f t="shared" si="0"/>
        <v>0</v>
      </c>
      <c r="BZ1" s="2">
        <f t="shared" si="0"/>
        <v>0</v>
      </c>
      <c r="CA1" s="2">
        <f t="shared" si="0"/>
        <v>1</v>
      </c>
      <c r="CB1" s="2">
        <f t="shared" si="0"/>
        <v>80</v>
      </c>
      <c r="CC1" s="2">
        <f t="shared" si="0"/>
        <v>42</v>
      </c>
      <c r="CD1" s="2">
        <f t="shared" si="0"/>
        <v>40</v>
      </c>
      <c r="CE1" s="2">
        <f t="shared" si="0"/>
        <v>40</v>
      </c>
      <c r="CF1" s="2">
        <f t="shared" si="0"/>
        <v>25</v>
      </c>
      <c r="CG1" s="2">
        <f t="shared" si="0"/>
        <v>6</v>
      </c>
      <c r="CH1" s="2">
        <f t="shared" si="0"/>
        <v>6</v>
      </c>
      <c r="CI1" s="2">
        <f t="shared" si="0"/>
        <v>7</v>
      </c>
      <c r="CJ1" s="2">
        <f t="shared" si="0"/>
        <v>13</v>
      </c>
      <c r="CK1" s="2">
        <f t="shared" si="0"/>
        <v>9</v>
      </c>
      <c r="CL1" s="2">
        <f t="shared" si="0"/>
        <v>2</v>
      </c>
      <c r="CM1" s="2">
        <f t="shared" si="0"/>
        <v>0</v>
      </c>
      <c r="CN1" s="2">
        <f t="shared" si="0"/>
        <v>0</v>
      </c>
      <c r="CO1" s="2">
        <f t="shared" si="0"/>
        <v>614</v>
      </c>
      <c r="CP1" s="2">
        <f t="shared" si="0"/>
        <v>55</v>
      </c>
      <c r="CQ1" s="2">
        <f t="shared" si="0"/>
        <v>42</v>
      </c>
      <c r="CR1" s="2">
        <f t="shared" si="0"/>
        <v>2</v>
      </c>
      <c r="CS1" s="2">
        <f t="shared" si="0"/>
        <v>0</v>
      </c>
      <c r="CT1" s="2">
        <f t="shared" si="0"/>
        <v>0</v>
      </c>
      <c r="CU1" s="2">
        <f t="shared" si="0"/>
        <v>0</v>
      </c>
      <c r="CV1" s="2">
        <f t="shared" si="0"/>
        <v>1</v>
      </c>
      <c r="CW1" s="2">
        <f t="shared" si="0"/>
        <v>104</v>
      </c>
      <c r="CX1" s="2">
        <f t="shared" si="0"/>
        <v>51</v>
      </c>
      <c r="CY1" s="2">
        <f t="shared" si="0"/>
        <v>45</v>
      </c>
      <c r="CZ1" s="2">
        <f t="shared" si="0"/>
        <v>45</v>
      </c>
      <c r="DA1" s="2">
        <f t="shared" si="0"/>
        <v>30</v>
      </c>
      <c r="DB1" s="2">
        <f t="shared" si="0"/>
        <v>5</v>
      </c>
      <c r="DC1" s="2">
        <f t="shared" si="0"/>
        <v>5</v>
      </c>
      <c r="DD1" s="2">
        <f t="shared" si="0"/>
        <v>6</v>
      </c>
      <c r="DE1" s="2">
        <f t="shared" si="0"/>
        <v>17</v>
      </c>
      <c r="DF1" s="2">
        <f t="shared" si="0"/>
        <v>8</v>
      </c>
      <c r="DG1" s="2">
        <f t="shared" si="0"/>
        <v>2</v>
      </c>
      <c r="DH1" s="2">
        <f t="shared" si="0"/>
        <v>0</v>
      </c>
      <c r="DI1" s="2">
        <f t="shared" si="0"/>
        <v>5</v>
      </c>
      <c r="DJ1" s="53" t="s">
        <v>1</v>
      </c>
      <c r="DK1" s="53" t="s">
        <v>2</v>
      </c>
      <c r="DL1" s="2"/>
      <c r="DM1" s="2"/>
      <c r="DN1" s="2"/>
      <c r="DO1" s="2" t="s">
        <v>3</v>
      </c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39">
        <f>2.96*2204.6</f>
        <v>6525.616</v>
      </c>
      <c r="EJ1" s="39">
        <f>1000000*(1272/31.1)</f>
        <v>40900321.543408357</v>
      </c>
      <c r="EK1" s="39">
        <f>1000000*(15.75/31.1)</f>
        <v>506430.86816720251</v>
      </c>
      <c r="EL1" s="39">
        <v>66051.157775039697</v>
      </c>
      <c r="EM1" s="39">
        <v>27040</v>
      </c>
      <c r="EN1" s="39">
        <f>1.018*2204.6</f>
        <v>2244.2828</v>
      </c>
      <c r="EO1" s="39">
        <f>1.327*2204.6</f>
        <v>2925.5041999999999</v>
      </c>
      <c r="EP1" s="39">
        <v>13114</v>
      </c>
      <c r="EQ1" s="39">
        <f>32.94*2204.6</f>
        <v>72619.52399999999</v>
      </c>
      <c r="ER1" s="39">
        <f>1000000*(882.66/31.1)</f>
        <v>28381350.482315108</v>
      </c>
      <c r="ES1" s="39">
        <f>1000000*(1036.43/31.1)</f>
        <v>33325723.472668812</v>
      </c>
      <c r="ET1" s="39">
        <f>1000000*(2225.3/31.1)</f>
        <v>71553054.662379429</v>
      </c>
      <c r="EU1" s="39">
        <f>1000000*(244.41/31.1)</f>
        <v>7858842.4437299026</v>
      </c>
      <c r="EV1" s="39">
        <f>1000000*(1293.27/31.1)</f>
        <v>41584244.372990347</v>
      </c>
      <c r="EW1" s="39">
        <v>279</v>
      </c>
      <c r="EX1" s="39">
        <v>93</v>
      </c>
      <c r="EY1" s="39">
        <v>9.14</v>
      </c>
      <c r="EZ1" s="39">
        <v>360000</v>
      </c>
      <c r="FA1" s="39">
        <f>716/0.44</f>
        <v>1627.2727272727273</v>
      </c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39">
        <f>2.96*2204.6</f>
        <v>6525.616</v>
      </c>
      <c r="FV1" s="39">
        <f>1000000*(1272/31.1)</f>
        <v>40900321.543408357</v>
      </c>
      <c r="FW1" s="39">
        <f>1000000*(15.75/31.1)</f>
        <v>506430.86816720251</v>
      </c>
      <c r="FX1" s="39">
        <v>66051.157775039697</v>
      </c>
      <c r="FY1" s="39">
        <v>27040</v>
      </c>
      <c r="FZ1" s="39">
        <f>1.018*2204.6</f>
        <v>2244.2828</v>
      </c>
      <c r="GA1" s="39">
        <f>1.327*2204.6</f>
        <v>2925.5041999999999</v>
      </c>
      <c r="GB1" s="39">
        <v>13114</v>
      </c>
      <c r="GC1" s="39">
        <f>32.94*2204.6</f>
        <v>72619.52399999999</v>
      </c>
      <c r="GD1" s="39">
        <f>1000000*(882.66/31.1)</f>
        <v>28381350.482315108</v>
      </c>
      <c r="GE1" s="39">
        <f>1000000*(1036.43/31.1)</f>
        <v>33325723.472668812</v>
      </c>
      <c r="GF1" s="39">
        <f>1000000*(2225.3/31.1)</f>
        <v>71553054.662379429</v>
      </c>
      <c r="GG1" s="39">
        <f>1000000*(244.41/31.1)</f>
        <v>7858842.4437299026</v>
      </c>
      <c r="GH1" s="39">
        <f>1000000*(1293.27/31.1)</f>
        <v>41584244.372990347</v>
      </c>
      <c r="GI1" s="39">
        <v>279</v>
      </c>
      <c r="GJ1" s="39">
        <v>93</v>
      </c>
      <c r="GK1" s="39">
        <v>9.14</v>
      </c>
      <c r="GL1" s="39">
        <v>360000</v>
      </c>
      <c r="GM1" s="39">
        <f>716/0.44</f>
        <v>1627.2727272727273</v>
      </c>
      <c r="GN1" s="2" t="s">
        <v>3</v>
      </c>
      <c r="GO1" s="3">
        <f>SUM(GO5:GO631)</f>
        <v>80077.303765165692</v>
      </c>
      <c r="GP1" s="2"/>
      <c r="GQ1" s="3">
        <f>SUM(GQ5:GQ631)</f>
        <v>350219.26104432996</v>
      </c>
      <c r="GR1" s="3"/>
      <c r="GS1" s="2"/>
      <c r="GT1" s="3">
        <f t="shared" ref="GT1:GV1" si="1">SUM(GT5:GT631)</f>
        <v>40606.683976448956</v>
      </c>
      <c r="GU1" s="3">
        <f t="shared" si="1"/>
        <v>97545.215693817212</v>
      </c>
      <c r="GV1" s="3">
        <f t="shared" si="1"/>
        <v>212067.36137406365</v>
      </c>
      <c r="GW1" s="2"/>
      <c r="GX1" s="2"/>
      <c r="GY1" s="3">
        <f>SUM(GY5:GY631)</f>
        <v>47124.27268977106</v>
      </c>
      <c r="GZ1" s="3"/>
      <c r="HA1" s="2"/>
      <c r="HB1" s="3">
        <f t="shared" ref="HB1:HC1" si="2">SUM(HB5:HB631)</f>
        <v>18212.262664973015</v>
      </c>
      <c r="HC1" s="3">
        <f t="shared" si="2"/>
        <v>28912.010024798063</v>
      </c>
      <c r="HD1" s="2" t="s">
        <v>3</v>
      </c>
      <c r="HE1" s="2"/>
      <c r="HF1" s="2"/>
      <c r="HG1" s="2"/>
      <c r="HH1" s="2"/>
      <c r="HI1" s="53" t="s">
        <v>1</v>
      </c>
      <c r="HJ1" s="2" t="s">
        <v>3</v>
      </c>
      <c r="HK1" s="2"/>
      <c r="HL1" s="2"/>
      <c r="HM1" s="2"/>
      <c r="HN1" s="68">
        <f>SUM(HN5:HP37)</f>
        <v>350219.26104432967</v>
      </c>
      <c r="HO1" s="54"/>
      <c r="HP1" s="54"/>
      <c r="HQ1" s="3">
        <f>SUM(HQ5:HQ37)</f>
        <v>80077.303765165721</v>
      </c>
      <c r="HR1" s="4">
        <f>100*(HU1/1000)/HQ1</f>
        <v>0.43735146486872334</v>
      </c>
      <c r="HS1" s="4"/>
      <c r="HT1" s="4"/>
      <c r="HU1" s="3">
        <f>SUM(HU5:HU37)</f>
        <v>350219.26104432961</v>
      </c>
      <c r="HV1" s="15">
        <f>SUM(GR5:GR631)/SUM(GO5:GO631)</f>
        <v>137.52598995431023</v>
      </c>
      <c r="HW1" s="2">
        <f>SUM(HW5:HW37)</f>
        <v>627</v>
      </c>
      <c r="HX1" s="68">
        <f>SUM(HX5:HY37)</f>
        <v>47124.272689771067</v>
      </c>
      <c r="HY1" s="54"/>
      <c r="HZ1" s="3">
        <f>SUM(HZ5:HZ36)</f>
        <v>8301.1073052451939</v>
      </c>
      <c r="IA1" s="4">
        <f>100*(IB1/1000)/HZ1</f>
        <v>0.56768658634246072</v>
      </c>
      <c r="IB1" s="3">
        <f>SUM(IB5:IB37)</f>
        <v>47124.272689771067</v>
      </c>
      <c r="IC1" s="15">
        <f>SUM(GZ5:GZ631)/SUM(GW5:GW631)</f>
        <v>177.25610599529617</v>
      </c>
      <c r="ID1" s="2">
        <f>SUM(ID5:ID37)</f>
        <v>112</v>
      </c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 t="s">
        <v>3</v>
      </c>
    </row>
    <row r="2" spans="1:268" ht="15.75" customHeight="1" x14ac:dyDescent="0.2">
      <c r="A2" s="2" t="s">
        <v>6</v>
      </c>
      <c r="B2" s="2" t="s">
        <v>7</v>
      </c>
      <c r="C2" s="57" t="s">
        <v>8</v>
      </c>
      <c r="D2" s="54"/>
      <c r="E2" s="2" t="s">
        <v>9</v>
      </c>
      <c r="F2" s="2" t="s">
        <v>10</v>
      </c>
      <c r="G2" s="2" t="s">
        <v>11</v>
      </c>
      <c r="H2" s="2" t="s">
        <v>12</v>
      </c>
      <c r="I2" s="46" t="s">
        <v>13</v>
      </c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  <c r="AU2" s="47"/>
      <c r="AV2" s="47"/>
      <c r="AW2" s="47"/>
      <c r="AX2" s="47"/>
      <c r="AY2" s="47"/>
      <c r="AZ2" s="47"/>
      <c r="BA2" s="47"/>
      <c r="BB2" s="47"/>
      <c r="BC2" s="47"/>
      <c r="BD2" s="47"/>
      <c r="BE2" s="47"/>
      <c r="BF2" s="47"/>
      <c r="BG2" s="47"/>
      <c r="BH2" s="47"/>
      <c r="BI2" s="47"/>
      <c r="BJ2" s="47"/>
      <c r="BK2" s="47"/>
      <c r="BL2" s="47"/>
      <c r="BM2" s="47"/>
      <c r="BN2" s="47"/>
      <c r="BO2" s="47"/>
      <c r="BP2" s="47"/>
      <c r="BQ2" s="47"/>
      <c r="BR2" s="47"/>
      <c r="BS2" s="48"/>
      <c r="BT2" s="49" t="s">
        <v>14</v>
      </c>
      <c r="BU2" s="47"/>
      <c r="BV2" s="47"/>
      <c r="BW2" s="47"/>
      <c r="BX2" s="47"/>
      <c r="BY2" s="47"/>
      <c r="BZ2" s="47"/>
      <c r="CA2" s="47"/>
      <c r="CB2" s="47"/>
      <c r="CC2" s="47"/>
      <c r="CD2" s="47"/>
      <c r="CE2" s="47"/>
      <c r="CF2" s="47"/>
      <c r="CG2" s="47"/>
      <c r="CH2" s="47"/>
      <c r="CI2" s="47"/>
      <c r="CJ2" s="47"/>
      <c r="CK2" s="47"/>
      <c r="CL2" s="47"/>
      <c r="CM2" s="47"/>
      <c r="CN2" s="47"/>
      <c r="CO2" s="47"/>
      <c r="CP2" s="47"/>
      <c r="CQ2" s="47"/>
      <c r="CR2" s="47"/>
      <c r="CS2" s="47"/>
      <c r="CT2" s="47"/>
      <c r="CU2" s="47"/>
      <c r="CV2" s="47"/>
      <c r="CW2" s="47"/>
      <c r="CX2" s="47"/>
      <c r="CY2" s="47"/>
      <c r="CZ2" s="47"/>
      <c r="DA2" s="47"/>
      <c r="DB2" s="47"/>
      <c r="DC2" s="47"/>
      <c r="DD2" s="47"/>
      <c r="DE2" s="47"/>
      <c r="DF2" s="47"/>
      <c r="DG2" s="47"/>
      <c r="DH2" s="47"/>
      <c r="DI2" s="48"/>
      <c r="DJ2" s="54"/>
      <c r="DK2" s="54"/>
      <c r="DL2" s="2"/>
      <c r="DM2" s="2"/>
      <c r="DN2" s="5" t="s">
        <v>15</v>
      </c>
      <c r="DO2" s="2" t="s">
        <v>3</v>
      </c>
      <c r="DP2" s="69" t="s">
        <v>13</v>
      </c>
      <c r="DQ2" s="59"/>
      <c r="DR2" s="59"/>
      <c r="DS2" s="59"/>
      <c r="DT2" s="59"/>
      <c r="DU2" s="59"/>
      <c r="DV2" s="59"/>
      <c r="DW2" s="59"/>
      <c r="DX2" s="59"/>
      <c r="DY2" s="59"/>
      <c r="DZ2" s="59"/>
      <c r="EA2" s="59"/>
      <c r="EB2" s="59"/>
      <c r="EC2" s="59"/>
      <c r="ED2" s="59"/>
      <c r="EE2" s="59"/>
      <c r="EF2" s="59"/>
      <c r="EG2" s="59"/>
      <c r="EH2" s="60"/>
      <c r="EI2" s="66" t="s">
        <v>1340</v>
      </c>
      <c r="EJ2" s="59"/>
      <c r="EK2" s="59"/>
      <c r="EL2" s="59"/>
      <c r="EM2" s="59"/>
      <c r="EN2" s="59"/>
      <c r="EO2" s="59"/>
      <c r="EP2" s="59"/>
      <c r="EQ2" s="59"/>
      <c r="ER2" s="59"/>
      <c r="ES2" s="59"/>
      <c r="ET2" s="59"/>
      <c r="EU2" s="59"/>
      <c r="EV2" s="59"/>
      <c r="EW2" s="59"/>
      <c r="EX2" s="59"/>
      <c r="EY2" s="59"/>
      <c r="EZ2" s="59"/>
      <c r="FA2" s="60"/>
      <c r="FB2" s="64" t="s">
        <v>14</v>
      </c>
      <c r="FC2" s="59"/>
      <c r="FD2" s="59"/>
      <c r="FE2" s="59"/>
      <c r="FF2" s="59"/>
      <c r="FG2" s="59"/>
      <c r="FH2" s="59"/>
      <c r="FI2" s="59"/>
      <c r="FJ2" s="59"/>
      <c r="FK2" s="59"/>
      <c r="FL2" s="59"/>
      <c r="FM2" s="59"/>
      <c r="FN2" s="59"/>
      <c r="FO2" s="59"/>
      <c r="FP2" s="59"/>
      <c r="FQ2" s="59"/>
      <c r="FR2" s="59"/>
      <c r="FS2" s="59"/>
      <c r="FT2" s="60"/>
      <c r="FU2" s="66" t="s">
        <v>1341</v>
      </c>
      <c r="FV2" s="59"/>
      <c r="FW2" s="59"/>
      <c r="FX2" s="59"/>
      <c r="FY2" s="59"/>
      <c r="FZ2" s="59"/>
      <c r="GA2" s="59"/>
      <c r="GB2" s="59"/>
      <c r="GC2" s="59"/>
      <c r="GD2" s="59"/>
      <c r="GE2" s="59"/>
      <c r="GF2" s="59"/>
      <c r="GG2" s="59"/>
      <c r="GH2" s="59"/>
      <c r="GI2" s="59"/>
      <c r="GJ2" s="59"/>
      <c r="GK2" s="59"/>
      <c r="GL2" s="59"/>
      <c r="GM2" s="60"/>
      <c r="GN2" s="2" t="s">
        <v>3</v>
      </c>
      <c r="GO2" s="58" t="s">
        <v>16</v>
      </c>
      <c r="GP2" s="59"/>
      <c r="GQ2" s="59"/>
      <c r="GR2" s="59"/>
      <c r="GS2" s="60"/>
      <c r="GT2" s="67" t="s">
        <v>1342</v>
      </c>
      <c r="GU2" s="59"/>
      <c r="GV2" s="60"/>
      <c r="GW2" s="64" t="s">
        <v>17</v>
      </c>
      <c r="GX2" s="59"/>
      <c r="GY2" s="59"/>
      <c r="GZ2" s="59"/>
      <c r="HA2" s="60"/>
      <c r="HB2" s="65" t="s">
        <v>1343</v>
      </c>
      <c r="HC2" s="60"/>
      <c r="HD2" s="2" t="s">
        <v>3</v>
      </c>
      <c r="HE2" s="2" t="s">
        <v>24</v>
      </c>
      <c r="HF2" s="2" t="s">
        <v>24</v>
      </c>
      <c r="HG2" s="2" t="s">
        <v>24</v>
      </c>
      <c r="HH2" s="2" t="s">
        <v>24</v>
      </c>
      <c r="HI2" s="54"/>
      <c r="HJ2" s="2" t="s">
        <v>3</v>
      </c>
      <c r="HK2" s="2"/>
      <c r="HL2" s="2"/>
      <c r="HM2" s="2"/>
      <c r="HN2" s="67" t="s">
        <v>1342</v>
      </c>
      <c r="HO2" s="59"/>
      <c r="HP2" s="60"/>
      <c r="HQ2" s="58" t="s">
        <v>16</v>
      </c>
      <c r="HR2" s="59"/>
      <c r="HS2" s="59"/>
      <c r="HT2" s="59"/>
      <c r="HU2" s="59"/>
      <c r="HV2" s="59"/>
      <c r="HW2" s="60"/>
      <c r="HX2" s="65" t="s">
        <v>1343</v>
      </c>
      <c r="HY2" s="60"/>
      <c r="HZ2" s="64" t="s">
        <v>17</v>
      </c>
      <c r="IA2" s="59"/>
      <c r="IB2" s="59"/>
      <c r="IC2" s="59"/>
      <c r="ID2" s="60"/>
      <c r="IE2" s="2"/>
      <c r="IF2" s="58" t="s">
        <v>1344</v>
      </c>
      <c r="IG2" s="59"/>
      <c r="IH2" s="59"/>
      <c r="II2" s="59"/>
      <c r="IJ2" s="59"/>
      <c r="IK2" s="59"/>
      <c r="IL2" s="59"/>
      <c r="IM2" s="59"/>
      <c r="IN2" s="59"/>
      <c r="IO2" s="59"/>
      <c r="IP2" s="59"/>
      <c r="IQ2" s="59"/>
      <c r="IR2" s="59"/>
      <c r="IS2" s="60"/>
      <c r="IT2" s="64" t="s">
        <v>1345</v>
      </c>
      <c r="IU2" s="59"/>
      <c r="IV2" s="59"/>
      <c r="IW2" s="59"/>
      <c r="IX2" s="59"/>
      <c r="IY2" s="59"/>
      <c r="IZ2" s="59"/>
      <c r="JA2" s="59"/>
      <c r="JB2" s="59"/>
      <c r="JC2" s="59"/>
      <c r="JD2" s="59"/>
      <c r="JE2" s="59"/>
      <c r="JF2" s="59"/>
      <c r="JG2" s="60"/>
      <c r="JH2" s="2" t="s">
        <v>3</v>
      </c>
    </row>
    <row r="3" spans="1:268" ht="15.75" customHeight="1" x14ac:dyDescent="0.2">
      <c r="A3" s="2"/>
      <c r="B3" s="2"/>
      <c r="C3" s="2" t="s">
        <v>26</v>
      </c>
      <c r="D3" s="2" t="s">
        <v>27</v>
      </c>
      <c r="E3" s="2" t="s">
        <v>28</v>
      </c>
      <c r="F3" s="2"/>
      <c r="G3" s="2" t="s">
        <v>29</v>
      </c>
      <c r="H3" s="2" t="s">
        <v>30</v>
      </c>
      <c r="I3" s="50" t="s">
        <v>31</v>
      </c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8"/>
      <c r="AD3" s="51" t="s">
        <v>32</v>
      </c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  <c r="AT3" s="47"/>
      <c r="AU3" s="47"/>
      <c r="AV3" s="47"/>
      <c r="AW3" s="47"/>
      <c r="AX3" s="48"/>
      <c r="AY3" s="52" t="s">
        <v>33</v>
      </c>
      <c r="AZ3" s="47"/>
      <c r="BA3" s="47"/>
      <c r="BB3" s="47"/>
      <c r="BC3" s="47"/>
      <c r="BD3" s="47"/>
      <c r="BE3" s="47"/>
      <c r="BF3" s="47"/>
      <c r="BG3" s="47"/>
      <c r="BH3" s="47"/>
      <c r="BI3" s="47"/>
      <c r="BJ3" s="47"/>
      <c r="BK3" s="47"/>
      <c r="BL3" s="47"/>
      <c r="BM3" s="47"/>
      <c r="BN3" s="47"/>
      <c r="BO3" s="47"/>
      <c r="BP3" s="47"/>
      <c r="BQ3" s="47"/>
      <c r="BR3" s="47"/>
      <c r="BS3" s="48"/>
      <c r="BT3" s="51" t="s">
        <v>34</v>
      </c>
      <c r="BU3" s="47"/>
      <c r="BV3" s="47"/>
      <c r="BW3" s="47"/>
      <c r="BX3" s="47"/>
      <c r="BY3" s="47"/>
      <c r="BZ3" s="47"/>
      <c r="CA3" s="47"/>
      <c r="CB3" s="47"/>
      <c r="CC3" s="47"/>
      <c r="CD3" s="47"/>
      <c r="CE3" s="47"/>
      <c r="CF3" s="47"/>
      <c r="CG3" s="47"/>
      <c r="CH3" s="47"/>
      <c r="CI3" s="47"/>
      <c r="CJ3" s="47"/>
      <c r="CK3" s="47"/>
      <c r="CL3" s="47"/>
      <c r="CM3" s="47"/>
      <c r="CN3" s="48"/>
      <c r="CO3" s="52" t="s">
        <v>35</v>
      </c>
      <c r="CP3" s="47"/>
      <c r="CQ3" s="47"/>
      <c r="CR3" s="47"/>
      <c r="CS3" s="47"/>
      <c r="CT3" s="47"/>
      <c r="CU3" s="47"/>
      <c r="CV3" s="47"/>
      <c r="CW3" s="47"/>
      <c r="CX3" s="47"/>
      <c r="CY3" s="47"/>
      <c r="CZ3" s="47"/>
      <c r="DA3" s="47"/>
      <c r="DB3" s="47"/>
      <c r="DC3" s="47"/>
      <c r="DD3" s="47"/>
      <c r="DE3" s="47"/>
      <c r="DF3" s="47"/>
      <c r="DG3" s="47"/>
      <c r="DH3" s="47"/>
      <c r="DI3" s="48"/>
      <c r="DJ3" s="54"/>
      <c r="DK3" s="54"/>
      <c r="DL3" s="2"/>
      <c r="DM3" s="2"/>
      <c r="DN3" s="2"/>
      <c r="DO3" s="2" t="s">
        <v>3</v>
      </c>
      <c r="DP3" s="61"/>
      <c r="DQ3" s="62"/>
      <c r="DR3" s="62"/>
      <c r="DS3" s="62"/>
      <c r="DT3" s="62"/>
      <c r="DU3" s="62"/>
      <c r="DV3" s="62"/>
      <c r="DW3" s="62"/>
      <c r="DX3" s="62"/>
      <c r="DY3" s="62"/>
      <c r="DZ3" s="62"/>
      <c r="EA3" s="62"/>
      <c r="EB3" s="62"/>
      <c r="EC3" s="62"/>
      <c r="ED3" s="62"/>
      <c r="EE3" s="62"/>
      <c r="EF3" s="62"/>
      <c r="EG3" s="62"/>
      <c r="EH3" s="63"/>
      <c r="EI3" s="61"/>
      <c r="EJ3" s="62"/>
      <c r="EK3" s="62"/>
      <c r="EL3" s="62"/>
      <c r="EM3" s="62"/>
      <c r="EN3" s="62"/>
      <c r="EO3" s="62"/>
      <c r="EP3" s="62"/>
      <c r="EQ3" s="62"/>
      <c r="ER3" s="62"/>
      <c r="ES3" s="62"/>
      <c r="ET3" s="62"/>
      <c r="EU3" s="62"/>
      <c r="EV3" s="62"/>
      <c r="EW3" s="62"/>
      <c r="EX3" s="62"/>
      <c r="EY3" s="62"/>
      <c r="EZ3" s="62"/>
      <c r="FA3" s="63"/>
      <c r="FB3" s="61"/>
      <c r="FC3" s="62"/>
      <c r="FD3" s="62"/>
      <c r="FE3" s="62"/>
      <c r="FF3" s="62"/>
      <c r="FG3" s="62"/>
      <c r="FH3" s="62"/>
      <c r="FI3" s="62"/>
      <c r="FJ3" s="62"/>
      <c r="FK3" s="62"/>
      <c r="FL3" s="62"/>
      <c r="FM3" s="62"/>
      <c r="FN3" s="62"/>
      <c r="FO3" s="62"/>
      <c r="FP3" s="62"/>
      <c r="FQ3" s="62"/>
      <c r="FR3" s="62"/>
      <c r="FS3" s="62"/>
      <c r="FT3" s="63"/>
      <c r="FU3" s="61"/>
      <c r="FV3" s="62"/>
      <c r="FW3" s="62"/>
      <c r="FX3" s="62"/>
      <c r="FY3" s="62"/>
      <c r="FZ3" s="62"/>
      <c r="GA3" s="62"/>
      <c r="GB3" s="62"/>
      <c r="GC3" s="62"/>
      <c r="GD3" s="62"/>
      <c r="GE3" s="62"/>
      <c r="GF3" s="62"/>
      <c r="GG3" s="62"/>
      <c r="GH3" s="62"/>
      <c r="GI3" s="62"/>
      <c r="GJ3" s="62"/>
      <c r="GK3" s="62"/>
      <c r="GL3" s="62"/>
      <c r="GM3" s="63"/>
      <c r="GN3" s="2" t="s">
        <v>3</v>
      </c>
      <c r="GO3" s="61"/>
      <c r="GP3" s="62"/>
      <c r="GQ3" s="62"/>
      <c r="GR3" s="62"/>
      <c r="GS3" s="63"/>
      <c r="GT3" s="61"/>
      <c r="GU3" s="62"/>
      <c r="GV3" s="63"/>
      <c r="GW3" s="61"/>
      <c r="GX3" s="62"/>
      <c r="GY3" s="62"/>
      <c r="GZ3" s="62"/>
      <c r="HA3" s="63"/>
      <c r="HB3" s="61"/>
      <c r="HC3" s="63"/>
      <c r="HD3" s="2" t="s">
        <v>3</v>
      </c>
      <c r="HE3" s="2" t="s">
        <v>41</v>
      </c>
      <c r="HF3" s="2" t="s">
        <v>41</v>
      </c>
      <c r="HG3" s="2" t="s">
        <v>41</v>
      </c>
      <c r="HH3" s="2" t="s">
        <v>41</v>
      </c>
      <c r="HI3" s="54"/>
      <c r="HJ3" s="2" t="s">
        <v>3</v>
      </c>
      <c r="HK3" s="2"/>
      <c r="HL3" s="2"/>
      <c r="HM3" s="2"/>
      <c r="HN3" s="61"/>
      <c r="HO3" s="62"/>
      <c r="HP3" s="63"/>
      <c r="HQ3" s="61"/>
      <c r="HR3" s="62"/>
      <c r="HS3" s="62"/>
      <c r="HT3" s="62"/>
      <c r="HU3" s="62"/>
      <c r="HV3" s="62"/>
      <c r="HW3" s="63"/>
      <c r="HX3" s="61"/>
      <c r="HY3" s="63"/>
      <c r="HZ3" s="61"/>
      <c r="IA3" s="62"/>
      <c r="IB3" s="62"/>
      <c r="IC3" s="62"/>
      <c r="ID3" s="63"/>
      <c r="IE3" s="2"/>
      <c r="IF3" s="61"/>
      <c r="IG3" s="62"/>
      <c r="IH3" s="62"/>
      <c r="II3" s="62"/>
      <c r="IJ3" s="62"/>
      <c r="IK3" s="62"/>
      <c r="IL3" s="62"/>
      <c r="IM3" s="62"/>
      <c r="IN3" s="62"/>
      <c r="IO3" s="62"/>
      <c r="IP3" s="62"/>
      <c r="IQ3" s="62"/>
      <c r="IR3" s="62"/>
      <c r="IS3" s="63"/>
      <c r="IT3" s="61"/>
      <c r="IU3" s="62"/>
      <c r="IV3" s="62"/>
      <c r="IW3" s="62"/>
      <c r="IX3" s="62"/>
      <c r="IY3" s="62"/>
      <c r="IZ3" s="62"/>
      <c r="JA3" s="62"/>
      <c r="JB3" s="62"/>
      <c r="JC3" s="62"/>
      <c r="JD3" s="62"/>
      <c r="JE3" s="62"/>
      <c r="JF3" s="62"/>
      <c r="JG3" s="63"/>
      <c r="JH3" s="2" t="s">
        <v>3</v>
      </c>
    </row>
    <row r="4" spans="1:268" ht="15.75" customHeight="1" x14ac:dyDescent="0.2">
      <c r="A4" s="2"/>
      <c r="B4" s="2"/>
      <c r="C4" s="2"/>
      <c r="D4" s="2"/>
      <c r="E4" s="2"/>
      <c r="F4" s="2"/>
      <c r="G4" s="2"/>
      <c r="H4" s="2"/>
      <c r="I4" s="2" t="s">
        <v>42</v>
      </c>
      <c r="J4" s="2" t="s">
        <v>43</v>
      </c>
      <c r="K4" s="2" t="s">
        <v>44</v>
      </c>
      <c r="L4" s="2" t="s">
        <v>45</v>
      </c>
      <c r="M4" s="2" t="s">
        <v>46</v>
      </c>
      <c r="N4" s="2" t="s">
        <v>47</v>
      </c>
      <c r="O4" s="2" t="s">
        <v>48</v>
      </c>
      <c r="P4" s="2" t="s">
        <v>49</v>
      </c>
      <c r="Q4" s="2" t="s">
        <v>50</v>
      </c>
      <c r="R4" s="2" t="s">
        <v>51</v>
      </c>
      <c r="S4" s="2" t="s">
        <v>52</v>
      </c>
      <c r="T4" s="2" t="s">
        <v>53</v>
      </c>
      <c r="U4" s="2" t="s">
        <v>54</v>
      </c>
      <c r="V4" s="2" t="s">
        <v>55</v>
      </c>
      <c r="W4" s="2" t="s">
        <v>56</v>
      </c>
      <c r="X4" s="2" t="s">
        <v>57</v>
      </c>
      <c r="Y4" s="2" t="s">
        <v>58</v>
      </c>
      <c r="Z4" s="2" t="s">
        <v>1346</v>
      </c>
      <c r="AA4" s="2" t="s">
        <v>60</v>
      </c>
      <c r="AB4" s="2" t="s">
        <v>61</v>
      </c>
      <c r="AC4" s="2" t="s">
        <v>62</v>
      </c>
      <c r="AD4" s="2" t="s">
        <v>42</v>
      </c>
      <c r="AE4" s="2" t="s">
        <v>43</v>
      </c>
      <c r="AF4" s="2" t="s">
        <v>44</v>
      </c>
      <c r="AG4" s="2" t="s">
        <v>45</v>
      </c>
      <c r="AH4" s="2" t="s">
        <v>46</v>
      </c>
      <c r="AI4" s="2" t="s">
        <v>47</v>
      </c>
      <c r="AJ4" s="2" t="s">
        <v>48</v>
      </c>
      <c r="AK4" s="2" t="s">
        <v>49</v>
      </c>
      <c r="AL4" s="2" t="s">
        <v>50</v>
      </c>
      <c r="AM4" s="2" t="s">
        <v>51</v>
      </c>
      <c r="AN4" s="2" t="s">
        <v>52</v>
      </c>
      <c r="AO4" s="2" t="s">
        <v>53</v>
      </c>
      <c r="AP4" s="2" t="s">
        <v>54</v>
      </c>
      <c r="AQ4" s="2" t="s">
        <v>55</v>
      </c>
      <c r="AR4" s="2" t="s">
        <v>56</v>
      </c>
      <c r="AS4" s="2" t="s">
        <v>57</v>
      </c>
      <c r="AT4" s="2" t="s">
        <v>58</v>
      </c>
      <c r="AU4" s="2" t="s">
        <v>1347</v>
      </c>
      <c r="AV4" s="2" t="s">
        <v>60</v>
      </c>
      <c r="AW4" s="2" t="s">
        <v>61</v>
      </c>
      <c r="AX4" s="2" t="s">
        <v>62</v>
      </c>
      <c r="AY4" s="2" t="s">
        <v>42</v>
      </c>
      <c r="AZ4" s="2" t="s">
        <v>43</v>
      </c>
      <c r="BA4" s="2" t="s">
        <v>44</v>
      </c>
      <c r="BB4" s="2" t="s">
        <v>45</v>
      </c>
      <c r="BC4" s="2" t="s">
        <v>46</v>
      </c>
      <c r="BD4" s="2" t="s">
        <v>47</v>
      </c>
      <c r="BE4" s="2" t="s">
        <v>48</v>
      </c>
      <c r="BF4" s="2" t="s">
        <v>49</v>
      </c>
      <c r="BG4" s="2" t="s">
        <v>50</v>
      </c>
      <c r="BH4" s="2" t="s">
        <v>51</v>
      </c>
      <c r="BI4" s="2" t="s">
        <v>52</v>
      </c>
      <c r="BJ4" s="2" t="s">
        <v>53</v>
      </c>
      <c r="BK4" s="2" t="s">
        <v>54</v>
      </c>
      <c r="BL4" s="2" t="s">
        <v>55</v>
      </c>
      <c r="BM4" s="2" t="s">
        <v>56</v>
      </c>
      <c r="BN4" s="2" t="s">
        <v>57</v>
      </c>
      <c r="BO4" s="2" t="s">
        <v>58</v>
      </c>
      <c r="BP4" s="2" t="s">
        <v>1348</v>
      </c>
      <c r="BQ4" s="2" t="s">
        <v>60</v>
      </c>
      <c r="BR4" s="2" t="s">
        <v>61</v>
      </c>
      <c r="BS4" s="2" t="s">
        <v>62</v>
      </c>
      <c r="BT4" s="2" t="s">
        <v>42</v>
      </c>
      <c r="BU4" s="2" t="s">
        <v>43</v>
      </c>
      <c r="BV4" s="2" t="s">
        <v>44</v>
      </c>
      <c r="BW4" s="2" t="s">
        <v>45</v>
      </c>
      <c r="BX4" s="2" t="s">
        <v>46</v>
      </c>
      <c r="BY4" s="2" t="s">
        <v>47</v>
      </c>
      <c r="BZ4" s="2" t="s">
        <v>48</v>
      </c>
      <c r="CA4" s="2" t="s">
        <v>49</v>
      </c>
      <c r="CB4" s="2" t="s">
        <v>50</v>
      </c>
      <c r="CC4" s="2" t="s">
        <v>51</v>
      </c>
      <c r="CD4" s="2" t="s">
        <v>52</v>
      </c>
      <c r="CE4" s="2" t="s">
        <v>53</v>
      </c>
      <c r="CF4" s="2" t="s">
        <v>54</v>
      </c>
      <c r="CG4" s="2" t="s">
        <v>55</v>
      </c>
      <c r="CH4" s="2" t="s">
        <v>56</v>
      </c>
      <c r="CI4" s="2" t="s">
        <v>57</v>
      </c>
      <c r="CJ4" s="2" t="s">
        <v>58</v>
      </c>
      <c r="CK4" s="2" t="s">
        <v>1349</v>
      </c>
      <c r="CL4" s="2" t="s">
        <v>60</v>
      </c>
      <c r="CM4" s="2" t="s">
        <v>61</v>
      </c>
      <c r="CN4" s="2" t="s">
        <v>62</v>
      </c>
      <c r="CO4" s="2" t="s">
        <v>42</v>
      </c>
      <c r="CP4" s="2" t="s">
        <v>43</v>
      </c>
      <c r="CQ4" s="2" t="s">
        <v>44</v>
      </c>
      <c r="CR4" s="2" t="s">
        <v>45</v>
      </c>
      <c r="CS4" s="2" t="s">
        <v>46</v>
      </c>
      <c r="CT4" s="2" t="s">
        <v>47</v>
      </c>
      <c r="CU4" s="2" t="s">
        <v>48</v>
      </c>
      <c r="CV4" s="2" t="s">
        <v>49</v>
      </c>
      <c r="CW4" s="2" t="s">
        <v>50</v>
      </c>
      <c r="CX4" s="2" t="s">
        <v>51</v>
      </c>
      <c r="CY4" s="2" t="s">
        <v>52</v>
      </c>
      <c r="CZ4" s="2" t="s">
        <v>53</v>
      </c>
      <c r="DA4" s="2" t="s">
        <v>54</v>
      </c>
      <c r="DB4" s="2" t="s">
        <v>55</v>
      </c>
      <c r="DC4" s="2" t="s">
        <v>56</v>
      </c>
      <c r="DD4" s="2" t="s">
        <v>57</v>
      </c>
      <c r="DE4" s="2" t="s">
        <v>58</v>
      </c>
      <c r="DF4" s="2" t="s">
        <v>1350</v>
      </c>
      <c r="DG4" s="2" t="s">
        <v>60</v>
      </c>
      <c r="DH4" s="2" t="s">
        <v>61</v>
      </c>
      <c r="DI4" s="2" t="s">
        <v>62</v>
      </c>
      <c r="DJ4" s="54"/>
      <c r="DK4" s="54"/>
      <c r="DL4" s="2" t="s">
        <v>50</v>
      </c>
      <c r="DM4" s="2" t="s">
        <v>51</v>
      </c>
      <c r="DN4" s="2"/>
      <c r="DO4" s="2" t="s">
        <v>3</v>
      </c>
      <c r="DP4" s="2" t="s">
        <v>1351</v>
      </c>
      <c r="DQ4" s="2" t="s">
        <v>1352</v>
      </c>
      <c r="DR4" s="2" t="s">
        <v>1353</v>
      </c>
      <c r="DS4" s="2" t="s">
        <v>1354</v>
      </c>
      <c r="DT4" s="2" t="s">
        <v>1355</v>
      </c>
      <c r="DU4" s="2" t="s">
        <v>1356</v>
      </c>
      <c r="DV4" s="2" t="s">
        <v>1357</v>
      </c>
      <c r="DW4" s="2" t="s">
        <v>1358</v>
      </c>
      <c r="DX4" s="2" t="s">
        <v>1359</v>
      </c>
      <c r="DY4" s="2" t="s">
        <v>1360</v>
      </c>
      <c r="DZ4" s="2" t="s">
        <v>1361</v>
      </c>
      <c r="EA4" s="2" t="s">
        <v>1362</v>
      </c>
      <c r="EB4" s="2" t="s">
        <v>1363</v>
      </c>
      <c r="EC4" s="2" t="s">
        <v>1364</v>
      </c>
      <c r="ED4" s="2" t="s">
        <v>1365</v>
      </c>
      <c r="EE4" s="2" t="s">
        <v>1366</v>
      </c>
      <c r="EF4" s="2" t="s">
        <v>1367</v>
      </c>
      <c r="EG4" s="2" t="s">
        <v>1368</v>
      </c>
      <c r="EH4" s="2" t="s">
        <v>1369</v>
      </c>
      <c r="EI4" s="2" t="s">
        <v>1370</v>
      </c>
      <c r="EJ4" s="2" t="s">
        <v>1371</v>
      </c>
      <c r="EK4" s="2" t="s">
        <v>1372</v>
      </c>
      <c r="EL4" s="2" t="s">
        <v>1373</v>
      </c>
      <c r="EM4" s="2" t="s">
        <v>1374</v>
      </c>
      <c r="EN4" s="2" t="s">
        <v>1375</v>
      </c>
      <c r="EO4" s="2" t="s">
        <v>1376</v>
      </c>
      <c r="EP4" s="2" t="s">
        <v>1377</v>
      </c>
      <c r="EQ4" s="2" t="s">
        <v>272</v>
      </c>
      <c r="ER4" s="2" t="s">
        <v>1378</v>
      </c>
      <c r="ES4" s="2" t="s">
        <v>1379</v>
      </c>
      <c r="ET4" s="2" t="s">
        <v>1380</v>
      </c>
      <c r="EU4" s="2" t="s">
        <v>1381</v>
      </c>
      <c r="EV4" s="2" t="s">
        <v>1382</v>
      </c>
      <c r="EW4" s="2" t="s">
        <v>1383</v>
      </c>
      <c r="EX4" s="2" t="s">
        <v>1384</v>
      </c>
      <c r="EY4" s="2" t="s">
        <v>1385</v>
      </c>
      <c r="EZ4" s="2" t="s">
        <v>1386</v>
      </c>
      <c r="FA4" s="2" t="s">
        <v>1387</v>
      </c>
      <c r="FB4" s="2" t="s">
        <v>1351</v>
      </c>
      <c r="FC4" s="2" t="s">
        <v>1352</v>
      </c>
      <c r="FD4" s="2" t="s">
        <v>1353</v>
      </c>
      <c r="FE4" s="2" t="s">
        <v>1354</v>
      </c>
      <c r="FF4" s="2" t="s">
        <v>1355</v>
      </c>
      <c r="FG4" s="2" t="s">
        <v>1356</v>
      </c>
      <c r="FH4" s="2" t="s">
        <v>1357</v>
      </c>
      <c r="FI4" s="2" t="s">
        <v>1358</v>
      </c>
      <c r="FJ4" s="2" t="s">
        <v>1359</v>
      </c>
      <c r="FK4" s="2" t="s">
        <v>1360</v>
      </c>
      <c r="FL4" s="2" t="s">
        <v>1361</v>
      </c>
      <c r="FM4" s="2" t="s">
        <v>1362</v>
      </c>
      <c r="FN4" s="2" t="s">
        <v>1363</v>
      </c>
      <c r="FO4" s="2" t="s">
        <v>1364</v>
      </c>
      <c r="FP4" s="2" t="s">
        <v>1365</v>
      </c>
      <c r="FQ4" s="2" t="s">
        <v>1366</v>
      </c>
      <c r="FR4" s="2" t="s">
        <v>1367</v>
      </c>
      <c r="FS4" s="2" t="s">
        <v>1368</v>
      </c>
      <c r="FT4" s="2" t="s">
        <v>1369</v>
      </c>
      <c r="FU4" s="2" t="s">
        <v>1370</v>
      </c>
      <c r="FV4" s="2" t="s">
        <v>1371</v>
      </c>
      <c r="FW4" s="2" t="s">
        <v>1372</v>
      </c>
      <c r="FX4" s="2" t="s">
        <v>1373</v>
      </c>
      <c r="FY4" s="2" t="s">
        <v>1374</v>
      </c>
      <c r="FZ4" s="2" t="s">
        <v>1375</v>
      </c>
      <c r="GA4" s="2" t="s">
        <v>1376</v>
      </c>
      <c r="GB4" s="2" t="s">
        <v>1377</v>
      </c>
      <c r="GC4" s="2" t="s">
        <v>272</v>
      </c>
      <c r="GD4" s="2" t="s">
        <v>1378</v>
      </c>
      <c r="GE4" s="2" t="s">
        <v>1379</v>
      </c>
      <c r="GF4" s="2" t="s">
        <v>1380</v>
      </c>
      <c r="GG4" s="2" t="s">
        <v>1381</v>
      </c>
      <c r="GH4" s="2" t="s">
        <v>1382</v>
      </c>
      <c r="GI4" s="2" t="s">
        <v>1383</v>
      </c>
      <c r="GJ4" s="2" t="s">
        <v>1384</v>
      </c>
      <c r="GK4" s="2" t="s">
        <v>1385</v>
      </c>
      <c r="GL4" s="2" t="s">
        <v>1386</v>
      </c>
      <c r="GM4" s="2" t="s">
        <v>1387</v>
      </c>
      <c r="GN4" s="2" t="s">
        <v>3</v>
      </c>
      <c r="GO4" s="2" t="s">
        <v>67</v>
      </c>
      <c r="GP4" s="2" t="s">
        <v>50</v>
      </c>
      <c r="GQ4" s="2" t="s">
        <v>68</v>
      </c>
      <c r="GR4" s="2" t="s">
        <v>1388</v>
      </c>
      <c r="GS4" s="2" t="s">
        <v>69</v>
      </c>
      <c r="GT4" s="2" t="s">
        <v>31</v>
      </c>
      <c r="GU4" s="2" t="s">
        <v>32</v>
      </c>
      <c r="GV4" s="2" t="s">
        <v>33</v>
      </c>
      <c r="GW4" s="2" t="s">
        <v>67</v>
      </c>
      <c r="GX4" s="2" t="s">
        <v>50</v>
      </c>
      <c r="GY4" s="2" t="s">
        <v>68</v>
      </c>
      <c r="GZ4" s="2" t="s">
        <v>1388</v>
      </c>
      <c r="HA4" s="2" t="s">
        <v>69</v>
      </c>
      <c r="HB4" s="2" t="s">
        <v>1389</v>
      </c>
      <c r="HC4" s="2" t="s">
        <v>35</v>
      </c>
      <c r="HD4" s="2" t="s">
        <v>3</v>
      </c>
      <c r="HE4" s="2" t="s">
        <v>71</v>
      </c>
      <c r="HF4" s="2" t="s">
        <v>72</v>
      </c>
      <c r="HG4" s="2" t="s">
        <v>73</v>
      </c>
      <c r="HH4" s="2" t="s">
        <v>73</v>
      </c>
      <c r="HI4" s="54"/>
      <c r="HJ4" s="2" t="s">
        <v>3</v>
      </c>
      <c r="HK4" s="2"/>
      <c r="HL4" s="2"/>
      <c r="HM4" s="2"/>
      <c r="HN4" s="2" t="s">
        <v>31</v>
      </c>
      <c r="HO4" s="2" t="s">
        <v>32</v>
      </c>
      <c r="HP4" s="2" t="s">
        <v>33</v>
      </c>
      <c r="HQ4" s="2" t="s">
        <v>67</v>
      </c>
      <c r="HR4" s="2" t="s">
        <v>50</v>
      </c>
      <c r="HS4" s="2" t="s">
        <v>1390</v>
      </c>
      <c r="HT4" s="2" t="s">
        <v>1391</v>
      </c>
      <c r="HU4" s="2" t="s">
        <v>68</v>
      </c>
      <c r="HV4" s="2" t="s">
        <v>69</v>
      </c>
      <c r="HW4" s="2" t="s">
        <v>70</v>
      </c>
      <c r="HX4" s="2" t="s">
        <v>1389</v>
      </c>
      <c r="HY4" s="2" t="s">
        <v>35</v>
      </c>
      <c r="HZ4" s="2" t="s">
        <v>67</v>
      </c>
      <c r="IA4" s="2" t="s">
        <v>50</v>
      </c>
      <c r="IB4" s="2" t="s">
        <v>68</v>
      </c>
      <c r="IC4" s="2" t="s">
        <v>69</v>
      </c>
      <c r="ID4" s="2" t="s">
        <v>70</v>
      </c>
      <c r="IE4" s="2"/>
      <c r="IF4" s="2" t="s">
        <v>1370</v>
      </c>
      <c r="IG4" s="2" t="s">
        <v>1371</v>
      </c>
      <c r="IH4" s="2" t="s">
        <v>1372</v>
      </c>
      <c r="II4" s="2" t="s">
        <v>1373</v>
      </c>
      <c r="IJ4" s="2" t="s">
        <v>1374</v>
      </c>
      <c r="IK4" s="2" t="s">
        <v>1375</v>
      </c>
      <c r="IL4" s="2" t="s">
        <v>1376</v>
      </c>
      <c r="IM4" s="2" t="s">
        <v>1377</v>
      </c>
      <c r="IN4" s="2" t="s">
        <v>272</v>
      </c>
      <c r="IO4" s="2" t="s">
        <v>1392</v>
      </c>
      <c r="IP4" s="2" t="s">
        <v>1383</v>
      </c>
      <c r="IQ4" s="2" t="s">
        <v>1384</v>
      </c>
      <c r="IR4" s="2" t="s">
        <v>1386</v>
      </c>
      <c r="IS4" s="2" t="s">
        <v>1387</v>
      </c>
      <c r="IT4" s="2" t="s">
        <v>1370</v>
      </c>
      <c r="IU4" s="2" t="s">
        <v>1371</v>
      </c>
      <c r="IV4" s="2" t="s">
        <v>1372</v>
      </c>
      <c r="IW4" s="2" t="s">
        <v>1373</v>
      </c>
      <c r="IX4" s="2" t="s">
        <v>1374</v>
      </c>
      <c r="IY4" s="2" t="s">
        <v>1375</v>
      </c>
      <c r="IZ4" s="2" t="s">
        <v>1376</v>
      </c>
      <c r="JA4" s="2" t="s">
        <v>1377</v>
      </c>
      <c r="JB4" s="2" t="s">
        <v>272</v>
      </c>
      <c r="JC4" s="2" t="s">
        <v>1392</v>
      </c>
      <c r="JD4" s="2" t="s">
        <v>1383</v>
      </c>
      <c r="JE4" s="2" t="s">
        <v>1384</v>
      </c>
      <c r="JF4" s="2" t="s">
        <v>1386</v>
      </c>
      <c r="JG4" s="2" t="s">
        <v>1387</v>
      </c>
      <c r="JH4" s="2" t="s">
        <v>3</v>
      </c>
    </row>
    <row r="5" spans="1:268" ht="15.75" customHeight="1" x14ac:dyDescent="0.2">
      <c r="A5" s="21" t="s">
        <v>400</v>
      </c>
      <c r="B5" s="2" t="s">
        <v>99</v>
      </c>
      <c r="C5" s="2"/>
      <c r="D5" s="2"/>
      <c r="E5" s="2"/>
      <c r="F5" s="2" t="s">
        <v>401</v>
      </c>
      <c r="G5" s="2"/>
      <c r="H5" s="2"/>
      <c r="I5" s="2">
        <v>0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>
        <v>1906.63</v>
      </c>
      <c r="AE5" s="2"/>
      <c r="AF5" s="2"/>
      <c r="AG5" s="2"/>
      <c r="AH5" s="2"/>
      <c r="AI5" s="2"/>
      <c r="AJ5" s="2"/>
      <c r="AK5" s="2"/>
      <c r="AL5" s="2">
        <v>0.121</v>
      </c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15">
        <v>504.88</v>
      </c>
      <c r="AZ5" s="2"/>
      <c r="BA5" s="2"/>
      <c r="BB5" s="2"/>
      <c r="BC5" s="2"/>
      <c r="BD5" s="2"/>
      <c r="BE5" s="2"/>
      <c r="BF5" s="2"/>
      <c r="BG5" s="2">
        <v>9.7000000000000003E-2</v>
      </c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>
        <v>0</v>
      </c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>
        <v>0</v>
      </c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 t="s">
        <v>81</v>
      </c>
      <c r="DK5" s="2"/>
      <c r="DL5" s="2">
        <f t="shared" ref="DL5:DL259" si="3">(Q5*I5+AL5*AD5+BG5*AY5)/(I5+AD5+AY5)</f>
        <v>0.11597529763509169</v>
      </c>
      <c r="DM5" s="2">
        <f t="shared" ref="DM5:DM259" si="4">(R5*I5+AM5*AD5+BH5*AY5)/(I5+AD5+AY5)</f>
        <v>0</v>
      </c>
      <c r="DN5" s="2" t="s">
        <v>402</v>
      </c>
      <c r="DO5" s="2" t="s">
        <v>3</v>
      </c>
      <c r="DP5" s="2">
        <f t="shared" ref="DP5:DP259" si="5">(J5*$I5+AE5*$AD5+AZ5*$AY5)/100</f>
        <v>0</v>
      </c>
      <c r="DQ5" s="2">
        <f t="shared" ref="DQ5:DR5" si="6">K5*$I5+AF5*$AD5+BA5*$AY5</f>
        <v>0</v>
      </c>
      <c r="DR5" s="2">
        <f t="shared" si="6"/>
        <v>0</v>
      </c>
      <c r="DS5" s="2">
        <f t="shared" ref="DS5:DX5" si="7">(M5*$I5+AH5*$AD5+BC5*$AY5)/100</f>
        <v>0</v>
      </c>
      <c r="DT5" s="2">
        <f t="shared" si="7"/>
        <v>0</v>
      </c>
      <c r="DU5" s="2">
        <f t="shared" si="7"/>
        <v>0</v>
      </c>
      <c r="DV5" s="2">
        <f t="shared" si="7"/>
        <v>0</v>
      </c>
      <c r="DW5" s="2">
        <f t="shared" si="7"/>
        <v>2.7967559</v>
      </c>
      <c r="DX5" s="2">
        <f t="shared" si="7"/>
        <v>0</v>
      </c>
      <c r="DY5" s="2">
        <f t="shared" ref="DY5:EC5" si="8">S5*$I5+AN5*$AD5+BI5*$AY5</f>
        <v>0</v>
      </c>
      <c r="DZ5" s="2">
        <f t="shared" si="8"/>
        <v>0</v>
      </c>
      <c r="EA5" s="2">
        <f t="shared" si="8"/>
        <v>0</v>
      </c>
      <c r="EB5" s="2">
        <f t="shared" si="8"/>
        <v>0</v>
      </c>
      <c r="EC5" s="2">
        <f t="shared" si="8"/>
        <v>0</v>
      </c>
      <c r="ED5" s="2">
        <f t="shared" ref="ED5:EE5" si="9">(X5*$I5+AS5*$AD5+BN5*$AY5)/100</f>
        <v>0</v>
      </c>
      <c r="EE5" s="2">
        <f t="shared" si="9"/>
        <v>0</v>
      </c>
      <c r="EF5" s="2"/>
      <c r="EG5" s="2">
        <f t="shared" ref="EG5:EG259" si="10">AA5*$I5+AV5*$AD5+BQ5*$AY5</f>
        <v>0</v>
      </c>
      <c r="EH5" s="2">
        <f t="shared" ref="EH5:EH259" si="11">(AB5*$I5+AW5*$AD5+BR5*$AY5)/100</f>
        <v>0</v>
      </c>
      <c r="EI5" s="39">
        <f t="shared" ref="EI5:EI259" si="12">EI$1*DP5</f>
        <v>0</v>
      </c>
      <c r="EJ5" s="39">
        <f t="shared" ref="EJ5:EK5" si="13">EJ$1*DQ5/1000000</f>
        <v>0</v>
      </c>
      <c r="EK5" s="39">
        <f t="shared" si="13"/>
        <v>0</v>
      </c>
      <c r="EL5" s="39">
        <f t="shared" ref="EL5:EQ5" si="14">EL$1*DS5</f>
        <v>0</v>
      </c>
      <c r="EM5" s="39">
        <f t="shared" si="14"/>
        <v>0</v>
      </c>
      <c r="EN5" s="39">
        <f t="shared" si="14"/>
        <v>0</v>
      </c>
      <c r="EO5" s="39">
        <f t="shared" si="14"/>
        <v>0</v>
      </c>
      <c r="EP5" s="39">
        <f t="shared" si="14"/>
        <v>36676.656872599997</v>
      </c>
      <c r="EQ5" s="39">
        <f t="shared" si="14"/>
        <v>0</v>
      </c>
      <c r="ER5" s="39">
        <f t="shared" ref="ER5:EV5" si="15">ER$1*DY5/1000000</f>
        <v>0</v>
      </c>
      <c r="ES5" s="39">
        <f t="shared" si="15"/>
        <v>0</v>
      </c>
      <c r="ET5" s="39">
        <f t="shared" si="15"/>
        <v>0</v>
      </c>
      <c r="EU5" s="39">
        <f t="shared" si="15"/>
        <v>0</v>
      </c>
      <c r="EV5" s="39">
        <f t="shared" si="15"/>
        <v>0</v>
      </c>
      <c r="EW5" s="39">
        <f t="shared" ref="EW5:EX5" si="16">EW$1*ED5</f>
        <v>0</v>
      </c>
      <c r="EX5" s="39">
        <f t="shared" si="16"/>
        <v>0</v>
      </c>
      <c r="EY5" s="2"/>
      <c r="EZ5" s="39">
        <f t="shared" ref="EZ5:EZ259" si="17">EZ$1*EG5/1000000</f>
        <v>0</v>
      </c>
      <c r="FA5" s="39">
        <f t="shared" ref="FA5:FA259" si="18">FA$1*EH5</f>
        <v>0</v>
      </c>
      <c r="FB5" s="2">
        <f t="shared" ref="FB5:FB259" si="19">(BU5*$BT5+CP5*$CO5)/100</f>
        <v>0</v>
      </c>
      <c r="FC5" s="2">
        <f t="shared" ref="FC5:FD5" si="20">BV5*$BT5+CQ5*$CO5</f>
        <v>0</v>
      </c>
      <c r="FD5" s="2">
        <f t="shared" si="20"/>
        <v>0</v>
      </c>
      <c r="FE5" s="2">
        <f t="shared" ref="FE5:FJ5" si="21">(BX5*$BT5+CS5*$CO5)/100</f>
        <v>0</v>
      </c>
      <c r="FF5" s="2">
        <f t="shared" si="21"/>
        <v>0</v>
      </c>
      <c r="FG5" s="2">
        <f t="shared" si="21"/>
        <v>0</v>
      </c>
      <c r="FH5" s="2">
        <f t="shared" si="21"/>
        <v>0</v>
      </c>
      <c r="FI5" s="2">
        <f t="shared" si="21"/>
        <v>0</v>
      </c>
      <c r="FJ5" s="2">
        <f t="shared" si="21"/>
        <v>0</v>
      </c>
      <c r="FK5" s="2">
        <f t="shared" ref="FK5:FO5" si="22">CD5*$BT5+CY5*$CO5</f>
        <v>0</v>
      </c>
      <c r="FL5" s="2">
        <f t="shared" si="22"/>
        <v>0</v>
      </c>
      <c r="FM5" s="2">
        <f t="shared" si="22"/>
        <v>0</v>
      </c>
      <c r="FN5" s="2">
        <f t="shared" si="22"/>
        <v>0</v>
      </c>
      <c r="FO5" s="2">
        <f t="shared" si="22"/>
        <v>0</v>
      </c>
      <c r="FP5" s="2">
        <f t="shared" ref="FP5:FQ5" si="23">(CI5*$BT5+DD5*$CO5)/100</f>
        <v>0</v>
      </c>
      <c r="FQ5" s="2">
        <f t="shared" si="23"/>
        <v>0</v>
      </c>
      <c r="FR5" s="2"/>
      <c r="FS5" s="2">
        <f t="shared" ref="FS5:FS259" si="24">CL5*$BT5+DG5*$CO5</f>
        <v>0</v>
      </c>
      <c r="FT5" s="2">
        <f t="shared" ref="FT5:FT259" si="25">(CM5*$BT5+DH5*$CO5)/100</f>
        <v>0</v>
      </c>
      <c r="FU5" s="39">
        <f t="shared" ref="FU5:FU259" si="26">FU$1*FB5</f>
        <v>0</v>
      </c>
      <c r="FV5" s="39">
        <f t="shared" ref="FV5:FW5" si="27">FV$1*FC5/1000000</f>
        <v>0</v>
      </c>
      <c r="FW5" s="39">
        <f t="shared" si="27"/>
        <v>0</v>
      </c>
      <c r="FX5" s="39">
        <f t="shared" ref="FX5:GC5" si="28">FX$1*FE5</f>
        <v>0</v>
      </c>
      <c r="FY5" s="39">
        <f t="shared" si="28"/>
        <v>0</v>
      </c>
      <c r="FZ5" s="39">
        <f t="shared" si="28"/>
        <v>0</v>
      </c>
      <c r="GA5" s="39">
        <f t="shared" si="28"/>
        <v>0</v>
      </c>
      <c r="GB5" s="39">
        <f t="shared" si="28"/>
        <v>0</v>
      </c>
      <c r="GC5" s="39">
        <f t="shared" si="28"/>
        <v>0</v>
      </c>
      <c r="GD5" s="39">
        <f t="shared" ref="GD5:GH5" si="29">GD$1*FK5/1000000</f>
        <v>0</v>
      </c>
      <c r="GE5" s="39">
        <f t="shared" si="29"/>
        <v>0</v>
      </c>
      <c r="GF5" s="39">
        <f t="shared" si="29"/>
        <v>0</v>
      </c>
      <c r="GG5" s="39">
        <f t="shared" si="29"/>
        <v>0</v>
      </c>
      <c r="GH5" s="39">
        <f t="shared" si="29"/>
        <v>0</v>
      </c>
      <c r="GI5" s="39">
        <f t="shared" ref="GI5:GJ5" si="30">GI$1*FP5</f>
        <v>0</v>
      </c>
      <c r="GJ5" s="39">
        <f t="shared" si="30"/>
        <v>0</v>
      </c>
      <c r="GK5" s="2"/>
      <c r="GL5" s="39">
        <f t="shared" ref="GL5:GL259" si="31">GL$1*FS5/1000000</f>
        <v>0</v>
      </c>
      <c r="GM5" s="39">
        <f t="shared" ref="GM5:GM259" si="32">GM$1*FT5</f>
        <v>0</v>
      </c>
      <c r="GN5" s="2" t="s">
        <v>3</v>
      </c>
      <c r="GO5" s="3">
        <f t="shared" ref="GO5:GO259" si="33">I5+AD5+AY5</f>
        <v>2411.5100000000002</v>
      </c>
      <c r="GP5" s="4">
        <f t="shared" ref="GP5:GP259" si="34">(I5*Q5+AD5*AL5+AY5*BG5)/GO5</f>
        <v>0.11597529763509169</v>
      </c>
      <c r="GQ5" s="18">
        <f t="shared" ref="GQ5:GQ259" si="35">1000*GO5*GP5/100</f>
        <v>2796.7558999999997</v>
      </c>
      <c r="GR5" s="15">
        <f t="shared" ref="GR5:GR259" si="36">SUM(EI5:FA5)</f>
        <v>36676.656872599997</v>
      </c>
      <c r="GS5" s="15">
        <f t="shared" ref="GS5:GS259" si="37">GR5/GO5</f>
        <v>15.209000531865923</v>
      </c>
      <c r="GT5" s="2">
        <f t="shared" ref="GT5:GT259" si="38">1000*(Q5*$I5)/100</f>
        <v>0</v>
      </c>
      <c r="GU5" s="2">
        <f t="shared" ref="GU5:GU259" si="39">1000*(AL5*$AD5)/100</f>
        <v>2307.0223000000001</v>
      </c>
      <c r="GV5" s="2">
        <f t="shared" ref="GV5:GV259" si="40">1000*(BG5*$AY5)/100</f>
        <v>489.73360000000002</v>
      </c>
      <c r="GW5" s="2">
        <f t="shared" ref="GW5:GW259" si="41">BT5+CO5</f>
        <v>0</v>
      </c>
      <c r="GX5" s="2"/>
      <c r="GY5" s="2"/>
      <c r="GZ5" s="2"/>
      <c r="HA5" s="2"/>
      <c r="HB5" s="2">
        <f t="shared" ref="HB5:HB259" si="42">1000*(CB5*$BT5)/100</f>
        <v>0</v>
      </c>
      <c r="HC5" s="2">
        <f t="shared" ref="HC5:HC259" si="43">1000*(CW5*$CO5)/100</f>
        <v>0</v>
      </c>
      <c r="HD5" s="2" t="s">
        <v>3</v>
      </c>
      <c r="HE5" s="2" t="s">
        <v>183</v>
      </c>
      <c r="HF5" s="2" t="s">
        <v>403</v>
      </c>
      <c r="HG5" s="2" t="s">
        <v>404</v>
      </c>
      <c r="HH5" s="2" t="s">
        <v>405</v>
      </c>
      <c r="HI5" s="2" t="s">
        <v>81</v>
      </c>
      <c r="HJ5" s="2" t="s">
        <v>3</v>
      </c>
      <c r="HK5" s="2" t="s">
        <v>183</v>
      </c>
      <c r="HL5" s="2" t="s">
        <v>403</v>
      </c>
      <c r="HM5" s="2" t="s">
        <v>81</v>
      </c>
      <c r="HN5" s="2">
        <f t="shared" ref="HN5:HP5" si="44">GT5</f>
        <v>0</v>
      </c>
      <c r="HO5" s="3">
        <f t="shared" si="44"/>
        <v>2307.0223000000001</v>
      </c>
      <c r="HP5" s="15">
        <f t="shared" si="44"/>
        <v>489.73360000000002</v>
      </c>
      <c r="HQ5" s="3">
        <f>GO5</f>
        <v>2411.5100000000002</v>
      </c>
      <c r="HR5" s="4">
        <f t="shared" ref="HR5:HR37" si="45">100*(HU5/1000)/HQ5</f>
        <v>0.11597529763509168</v>
      </c>
      <c r="HS5" s="4">
        <f>GP5</f>
        <v>0.11597529763509169</v>
      </c>
      <c r="HT5" s="4">
        <f t="shared" ref="HT5:HU5" si="46">GP5</f>
        <v>0.11597529763509169</v>
      </c>
      <c r="HU5" s="3">
        <f t="shared" si="46"/>
        <v>2796.7558999999997</v>
      </c>
      <c r="HV5" s="3">
        <f>GS5</f>
        <v>15.209000531865923</v>
      </c>
      <c r="HW5" s="2">
        <f>COUNT(GQ5)</f>
        <v>1</v>
      </c>
      <c r="HX5" s="2">
        <f t="shared" ref="HX5:HY5" si="47">HB5</f>
        <v>0</v>
      </c>
      <c r="HY5" s="2">
        <f t="shared" si="47"/>
        <v>0</v>
      </c>
      <c r="HZ5" s="2" t="s">
        <v>176</v>
      </c>
      <c r="IA5" s="2" t="s">
        <v>176</v>
      </c>
      <c r="IB5" s="2" t="s">
        <v>176</v>
      </c>
      <c r="IC5" s="2" t="s">
        <v>176</v>
      </c>
      <c r="ID5" s="2">
        <f>COUNT(GY5)</f>
        <v>0</v>
      </c>
      <c r="IE5" s="2"/>
      <c r="IF5" s="39">
        <f t="shared" ref="IF5:IN5" si="48">100*EI5/SUM($EI5:$FA5)</f>
        <v>0</v>
      </c>
      <c r="IG5" s="39">
        <f t="shared" si="48"/>
        <v>0</v>
      </c>
      <c r="IH5" s="39">
        <f t="shared" si="48"/>
        <v>0</v>
      </c>
      <c r="II5" s="39">
        <f t="shared" si="48"/>
        <v>0</v>
      </c>
      <c r="IJ5" s="39">
        <f t="shared" si="48"/>
        <v>0</v>
      </c>
      <c r="IK5" s="39">
        <f t="shared" si="48"/>
        <v>0</v>
      </c>
      <c r="IL5" s="39">
        <f t="shared" si="48"/>
        <v>0</v>
      </c>
      <c r="IM5" s="39">
        <f t="shared" si="48"/>
        <v>100</v>
      </c>
      <c r="IN5" s="39">
        <f t="shared" si="48"/>
        <v>0</v>
      </c>
      <c r="IO5" s="39">
        <f>100*SUM(ER5:EV5)/SUM($EI5:$FA5)</f>
        <v>0</v>
      </c>
      <c r="IP5" s="39">
        <f t="shared" ref="IP5:IQ5" si="49">100*EW5/SUM($EI5:$FA5)</f>
        <v>0</v>
      </c>
      <c r="IQ5" s="39">
        <f t="shared" si="49"/>
        <v>0</v>
      </c>
      <c r="IR5" s="39">
        <f t="shared" ref="IR5:IS5" si="50">100*EZ5/SUM($EI5:$FA5)</f>
        <v>0</v>
      </c>
      <c r="IS5" s="39">
        <f t="shared" si="50"/>
        <v>0</v>
      </c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 t="s">
        <v>3</v>
      </c>
    </row>
    <row r="6" spans="1:268" ht="15.75" customHeight="1" x14ac:dyDescent="0.2">
      <c r="A6" s="21" t="s">
        <v>574</v>
      </c>
      <c r="B6" s="2" t="s">
        <v>99</v>
      </c>
      <c r="C6" s="2"/>
      <c r="D6" s="2"/>
      <c r="E6" s="2"/>
      <c r="F6" s="2" t="s">
        <v>575</v>
      </c>
      <c r="G6" s="2"/>
      <c r="H6" s="2" t="s">
        <v>181</v>
      </c>
      <c r="I6" s="15">
        <v>19</v>
      </c>
      <c r="J6" s="2">
        <v>0.06</v>
      </c>
      <c r="K6" s="2"/>
      <c r="L6" s="2"/>
      <c r="M6" s="2"/>
      <c r="N6" s="2"/>
      <c r="O6" s="2"/>
      <c r="P6" s="2"/>
      <c r="Q6" s="2">
        <v>0.79</v>
      </c>
      <c r="R6" s="2">
        <v>1.4500000000000001E-2</v>
      </c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>
        <v>21.4</v>
      </c>
      <c r="AE6" s="2">
        <v>7.0000000000000007E-2</v>
      </c>
      <c r="AF6" s="2"/>
      <c r="AG6" s="2"/>
      <c r="AH6" s="2"/>
      <c r="AI6" s="2"/>
      <c r="AJ6" s="2"/>
      <c r="AK6" s="2"/>
      <c r="AL6" s="2">
        <v>0.77</v>
      </c>
      <c r="AM6" s="2">
        <v>1.23E-2</v>
      </c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>
        <v>0</v>
      </c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>
        <v>0</v>
      </c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>
        <v>0</v>
      </c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 t="s">
        <v>100</v>
      </c>
      <c r="DK6" s="2" t="s">
        <v>100</v>
      </c>
      <c r="DL6" s="2">
        <f t="shared" si="3"/>
        <v>0.77940594059405943</v>
      </c>
      <c r="DM6" s="2">
        <f t="shared" si="4"/>
        <v>1.3334653465346537E-2</v>
      </c>
      <c r="DN6" s="2" t="s">
        <v>576</v>
      </c>
      <c r="DO6" s="2" t="s">
        <v>3</v>
      </c>
      <c r="DP6" s="2">
        <f t="shared" si="5"/>
        <v>2.6380000000000001E-2</v>
      </c>
      <c r="DQ6" s="2">
        <f t="shared" ref="DQ6:DR6" si="51">K6*$I6+AF6*$AD6+BA6*$AY6</f>
        <v>0</v>
      </c>
      <c r="DR6" s="2">
        <f t="shared" si="51"/>
        <v>0</v>
      </c>
      <c r="DS6" s="2">
        <f t="shared" ref="DS6:DX6" si="52">(M6*$I6+AH6*$AD6+BC6*$AY6)/100</f>
        <v>0</v>
      </c>
      <c r="DT6" s="2">
        <f t="shared" si="52"/>
        <v>0</v>
      </c>
      <c r="DU6" s="2">
        <f t="shared" si="52"/>
        <v>0</v>
      </c>
      <c r="DV6" s="2">
        <f t="shared" si="52"/>
        <v>0</v>
      </c>
      <c r="DW6" s="2">
        <f t="shared" si="52"/>
        <v>0.31487999999999999</v>
      </c>
      <c r="DX6" s="2">
        <f t="shared" si="52"/>
        <v>5.3872000000000008E-3</v>
      </c>
      <c r="DY6" s="2">
        <f t="shared" ref="DY6:EC6" si="53">S6*$I6+AN6*$AD6+BI6*$AY6</f>
        <v>0</v>
      </c>
      <c r="DZ6" s="2">
        <f t="shared" si="53"/>
        <v>0</v>
      </c>
      <c r="EA6" s="2">
        <f t="shared" si="53"/>
        <v>0</v>
      </c>
      <c r="EB6" s="2">
        <f t="shared" si="53"/>
        <v>0</v>
      </c>
      <c r="EC6" s="2">
        <f t="shared" si="53"/>
        <v>0</v>
      </c>
      <c r="ED6" s="2">
        <f t="shared" ref="ED6:EE6" si="54">(X6*$I6+AS6*$AD6+BN6*$AY6)/100</f>
        <v>0</v>
      </c>
      <c r="EE6" s="2">
        <f t="shared" si="54"/>
        <v>0</v>
      </c>
      <c r="EF6" s="2"/>
      <c r="EG6" s="2">
        <f t="shared" si="10"/>
        <v>0</v>
      </c>
      <c r="EH6" s="2">
        <f t="shared" si="11"/>
        <v>0</v>
      </c>
      <c r="EI6" s="39">
        <f t="shared" si="12"/>
        <v>172.14575008</v>
      </c>
      <c r="EJ6" s="39">
        <f t="shared" ref="EJ6:EK6" si="55">EJ$1*DQ6/1000000</f>
        <v>0</v>
      </c>
      <c r="EK6" s="39">
        <f t="shared" si="55"/>
        <v>0</v>
      </c>
      <c r="EL6" s="39">
        <f t="shared" ref="EL6:EQ6" si="56">EL$1*DS6</f>
        <v>0</v>
      </c>
      <c r="EM6" s="39">
        <f t="shared" si="56"/>
        <v>0</v>
      </c>
      <c r="EN6" s="39">
        <f t="shared" si="56"/>
        <v>0</v>
      </c>
      <c r="EO6" s="39">
        <f t="shared" si="56"/>
        <v>0</v>
      </c>
      <c r="EP6" s="39">
        <f t="shared" si="56"/>
        <v>4129.3363200000003</v>
      </c>
      <c r="EQ6" s="39">
        <f t="shared" si="56"/>
        <v>391.21589969280001</v>
      </c>
      <c r="ER6" s="39">
        <f t="shared" ref="ER6:EV6" si="57">ER$1*DY6/1000000</f>
        <v>0</v>
      </c>
      <c r="ES6" s="39">
        <f t="shared" si="57"/>
        <v>0</v>
      </c>
      <c r="ET6" s="39">
        <f t="shared" si="57"/>
        <v>0</v>
      </c>
      <c r="EU6" s="39">
        <f t="shared" si="57"/>
        <v>0</v>
      </c>
      <c r="EV6" s="39">
        <f t="shared" si="57"/>
        <v>0</v>
      </c>
      <c r="EW6" s="39">
        <f t="shared" ref="EW6:EX6" si="58">EW$1*ED6</f>
        <v>0</v>
      </c>
      <c r="EX6" s="39">
        <f t="shared" si="58"/>
        <v>0</v>
      </c>
      <c r="EY6" s="2"/>
      <c r="EZ6" s="39">
        <f t="shared" si="17"/>
        <v>0</v>
      </c>
      <c r="FA6" s="39">
        <f t="shared" si="18"/>
        <v>0</v>
      </c>
      <c r="FB6" s="2">
        <f t="shared" si="19"/>
        <v>0</v>
      </c>
      <c r="FC6" s="2">
        <f t="shared" ref="FC6:FD6" si="59">BV6*$BT6+CQ6*$CO6</f>
        <v>0</v>
      </c>
      <c r="FD6" s="2">
        <f t="shared" si="59"/>
        <v>0</v>
      </c>
      <c r="FE6" s="2">
        <f t="shared" ref="FE6:FJ6" si="60">(BX6*$BT6+CS6*$CO6)/100</f>
        <v>0</v>
      </c>
      <c r="FF6" s="2">
        <f t="shared" si="60"/>
        <v>0</v>
      </c>
      <c r="FG6" s="2">
        <f t="shared" si="60"/>
        <v>0</v>
      </c>
      <c r="FH6" s="2">
        <f t="shared" si="60"/>
        <v>0</v>
      </c>
      <c r="FI6" s="2">
        <f t="shared" si="60"/>
        <v>0</v>
      </c>
      <c r="FJ6" s="2">
        <f t="shared" si="60"/>
        <v>0</v>
      </c>
      <c r="FK6" s="2">
        <f t="shared" ref="FK6:FO6" si="61">CD6*$BT6+CY6*$CO6</f>
        <v>0</v>
      </c>
      <c r="FL6" s="2">
        <f t="shared" si="61"/>
        <v>0</v>
      </c>
      <c r="FM6" s="2">
        <f t="shared" si="61"/>
        <v>0</v>
      </c>
      <c r="FN6" s="2">
        <f t="shared" si="61"/>
        <v>0</v>
      </c>
      <c r="FO6" s="2">
        <f t="shared" si="61"/>
        <v>0</v>
      </c>
      <c r="FP6" s="2">
        <f t="shared" ref="FP6:FQ6" si="62">(CI6*$BT6+DD6*$CO6)/100</f>
        <v>0</v>
      </c>
      <c r="FQ6" s="2">
        <f t="shared" si="62"/>
        <v>0</v>
      </c>
      <c r="FR6" s="2"/>
      <c r="FS6" s="2">
        <f t="shared" si="24"/>
        <v>0</v>
      </c>
      <c r="FT6" s="2">
        <f t="shared" si="25"/>
        <v>0</v>
      </c>
      <c r="FU6" s="39">
        <f t="shared" si="26"/>
        <v>0</v>
      </c>
      <c r="FV6" s="39">
        <f t="shared" ref="FV6:FW6" si="63">FV$1*FC6/1000000</f>
        <v>0</v>
      </c>
      <c r="FW6" s="39">
        <f t="shared" si="63"/>
        <v>0</v>
      </c>
      <c r="FX6" s="39">
        <f t="shared" ref="FX6:GC6" si="64">FX$1*FE6</f>
        <v>0</v>
      </c>
      <c r="FY6" s="39">
        <f t="shared" si="64"/>
        <v>0</v>
      </c>
      <c r="FZ6" s="39">
        <f t="shared" si="64"/>
        <v>0</v>
      </c>
      <c r="GA6" s="39">
        <f t="shared" si="64"/>
        <v>0</v>
      </c>
      <c r="GB6" s="39">
        <f t="shared" si="64"/>
        <v>0</v>
      </c>
      <c r="GC6" s="39">
        <f t="shared" si="64"/>
        <v>0</v>
      </c>
      <c r="GD6" s="39">
        <f t="shared" ref="GD6:GH6" si="65">GD$1*FK6/1000000</f>
        <v>0</v>
      </c>
      <c r="GE6" s="39">
        <f t="shared" si="65"/>
        <v>0</v>
      </c>
      <c r="GF6" s="39">
        <f t="shared" si="65"/>
        <v>0</v>
      </c>
      <c r="GG6" s="39">
        <f t="shared" si="65"/>
        <v>0</v>
      </c>
      <c r="GH6" s="39">
        <f t="shared" si="65"/>
        <v>0</v>
      </c>
      <c r="GI6" s="39">
        <f t="shared" ref="GI6:GJ6" si="66">GI$1*FP6</f>
        <v>0</v>
      </c>
      <c r="GJ6" s="39">
        <f t="shared" si="66"/>
        <v>0</v>
      </c>
      <c r="GK6" s="2"/>
      <c r="GL6" s="39">
        <f t="shared" si="31"/>
        <v>0</v>
      </c>
      <c r="GM6" s="39">
        <f t="shared" si="32"/>
        <v>0</v>
      </c>
      <c r="GN6" s="2" t="s">
        <v>3</v>
      </c>
      <c r="GO6" s="15">
        <f t="shared" si="33"/>
        <v>40.4</v>
      </c>
      <c r="GP6" s="4">
        <f t="shared" si="34"/>
        <v>0.77940594059405943</v>
      </c>
      <c r="GQ6" s="15">
        <f t="shared" si="35"/>
        <v>314.88</v>
      </c>
      <c r="GR6" s="15">
        <f t="shared" si="36"/>
        <v>4692.6979697728002</v>
      </c>
      <c r="GS6" s="15">
        <f t="shared" si="37"/>
        <v>116.1558903409109</v>
      </c>
      <c r="GT6" s="2">
        <f t="shared" si="38"/>
        <v>150.10000000000002</v>
      </c>
      <c r="GU6" s="2">
        <f t="shared" si="39"/>
        <v>164.77999999999997</v>
      </c>
      <c r="GV6" s="2">
        <f t="shared" si="40"/>
        <v>0</v>
      </c>
      <c r="GW6" s="2">
        <f t="shared" si="41"/>
        <v>0</v>
      </c>
      <c r="GX6" s="2"/>
      <c r="GY6" s="2"/>
      <c r="GZ6" s="2"/>
      <c r="HA6" s="2"/>
      <c r="HB6" s="2">
        <f t="shared" si="42"/>
        <v>0</v>
      </c>
      <c r="HC6" s="2">
        <f t="shared" si="43"/>
        <v>0</v>
      </c>
      <c r="HD6" s="2" t="s">
        <v>3</v>
      </c>
      <c r="HE6" s="2" t="s">
        <v>183</v>
      </c>
      <c r="HF6" s="2" t="s">
        <v>577</v>
      </c>
      <c r="HG6" s="2"/>
      <c r="HH6" s="2"/>
      <c r="HI6" s="2" t="s">
        <v>100</v>
      </c>
      <c r="HJ6" s="2" t="s">
        <v>3</v>
      </c>
      <c r="HK6" s="2" t="s">
        <v>183</v>
      </c>
      <c r="HL6" s="2" t="s">
        <v>577</v>
      </c>
      <c r="HM6" s="2" t="s">
        <v>81</v>
      </c>
      <c r="HN6" s="2">
        <f t="shared" ref="HN6:HP6" si="67">SUM(GT7:GT9,GT11:GT14)</f>
        <v>0</v>
      </c>
      <c r="HO6" s="15">
        <f t="shared" si="67"/>
        <v>88.091441599999996</v>
      </c>
      <c r="HP6" s="15">
        <f t="shared" si="67"/>
        <v>31.201328099999998</v>
      </c>
      <c r="HQ6" s="15">
        <f>SUM(GO7:GO9,GO11:GO14)</f>
        <v>62.253066000000004</v>
      </c>
      <c r="HR6" s="4">
        <f t="shared" si="45"/>
        <v>0.19162553327092352</v>
      </c>
      <c r="HS6" s="4">
        <f>MIN(GP7:GP9,GP11:GP14)</f>
        <v>0.05</v>
      </c>
      <c r="HT6" s="4">
        <f>MAX(GP7:GP9,GP11:GP14)</f>
        <v>0.7927522935779816</v>
      </c>
      <c r="HU6" s="15">
        <f>SUM(GQ7:GQ9,GQ11:GQ14)</f>
        <v>119.29276969999998</v>
      </c>
      <c r="HV6" s="15">
        <f>SUM(GR6:GR14)/SUM(GO6:GO14)</f>
        <v>77.188172748004575</v>
      </c>
      <c r="HW6" s="2">
        <f>COUNT(GQ7:GQ9,GQ11:GQ14)</f>
        <v>7</v>
      </c>
      <c r="HX6" s="2">
        <f t="shared" ref="HX6:HY6" si="68">SUM(HB7:HB9,HB11:HB14)</f>
        <v>0</v>
      </c>
      <c r="HY6" s="2">
        <f t="shared" si="68"/>
        <v>0</v>
      </c>
      <c r="HZ6" s="2" t="s">
        <v>176</v>
      </c>
      <c r="IA6" s="2" t="s">
        <v>176</v>
      </c>
      <c r="IB6" s="2" t="s">
        <v>176</v>
      </c>
      <c r="IC6" s="2" t="s">
        <v>176</v>
      </c>
      <c r="ID6" s="2">
        <f>COUNT(GY7:GY9,GY11:GY14)</f>
        <v>0</v>
      </c>
      <c r="IE6" s="2"/>
      <c r="IF6" s="15">
        <f t="shared" ref="IF6:IN6" si="69">100*SUM(EI7:EI9,EI11:EI14)/SUM($EI7:$FA9,$EI11:$FA14)</f>
        <v>9.497090612731947</v>
      </c>
      <c r="IG6" s="39">
        <f t="shared" si="69"/>
        <v>0</v>
      </c>
      <c r="IH6" s="39">
        <f t="shared" si="69"/>
        <v>0</v>
      </c>
      <c r="II6" s="39">
        <f t="shared" si="69"/>
        <v>0</v>
      </c>
      <c r="IJ6" s="39">
        <f t="shared" si="69"/>
        <v>0</v>
      </c>
      <c r="IK6" s="39">
        <f t="shared" si="69"/>
        <v>0</v>
      </c>
      <c r="IL6" s="15">
        <f t="shared" si="69"/>
        <v>12.657718988771908</v>
      </c>
      <c r="IM6" s="15">
        <f t="shared" si="69"/>
        <v>48.284232842424359</v>
      </c>
      <c r="IN6" s="15">
        <f t="shared" si="69"/>
        <v>12.839657161640673</v>
      </c>
      <c r="IO6" s="15">
        <f>100*SUM(ER7:EV9,ER11:EV14)/SUM($EI7:$FA9,$EI11:$FA14)</f>
        <v>3.933769641688611</v>
      </c>
      <c r="IP6" s="39">
        <f t="shared" ref="IP6:IQ6" si="70">100*SUM(EW7:EW9,EW11:EW14)/SUM($EI7:$FA9,$EI11:$FA14)</f>
        <v>0</v>
      </c>
      <c r="IQ6" s="15">
        <f t="shared" si="70"/>
        <v>12.787530752742503</v>
      </c>
      <c r="IR6" s="39">
        <f t="shared" ref="IR6:IS6" si="71">100*SUM(EZ7:EZ9,EZ11:EZ14)/SUM($EI7:$FA9,$EI11:$FA14)</f>
        <v>0</v>
      </c>
      <c r="IS6" s="39">
        <f t="shared" si="71"/>
        <v>0</v>
      </c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 t="s">
        <v>3</v>
      </c>
    </row>
    <row r="7" spans="1:268" ht="15.75" customHeight="1" x14ac:dyDescent="0.2">
      <c r="A7" s="21" t="s">
        <v>578</v>
      </c>
      <c r="B7" s="2" t="s">
        <v>99</v>
      </c>
      <c r="C7" s="2"/>
      <c r="D7" s="2"/>
      <c r="E7" s="2"/>
      <c r="F7" s="2" t="s">
        <v>79</v>
      </c>
      <c r="G7" s="2"/>
      <c r="H7" s="2"/>
      <c r="I7" s="2">
        <v>0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>
        <v>0</v>
      </c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>
        <v>16.5</v>
      </c>
      <c r="AZ7" s="2">
        <v>0.03</v>
      </c>
      <c r="BA7" s="2"/>
      <c r="BB7" s="2"/>
      <c r="BC7" s="2"/>
      <c r="BD7" s="2"/>
      <c r="BE7" s="2"/>
      <c r="BF7" s="2">
        <v>0.06</v>
      </c>
      <c r="BG7" s="2">
        <v>0.05</v>
      </c>
      <c r="BH7" s="2"/>
      <c r="BI7" s="2"/>
      <c r="BJ7" s="2"/>
      <c r="BK7" s="2"/>
      <c r="BL7" s="2"/>
      <c r="BM7" s="2"/>
      <c r="BN7" s="2"/>
      <c r="BO7" s="2">
        <v>27</v>
      </c>
      <c r="BP7" s="2"/>
      <c r="BQ7" s="2"/>
      <c r="BR7" s="2"/>
      <c r="BS7" s="2"/>
      <c r="BT7" s="2">
        <v>0</v>
      </c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>
        <v>0</v>
      </c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 t="s">
        <v>81</v>
      </c>
      <c r="DK7" s="2"/>
      <c r="DL7" s="2">
        <f t="shared" si="3"/>
        <v>0.05</v>
      </c>
      <c r="DM7" s="2">
        <f t="shared" si="4"/>
        <v>0</v>
      </c>
      <c r="DN7" s="2" t="s">
        <v>126</v>
      </c>
      <c r="DO7" s="2" t="s">
        <v>3</v>
      </c>
      <c r="DP7" s="2">
        <f t="shared" si="5"/>
        <v>4.9499999999999995E-3</v>
      </c>
      <c r="DQ7" s="2">
        <f t="shared" ref="DQ7:DR7" si="72">K7*$I7+AF7*$AD7+BA7*$AY7</f>
        <v>0</v>
      </c>
      <c r="DR7" s="2">
        <f t="shared" si="72"/>
        <v>0</v>
      </c>
      <c r="DS7" s="2">
        <f t="shared" ref="DS7:DX7" si="73">(M7*$I7+AH7*$AD7+BC7*$AY7)/100</f>
        <v>0</v>
      </c>
      <c r="DT7" s="2">
        <f t="shared" si="73"/>
        <v>0</v>
      </c>
      <c r="DU7" s="2">
        <f t="shared" si="73"/>
        <v>0</v>
      </c>
      <c r="DV7" s="2">
        <f t="shared" si="73"/>
        <v>9.8999999999999991E-3</v>
      </c>
      <c r="DW7" s="2">
        <f t="shared" si="73"/>
        <v>8.2500000000000004E-3</v>
      </c>
      <c r="DX7" s="2">
        <f t="shared" si="73"/>
        <v>0</v>
      </c>
      <c r="DY7" s="2">
        <f t="shared" ref="DY7:EC7" si="74">S7*$I7+AN7*$AD7+BI7*$AY7</f>
        <v>0</v>
      </c>
      <c r="DZ7" s="2">
        <f t="shared" si="74"/>
        <v>0</v>
      </c>
      <c r="EA7" s="2">
        <f t="shared" si="74"/>
        <v>0</v>
      </c>
      <c r="EB7" s="2">
        <f t="shared" si="74"/>
        <v>0</v>
      </c>
      <c r="EC7" s="2">
        <f t="shared" si="74"/>
        <v>0</v>
      </c>
      <c r="ED7" s="2">
        <f t="shared" ref="ED7:EE7" si="75">(X7*$I7+AS7*$AD7+BN7*$AY7)/100</f>
        <v>0</v>
      </c>
      <c r="EE7" s="2">
        <f t="shared" si="75"/>
        <v>4.4550000000000001</v>
      </c>
      <c r="EF7" s="2"/>
      <c r="EG7" s="2">
        <f t="shared" si="10"/>
        <v>0</v>
      </c>
      <c r="EH7" s="2">
        <f t="shared" si="11"/>
        <v>0</v>
      </c>
      <c r="EI7" s="39">
        <f t="shared" si="12"/>
        <v>32.301799199999998</v>
      </c>
      <c r="EJ7" s="39">
        <f t="shared" ref="EJ7:EK7" si="76">EJ$1*DQ7/1000000</f>
        <v>0</v>
      </c>
      <c r="EK7" s="39">
        <f t="shared" si="76"/>
        <v>0</v>
      </c>
      <c r="EL7" s="39">
        <f t="shared" ref="EL7:EQ7" si="77">EL$1*DS7</f>
        <v>0</v>
      </c>
      <c r="EM7" s="39">
        <f t="shared" si="77"/>
        <v>0</v>
      </c>
      <c r="EN7" s="39">
        <f t="shared" si="77"/>
        <v>0</v>
      </c>
      <c r="EO7" s="39">
        <f t="shared" si="77"/>
        <v>28.962491579999995</v>
      </c>
      <c r="EP7" s="39">
        <f t="shared" si="77"/>
        <v>108.1905</v>
      </c>
      <c r="EQ7" s="39">
        <f t="shared" si="77"/>
        <v>0</v>
      </c>
      <c r="ER7" s="39">
        <f t="shared" ref="ER7:EV7" si="78">ER$1*DY7/1000000</f>
        <v>0</v>
      </c>
      <c r="ES7" s="39">
        <f t="shared" si="78"/>
        <v>0</v>
      </c>
      <c r="ET7" s="39">
        <f t="shared" si="78"/>
        <v>0</v>
      </c>
      <c r="EU7" s="39">
        <f t="shared" si="78"/>
        <v>0</v>
      </c>
      <c r="EV7" s="39">
        <f t="shared" si="78"/>
        <v>0</v>
      </c>
      <c r="EW7" s="39">
        <f t="shared" ref="EW7:EX7" si="79">EW$1*ED7</f>
        <v>0</v>
      </c>
      <c r="EX7" s="39">
        <f t="shared" si="79"/>
        <v>414.315</v>
      </c>
      <c r="EY7" s="2"/>
      <c r="EZ7" s="39">
        <f t="shared" si="17"/>
        <v>0</v>
      </c>
      <c r="FA7" s="39">
        <f t="shared" si="18"/>
        <v>0</v>
      </c>
      <c r="FB7" s="2">
        <f t="shared" si="19"/>
        <v>0</v>
      </c>
      <c r="FC7" s="2">
        <f t="shared" ref="FC7:FD7" si="80">BV7*$BT7+CQ7*$CO7</f>
        <v>0</v>
      </c>
      <c r="FD7" s="2">
        <f t="shared" si="80"/>
        <v>0</v>
      </c>
      <c r="FE7" s="2">
        <f t="shared" ref="FE7:FJ7" si="81">(BX7*$BT7+CS7*$CO7)/100</f>
        <v>0</v>
      </c>
      <c r="FF7" s="2">
        <f t="shared" si="81"/>
        <v>0</v>
      </c>
      <c r="FG7" s="2">
        <f t="shared" si="81"/>
        <v>0</v>
      </c>
      <c r="FH7" s="2">
        <f t="shared" si="81"/>
        <v>0</v>
      </c>
      <c r="FI7" s="2">
        <f t="shared" si="81"/>
        <v>0</v>
      </c>
      <c r="FJ7" s="2">
        <f t="shared" si="81"/>
        <v>0</v>
      </c>
      <c r="FK7" s="2">
        <f t="shared" ref="FK7:FO7" si="82">CD7*$BT7+CY7*$CO7</f>
        <v>0</v>
      </c>
      <c r="FL7" s="2">
        <f t="shared" si="82"/>
        <v>0</v>
      </c>
      <c r="FM7" s="2">
        <f t="shared" si="82"/>
        <v>0</v>
      </c>
      <c r="FN7" s="2">
        <f t="shared" si="82"/>
        <v>0</v>
      </c>
      <c r="FO7" s="2">
        <f t="shared" si="82"/>
        <v>0</v>
      </c>
      <c r="FP7" s="2">
        <f t="shared" ref="FP7:FQ7" si="83">(CI7*$BT7+DD7*$CO7)/100</f>
        <v>0</v>
      </c>
      <c r="FQ7" s="2">
        <f t="shared" si="83"/>
        <v>0</v>
      </c>
      <c r="FR7" s="2"/>
      <c r="FS7" s="2">
        <f t="shared" si="24"/>
        <v>0</v>
      </c>
      <c r="FT7" s="2">
        <f t="shared" si="25"/>
        <v>0</v>
      </c>
      <c r="FU7" s="39">
        <f t="shared" si="26"/>
        <v>0</v>
      </c>
      <c r="FV7" s="39">
        <f t="shared" ref="FV7:FW7" si="84">FV$1*FC7/1000000</f>
        <v>0</v>
      </c>
      <c r="FW7" s="39">
        <f t="shared" si="84"/>
        <v>0</v>
      </c>
      <c r="FX7" s="39">
        <f t="shared" ref="FX7:GC7" si="85">FX$1*FE7</f>
        <v>0</v>
      </c>
      <c r="FY7" s="39">
        <f t="shared" si="85"/>
        <v>0</v>
      </c>
      <c r="FZ7" s="39">
        <f t="shared" si="85"/>
        <v>0</v>
      </c>
      <c r="GA7" s="39">
        <f t="shared" si="85"/>
        <v>0</v>
      </c>
      <c r="GB7" s="39">
        <f t="shared" si="85"/>
        <v>0</v>
      </c>
      <c r="GC7" s="39">
        <f t="shared" si="85"/>
        <v>0</v>
      </c>
      <c r="GD7" s="39">
        <f t="shared" ref="GD7:GH7" si="86">GD$1*FK7/1000000</f>
        <v>0</v>
      </c>
      <c r="GE7" s="39">
        <f t="shared" si="86"/>
        <v>0</v>
      </c>
      <c r="GF7" s="39">
        <f t="shared" si="86"/>
        <v>0</v>
      </c>
      <c r="GG7" s="39">
        <f t="shared" si="86"/>
        <v>0</v>
      </c>
      <c r="GH7" s="39">
        <f t="shared" si="86"/>
        <v>0</v>
      </c>
      <c r="GI7" s="39">
        <f t="shared" ref="GI7:GJ7" si="87">GI$1*FP7</f>
        <v>0</v>
      </c>
      <c r="GJ7" s="39">
        <f t="shared" si="87"/>
        <v>0</v>
      </c>
      <c r="GK7" s="2"/>
      <c r="GL7" s="39">
        <f t="shared" si="31"/>
        <v>0</v>
      </c>
      <c r="GM7" s="39">
        <f t="shared" si="32"/>
        <v>0</v>
      </c>
      <c r="GN7" s="2" t="s">
        <v>3</v>
      </c>
      <c r="GO7" s="2">
        <f t="shared" si="33"/>
        <v>16.5</v>
      </c>
      <c r="GP7" s="2">
        <f t="shared" si="34"/>
        <v>0.05</v>
      </c>
      <c r="GQ7" s="15">
        <f t="shared" si="35"/>
        <v>8.25</v>
      </c>
      <c r="GR7" s="15">
        <f t="shared" si="36"/>
        <v>583.76979077999999</v>
      </c>
      <c r="GS7" s="15">
        <f t="shared" si="37"/>
        <v>35.379987319999998</v>
      </c>
      <c r="GT7" s="2">
        <f t="shared" si="38"/>
        <v>0</v>
      </c>
      <c r="GU7" s="2">
        <f t="shared" si="39"/>
        <v>0</v>
      </c>
      <c r="GV7" s="2">
        <f t="shared" si="40"/>
        <v>8.2500000000000018</v>
      </c>
      <c r="GW7" s="2">
        <f t="shared" si="41"/>
        <v>0</v>
      </c>
      <c r="GX7" s="2"/>
      <c r="GY7" s="2"/>
      <c r="GZ7" s="2"/>
      <c r="HA7" s="2"/>
      <c r="HB7" s="2">
        <f t="shared" si="42"/>
        <v>0</v>
      </c>
      <c r="HC7" s="2">
        <f t="shared" si="43"/>
        <v>0</v>
      </c>
      <c r="HD7" s="2" t="s">
        <v>3</v>
      </c>
      <c r="HE7" s="2" t="s">
        <v>183</v>
      </c>
      <c r="HF7" s="2" t="s">
        <v>577</v>
      </c>
      <c r="HG7" s="2"/>
      <c r="HH7" s="2"/>
      <c r="HI7" s="2" t="s">
        <v>81</v>
      </c>
      <c r="HJ7" s="2" t="s">
        <v>3</v>
      </c>
      <c r="HK7" s="2" t="s">
        <v>183</v>
      </c>
      <c r="HL7" s="2" t="s">
        <v>577</v>
      </c>
      <c r="HM7" s="2" t="s">
        <v>100</v>
      </c>
      <c r="HN7" s="2">
        <f t="shared" ref="HN7:HP7" si="88">SUM(GT6,GT10)</f>
        <v>150.10000000000002</v>
      </c>
      <c r="HO7" s="15">
        <f t="shared" si="88"/>
        <v>164.77999999999997</v>
      </c>
      <c r="HP7" s="15">
        <f t="shared" si="88"/>
        <v>2.25</v>
      </c>
      <c r="HQ7" s="15">
        <f>SUM(GO6,GO10)</f>
        <v>40.9</v>
      </c>
      <c r="HR7" s="4">
        <f t="shared" si="45"/>
        <v>0.77537897310513448</v>
      </c>
      <c r="HS7" s="4">
        <f>MIN(GP6,GP10)</f>
        <v>0.45</v>
      </c>
      <c r="HT7" s="4">
        <f>MAX(GP6,GP10)</f>
        <v>0.77940594059405943</v>
      </c>
      <c r="HU7" s="15">
        <f>SUM(GQ6,GQ10)</f>
        <v>317.13</v>
      </c>
      <c r="HV7" s="15">
        <f>SUM(GR6,GR10)/SUM(GO6,GO10)</f>
        <v>115.45732199933498</v>
      </c>
      <c r="HW7" s="2">
        <f>COUNT(GQ6,GQ10)</f>
        <v>2</v>
      </c>
      <c r="HX7" s="2">
        <f t="shared" ref="HX7:HY7" si="89">SUM(HB6,HB10)</f>
        <v>0</v>
      </c>
      <c r="HY7" s="2">
        <f t="shared" si="89"/>
        <v>0</v>
      </c>
      <c r="HZ7" s="2" t="s">
        <v>176</v>
      </c>
      <c r="IA7" s="2" t="s">
        <v>176</v>
      </c>
      <c r="IB7" s="2" t="s">
        <v>176</v>
      </c>
      <c r="IC7" s="2" t="s">
        <v>176</v>
      </c>
      <c r="ID7" s="2">
        <f>COUNT(GY6:GY10)</f>
        <v>0</v>
      </c>
      <c r="IE7" s="2"/>
      <c r="IF7" s="15">
        <f t="shared" ref="IF7:IN7" si="90">100*SUM(EI6,EI10)/SUM($EI6:$FA6,$EI10:$FA10)</f>
        <v>3.6454531179646792</v>
      </c>
      <c r="IG7" s="39">
        <f t="shared" si="90"/>
        <v>0</v>
      </c>
      <c r="IH7" s="39">
        <f t="shared" si="90"/>
        <v>0</v>
      </c>
      <c r="II7" s="39">
        <f t="shared" si="90"/>
        <v>0</v>
      </c>
      <c r="IJ7" s="39">
        <f t="shared" si="90"/>
        <v>0</v>
      </c>
      <c r="IK7" s="39">
        <f t="shared" si="90"/>
        <v>0</v>
      </c>
      <c r="IL7" s="39">
        <f t="shared" si="90"/>
        <v>0</v>
      </c>
      <c r="IM7" s="15">
        <f t="shared" si="90"/>
        <v>88.069943743882291</v>
      </c>
      <c r="IN7" s="15">
        <f t="shared" si="90"/>
        <v>8.2846031381530292</v>
      </c>
      <c r="IO7" s="39">
        <f>100*SUM(ER6:EV6,ER10:EV10)/SUM($EI6:$FA6,$EI10:$FA10)</f>
        <v>0</v>
      </c>
      <c r="IP7" s="39">
        <f t="shared" ref="IP7:IQ7" si="91">100*SUM(EW6,EW10)/SUM($EI6:$FA6,$EI10:$FA10)</f>
        <v>0</v>
      </c>
      <c r="IQ7" s="39">
        <f t="shared" si="91"/>
        <v>0</v>
      </c>
      <c r="IR7" s="39">
        <f t="shared" ref="IR7:IS7" si="92">100*SUM(EZ6,EZ10)/SUM($EI6:$FA6,$EI10:$FA10)</f>
        <v>0</v>
      </c>
      <c r="IS7" s="39">
        <f t="shared" si="92"/>
        <v>0</v>
      </c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 t="s">
        <v>3</v>
      </c>
    </row>
    <row r="8" spans="1:268" ht="15.75" customHeight="1" x14ac:dyDescent="0.2">
      <c r="A8" s="21" t="s">
        <v>674</v>
      </c>
      <c r="B8" s="2" t="s">
        <v>99</v>
      </c>
      <c r="C8" s="2"/>
      <c r="D8" s="2"/>
      <c r="E8" s="2"/>
      <c r="F8" s="2" t="s">
        <v>634</v>
      </c>
      <c r="G8" s="2"/>
      <c r="H8" s="2"/>
      <c r="I8" s="2">
        <v>0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>
        <v>0</v>
      </c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>
        <v>1.5</v>
      </c>
      <c r="AZ8" s="2"/>
      <c r="BA8" s="2"/>
      <c r="BB8" s="2"/>
      <c r="BC8" s="2"/>
      <c r="BD8" s="2"/>
      <c r="BE8" s="2"/>
      <c r="BF8" s="2"/>
      <c r="BG8" s="2">
        <v>0.46</v>
      </c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>
        <v>0</v>
      </c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>
        <v>0</v>
      </c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 t="s">
        <v>81</v>
      </c>
      <c r="DK8" s="2"/>
      <c r="DL8" s="2">
        <f t="shared" si="3"/>
        <v>0.46</v>
      </c>
      <c r="DM8" s="2">
        <f t="shared" si="4"/>
        <v>0</v>
      </c>
      <c r="DN8" s="2" t="s">
        <v>675</v>
      </c>
      <c r="DO8" s="2" t="s">
        <v>3</v>
      </c>
      <c r="DP8" s="2">
        <f t="shared" si="5"/>
        <v>0</v>
      </c>
      <c r="DQ8" s="2">
        <f t="shared" ref="DQ8:DR8" si="93">K8*$I8+AF8*$AD8+BA8*$AY8</f>
        <v>0</v>
      </c>
      <c r="DR8" s="2">
        <f t="shared" si="93"/>
        <v>0</v>
      </c>
      <c r="DS8" s="2">
        <f t="shared" ref="DS8:DX8" si="94">(M8*$I8+AH8*$AD8+BC8*$AY8)/100</f>
        <v>0</v>
      </c>
      <c r="DT8" s="2">
        <f t="shared" si="94"/>
        <v>0</v>
      </c>
      <c r="DU8" s="2">
        <f t="shared" si="94"/>
        <v>0</v>
      </c>
      <c r="DV8" s="2">
        <f t="shared" si="94"/>
        <v>0</v>
      </c>
      <c r="DW8" s="2">
        <f t="shared" si="94"/>
        <v>6.9000000000000008E-3</v>
      </c>
      <c r="DX8" s="2">
        <f t="shared" si="94"/>
        <v>0</v>
      </c>
      <c r="DY8" s="2">
        <f t="shared" ref="DY8:EC8" si="95">S8*$I8+AN8*$AD8+BI8*$AY8</f>
        <v>0</v>
      </c>
      <c r="DZ8" s="2">
        <f t="shared" si="95"/>
        <v>0</v>
      </c>
      <c r="EA8" s="2">
        <f t="shared" si="95"/>
        <v>0</v>
      </c>
      <c r="EB8" s="2">
        <f t="shared" si="95"/>
        <v>0</v>
      </c>
      <c r="EC8" s="2">
        <f t="shared" si="95"/>
        <v>0</v>
      </c>
      <c r="ED8" s="2">
        <f t="shared" ref="ED8:EE8" si="96">(X8*$I8+AS8*$AD8+BN8*$AY8)/100</f>
        <v>0</v>
      </c>
      <c r="EE8" s="2">
        <f t="shared" si="96"/>
        <v>0</v>
      </c>
      <c r="EF8" s="2"/>
      <c r="EG8" s="2">
        <f t="shared" si="10"/>
        <v>0</v>
      </c>
      <c r="EH8" s="2">
        <f t="shared" si="11"/>
        <v>0</v>
      </c>
      <c r="EI8" s="39">
        <f t="shared" si="12"/>
        <v>0</v>
      </c>
      <c r="EJ8" s="39">
        <f t="shared" ref="EJ8:EK8" si="97">EJ$1*DQ8/1000000</f>
        <v>0</v>
      </c>
      <c r="EK8" s="39">
        <f t="shared" si="97"/>
        <v>0</v>
      </c>
      <c r="EL8" s="39">
        <f t="shared" ref="EL8:EQ8" si="98">EL$1*DS8</f>
        <v>0</v>
      </c>
      <c r="EM8" s="39">
        <f t="shared" si="98"/>
        <v>0</v>
      </c>
      <c r="EN8" s="39">
        <f t="shared" si="98"/>
        <v>0</v>
      </c>
      <c r="EO8" s="39">
        <f t="shared" si="98"/>
        <v>0</v>
      </c>
      <c r="EP8" s="39">
        <f t="shared" si="98"/>
        <v>90.48660000000001</v>
      </c>
      <c r="EQ8" s="39">
        <f t="shared" si="98"/>
        <v>0</v>
      </c>
      <c r="ER8" s="39">
        <f t="shared" ref="ER8:EV8" si="99">ER$1*DY8/1000000</f>
        <v>0</v>
      </c>
      <c r="ES8" s="39">
        <f t="shared" si="99"/>
        <v>0</v>
      </c>
      <c r="ET8" s="39">
        <f t="shared" si="99"/>
        <v>0</v>
      </c>
      <c r="EU8" s="39">
        <f t="shared" si="99"/>
        <v>0</v>
      </c>
      <c r="EV8" s="39">
        <f t="shared" si="99"/>
        <v>0</v>
      </c>
      <c r="EW8" s="39">
        <f t="shared" ref="EW8:EX8" si="100">EW$1*ED8</f>
        <v>0</v>
      </c>
      <c r="EX8" s="39">
        <f t="shared" si="100"/>
        <v>0</v>
      </c>
      <c r="EY8" s="2"/>
      <c r="EZ8" s="39">
        <f t="shared" si="17"/>
        <v>0</v>
      </c>
      <c r="FA8" s="39">
        <f t="shared" si="18"/>
        <v>0</v>
      </c>
      <c r="FB8" s="2">
        <f t="shared" si="19"/>
        <v>0</v>
      </c>
      <c r="FC8" s="2">
        <f t="shared" ref="FC8:FD8" si="101">BV8*$BT8+CQ8*$CO8</f>
        <v>0</v>
      </c>
      <c r="FD8" s="2">
        <f t="shared" si="101"/>
        <v>0</v>
      </c>
      <c r="FE8" s="2">
        <f t="shared" ref="FE8:FJ8" si="102">(BX8*$BT8+CS8*$CO8)/100</f>
        <v>0</v>
      </c>
      <c r="FF8" s="2">
        <f t="shared" si="102"/>
        <v>0</v>
      </c>
      <c r="FG8" s="2">
        <f t="shared" si="102"/>
        <v>0</v>
      </c>
      <c r="FH8" s="2">
        <f t="shared" si="102"/>
        <v>0</v>
      </c>
      <c r="FI8" s="2">
        <f t="shared" si="102"/>
        <v>0</v>
      </c>
      <c r="FJ8" s="2">
        <f t="shared" si="102"/>
        <v>0</v>
      </c>
      <c r="FK8" s="2">
        <f t="shared" ref="FK8:FO8" si="103">CD8*$BT8+CY8*$CO8</f>
        <v>0</v>
      </c>
      <c r="FL8" s="2">
        <f t="shared" si="103"/>
        <v>0</v>
      </c>
      <c r="FM8" s="2">
        <f t="shared" si="103"/>
        <v>0</v>
      </c>
      <c r="FN8" s="2">
        <f t="shared" si="103"/>
        <v>0</v>
      </c>
      <c r="FO8" s="2">
        <f t="shared" si="103"/>
        <v>0</v>
      </c>
      <c r="FP8" s="2">
        <f t="shared" ref="FP8:FQ8" si="104">(CI8*$BT8+DD8*$CO8)/100</f>
        <v>0</v>
      </c>
      <c r="FQ8" s="2">
        <f t="shared" si="104"/>
        <v>0</v>
      </c>
      <c r="FR8" s="2"/>
      <c r="FS8" s="2">
        <f t="shared" si="24"/>
        <v>0</v>
      </c>
      <c r="FT8" s="2">
        <f t="shared" si="25"/>
        <v>0</v>
      </c>
      <c r="FU8" s="39">
        <f t="shared" si="26"/>
        <v>0</v>
      </c>
      <c r="FV8" s="39">
        <f t="shared" ref="FV8:FW8" si="105">FV$1*FC8/1000000</f>
        <v>0</v>
      </c>
      <c r="FW8" s="39">
        <f t="shared" si="105"/>
        <v>0</v>
      </c>
      <c r="FX8" s="39">
        <f t="shared" ref="FX8:GC8" si="106">FX$1*FE8</f>
        <v>0</v>
      </c>
      <c r="FY8" s="39">
        <f t="shared" si="106"/>
        <v>0</v>
      </c>
      <c r="FZ8" s="39">
        <f t="shared" si="106"/>
        <v>0</v>
      </c>
      <c r="GA8" s="39">
        <f t="shared" si="106"/>
        <v>0</v>
      </c>
      <c r="GB8" s="39">
        <f t="shared" si="106"/>
        <v>0</v>
      </c>
      <c r="GC8" s="39">
        <f t="shared" si="106"/>
        <v>0</v>
      </c>
      <c r="GD8" s="39">
        <f t="shared" ref="GD8:GH8" si="107">GD$1*FK8/1000000</f>
        <v>0</v>
      </c>
      <c r="GE8" s="39">
        <f t="shared" si="107"/>
        <v>0</v>
      </c>
      <c r="GF8" s="39">
        <f t="shared" si="107"/>
        <v>0</v>
      </c>
      <c r="GG8" s="39">
        <f t="shared" si="107"/>
        <v>0</v>
      </c>
      <c r="GH8" s="39">
        <f t="shared" si="107"/>
        <v>0</v>
      </c>
      <c r="GI8" s="39">
        <f t="shared" ref="GI8:GJ8" si="108">GI$1*FP8</f>
        <v>0</v>
      </c>
      <c r="GJ8" s="39">
        <f t="shared" si="108"/>
        <v>0</v>
      </c>
      <c r="GK8" s="2"/>
      <c r="GL8" s="39">
        <f t="shared" si="31"/>
        <v>0</v>
      </c>
      <c r="GM8" s="39">
        <f t="shared" si="32"/>
        <v>0</v>
      </c>
      <c r="GN8" s="2" t="s">
        <v>3</v>
      </c>
      <c r="GO8" s="2">
        <f t="shared" si="33"/>
        <v>1.5</v>
      </c>
      <c r="GP8" s="2">
        <f t="shared" si="34"/>
        <v>0.46</v>
      </c>
      <c r="GQ8" s="15">
        <f t="shared" si="35"/>
        <v>6.9</v>
      </c>
      <c r="GR8" s="15">
        <f t="shared" si="36"/>
        <v>90.48660000000001</v>
      </c>
      <c r="GS8" s="15">
        <f t="shared" si="37"/>
        <v>60.324400000000004</v>
      </c>
      <c r="GT8" s="2">
        <f t="shared" si="38"/>
        <v>0</v>
      </c>
      <c r="GU8" s="2">
        <f t="shared" si="39"/>
        <v>0</v>
      </c>
      <c r="GV8" s="2">
        <f t="shared" si="40"/>
        <v>6.9000000000000012</v>
      </c>
      <c r="GW8" s="2">
        <f t="shared" si="41"/>
        <v>0</v>
      </c>
      <c r="GX8" s="2"/>
      <c r="GY8" s="2"/>
      <c r="GZ8" s="2"/>
      <c r="HA8" s="2"/>
      <c r="HB8" s="2">
        <f t="shared" si="42"/>
        <v>0</v>
      </c>
      <c r="HC8" s="2">
        <f t="shared" si="43"/>
        <v>0</v>
      </c>
      <c r="HD8" s="2" t="s">
        <v>3</v>
      </c>
      <c r="HE8" s="2" t="s">
        <v>183</v>
      </c>
      <c r="HF8" s="2" t="s">
        <v>577</v>
      </c>
      <c r="HG8" s="2"/>
      <c r="HH8" s="2"/>
      <c r="HI8" s="2" t="s">
        <v>81</v>
      </c>
      <c r="HJ8" s="2" t="s">
        <v>3</v>
      </c>
      <c r="HK8" s="2" t="s">
        <v>183</v>
      </c>
      <c r="HL8" s="2" t="s">
        <v>350</v>
      </c>
      <c r="HM8" s="2" t="s">
        <v>81</v>
      </c>
      <c r="HN8" s="15">
        <f t="shared" ref="HN8:HP8" si="109">SUM(GT15:GT16)</f>
        <v>64.1648</v>
      </c>
      <c r="HO8" s="15">
        <f t="shared" si="109"/>
        <v>871.23600000000022</v>
      </c>
      <c r="HP8" s="3">
        <f t="shared" si="109"/>
        <v>13842.607200000002</v>
      </c>
      <c r="HQ8" s="3">
        <f>SUM(GO15:GO16)</f>
        <v>1136.96</v>
      </c>
      <c r="HR8" s="4">
        <f t="shared" si="45"/>
        <v>1.2997825781030117</v>
      </c>
      <c r="HS8" s="4">
        <f>MIN(GP15:GP16)</f>
        <v>1.2955423280423282</v>
      </c>
      <c r="HT8" s="4">
        <f>MAX(GP15:GP16)</f>
        <v>1.3022982062780268</v>
      </c>
      <c r="HU8" s="3">
        <f>SUM(GQ15:GQ16)</f>
        <v>14778.008000000002</v>
      </c>
      <c r="HV8" s="3">
        <f>SUM(GR15:GR16)/SUM(GO15:GO16)</f>
        <v>872.3975002159566</v>
      </c>
      <c r="HW8" s="2">
        <f>COUNT(GQ15:GQ16)</f>
        <v>2</v>
      </c>
      <c r="HX8" s="2">
        <f t="shared" ref="HX8:HY8" si="110">SUM(HB15:HB16)</f>
        <v>0</v>
      </c>
      <c r="HY8" s="2">
        <f t="shared" si="110"/>
        <v>0</v>
      </c>
      <c r="HZ8" s="2" t="s">
        <v>176</v>
      </c>
      <c r="IA8" s="2" t="s">
        <v>176</v>
      </c>
      <c r="IB8" s="2" t="s">
        <v>176</v>
      </c>
      <c r="IC8" s="2" t="s">
        <v>176</v>
      </c>
      <c r="ID8" s="2">
        <f>COUNT(GY15:GY16)</f>
        <v>0</v>
      </c>
      <c r="IE8" s="2"/>
      <c r="IF8" s="15">
        <f t="shared" ref="IF8:IN8" si="111">100*SUM(EI15:EI16)/SUM($EI15:$FA16)</f>
        <v>8.2686363664296092</v>
      </c>
      <c r="IG8" s="39">
        <f t="shared" si="111"/>
        <v>0</v>
      </c>
      <c r="IH8" s="39">
        <f t="shared" si="111"/>
        <v>0</v>
      </c>
      <c r="II8" s="39">
        <f t="shared" si="111"/>
        <v>0</v>
      </c>
      <c r="IJ8" s="39">
        <f t="shared" si="111"/>
        <v>0</v>
      </c>
      <c r="IK8" s="39">
        <f t="shared" si="111"/>
        <v>0</v>
      </c>
      <c r="IL8" s="39">
        <f t="shared" si="111"/>
        <v>0</v>
      </c>
      <c r="IM8" s="15">
        <f t="shared" si="111"/>
        <v>19.538511658989652</v>
      </c>
      <c r="IN8" s="15">
        <f t="shared" si="111"/>
        <v>15.526117852464065</v>
      </c>
      <c r="IO8" s="39">
        <f>100*SUM(ER15:EV16)/SUM($EI15:$FA16)</f>
        <v>0</v>
      </c>
      <c r="IP8" s="39">
        <f t="shared" ref="IP8:IQ8" si="112">100*SUM(EW15:EW16)/SUM($EI15:$FA16)</f>
        <v>0</v>
      </c>
      <c r="IQ8" s="39">
        <f t="shared" si="112"/>
        <v>0</v>
      </c>
      <c r="IR8" s="39">
        <f t="shared" ref="IR8:IS8" si="113">100*SUM(EZ15:EZ16)/SUM($EI15:$FA16)</f>
        <v>0</v>
      </c>
      <c r="IS8" s="15">
        <f t="shared" si="113"/>
        <v>56.666734122116672</v>
      </c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 t="s">
        <v>3</v>
      </c>
    </row>
    <row r="9" spans="1:268" ht="15.75" customHeight="1" x14ac:dyDescent="0.2">
      <c r="A9" s="21" t="s">
        <v>676</v>
      </c>
      <c r="B9" s="2" t="s">
        <v>99</v>
      </c>
      <c r="C9" s="2"/>
      <c r="D9" s="2"/>
      <c r="E9" s="2"/>
      <c r="F9" s="2" t="s">
        <v>634</v>
      </c>
      <c r="G9" s="2"/>
      <c r="H9" s="2"/>
      <c r="I9" s="2">
        <v>0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>
        <v>0.85</v>
      </c>
      <c r="AE9" s="2">
        <v>0.44</v>
      </c>
      <c r="AF9" s="2"/>
      <c r="AG9" s="2"/>
      <c r="AH9" s="2"/>
      <c r="AI9" s="2"/>
      <c r="AJ9" s="2"/>
      <c r="AK9" s="2"/>
      <c r="AL9" s="2">
        <v>0.85</v>
      </c>
      <c r="AM9" s="2">
        <v>0.06</v>
      </c>
      <c r="AN9" s="2">
        <v>0.53</v>
      </c>
      <c r="AO9" s="2">
        <v>1.25</v>
      </c>
      <c r="AP9" s="2"/>
      <c r="AQ9" s="2"/>
      <c r="AR9" s="2"/>
      <c r="AS9" s="2"/>
      <c r="AT9" s="2"/>
      <c r="AU9" s="2"/>
      <c r="AV9" s="2"/>
      <c r="AW9" s="2"/>
      <c r="AX9" s="2"/>
      <c r="AY9" s="2">
        <v>0.24</v>
      </c>
      <c r="AZ9" s="2">
        <v>0.27</v>
      </c>
      <c r="BA9" s="2"/>
      <c r="BB9" s="2"/>
      <c r="BC9" s="2"/>
      <c r="BD9" s="2"/>
      <c r="BE9" s="2"/>
      <c r="BF9" s="2"/>
      <c r="BG9" s="2">
        <v>0.59</v>
      </c>
      <c r="BH9" s="2">
        <v>0.04</v>
      </c>
      <c r="BI9" s="2">
        <v>0.34</v>
      </c>
      <c r="BJ9" s="2">
        <v>0.89</v>
      </c>
      <c r="BK9" s="2"/>
      <c r="BL9" s="2"/>
      <c r="BM9" s="2"/>
      <c r="BN9" s="2"/>
      <c r="BO9" s="2"/>
      <c r="BP9" s="2"/>
      <c r="BQ9" s="2"/>
      <c r="BR9" s="2"/>
      <c r="BS9" s="2"/>
      <c r="BT9" s="2">
        <v>0</v>
      </c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>
        <v>0</v>
      </c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 t="s">
        <v>81</v>
      </c>
      <c r="DK9" s="2" t="s">
        <v>81</v>
      </c>
      <c r="DL9" s="2">
        <f t="shared" si="3"/>
        <v>0.7927522935779816</v>
      </c>
      <c r="DM9" s="2">
        <f t="shared" si="4"/>
        <v>5.5596330275229359E-2</v>
      </c>
      <c r="DN9" s="2" t="s">
        <v>675</v>
      </c>
      <c r="DO9" s="2" t="s">
        <v>3</v>
      </c>
      <c r="DP9" s="2">
        <f t="shared" si="5"/>
        <v>4.3879999999999995E-3</v>
      </c>
      <c r="DQ9" s="2">
        <f t="shared" ref="DQ9:DR9" si="114">K9*$I9+AF9*$AD9+BA9*$AY9</f>
        <v>0</v>
      </c>
      <c r="DR9" s="2">
        <f t="shared" si="114"/>
        <v>0</v>
      </c>
      <c r="DS9" s="2">
        <f t="shared" ref="DS9:DX9" si="115">(M9*$I9+AH9*$AD9+BC9*$AY9)/100</f>
        <v>0</v>
      </c>
      <c r="DT9" s="2">
        <f t="shared" si="115"/>
        <v>0</v>
      </c>
      <c r="DU9" s="2">
        <f t="shared" si="115"/>
        <v>0</v>
      </c>
      <c r="DV9" s="2">
        <f t="shared" si="115"/>
        <v>0</v>
      </c>
      <c r="DW9" s="2">
        <f t="shared" si="115"/>
        <v>8.6409999999999994E-3</v>
      </c>
      <c r="DX9" s="2">
        <f t="shared" si="115"/>
        <v>6.0599999999999998E-4</v>
      </c>
      <c r="DY9" s="2">
        <f t="shared" ref="DY9:EC9" si="116">S9*$I9+AN9*$AD9+BI9*$AY9</f>
        <v>0.53210000000000002</v>
      </c>
      <c r="DZ9" s="2">
        <f t="shared" si="116"/>
        <v>1.2761</v>
      </c>
      <c r="EA9" s="2">
        <f t="shared" si="116"/>
        <v>0</v>
      </c>
      <c r="EB9" s="2">
        <f t="shared" si="116"/>
        <v>0</v>
      </c>
      <c r="EC9" s="2">
        <f t="shared" si="116"/>
        <v>0</v>
      </c>
      <c r="ED9" s="2">
        <f t="shared" ref="ED9:EE9" si="117">(X9*$I9+AS9*$AD9+BN9*$AY9)/100</f>
        <v>0</v>
      </c>
      <c r="EE9" s="2">
        <f t="shared" si="117"/>
        <v>0</v>
      </c>
      <c r="EF9" s="2"/>
      <c r="EG9" s="2">
        <f t="shared" si="10"/>
        <v>0</v>
      </c>
      <c r="EH9" s="2">
        <f t="shared" si="11"/>
        <v>0</v>
      </c>
      <c r="EI9" s="39">
        <f t="shared" si="12"/>
        <v>28.634403007999996</v>
      </c>
      <c r="EJ9" s="39">
        <f t="shared" ref="EJ9:EK9" si="118">EJ$1*DQ9/1000000</f>
        <v>0</v>
      </c>
      <c r="EK9" s="39">
        <f t="shared" si="118"/>
        <v>0</v>
      </c>
      <c r="EL9" s="39">
        <f t="shared" ref="EL9:EQ9" si="119">EL$1*DS9</f>
        <v>0</v>
      </c>
      <c r="EM9" s="39">
        <f t="shared" si="119"/>
        <v>0</v>
      </c>
      <c r="EN9" s="39">
        <f t="shared" si="119"/>
        <v>0</v>
      </c>
      <c r="EO9" s="39">
        <f t="shared" si="119"/>
        <v>0</v>
      </c>
      <c r="EP9" s="39">
        <f t="shared" si="119"/>
        <v>113.318074</v>
      </c>
      <c r="EQ9" s="39">
        <f t="shared" si="119"/>
        <v>44.007431543999992</v>
      </c>
      <c r="ER9" s="39">
        <f t="shared" ref="ER9:EV9" si="120">ER$1*DY9/1000000</f>
        <v>15.101716591639869</v>
      </c>
      <c r="ES9" s="39">
        <f t="shared" si="120"/>
        <v>42.526955723472668</v>
      </c>
      <c r="ET9" s="39">
        <f t="shared" si="120"/>
        <v>0</v>
      </c>
      <c r="EU9" s="39">
        <f t="shared" si="120"/>
        <v>0</v>
      </c>
      <c r="EV9" s="39">
        <f t="shared" si="120"/>
        <v>0</v>
      </c>
      <c r="EW9" s="39">
        <f t="shared" ref="EW9:EX9" si="121">EW$1*ED9</f>
        <v>0</v>
      </c>
      <c r="EX9" s="39">
        <f t="shared" si="121"/>
        <v>0</v>
      </c>
      <c r="EY9" s="2"/>
      <c r="EZ9" s="39">
        <f t="shared" si="17"/>
        <v>0</v>
      </c>
      <c r="FA9" s="39">
        <f t="shared" si="18"/>
        <v>0</v>
      </c>
      <c r="FB9" s="2">
        <f t="shared" si="19"/>
        <v>0</v>
      </c>
      <c r="FC9" s="2">
        <f t="shared" ref="FC9:FD9" si="122">BV9*$BT9+CQ9*$CO9</f>
        <v>0</v>
      </c>
      <c r="FD9" s="2">
        <f t="shared" si="122"/>
        <v>0</v>
      </c>
      <c r="FE9" s="2">
        <f t="shared" ref="FE9:FJ9" si="123">(BX9*$BT9+CS9*$CO9)/100</f>
        <v>0</v>
      </c>
      <c r="FF9" s="2">
        <f t="shared" si="123"/>
        <v>0</v>
      </c>
      <c r="FG9" s="2">
        <f t="shared" si="123"/>
        <v>0</v>
      </c>
      <c r="FH9" s="2">
        <f t="shared" si="123"/>
        <v>0</v>
      </c>
      <c r="FI9" s="2">
        <f t="shared" si="123"/>
        <v>0</v>
      </c>
      <c r="FJ9" s="2">
        <f t="shared" si="123"/>
        <v>0</v>
      </c>
      <c r="FK9" s="2">
        <f t="shared" ref="FK9:FO9" si="124">CD9*$BT9+CY9*$CO9</f>
        <v>0</v>
      </c>
      <c r="FL9" s="2">
        <f t="shared" si="124"/>
        <v>0</v>
      </c>
      <c r="FM9" s="2">
        <f t="shared" si="124"/>
        <v>0</v>
      </c>
      <c r="FN9" s="2">
        <f t="shared" si="124"/>
        <v>0</v>
      </c>
      <c r="FO9" s="2">
        <f t="shared" si="124"/>
        <v>0</v>
      </c>
      <c r="FP9" s="2">
        <f t="shared" ref="FP9:FQ9" si="125">(CI9*$BT9+DD9*$CO9)/100</f>
        <v>0</v>
      </c>
      <c r="FQ9" s="2">
        <f t="shared" si="125"/>
        <v>0</v>
      </c>
      <c r="FR9" s="2"/>
      <c r="FS9" s="2">
        <f t="shared" si="24"/>
        <v>0</v>
      </c>
      <c r="FT9" s="2">
        <f t="shared" si="25"/>
        <v>0</v>
      </c>
      <c r="FU9" s="39">
        <f t="shared" si="26"/>
        <v>0</v>
      </c>
      <c r="FV9" s="39">
        <f t="shared" ref="FV9:FW9" si="126">FV$1*FC9/1000000</f>
        <v>0</v>
      </c>
      <c r="FW9" s="39">
        <f t="shared" si="126"/>
        <v>0</v>
      </c>
      <c r="FX9" s="39">
        <f t="shared" ref="FX9:GC9" si="127">FX$1*FE9</f>
        <v>0</v>
      </c>
      <c r="FY9" s="39">
        <f t="shared" si="127"/>
        <v>0</v>
      </c>
      <c r="FZ9" s="39">
        <f t="shared" si="127"/>
        <v>0</v>
      </c>
      <c r="GA9" s="39">
        <f t="shared" si="127"/>
        <v>0</v>
      </c>
      <c r="GB9" s="39">
        <f t="shared" si="127"/>
        <v>0</v>
      </c>
      <c r="GC9" s="39">
        <f t="shared" si="127"/>
        <v>0</v>
      </c>
      <c r="GD9" s="39">
        <f t="shared" ref="GD9:GH9" si="128">GD$1*FK9/1000000</f>
        <v>0</v>
      </c>
      <c r="GE9" s="39">
        <f t="shared" si="128"/>
        <v>0</v>
      </c>
      <c r="GF9" s="39">
        <f t="shared" si="128"/>
        <v>0</v>
      </c>
      <c r="GG9" s="39">
        <f t="shared" si="128"/>
        <v>0</v>
      </c>
      <c r="GH9" s="39">
        <f t="shared" si="128"/>
        <v>0</v>
      </c>
      <c r="GI9" s="39">
        <f t="shared" ref="GI9:GJ9" si="129">GI$1*FP9</f>
        <v>0</v>
      </c>
      <c r="GJ9" s="39">
        <f t="shared" si="129"/>
        <v>0</v>
      </c>
      <c r="GK9" s="2"/>
      <c r="GL9" s="39">
        <f t="shared" si="31"/>
        <v>0</v>
      </c>
      <c r="GM9" s="39">
        <f t="shared" si="32"/>
        <v>0</v>
      </c>
      <c r="GN9" s="2" t="s">
        <v>3</v>
      </c>
      <c r="GO9" s="2">
        <f t="shared" si="33"/>
        <v>1.0899999999999999</v>
      </c>
      <c r="GP9" s="4">
        <f t="shared" si="34"/>
        <v>0.7927522935779816</v>
      </c>
      <c r="GQ9" s="15">
        <f t="shared" si="35"/>
        <v>8.6409999999999982</v>
      </c>
      <c r="GR9" s="15">
        <f t="shared" si="36"/>
        <v>243.58858086711251</v>
      </c>
      <c r="GS9" s="15">
        <f t="shared" si="37"/>
        <v>223.47576226340601</v>
      </c>
      <c r="GT9" s="2">
        <f t="shared" si="38"/>
        <v>0</v>
      </c>
      <c r="GU9" s="2">
        <f t="shared" si="39"/>
        <v>7.2249999999999988</v>
      </c>
      <c r="GV9" s="2">
        <f t="shared" si="40"/>
        <v>1.4159999999999997</v>
      </c>
      <c r="GW9" s="2">
        <f t="shared" si="41"/>
        <v>0</v>
      </c>
      <c r="GX9" s="2"/>
      <c r="GY9" s="2"/>
      <c r="GZ9" s="2"/>
      <c r="HA9" s="2"/>
      <c r="HB9" s="2">
        <f t="shared" si="42"/>
        <v>0</v>
      </c>
      <c r="HC9" s="2">
        <f t="shared" si="43"/>
        <v>0</v>
      </c>
      <c r="HD9" s="2" t="s">
        <v>3</v>
      </c>
      <c r="HE9" s="2" t="s">
        <v>183</v>
      </c>
      <c r="HF9" s="2" t="s">
        <v>577</v>
      </c>
      <c r="HG9" s="2"/>
      <c r="HH9" s="2"/>
      <c r="HI9" s="2" t="s">
        <v>81</v>
      </c>
      <c r="HJ9" s="2" t="s">
        <v>3</v>
      </c>
      <c r="HK9" s="2" t="s">
        <v>183</v>
      </c>
      <c r="HL9" s="2" t="s">
        <v>350</v>
      </c>
      <c r="HM9" s="2" t="s">
        <v>100</v>
      </c>
      <c r="HN9" s="2">
        <f t="shared" ref="HN9:HP9" si="130">SUM(GT17:GT19)</f>
        <v>0</v>
      </c>
      <c r="HO9" s="2">
        <f t="shared" si="130"/>
        <v>0</v>
      </c>
      <c r="HP9" s="3">
        <f t="shared" si="130"/>
        <v>8912.16</v>
      </c>
      <c r="HQ9" s="3">
        <f>SUM(GO17:GO19)</f>
        <v>670.1</v>
      </c>
      <c r="HR9" s="4">
        <f t="shared" si="45"/>
        <v>1.3299746306521414</v>
      </c>
      <c r="HS9" s="4">
        <f>MIN(GP17:GP19)</f>
        <v>1.19</v>
      </c>
      <c r="HT9" s="4">
        <f>MAX(GP17:GP19)</f>
        <v>1.39</v>
      </c>
      <c r="HU9" s="3">
        <f>SUM(GQ17:GQ19)</f>
        <v>8912.16</v>
      </c>
      <c r="HV9" s="3">
        <f>SUM(GR17:GR19)/SUM(GO17:GO19)</f>
        <v>879.88495276580147</v>
      </c>
      <c r="HW9" s="2">
        <f>COUNT(GQ17:GQ19)</f>
        <v>3</v>
      </c>
      <c r="HX9" s="2">
        <f t="shared" ref="HX9:HY9" si="131">SUM(HB17:HB19)</f>
        <v>0</v>
      </c>
      <c r="HY9" s="2">
        <f t="shared" si="131"/>
        <v>0</v>
      </c>
      <c r="HZ9" s="2" t="s">
        <v>176</v>
      </c>
      <c r="IA9" s="2" t="s">
        <v>176</v>
      </c>
      <c r="IB9" s="2" t="s">
        <v>176</v>
      </c>
      <c r="IC9" s="2" t="s">
        <v>176</v>
      </c>
      <c r="ID9" s="2">
        <f>COUNT(GY17:GY19)</f>
        <v>0</v>
      </c>
      <c r="IE9" s="2"/>
      <c r="IF9" s="15">
        <f t="shared" ref="IF9:IN9" si="132">100*SUM(EI17:EI19)/SUM($EI17:$FA19)</f>
        <v>8.0624397905016369</v>
      </c>
      <c r="IG9" s="39">
        <f t="shared" si="132"/>
        <v>0</v>
      </c>
      <c r="IH9" s="39">
        <f t="shared" si="132"/>
        <v>0</v>
      </c>
      <c r="II9" s="39">
        <f t="shared" si="132"/>
        <v>0</v>
      </c>
      <c r="IJ9" s="39">
        <f t="shared" si="132"/>
        <v>0</v>
      </c>
      <c r="IK9" s="39">
        <f t="shared" si="132"/>
        <v>0</v>
      </c>
      <c r="IL9" s="39">
        <f t="shared" si="132"/>
        <v>0</v>
      </c>
      <c r="IM9" s="15">
        <f t="shared" si="132"/>
        <v>19.82223613615372</v>
      </c>
      <c r="IN9" s="15">
        <f t="shared" si="132"/>
        <v>18.448663575535736</v>
      </c>
      <c r="IO9" s="39">
        <f>100*SUM(ER17:EV19)/SUM($EI17:$FA19)</f>
        <v>0</v>
      </c>
      <c r="IP9" s="39">
        <f t="shared" ref="IP9:IQ9" si="133">100*SUM(EW17:EW19)/SUM($EI17:$FA19)</f>
        <v>0</v>
      </c>
      <c r="IQ9" s="39">
        <f t="shared" si="133"/>
        <v>0</v>
      </c>
      <c r="IR9" s="39">
        <f t="shared" ref="IR9:IS9" si="134">100*SUM(EZ17:EZ19)/SUM($EI17:$FA19)</f>
        <v>0</v>
      </c>
      <c r="IS9" s="15">
        <f t="shared" si="134"/>
        <v>53.666660497808913</v>
      </c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 t="s">
        <v>3</v>
      </c>
    </row>
    <row r="10" spans="1:268" ht="15.75" customHeight="1" x14ac:dyDescent="0.2">
      <c r="A10" s="21" t="s">
        <v>677</v>
      </c>
      <c r="B10" s="2" t="s">
        <v>99</v>
      </c>
      <c r="C10" s="2"/>
      <c r="D10" s="2"/>
      <c r="E10" s="2"/>
      <c r="F10" s="2" t="s">
        <v>79</v>
      </c>
      <c r="G10" s="2"/>
      <c r="H10" s="2"/>
      <c r="I10" s="2">
        <v>0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>
        <v>0</v>
      </c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>
        <v>0.5</v>
      </c>
      <c r="AZ10" s="2"/>
      <c r="BA10" s="2"/>
      <c r="BB10" s="2"/>
      <c r="BC10" s="2"/>
      <c r="BD10" s="2"/>
      <c r="BE10" s="2"/>
      <c r="BF10" s="2"/>
      <c r="BG10" s="2">
        <v>0.45</v>
      </c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>
        <v>0</v>
      </c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>
        <v>0</v>
      </c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 t="s">
        <v>100</v>
      </c>
      <c r="DK10" s="2"/>
      <c r="DL10" s="2">
        <f t="shared" si="3"/>
        <v>0.45</v>
      </c>
      <c r="DM10" s="2">
        <f t="shared" si="4"/>
        <v>0</v>
      </c>
      <c r="DN10" s="2" t="s">
        <v>126</v>
      </c>
      <c r="DO10" s="2" t="s">
        <v>3</v>
      </c>
      <c r="DP10" s="2">
        <f t="shared" si="5"/>
        <v>0</v>
      </c>
      <c r="DQ10" s="2">
        <f t="shared" ref="DQ10:DR10" si="135">K10*$I10+AF10*$AD10+BA10*$AY10</f>
        <v>0</v>
      </c>
      <c r="DR10" s="2">
        <f t="shared" si="135"/>
        <v>0</v>
      </c>
      <c r="DS10" s="2">
        <f t="shared" ref="DS10:DX10" si="136">(M10*$I10+AH10*$AD10+BC10*$AY10)/100</f>
        <v>0</v>
      </c>
      <c r="DT10" s="2">
        <f t="shared" si="136"/>
        <v>0</v>
      </c>
      <c r="DU10" s="2">
        <f t="shared" si="136"/>
        <v>0</v>
      </c>
      <c r="DV10" s="2">
        <f t="shared" si="136"/>
        <v>0</v>
      </c>
      <c r="DW10" s="2">
        <f t="shared" si="136"/>
        <v>2.2500000000000003E-3</v>
      </c>
      <c r="DX10" s="2">
        <f t="shared" si="136"/>
        <v>0</v>
      </c>
      <c r="DY10" s="2">
        <f t="shared" ref="DY10:EC10" si="137">S10*$I10+AN10*$AD10+BI10*$AY10</f>
        <v>0</v>
      </c>
      <c r="DZ10" s="2">
        <f t="shared" si="137"/>
        <v>0</v>
      </c>
      <c r="EA10" s="2">
        <f t="shared" si="137"/>
        <v>0</v>
      </c>
      <c r="EB10" s="2">
        <f t="shared" si="137"/>
        <v>0</v>
      </c>
      <c r="EC10" s="2">
        <f t="shared" si="137"/>
        <v>0</v>
      </c>
      <c r="ED10" s="2">
        <f t="shared" ref="ED10:EE10" si="138">(X10*$I10+AS10*$AD10+BN10*$AY10)/100</f>
        <v>0</v>
      </c>
      <c r="EE10" s="2">
        <f t="shared" si="138"/>
        <v>0</v>
      </c>
      <c r="EF10" s="2"/>
      <c r="EG10" s="2">
        <f t="shared" si="10"/>
        <v>0</v>
      </c>
      <c r="EH10" s="2">
        <f t="shared" si="11"/>
        <v>0</v>
      </c>
      <c r="EI10" s="39">
        <f t="shared" si="12"/>
        <v>0</v>
      </c>
      <c r="EJ10" s="39">
        <f t="shared" ref="EJ10:EK10" si="139">EJ$1*DQ10/1000000</f>
        <v>0</v>
      </c>
      <c r="EK10" s="39">
        <f t="shared" si="139"/>
        <v>0</v>
      </c>
      <c r="EL10" s="39">
        <f t="shared" ref="EL10:EQ10" si="140">EL$1*DS10</f>
        <v>0</v>
      </c>
      <c r="EM10" s="39">
        <f t="shared" si="140"/>
        <v>0</v>
      </c>
      <c r="EN10" s="39">
        <f t="shared" si="140"/>
        <v>0</v>
      </c>
      <c r="EO10" s="39">
        <f t="shared" si="140"/>
        <v>0</v>
      </c>
      <c r="EP10" s="39">
        <f t="shared" si="140"/>
        <v>29.506500000000003</v>
      </c>
      <c r="EQ10" s="39">
        <f t="shared" si="140"/>
        <v>0</v>
      </c>
      <c r="ER10" s="39">
        <f t="shared" ref="ER10:EV10" si="141">ER$1*DY10/1000000</f>
        <v>0</v>
      </c>
      <c r="ES10" s="39">
        <f t="shared" si="141"/>
        <v>0</v>
      </c>
      <c r="ET10" s="39">
        <f t="shared" si="141"/>
        <v>0</v>
      </c>
      <c r="EU10" s="39">
        <f t="shared" si="141"/>
        <v>0</v>
      </c>
      <c r="EV10" s="39">
        <f t="shared" si="141"/>
        <v>0</v>
      </c>
      <c r="EW10" s="39">
        <f t="shared" ref="EW10:EX10" si="142">EW$1*ED10</f>
        <v>0</v>
      </c>
      <c r="EX10" s="39">
        <f t="shared" si="142"/>
        <v>0</v>
      </c>
      <c r="EY10" s="2"/>
      <c r="EZ10" s="39">
        <f t="shared" si="17"/>
        <v>0</v>
      </c>
      <c r="FA10" s="39">
        <f t="shared" si="18"/>
        <v>0</v>
      </c>
      <c r="FB10" s="2">
        <f t="shared" si="19"/>
        <v>0</v>
      </c>
      <c r="FC10" s="2">
        <f t="shared" ref="FC10:FD10" si="143">BV10*$BT10+CQ10*$CO10</f>
        <v>0</v>
      </c>
      <c r="FD10" s="2">
        <f t="shared" si="143"/>
        <v>0</v>
      </c>
      <c r="FE10" s="2">
        <f t="shared" ref="FE10:FJ10" si="144">(BX10*$BT10+CS10*$CO10)/100</f>
        <v>0</v>
      </c>
      <c r="FF10" s="2">
        <f t="shared" si="144"/>
        <v>0</v>
      </c>
      <c r="FG10" s="2">
        <f t="shared" si="144"/>
        <v>0</v>
      </c>
      <c r="FH10" s="2">
        <f t="shared" si="144"/>
        <v>0</v>
      </c>
      <c r="FI10" s="2">
        <f t="shared" si="144"/>
        <v>0</v>
      </c>
      <c r="FJ10" s="2">
        <f t="shared" si="144"/>
        <v>0</v>
      </c>
      <c r="FK10" s="2">
        <f t="shared" ref="FK10:FO10" si="145">CD10*$BT10+CY10*$CO10</f>
        <v>0</v>
      </c>
      <c r="FL10" s="2">
        <f t="shared" si="145"/>
        <v>0</v>
      </c>
      <c r="FM10" s="2">
        <f t="shared" si="145"/>
        <v>0</v>
      </c>
      <c r="FN10" s="2">
        <f t="shared" si="145"/>
        <v>0</v>
      </c>
      <c r="FO10" s="2">
        <f t="shared" si="145"/>
        <v>0</v>
      </c>
      <c r="FP10" s="2">
        <f t="shared" ref="FP10:FQ10" si="146">(CI10*$BT10+DD10*$CO10)/100</f>
        <v>0</v>
      </c>
      <c r="FQ10" s="2">
        <f t="shared" si="146"/>
        <v>0</v>
      </c>
      <c r="FR10" s="2"/>
      <c r="FS10" s="2">
        <f t="shared" si="24"/>
        <v>0</v>
      </c>
      <c r="FT10" s="2">
        <f t="shared" si="25"/>
        <v>0</v>
      </c>
      <c r="FU10" s="39">
        <f t="shared" si="26"/>
        <v>0</v>
      </c>
      <c r="FV10" s="39">
        <f t="shared" ref="FV10:FW10" si="147">FV$1*FC10/1000000</f>
        <v>0</v>
      </c>
      <c r="FW10" s="39">
        <f t="shared" si="147"/>
        <v>0</v>
      </c>
      <c r="FX10" s="39">
        <f t="shared" ref="FX10:GC10" si="148">FX$1*FE10</f>
        <v>0</v>
      </c>
      <c r="FY10" s="39">
        <f t="shared" si="148"/>
        <v>0</v>
      </c>
      <c r="FZ10" s="39">
        <f t="shared" si="148"/>
        <v>0</v>
      </c>
      <c r="GA10" s="39">
        <f t="shared" si="148"/>
        <v>0</v>
      </c>
      <c r="GB10" s="39">
        <f t="shared" si="148"/>
        <v>0</v>
      </c>
      <c r="GC10" s="39">
        <f t="shared" si="148"/>
        <v>0</v>
      </c>
      <c r="GD10" s="39">
        <f t="shared" ref="GD10:GH10" si="149">GD$1*FK10/1000000</f>
        <v>0</v>
      </c>
      <c r="GE10" s="39">
        <f t="shared" si="149"/>
        <v>0</v>
      </c>
      <c r="GF10" s="39">
        <f t="shared" si="149"/>
        <v>0</v>
      </c>
      <c r="GG10" s="39">
        <f t="shared" si="149"/>
        <v>0</v>
      </c>
      <c r="GH10" s="39">
        <f t="shared" si="149"/>
        <v>0</v>
      </c>
      <c r="GI10" s="39">
        <f t="shared" ref="GI10:GJ10" si="150">GI$1*FP10</f>
        <v>0</v>
      </c>
      <c r="GJ10" s="39">
        <f t="shared" si="150"/>
        <v>0</v>
      </c>
      <c r="GK10" s="2"/>
      <c r="GL10" s="39">
        <f t="shared" si="31"/>
        <v>0</v>
      </c>
      <c r="GM10" s="39">
        <f t="shared" si="32"/>
        <v>0</v>
      </c>
      <c r="GN10" s="2" t="s">
        <v>3</v>
      </c>
      <c r="GO10" s="2">
        <f t="shared" si="33"/>
        <v>0.5</v>
      </c>
      <c r="GP10" s="2">
        <f t="shared" si="34"/>
        <v>0.45</v>
      </c>
      <c r="GQ10" s="15">
        <f t="shared" si="35"/>
        <v>2.25</v>
      </c>
      <c r="GR10" s="15">
        <f t="shared" si="36"/>
        <v>29.506500000000003</v>
      </c>
      <c r="GS10" s="15">
        <f t="shared" si="37"/>
        <v>59.013000000000005</v>
      </c>
      <c r="GT10" s="2">
        <f t="shared" si="38"/>
        <v>0</v>
      </c>
      <c r="GU10" s="2">
        <f t="shared" si="39"/>
        <v>0</v>
      </c>
      <c r="GV10" s="2">
        <f t="shared" si="40"/>
        <v>2.25</v>
      </c>
      <c r="GW10" s="2">
        <f t="shared" si="41"/>
        <v>0</v>
      </c>
      <c r="GX10" s="2"/>
      <c r="GY10" s="2"/>
      <c r="GZ10" s="2"/>
      <c r="HA10" s="2"/>
      <c r="HB10" s="2">
        <f t="shared" si="42"/>
        <v>0</v>
      </c>
      <c r="HC10" s="2">
        <f t="shared" si="43"/>
        <v>0</v>
      </c>
      <c r="HD10" s="2" t="s">
        <v>3</v>
      </c>
      <c r="HE10" s="2" t="s">
        <v>183</v>
      </c>
      <c r="HF10" s="2" t="s">
        <v>577</v>
      </c>
      <c r="HG10" s="2"/>
      <c r="HH10" s="2"/>
      <c r="HI10" s="2" t="s">
        <v>100</v>
      </c>
      <c r="HJ10" s="2" t="s">
        <v>3</v>
      </c>
      <c r="HK10" s="2" t="s">
        <v>183</v>
      </c>
      <c r="HL10" s="2" t="s">
        <v>1393</v>
      </c>
      <c r="HM10" s="2" t="s">
        <v>81</v>
      </c>
      <c r="HN10" s="15">
        <f t="shared" ref="HN10:HP10" si="151">SUM(GT23:GT26)</f>
        <v>79.559999999999988</v>
      </c>
      <c r="HO10" s="15">
        <f t="shared" si="151"/>
        <v>344.81203300000004</v>
      </c>
      <c r="HP10" s="3">
        <f t="shared" si="151"/>
        <v>4265.4056775300005</v>
      </c>
      <c r="HQ10" s="3">
        <f>SUM(GO23:GO26)</f>
        <v>1801.8792799999999</v>
      </c>
      <c r="HR10" s="4">
        <f t="shared" si="45"/>
        <v>0.26027147115704669</v>
      </c>
      <c r="HS10" s="4">
        <f>MIN(GP23:GP26)</f>
        <v>2.0127214606251116E-2</v>
      </c>
      <c r="HT10" s="4">
        <f>MAX(GP23:GP26)</f>
        <v>0.87752475247524742</v>
      </c>
      <c r="HU10" s="3">
        <f>SUM(GQ23:GQ26)</f>
        <v>4689.7777105300001</v>
      </c>
      <c r="HV10" s="3">
        <f>SUM(GR23:GR26)/SUM(GO23:GO26)</f>
        <v>77.604687427026818</v>
      </c>
      <c r="HW10" s="2">
        <f>COUNT(GQ23:GQ26)</f>
        <v>4</v>
      </c>
      <c r="HX10" s="15">
        <f t="shared" ref="HX10:HY10" si="152">SUM(HB23:HB26)</f>
        <v>75.790000000000006</v>
      </c>
      <c r="HY10" s="15">
        <f t="shared" si="152"/>
        <v>267.89</v>
      </c>
      <c r="HZ10" s="15">
        <f>SUM(GW23:GW26)</f>
        <v>35.4</v>
      </c>
      <c r="IA10" s="4">
        <f>100*(IB10/1000)/HZ10</f>
        <v>0.97084745762711877</v>
      </c>
      <c r="IB10" s="15">
        <f>SUM(GY23:GY26)</f>
        <v>343.68000000000006</v>
      </c>
      <c r="IC10" s="15">
        <f>SUM(GZ23:GZ26)/SUM(GW23:GW26)</f>
        <v>127.31693559322036</v>
      </c>
      <c r="ID10" s="2">
        <f>COUNT(GY23:GY26)</f>
        <v>1</v>
      </c>
      <c r="IE10" s="2"/>
      <c r="IF10" s="15">
        <f t="shared" ref="IF10:IN10" si="153">100*SUM(EI23:EI26)/SUM($EI23:$FA26)</f>
        <v>10.598872212689272</v>
      </c>
      <c r="IG10" s="39">
        <f t="shared" si="153"/>
        <v>0</v>
      </c>
      <c r="IH10" s="15">
        <f t="shared" si="153"/>
        <v>1.1046033680911205</v>
      </c>
      <c r="II10" s="15">
        <f t="shared" si="153"/>
        <v>1.2245754660921975</v>
      </c>
      <c r="IJ10" s="15">
        <f t="shared" si="153"/>
        <v>2.064243499502266</v>
      </c>
      <c r="IK10" s="4">
        <f t="shared" si="153"/>
        <v>0.12237812185504922</v>
      </c>
      <c r="IL10" s="15">
        <f t="shared" si="153"/>
        <v>17.292437346619739</v>
      </c>
      <c r="IM10" s="15">
        <f t="shared" si="153"/>
        <v>43.98188029509182</v>
      </c>
      <c r="IN10" s="15">
        <f t="shared" si="153"/>
        <v>22.41984399136005</v>
      </c>
      <c r="IO10" s="15">
        <f>100*SUM(ER23:EV26)/SUM($EI23:$FA26)</f>
        <v>1.1911656986985153</v>
      </c>
      <c r="IP10" s="39">
        <f t="shared" ref="IP10:IQ10" si="154">100*SUM(EW23:EW26)/SUM($EI23:$FA26)</f>
        <v>0</v>
      </c>
      <c r="IQ10" s="39">
        <f t="shared" si="154"/>
        <v>0</v>
      </c>
      <c r="IR10" s="39">
        <f t="shared" ref="IR10:IS10" si="155">100*SUM(EZ23:EZ26)/SUM($EI23:$FA26)</f>
        <v>0</v>
      </c>
      <c r="IS10" s="39">
        <f t="shared" si="155"/>
        <v>0</v>
      </c>
      <c r="IT10" s="39">
        <f t="shared" ref="IT10:JB10" si="156">100*SUM(FU23:FU26)/SUM($FU23:$GM26)</f>
        <v>0</v>
      </c>
      <c r="IU10" s="39">
        <f t="shared" si="156"/>
        <v>0</v>
      </c>
      <c r="IV10" s="39">
        <f t="shared" si="156"/>
        <v>0</v>
      </c>
      <c r="IW10" s="39">
        <f t="shared" si="156"/>
        <v>0</v>
      </c>
      <c r="IX10" s="39">
        <f t="shared" si="156"/>
        <v>0</v>
      </c>
      <c r="IY10" s="39">
        <f t="shared" si="156"/>
        <v>0</v>
      </c>
      <c r="IZ10" s="39">
        <f t="shared" si="156"/>
        <v>0</v>
      </c>
      <c r="JA10" s="39">
        <f t="shared" si="156"/>
        <v>100</v>
      </c>
      <c r="JB10" s="39">
        <f t="shared" si="156"/>
        <v>0</v>
      </c>
      <c r="JC10" s="39">
        <f>100*SUM(GD23:GH26)/SUM($FU23:$GM26)</f>
        <v>0</v>
      </c>
      <c r="JD10" s="39">
        <f t="shared" ref="JD10:JE10" si="157">100*SUM(GI23:GI26)/SUM($FU23:$GM26)</f>
        <v>0</v>
      </c>
      <c r="JE10" s="39">
        <f t="shared" si="157"/>
        <v>0</v>
      </c>
      <c r="JF10" s="39">
        <f t="shared" ref="JF10:JG10" si="158">100*SUM(GL23:GL26)/SUM($FU23:$GM26)</f>
        <v>0</v>
      </c>
      <c r="JG10" s="39">
        <f t="shared" si="158"/>
        <v>0</v>
      </c>
      <c r="JH10" s="2" t="s">
        <v>3</v>
      </c>
    </row>
    <row r="11" spans="1:268" ht="15.75" customHeight="1" x14ac:dyDescent="0.2">
      <c r="A11" s="21" t="s">
        <v>678</v>
      </c>
      <c r="B11" s="2" t="s">
        <v>99</v>
      </c>
      <c r="C11" s="2"/>
      <c r="D11" s="2"/>
      <c r="E11" s="2"/>
      <c r="F11" s="2" t="s">
        <v>634</v>
      </c>
      <c r="G11" s="2"/>
      <c r="H11" s="2"/>
      <c r="I11" s="2">
        <v>0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>
        <v>0.4</v>
      </c>
      <c r="AE11" s="2">
        <v>0.28999999999999998</v>
      </c>
      <c r="AF11" s="2"/>
      <c r="AG11" s="2"/>
      <c r="AH11" s="2"/>
      <c r="AI11" s="2"/>
      <c r="AJ11" s="2"/>
      <c r="AK11" s="2"/>
      <c r="AL11" s="2">
        <v>0.63</v>
      </c>
      <c r="AM11" s="2">
        <v>0.04</v>
      </c>
      <c r="AN11" s="2">
        <v>0.28000000000000003</v>
      </c>
      <c r="AO11" s="2">
        <v>0.62</v>
      </c>
      <c r="AP11" s="2"/>
      <c r="AQ11" s="2"/>
      <c r="AR11" s="2"/>
      <c r="AS11" s="2"/>
      <c r="AT11" s="2"/>
      <c r="AU11" s="2"/>
      <c r="AV11" s="2"/>
      <c r="AW11" s="2"/>
      <c r="AX11" s="2"/>
      <c r="AY11" s="2">
        <v>0.09</v>
      </c>
      <c r="AZ11" s="2">
        <v>0.23</v>
      </c>
      <c r="BA11" s="2"/>
      <c r="BB11" s="2"/>
      <c r="BC11" s="2"/>
      <c r="BD11" s="2"/>
      <c r="BE11" s="2"/>
      <c r="BF11" s="2"/>
      <c r="BG11" s="2">
        <v>0.48</v>
      </c>
      <c r="BH11" s="2">
        <v>0.03</v>
      </c>
      <c r="BI11" s="2">
        <v>0.21</v>
      </c>
      <c r="BJ11" s="2">
        <v>0.42</v>
      </c>
      <c r="BK11" s="2"/>
      <c r="BL11" s="2"/>
      <c r="BM11" s="2"/>
      <c r="BN11" s="2"/>
      <c r="BO11" s="2"/>
      <c r="BP11" s="2"/>
      <c r="BQ11" s="2"/>
      <c r="BR11" s="2"/>
      <c r="BS11" s="2"/>
      <c r="BT11" s="2">
        <v>0</v>
      </c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>
        <v>0</v>
      </c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 t="s">
        <v>81</v>
      </c>
      <c r="DK11" s="2" t="s">
        <v>81</v>
      </c>
      <c r="DL11" s="2">
        <f t="shared" si="3"/>
        <v>0.60244897959183674</v>
      </c>
      <c r="DM11" s="2">
        <f t="shared" si="4"/>
        <v>3.8163265306122456E-2</v>
      </c>
      <c r="DN11" s="2" t="s">
        <v>675</v>
      </c>
      <c r="DO11" s="2" t="s">
        <v>3</v>
      </c>
      <c r="DP11" s="2">
        <f t="shared" si="5"/>
        <v>1.3669999999999999E-3</v>
      </c>
      <c r="DQ11" s="2">
        <f t="shared" ref="DQ11:DR11" si="159">K11*$I11+AF11*$AD11+BA11*$AY11</f>
        <v>0</v>
      </c>
      <c r="DR11" s="2">
        <f t="shared" si="159"/>
        <v>0</v>
      </c>
      <c r="DS11" s="2">
        <f t="shared" ref="DS11:DX11" si="160">(M11*$I11+AH11*$AD11+BC11*$AY11)/100</f>
        <v>0</v>
      </c>
      <c r="DT11" s="2">
        <f t="shared" si="160"/>
        <v>0</v>
      </c>
      <c r="DU11" s="2">
        <f t="shared" si="160"/>
        <v>0</v>
      </c>
      <c r="DV11" s="2">
        <f t="shared" si="160"/>
        <v>0</v>
      </c>
      <c r="DW11" s="2">
        <f t="shared" si="160"/>
        <v>2.9520000000000002E-3</v>
      </c>
      <c r="DX11" s="2">
        <f t="shared" si="160"/>
        <v>1.8700000000000002E-4</v>
      </c>
      <c r="DY11" s="2">
        <f t="shared" ref="DY11:EC11" si="161">S11*$I11+AN11*$AD11+BI11*$AY11</f>
        <v>0.13090000000000002</v>
      </c>
      <c r="DZ11" s="2">
        <f t="shared" si="161"/>
        <v>0.2858</v>
      </c>
      <c r="EA11" s="2">
        <f t="shared" si="161"/>
        <v>0</v>
      </c>
      <c r="EB11" s="2">
        <f t="shared" si="161"/>
        <v>0</v>
      </c>
      <c r="EC11" s="2">
        <f t="shared" si="161"/>
        <v>0</v>
      </c>
      <c r="ED11" s="2">
        <f t="shared" ref="ED11:EE11" si="162">(X11*$I11+AS11*$AD11+BN11*$AY11)/100</f>
        <v>0</v>
      </c>
      <c r="EE11" s="2">
        <f t="shared" si="162"/>
        <v>0</v>
      </c>
      <c r="EF11" s="2"/>
      <c r="EG11" s="2">
        <f t="shared" si="10"/>
        <v>0</v>
      </c>
      <c r="EH11" s="2">
        <f t="shared" si="11"/>
        <v>0</v>
      </c>
      <c r="EI11" s="39">
        <f t="shared" si="12"/>
        <v>8.9205170719999991</v>
      </c>
      <c r="EJ11" s="39">
        <f t="shared" ref="EJ11:EK11" si="163">EJ$1*DQ11/1000000</f>
        <v>0</v>
      </c>
      <c r="EK11" s="39">
        <f t="shared" si="163"/>
        <v>0</v>
      </c>
      <c r="EL11" s="39">
        <f t="shared" ref="EL11:EQ11" si="164">EL$1*DS11</f>
        <v>0</v>
      </c>
      <c r="EM11" s="39">
        <f t="shared" si="164"/>
        <v>0</v>
      </c>
      <c r="EN11" s="39">
        <f t="shared" si="164"/>
        <v>0</v>
      </c>
      <c r="EO11" s="39">
        <f t="shared" si="164"/>
        <v>0</v>
      </c>
      <c r="EP11" s="39">
        <f t="shared" si="164"/>
        <v>38.712528000000006</v>
      </c>
      <c r="EQ11" s="39">
        <f t="shared" si="164"/>
        <v>13.579850987999999</v>
      </c>
      <c r="ER11" s="39">
        <f t="shared" ref="ER11:EV11" si="165">ER$1*DY11/1000000</f>
        <v>3.7151187781350483</v>
      </c>
      <c r="ES11" s="39">
        <f t="shared" si="165"/>
        <v>9.5244917684887458</v>
      </c>
      <c r="ET11" s="39">
        <f t="shared" si="165"/>
        <v>0</v>
      </c>
      <c r="EU11" s="39">
        <f t="shared" si="165"/>
        <v>0</v>
      </c>
      <c r="EV11" s="39">
        <f t="shared" si="165"/>
        <v>0</v>
      </c>
      <c r="EW11" s="39">
        <f t="shared" ref="EW11:EX11" si="166">EW$1*ED11</f>
        <v>0</v>
      </c>
      <c r="EX11" s="39">
        <f t="shared" si="166"/>
        <v>0</v>
      </c>
      <c r="EY11" s="2"/>
      <c r="EZ11" s="39">
        <f t="shared" si="17"/>
        <v>0</v>
      </c>
      <c r="FA11" s="39">
        <f t="shared" si="18"/>
        <v>0</v>
      </c>
      <c r="FB11" s="2">
        <f t="shared" si="19"/>
        <v>0</v>
      </c>
      <c r="FC11" s="2">
        <f t="shared" ref="FC11:FD11" si="167">BV11*$BT11+CQ11*$CO11</f>
        <v>0</v>
      </c>
      <c r="FD11" s="2">
        <f t="shared" si="167"/>
        <v>0</v>
      </c>
      <c r="FE11" s="2">
        <f t="shared" ref="FE11:FJ11" si="168">(BX11*$BT11+CS11*$CO11)/100</f>
        <v>0</v>
      </c>
      <c r="FF11" s="2">
        <f t="shared" si="168"/>
        <v>0</v>
      </c>
      <c r="FG11" s="2">
        <f t="shared" si="168"/>
        <v>0</v>
      </c>
      <c r="FH11" s="2">
        <f t="shared" si="168"/>
        <v>0</v>
      </c>
      <c r="FI11" s="2">
        <f t="shared" si="168"/>
        <v>0</v>
      </c>
      <c r="FJ11" s="2">
        <f t="shared" si="168"/>
        <v>0</v>
      </c>
      <c r="FK11" s="2">
        <f t="shared" ref="FK11:FO11" si="169">CD11*$BT11+CY11*$CO11</f>
        <v>0</v>
      </c>
      <c r="FL11" s="2">
        <f t="shared" si="169"/>
        <v>0</v>
      </c>
      <c r="FM11" s="2">
        <f t="shared" si="169"/>
        <v>0</v>
      </c>
      <c r="FN11" s="2">
        <f t="shared" si="169"/>
        <v>0</v>
      </c>
      <c r="FO11" s="2">
        <f t="shared" si="169"/>
        <v>0</v>
      </c>
      <c r="FP11" s="2">
        <f t="shared" ref="FP11:FQ11" si="170">(CI11*$BT11+DD11*$CO11)/100</f>
        <v>0</v>
      </c>
      <c r="FQ11" s="2">
        <f t="shared" si="170"/>
        <v>0</v>
      </c>
      <c r="FR11" s="2"/>
      <c r="FS11" s="2">
        <f t="shared" si="24"/>
        <v>0</v>
      </c>
      <c r="FT11" s="2">
        <f t="shared" si="25"/>
        <v>0</v>
      </c>
      <c r="FU11" s="39">
        <f t="shared" si="26"/>
        <v>0</v>
      </c>
      <c r="FV11" s="39">
        <f t="shared" ref="FV11:FW11" si="171">FV$1*FC11/1000000</f>
        <v>0</v>
      </c>
      <c r="FW11" s="39">
        <f t="shared" si="171"/>
        <v>0</v>
      </c>
      <c r="FX11" s="39">
        <f t="shared" ref="FX11:GC11" si="172">FX$1*FE11</f>
        <v>0</v>
      </c>
      <c r="FY11" s="39">
        <f t="shared" si="172"/>
        <v>0</v>
      </c>
      <c r="FZ11" s="39">
        <f t="shared" si="172"/>
        <v>0</v>
      </c>
      <c r="GA11" s="39">
        <f t="shared" si="172"/>
        <v>0</v>
      </c>
      <c r="GB11" s="39">
        <f t="shared" si="172"/>
        <v>0</v>
      </c>
      <c r="GC11" s="39">
        <f t="shared" si="172"/>
        <v>0</v>
      </c>
      <c r="GD11" s="39">
        <f t="shared" ref="GD11:GH11" si="173">GD$1*FK11/1000000</f>
        <v>0</v>
      </c>
      <c r="GE11" s="39">
        <f t="shared" si="173"/>
        <v>0</v>
      </c>
      <c r="GF11" s="39">
        <f t="shared" si="173"/>
        <v>0</v>
      </c>
      <c r="GG11" s="39">
        <f t="shared" si="173"/>
        <v>0</v>
      </c>
      <c r="GH11" s="39">
        <f t="shared" si="173"/>
        <v>0</v>
      </c>
      <c r="GI11" s="39">
        <f t="shared" ref="GI11:GJ11" si="174">GI$1*FP11</f>
        <v>0</v>
      </c>
      <c r="GJ11" s="39">
        <f t="shared" si="174"/>
        <v>0</v>
      </c>
      <c r="GK11" s="2"/>
      <c r="GL11" s="39">
        <f t="shared" si="31"/>
        <v>0</v>
      </c>
      <c r="GM11" s="39">
        <f t="shared" si="32"/>
        <v>0</v>
      </c>
      <c r="GN11" s="2" t="s">
        <v>3</v>
      </c>
      <c r="GO11" s="2">
        <f t="shared" si="33"/>
        <v>0.49</v>
      </c>
      <c r="GP11" s="4">
        <f t="shared" si="34"/>
        <v>0.60244897959183674</v>
      </c>
      <c r="GQ11" s="15">
        <f t="shared" si="35"/>
        <v>2.952</v>
      </c>
      <c r="GR11" s="15">
        <f t="shared" si="36"/>
        <v>74.452506606623786</v>
      </c>
      <c r="GS11" s="15">
        <f t="shared" si="37"/>
        <v>151.94389103392609</v>
      </c>
      <c r="GT11" s="2">
        <f t="shared" si="38"/>
        <v>0</v>
      </c>
      <c r="GU11" s="2">
        <f t="shared" si="39"/>
        <v>2.52</v>
      </c>
      <c r="GV11" s="2">
        <f t="shared" si="40"/>
        <v>0.43199999999999994</v>
      </c>
      <c r="GW11" s="2">
        <f t="shared" si="41"/>
        <v>0</v>
      </c>
      <c r="GX11" s="2"/>
      <c r="GY11" s="2"/>
      <c r="GZ11" s="2"/>
      <c r="HA11" s="2"/>
      <c r="HB11" s="2">
        <f t="shared" si="42"/>
        <v>0</v>
      </c>
      <c r="HC11" s="2">
        <f t="shared" si="43"/>
        <v>0</v>
      </c>
      <c r="HD11" s="2" t="s">
        <v>3</v>
      </c>
      <c r="HE11" s="2" t="s">
        <v>183</v>
      </c>
      <c r="HF11" s="2" t="s">
        <v>577</v>
      </c>
      <c r="HG11" s="2"/>
      <c r="HH11" s="2"/>
      <c r="HI11" s="2" t="s">
        <v>81</v>
      </c>
      <c r="HJ11" s="2" t="s">
        <v>3</v>
      </c>
      <c r="HK11" s="2" t="s">
        <v>183</v>
      </c>
      <c r="HL11" s="2" t="s">
        <v>1393</v>
      </c>
      <c r="HM11" s="2" t="s">
        <v>100</v>
      </c>
      <c r="HN11" s="2">
        <f t="shared" ref="HN11:HP11" si="175">SUM(GT20:GT22)</f>
        <v>0</v>
      </c>
      <c r="HO11" s="4">
        <f t="shared" si="175"/>
        <v>0.46040000000000009</v>
      </c>
      <c r="HP11" s="15">
        <f t="shared" si="175"/>
        <v>12.13744</v>
      </c>
      <c r="HQ11" s="3">
        <f>SUM(GO20:GO22)</f>
        <v>6.3064</v>
      </c>
      <c r="HR11" s="4">
        <f t="shared" si="45"/>
        <v>0.19976278066725864</v>
      </c>
      <c r="HS11" s="4">
        <f>MIN(GP20:GP22)</f>
        <v>5.9405520169851386E-2</v>
      </c>
      <c r="HT11" s="4">
        <f>MAX(GP20:GP22)</f>
        <v>0.46</v>
      </c>
      <c r="HU11" s="3">
        <f>SUM(GQ20:GQ22)</f>
        <v>12.59784</v>
      </c>
      <c r="HV11" s="3">
        <f>SUM(GR20:GR22)/SUM(GO20:GO22)</f>
        <v>249.77897912827598</v>
      </c>
      <c r="HW11" s="2">
        <f>COUNT(GQ20:GQ22)</f>
        <v>3</v>
      </c>
      <c r="HX11" s="2">
        <f t="shared" ref="HX11:HY11" si="176">SUM(HB20:HB22)</f>
        <v>0</v>
      </c>
      <c r="HY11" s="2">
        <f t="shared" si="176"/>
        <v>0</v>
      </c>
      <c r="HZ11" s="2" t="s">
        <v>176</v>
      </c>
      <c r="IA11" s="2" t="s">
        <v>176</v>
      </c>
      <c r="IB11" s="2" t="s">
        <v>176</v>
      </c>
      <c r="IC11" s="2" t="s">
        <v>176</v>
      </c>
      <c r="ID11" s="2">
        <f>COUNT(GY20:GY22)</f>
        <v>0</v>
      </c>
      <c r="IE11" s="2"/>
      <c r="IF11" s="15">
        <f t="shared" ref="IF11:IN11" si="177">100*SUM(EI20:EI22)/SUM($EI20:$FA22)</f>
        <v>6.4403004745725765</v>
      </c>
      <c r="IG11" s="39">
        <f t="shared" si="177"/>
        <v>0</v>
      </c>
      <c r="IH11" s="39">
        <f t="shared" si="177"/>
        <v>0</v>
      </c>
      <c r="II11" s="39">
        <f t="shared" si="177"/>
        <v>0</v>
      </c>
      <c r="IJ11" s="39">
        <f t="shared" si="177"/>
        <v>0</v>
      </c>
      <c r="IK11" s="15">
        <f t="shared" si="177"/>
        <v>31.796997585539476</v>
      </c>
      <c r="IL11" s="15">
        <f t="shared" si="177"/>
        <v>9.2303828532622791</v>
      </c>
      <c r="IM11" s="15">
        <f t="shared" si="177"/>
        <v>10.488028715679345</v>
      </c>
      <c r="IN11" s="15">
        <f t="shared" si="177"/>
        <v>42.044290370946342</v>
      </c>
      <c r="IO11" s="39">
        <f>100*SUM(ER20:EV22)/SUM($EI20:$FA22)</f>
        <v>0</v>
      </c>
      <c r="IP11" s="39">
        <f t="shared" ref="IP11:IQ11" si="178">100*SUM(EW20:EW22)/SUM($EI20:$FA22)</f>
        <v>0</v>
      </c>
      <c r="IQ11" s="39">
        <f t="shared" si="178"/>
        <v>0</v>
      </c>
      <c r="IR11" s="39">
        <f t="shared" ref="IR11:IS11" si="179">100*SUM(EZ20:EZ22)/SUM($EI20:$FA22)</f>
        <v>0</v>
      </c>
      <c r="IS11" s="39">
        <f t="shared" si="179"/>
        <v>0</v>
      </c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 t="s">
        <v>3</v>
      </c>
    </row>
    <row r="12" spans="1:268" ht="15.75" customHeight="1" x14ac:dyDescent="0.2">
      <c r="A12" s="21" t="s">
        <v>679</v>
      </c>
      <c r="B12" s="2" t="s">
        <v>99</v>
      </c>
      <c r="C12" s="2"/>
      <c r="D12" s="2"/>
      <c r="E12" s="2"/>
      <c r="F12" s="2" t="s">
        <v>634</v>
      </c>
      <c r="G12" s="2"/>
      <c r="H12" s="2"/>
      <c r="I12" s="2">
        <v>0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>
        <v>0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>
        <v>0.17</v>
      </c>
      <c r="AZ12" s="2">
        <v>0.01</v>
      </c>
      <c r="BA12" s="2"/>
      <c r="BB12" s="2"/>
      <c r="BC12" s="2"/>
      <c r="BD12" s="2"/>
      <c r="BE12" s="2"/>
      <c r="BF12" s="2"/>
      <c r="BG12" s="2">
        <v>0.66</v>
      </c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>
        <v>0</v>
      </c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>
        <v>0</v>
      </c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 t="s">
        <v>81</v>
      </c>
      <c r="DK12" s="2"/>
      <c r="DL12" s="2">
        <f t="shared" si="3"/>
        <v>0.66</v>
      </c>
      <c r="DM12" s="2">
        <f t="shared" si="4"/>
        <v>0</v>
      </c>
      <c r="DN12" s="2" t="s">
        <v>675</v>
      </c>
      <c r="DO12" s="2" t="s">
        <v>3</v>
      </c>
      <c r="DP12" s="2">
        <f t="shared" si="5"/>
        <v>1.7E-5</v>
      </c>
      <c r="DQ12" s="2">
        <f t="shared" ref="DQ12:DR12" si="180">K12*$I12+AF12*$AD12+BA12*$AY12</f>
        <v>0</v>
      </c>
      <c r="DR12" s="2">
        <f t="shared" si="180"/>
        <v>0</v>
      </c>
      <c r="DS12" s="2">
        <f t="shared" ref="DS12:DX12" si="181">(M12*$I12+AH12*$AD12+BC12*$AY12)/100</f>
        <v>0</v>
      </c>
      <c r="DT12" s="2">
        <f t="shared" si="181"/>
        <v>0</v>
      </c>
      <c r="DU12" s="2">
        <f t="shared" si="181"/>
        <v>0</v>
      </c>
      <c r="DV12" s="2">
        <f t="shared" si="181"/>
        <v>0</v>
      </c>
      <c r="DW12" s="2">
        <f t="shared" si="181"/>
        <v>1.1220000000000002E-3</v>
      </c>
      <c r="DX12" s="2">
        <f t="shared" si="181"/>
        <v>0</v>
      </c>
      <c r="DY12" s="2">
        <f t="shared" ref="DY12:EC12" si="182">S12*$I12+AN12*$AD12+BI12*$AY12</f>
        <v>0</v>
      </c>
      <c r="DZ12" s="2">
        <f t="shared" si="182"/>
        <v>0</v>
      </c>
      <c r="EA12" s="2">
        <f t="shared" si="182"/>
        <v>0</v>
      </c>
      <c r="EB12" s="2">
        <f t="shared" si="182"/>
        <v>0</v>
      </c>
      <c r="EC12" s="2">
        <f t="shared" si="182"/>
        <v>0</v>
      </c>
      <c r="ED12" s="2">
        <f t="shared" ref="ED12:EE12" si="183">(X12*$I12+AS12*$AD12+BN12*$AY12)/100</f>
        <v>0</v>
      </c>
      <c r="EE12" s="2">
        <f t="shared" si="183"/>
        <v>0</v>
      </c>
      <c r="EF12" s="2"/>
      <c r="EG12" s="2">
        <f t="shared" si="10"/>
        <v>0</v>
      </c>
      <c r="EH12" s="2">
        <f t="shared" si="11"/>
        <v>0</v>
      </c>
      <c r="EI12" s="39">
        <f t="shared" si="12"/>
        <v>0.11093547199999999</v>
      </c>
      <c r="EJ12" s="39">
        <f t="shared" ref="EJ12:EK12" si="184">EJ$1*DQ12/1000000</f>
        <v>0</v>
      </c>
      <c r="EK12" s="39">
        <f t="shared" si="184"/>
        <v>0</v>
      </c>
      <c r="EL12" s="39">
        <f t="shared" ref="EL12:EQ12" si="185">EL$1*DS12</f>
        <v>0</v>
      </c>
      <c r="EM12" s="39">
        <f t="shared" si="185"/>
        <v>0</v>
      </c>
      <c r="EN12" s="39">
        <f t="shared" si="185"/>
        <v>0</v>
      </c>
      <c r="EO12" s="39">
        <f t="shared" si="185"/>
        <v>0</v>
      </c>
      <c r="EP12" s="39">
        <f t="shared" si="185"/>
        <v>14.713908000000002</v>
      </c>
      <c r="EQ12" s="39">
        <f t="shared" si="185"/>
        <v>0</v>
      </c>
      <c r="ER12" s="39">
        <f t="shared" ref="ER12:EV12" si="186">ER$1*DY12/1000000</f>
        <v>0</v>
      </c>
      <c r="ES12" s="39">
        <f t="shared" si="186"/>
        <v>0</v>
      </c>
      <c r="ET12" s="39">
        <f t="shared" si="186"/>
        <v>0</v>
      </c>
      <c r="EU12" s="39">
        <f t="shared" si="186"/>
        <v>0</v>
      </c>
      <c r="EV12" s="39">
        <f t="shared" si="186"/>
        <v>0</v>
      </c>
      <c r="EW12" s="39">
        <f t="shared" ref="EW12:EX12" si="187">EW$1*ED12</f>
        <v>0</v>
      </c>
      <c r="EX12" s="39">
        <f t="shared" si="187"/>
        <v>0</v>
      </c>
      <c r="EY12" s="2"/>
      <c r="EZ12" s="39">
        <f t="shared" si="17"/>
        <v>0</v>
      </c>
      <c r="FA12" s="39">
        <f t="shared" si="18"/>
        <v>0</v>
      </c>
      <c r="FB12" s="2">
        <f t="shared" si="19"/>
        <v>0</v>
      </c>
      <c r="FC12" s="2">
        <f t="shared" ref="FC12:FD12" si="188">BV12*$BT12+CQ12*$CO12</f>
        <v>0</v>
      </c>
      <c r="FD12" s="2">
        <f t="shared" si="188"/>
        <v>0</v>
      </c>
      <c r="FE12" s="2">
        <f t="shared" ref="FE12:FJ12" si="189">(BX12*$BT12+CS12*$CO12)/100</f>
        <v>0</v>
      </c>
      <c r="FF12" s="2">
        <f t="shared" si="189"/>
        <v>0</v>
      </c>
      <c r="FG12" s="2">
        <f t="shared" si="189"/>
        <v>0</v>
      </c>
      <c r="FH12" s="2">
        <f t="shared" si="189"/>
        <v>0</v>
      </c>
      <c r="FI12" s="2">
        <f t="shared" si="189"/>
        <v>0</v>
      </c>
      <c r="FJ12" s="2">
        <f t="shared" si="189"/>
        <v>0</v>
      </c>
      <c r="FK12" s="2">
        <f t="shared" ref="FK12:FO12" si="190">CD12*$BT12+CY12*$CO12</f>
        <v>0</v>
      </c>
      <c r="FL12" s="2">
        <f t="shared" si="190"/>
        <v>0</v>
      </c>
      <c r="FM12" s="2">
        <f t="shared" si="190"/>
        <v>0</v>
      </c>
      <c r="FN12" s="2">
        <f t="shared" si="190"/>
        <v>0</v>
      </c>
      <c r="FO12" s="2">
        <f t="shared" si="190"/>
        <v>0</v>
      </c>
      <c r="FP12" s="2">
        <f t="shared" ref="FP12:FQ12" si="191">(CI12*$BT12+DD12*$CO12)/100</f>
        <v>0</v>
      </c>
      <c r="FQ12" s="2">
        <f t="shared" si="191"/>
        <v>0</v>
      </c>
      <c r="FR12" s="2"/>
      <c r="FS12" s="2">
        <f t="shared" si="24"/>
        <v>0</v>
      </c>
      <c r="FT12" s="2">
        <f t="shared" si="25"/>
        <v>0</v>
      </c>
      <c r="FU12" s="39">
        <f t="shared" si="26"/>
        <v>0</v>
      </c>
      <c r="FV12" s="39">
        <f t="shared" ref="FV12:FW12" si="192">FV$1*FC12/1000000</f>
        <v>0</v>
      </c>
      <c r="FW12" s="39">
        <f t="shared" si="192"/>
        <v>0</v>
      </c>
      <c r="FX12" s="39">
        <f t="shared" ref="FX12:GC12" si="193">FX$1*FE12</f>
        <v>0</v>
      </c>
      <c r="FY12" s="39">
        <f t="shared" si="193"/>
        <v>0</v>
      </c>
      <c r="FZ12" s="39">
        <f t="shared" si="193"/>
        <v>0</v>
      </c>
      <c r="GA12" s="39">
        <f t="shared" si="193"/>
        <v>0</v>
      </c>
      <c r="GB12" s="39">
        <f t="shared" si="193"/>
        <v>0</v>
      </c>
      <c r="GC12" s="39">
        <f t="shared" si="193"/>
        <v>0</v>
      </c>
      <c r="GD12" s="39">
        <f t="shared" ref="GD12:GH12" si="194">GD$1*FK12/1000000</f>
        <v>0</v>
      </c>
      <c r="GE12" s="39">
        <f t="shared" si="194"/>
        <v>0</v>
      </c>
      <c r="GF12" s="39">
        <f t="shared" si="194"/>
        <v>0</v>
      </c>
      <c r="GG12" s="39">
        <f t="shared" si="194"/>
        <v>0</v>
      </c>
      <c r="GH12" s="39">
        <f t="shared" si="194"/>
        <v>0</v>
      </c>
      <c r="GI12" s="39">
        <f t="shared" ref="GI12:GJ12" si="195">GI$1*FP12</f>
        <v>0</v>
      </c>
      <c r="GJ12" s="39">
        <f t="shared" si="195"/>
        <v>0</v>
      </c>
      <c r="GK12" s="2"/>
      <c r="GL12" s="39">
        <f t="shared" si="31"/>
        <v>0</v>
      </c>
      <c r="GM12" s="39">
        <f t="shared" si="32"/>
        <v>0</v>
      </c>
      <c r="GN12" s="2" t="s">
        <v>3</v>
      </c>
      <c r="GO12" s="2">
        <f t="shared" si="33"/>
        <v>0.17</v>
      </c>
      <c r="GP12" s="2">
        <f t="shared" si="34"/>
        <v>0.66</v>
      </c>
      <c r="GQ12" s="15">
        <f t="shared" si="35"/>
        <v>1.1220000000000001</v>
      </c>
      <c r="GR12" s="15">
        <f t="shared" si="36"/>
        <v>14.824843472000001</v>
      </c>
      <c r="GS12" s="15">
        <f t="shared" si="37"/>
        <v>87.204961600000004</v>
      </c>
      <c r="GT12" s="2">
        <f t="shared" si="38"/>
        <v>0</v>
      </c>
      <c r="GU12" s="2">
        <f t="shared" si="39"/>
        <v>0</v>
      </c>
      <c r="GV12" s="2">
        <f t="shared" si="40"/>
        <v>1.1220000000000001</v>
      </c>
      <c r="GW12" s="2">
        <f t="shared" si="41"/>
        <v>0</v>
      </c>
      <c r="GX12" s="2"/>
      <c r="GY12" s="2"/>
      <c r="GZ12" s="2"/>
      <c r="HA12" s="2"/>
      <c r="HB12" s="2">
        <f t="shared" si="42"/>
        <v>0</v>
      </c>
      <c r="HC12" s="2">
        <f t="shared" si="43"/>
        <v>0</v>
      </c>
      <c r="HD12" s="2" t="s">
        <v>3</v>
      </c>
      <c r="HE12" s="2" t="s">
        <v>183</v>
      </c>
      <c r="HF12" s="2" t="s">
        <v>577</v>
      </c>
      <c r="HG12" s="2"/>
      <c r="HH12" s="2"/>
      <c r="HI12" s="2" t="s">
        <v>81</v>
      </c>
      <c r="HJ12" s="2" t="s">
        <v>3</v>
      </c>
      <c r="HK12" s="2" t="s">
        <v>183</v>
      </c>
      <c r="HL12" s="2" t="s">
        <v>288</v>
      </c>
      <c r="HM12" s="2" t="s">
        <v>81</v>
      </c>
      <c r="HN12" s="2">
        <f t="shared" ref="HN12:HP12" si="196">SUM(GT27:GT29)</f>
        <v>0</v>
      </c>
      <c r="HO12" s="15">
        <f t="shared" si="196"/>
        <v>33.736960200000006</v>
      </c>
      <c r="HP12" s="3">
        <f t="shared" si="196"/>
        <v>2141.1573672</v>
      </c>
      <c r="HQ12" s="3">
        <f>SUM(GO27:GO29)</f>
        <v>10871.013999999999</v>
      </c>
      <c r="HR12" s="19">
        <f t="shared" si="45"/>
        <v>2.0006361204207818E-2</v>
      </c>
      <c r="HS12" s="19">
        <f>MIN(GP27:GP29)</f>
        <v>6.792347407781972E-3</v>
      </c>
      <c r="HT12" s="19">
        <f>MAX(GP27:GP29)</f>
        <v>3.4000000000000002E-2</v>
      </c>
      <c r="HU12" s="3">
        <f>SUM(GQ27:GQ29)</f>
        <v>2174.8943274000003</v>
      </c>
      <c r="HV12" s="3">
        <f>SUM(GR27:GR29)/SUM(GO27:GO29)</f>
        <v>10.982192381826142</v>
      </c>
      <c r="HW12" s="2">
        <f>COUNT(GQ27:GQ29)</f>
        <v>3</v>
      </c>
      <c r="HX12" s="2">
        <f t="shared" ref="HX12:HY12" si="197">SUM(HB27:HB29)</f>
        <v>0</v>
      </c>
      <c r="HY12" s="2">
        <f t="shared" si="197"/>
        <v>0</v>
      </c>
      <c r="HZ12" s="2" t="s">
        <v>176</v>
      </c>
      <c r="IA12" s="2" t="s">
        <v>176</v>
      </c>
      <c r="IB12" s="2" t="s">
        <v>176</v>
      </c>
      <c r="IC12" s="2" t="s">
        <v>176</v>
      </c>
      <c r="ID12" s="2">
        <f>COUNT(GY27:GY29)</f>
        <v>0</v>
      </c>
      <c r="IE12" s="2"/>
      <c r="IF12" s="15">
        <f t="shared" ref="IF12:IN12" si="198">100*SUM(EI27:EI29)/SUM($EI27:$FA29)</f>
        <v>4.3244734636757567</v>
      </c>
      <c r="IG12" s="39">
        <f t="shared" si="198"/>
        <v>0</v>
      </c>
      <c r="IH12" s="39">
        <f t="shared" si="198"/>
        <v>0</v>
      </c>
      <c r="II12" s="15">
        <f t="shared" si="198"/>
        <v>45.411421650751656</v>
      </c>
      <c r="IJ12" s="15">
        <f t="shared" si="198"/>
        <v>13.624207176432179</v>
      </c>
      <c r="IK12" s="39">
        <f t="shared" si="198"/>
        <v>0</v>
      </c>
      <c r="IL12" s="15">
        <f t="shared" si="198"/>
        <v>7.8854152031581108</v>
      </c>
      <c r="IM12" s="15">
        <f t="shared" si="198"/>
        <v>23.889894814277053</v>
      </c>
      <c r="IN12" s="15">
        <f t="shared" si="198"/>
        <v>4.8645876917052497</v>
      </c>
      <c r="IO12" s="39">
        <f>100*SUM(ER27:EV29)/SUM($EI27:$FA29)</f>
        <v>0</v>
      </c>
      <c r="IP12" s="39">
        <f t="shared" ref="IP12:IQ12" si="199">100*SUM(EW27:EW29)/SUM($EI27:$FA29)</f>
        <v>0</v>
      </c>
      <c r="IQ12" s="39">
        <f t="shared" si="199"/>
        <v>0</v>
      </c>
      <c r="IR12" s="39">
        <f t="shared" ref="IR12:IS12" si="200">100*SUM(EZ27:EZ29)/SUM($EI27:$FA29)</f>
        <v>0</v>
      </c>
      <c r="IS12" s="39">
        <f t="shared" si="200"/>
        <v>0</v>
      </c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 t="s">
        <v>3</v>
      </c>
    </row>
    <row r="13" spans="1:268" ht="15.75" customHeight="1" x14ac:dyDescent="0.2">
      <c r="A13" s="21" t="s">
        <v>680</v>
      </c>
      <c r="B13" s="2" t="s">
        <v>99</v>
      </c>
      <c r="C13" s="2"/>
      <c r="D13" s="2"/>
      <c r="E13" s="2"/>
      <c r="F13" s="2" t="s">
        <v>634</v>
      </c>
      <c r="G13" s="2"/>
      <c r="H13" s="2"/>
      <c r="I13" s="2">
        <v>0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4">
        <v>7.5024829999999998</v>
      </c>
      <c r="AE13" s="2">
        <v>0.02</v>
      </c>
      <c r="AF13" s="2"/>
      <c r="AG13" s="2"/>
      <c r="AH13" s="2"/>
      <c r="AI13" s="2"/>
      <c r="AJ13" s="2"/>
      <c r="AK13" s="2"/>
      <c r="AL13" s="2">
        <v>0.32</v>
      </c>
      <c r="AM13" s="2">
        <v>0.01</v>
      </c>
      <c r="AN13" s="2">
        <v>7.0000000000000007E-2</v>
      </c>
      <c r="AO13" s="2">
        <v>0.15</v>
      </c>
      <c r="AP13" s="2"/>
      <c r="AQ13" s="2"/>
      <c r="AR13" s="2"/>
      <c r="AS13" s="2"/>
      <c r="AT13" s="2"/>
      <c r="AU13" s="2"/>
      <c r="AV13" s="2"/>
      <c r="AW13" s="2"/>
      <c r="AX13" s="2"/>
      <c r="AY13" s="19">
        <v>0.73888299999999996</v>
      </c>
      <c r="AZ13" s="2">
        <v>0.02</v>
      </c>
      <c r="BA13" s="2"/>
      <c r="BB13" s="2"/>
      <c r="BC13" s="2"/>
      <c r="BD13" s="2"/>
      <c r="BE13" s="2"/>
      <c r="BF13" s="2"/>
      <c r="BG13" s="2">
        <v>0.27</v>
      </c>
      <c r="BH13" s="2">
        <v>0.01</v>
      </c>
      <c r="BI13" s="2">
        <v>7.0000000000000007E-2</v>
      </c>
      <c r="BJ13" s="2">
        <v>0.11</v>
      </c>
      <c r="BK13" s="2"/>
      <c r="BL13" s="2"/>
      <c r="BM13" s="2"/>
      <c r="BN13" s="2"/>
      <c r="BO13" s="2"/>
      <c r="BP13" s="2"/>
      <c r="BQ13" s="2"/>
      <c r="BR13" s="2"/>
      <c r="BS13" s="2"/>
      <c r="BT13" s="2">
        <v>0</v>
      </c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>
        <v>0</v>
      </c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 t="s">
        <v>81</v>
      </c>
      <c r="DK13" s="2"/>
      <c r="DL13" s="2">
        <f t="shared" si="3"/>
        <v>0.3155172297893335</v>
      </c>
      <c r="DM13" s="2">
        <f t="shared" si="4"/>
        <v>0.01</v>
      </c>
      <c r="DN13" s="2" t="s">
        <v>681</v>
      </c>
      <c r="DO13" s="2" t="s">
        <v>3</v>
      </c>
      <c r="DP13" s="2">
        <f t="shared" si="5"/>
        <v>1.6482732000000001E-3</v>
      </c>
      <c r="DQ13" s="2">
        <f t="shared" ref="DQ13:DR13" si="201">K13*$I13+AF13*$AD13+BA13*$AY13</f>
        <v>0</v>
      </c>
      <c r="DR13" s="2">
        <f t="shared" si="201"/>
        <v>0</v>
      </c>
      <c r="DS13" s="2">
        <f t="shared" ref="DS13:DX13" si="202">(M13*$I13+AH13*$AD13+BC13*$AY13)/100</f>
        <v>0</v>
      </c>
      <c r="DT13" s="2">
        <f t="shared" si="202"/>
        <v>0</v>
      </c>
      <c r="DU13" s="2">
        <f t="shared" si="202"/>
        <v>0</v>
      </c>
      <c r="DV13" s="2">
        <f t="shared" si="202"/>
        <v>0</v>
      </c>
      <c r="DW13" s="2">
        <f t="shared" si="202"/>
        <v>2.60029297E-2</v>
      </c>
      <c r="DX13" s="2">
        <f t="shared" si="202"/>
        <v>8.2413660000000004E-4</v>
      </c>
      <c r="DY13" s="2">
        <f t="shared" ref="DY13:EC13" si="203">S13*$I13+AN13*$AD13+BI13*$AY13</f>
        <v>0.57689562000000005</v>
      </c>
      <c r="DZ13" s="2">
        <f t="shared" si="203"/>
        <v>1.2066495799999999</v>
      </c>
      <c r="EA13" s="2">
        <f t="shared" si="203"/>
        <v>0</v>
      </c>
      <c r="EB13" s="2">
        <f t="shared" si="203"/>
        <v>0</v>
      </c>
      <c r="EC13" s="2">
        <f t="shared" si="203"/>
        <v>0</v>
      </c>
      <c r="ED13" s="2">
        <f t="shared" ref="ED13:EE13" si="204">(X13*$I13+AS13*$AD13+BN13*$AY13)/100</f>
        <v>0</v>
      </c>
      <c r="EE13" s="2">
        <f t="shared" si="204"/>
        <v>0</v>
      </c>
      <c r="EF13" s="2"/>
      <c r="EG13" s="2">
        <f t="shared" si="10"/>
        <v>0</v>
      </c>
      <c r="EH13" s="2">
        <f t="shared" si="11"/>
        <v>0</v>
      </c>
      <c r="EI13" s="39">
        <f t="shared" si="12"/>
        <v>10.755997966291201</v>
      </c>
      <c r="EJ13" s="39">
        <f t="shared" ref="EJ13:EK13" si="205">EJ$1*DQ13/1000000</f>
        <v>0</v>
      </c>
      <c r="EK13" s="39">
        <f t="shared" si="205"/>
        <v>0</v>
      </c>
      <c r="EL13" s="39">
        <f t="shared" ref="EL13:EQ13" si="206">EL$1*DS13</f>
        <v>0</v>
      </c>
      <c r="EM13" s="39">
        <f t="shared" si="206"/>
        <v>0</v>
      </c>
      <c r="EN13" s="39">
        <f t="shared" si="206"/>
        <v>0</v>
      </c>
      <c r="EO13" s="39">
        <f t="shared" si="206"/>
        <v>0</v>
      </c>
      <c r="EP13" s="39">
        <f t="shared" si="206"/>
        <v>341.0024200858</v>
      </c>
      <c r="EQ13" s="39">
        <f t="shared" si="206"/>
        <v>59.848407602978398</v>
      </c>
      <c r="ER13" s="39">
        <f t="shared" ref="ER13:EV13" si="207">ER$1*DY13/1000000</f>
        <v>16.373076782932475</v>
      </c>
      <c r="ES13" s="39">
        <f t="shared" si="207"/>
        <v>40.212470231491963</v>
      </c>
      <c r="ET13" s="39">
        <f t="shared" si="207"/>
        <v>0</v>
      </c>
      <c r="EU13" s="39">
        <f t="shared" si="207"/>
        <v>0</v>
      </c>
      <c r="EV13" s="39">
        <f t="shared" si="207"/>
        <v>0</v>
      </c>
      <c r="EW13" s="39">
        <f t="shared" ref="EW13:EX13" si="208">EW$1*ED13</f>
        <v>0</v>
      </c>
      <c r="EX13" s="39">
        <f t="shared" si="208"/>
        <v>0</v>
      </c>
      <c r="EY13" s="2"/>
      <c r="EZ13" s="39">
        <f t="shared" si="17"/>
        <v>0</v>
      </c>
      <c r="FA13" s="39">
        <f t="shared" si="18"/>
        <v>0</v>
      </c>
      <c r="FB13" s="2">
        <f t="shared" si="19"/>
        <v>0</v>
      </c>
      <c r="FC13" s="2">
        <f t="shared" ref="FC13:FD13" si="209">BV13*$BT13+CQ13*$CO13</f>
        <v>0</v>
      </c>
      <c r="FD13" s="2">
        <f t="shared" si="209"/>
        <v>0</v>
      </c>
      <c r="FE13" s="2">
        <f t="shared" ref="FE13:FJ13" si="210">(BX13*$BT13+CS13*$CO13)/100</f>
        <v>0</v>
      </c>
      <c r="FF13" s="2">
        <f t="shared" si="210"/>
        <v>0</v>
      </c>
      <c r="FG13" s="2">
        <f t="shared" si="210"/>
        <v>0</v>
      </c>
      <c r="FH13" s="2">
        <f t="shared" si="210"/>
        <v>0</v>
      </c>
      <c r="FI13" s="2">
        <f t="shared" si="210"/>
        <v>0</v>
      </c>
      <c r="FJ13" s="2">
        <f t="shared" si="210"/>
        <v>0</v>
      </c>
      <c r="FK13" s="2">
        <f t="shared" ref="FK13:FO13" si="211">CD13*$BT13+CY13*$CO13</f>
        <v>0</v>
      </c>
      <c r="FL13" s="2">
        <f t="shared" si="211"/>
        <v>0</v>
      </c>
      <c r="FM13" s="2">
        <f t="shared" si="211"/>
        <v>0</v>
      </c>
      <c r="FN13" s="2">
        <f t="shared" si="211"/>
        <v>0</v>
      </c>
      <c r="FO13" s="2">
        <f t="shared" si="211"/>
        <v>0</v>
      </c>
      <c r="FP13" s="2">
        <f t="shared" ref="FP13:FQ13" si="212">(CI13*$BT13+DD13*$CO13)/100</f>
        <v>0</v>
      </c>
      <c r="FQ13" s="2">
        <f t="shared" si="212"/>
        <v>0</v>
      </c>
      <c r="FR13" s="2"/>
      <c r="FS13" s="2">
        <f t="shared" si="24"/>
        <v>0</v>
      </c>
      <c r="FT13" s="2">
        <f t="shared" si="25"/>
        <v>0</v>
      </c>
      <c r="FU13" s="39">
        <f t="shared" si="26"/>
        <v>0</v>
      </c>
      <c r="FV13" s="39">
        <f t="shared" ref="FV13:FW13" si="213">FV$1*FC13/1000000</f>
        <v>0</v>
      </c>
      <c r="FW13" s="39">
        <f t="shared" si="213"/>
        <v>0</v>
      </c>
      <c r="FX13" s="39">
        <f t="shared" ref="FX13:GC13" si="214">FX$1*FE13</f>
        <v>0</v>
      </c>
      <c r="FY13" s="39">
        <f t="shared" si="214"/>
        <v>0</v>
      </c>
      <c r="FZ13" s="39">
        <f t="shared" si="214"/>
        <v>0</v>
      </c>
      <c r="GA13" s="39">
        <f t="shared" si="214"/>
        <v>0</v>
      </c>
      <c r="GB13" s="39">
        <f t="shared" si="214"/>
        <v>0</v>
      </c>
      <c r="GC13" s="39">
        <f t="shared" si="214"/>
        <v>0</v>
      </c>
      <c r="GD13" s="39">
        <f t="shared" ref="GD13:GH13" si="215">GD$1*FK13/1000000</f>
        <v>0</v>
      </c>
      <c r="GE13" s="39">
        <f t="shared" si="215"/>
        <v>0</v>
      </c>
      <c r="GF13" s="39">
        <f t="shared" si="215"/>
        <v>0</v>
      </c>
      <c r="GG13" s="39">
        <f t="shared" si="215"/>
        <v>0</v>
      </c>
      <c r="GH13" s="39">
        <f t="shared" si="215"/>
        <v>0</v>
      </c>
      <c r="GI13" s="39">
        <f t="shared" ref="GI13:GJ13" si="216">GI$1*FP13</f>
        <v>0</v>
      </c>
      <c r="GJ13" s="39">
        <f t="shared" si="216"/>
        <v>0</v>
      </c>
      <c r="GK13" s="2"/>
      <c r="GL13" s="39">
        <f t="shared" si="31"/>
        <v>0</v>
      </c>
      <c r="GM13" s="39">
        <f t="shared" si="32"/>
        <v>0</v>
      </c>
      <c r="GN13" s="2" t="s">
        <v>3</v>
      </c>
      <c r="GO13" s="19">
        <f t="shared" si="33"/>
        <v>8.2413659999999993</v>
      </c>
      <c r="GP13" s="4">
        <f t="shared" si="34"/>
        <v>0.3155172297893335</v>
      </c>
      <c r="GQ13" s="15">
        <f t="shared" si="35"/>
        <v>26.002929700000003</v>
      </c>
      <c r="GR13" s="15">
        <f t="shared" si="36"/>
        <v>468.19237266949403</v>
      </c>
      <c r="GS13" s="15">
        <f t="shared" si="37"/>
        <v>56.810044920889823</v>
      </c>
      <c r="GT13" s="2">
        <f t="shared" si="38"/>
        <v>0</v>
      </c>
      <c r="GU13" s="2">
        <f t="shared" si="39"/>
        <v>24.007945599999999</v>
      </c>
      <c r="GV13" s="2">
        <f t="shared" si="40"/>
        <v>1.9949841000000001</v>
      </c>
      <c r="GW13" s="2">
        <f t="shared" si="41"/>
        <v>0</v>
      </c>
      <c r="GX13" s="2"/>
      <c r="GY13" s="2"/>
      <c r="GZ13" s="2"/>
      <c r="HA13" s="2"/>
      <c r="HB13" s="2">
        <f t="shared" si="42"/>
        <v>0</v>
      </c>
      <c r="HC13" s="2">
        <f t="shared" si="43"/>
        <v>0</v>
      </c>
      <c r="HD13" s="2" t="s">
        <v>3</v>
      </c>
      <c r="HE13" s="2" t="s">
        <v>183</v>
      </c>
      <c r="HF13" s="2" t="s">
        <v>577</v>
      </c>
      <c r="HG13" s="2"/>
      <c r="HH13" s="2"/>
      <c r="HI13" s="2" t="s">
        <v>81</v>
      </c>
      <c r="HJ13" s="2" t="s">
        <v>3</v>
      </c>
      <c r="HK13" s="2" t="s">
        <v>183</v>
      </c>
      <c r="HL13" s="2" t="s">
        <v>449</v>
      </c>
      <c r="HM13" s="2" t="s">
        <v>81</v>
      </c>
      <c r="HN13" s="2">
        <f t="shared" ref="HN13:HP13" si="217">SUM(GT30:GT33)</f>
        <v>0</v>
      </c>
      <c r="HO13" s="15">
        <f t="shared" si="217"/>
        <v>18.516374800000001</v>
      </c>
      <c r="HP13" s="15">
        <f t="shared" si="217"/>
        <v>4.9277004000000009</v>
      </c>
      <c r="HQ13" s="15">
        <f>SUM(GO30:GO33)</f>
        <v>40.552489000000001</v>
      </c>
      <c r="HR13" s="4">
        <f t="shared" si="45"/>
        <v>5.7811680067282684E-2</v>
      </c>
      <c r="HS13" s="4">
        <f>MIN(GP30:GP33)</f>
        <v>3.3138918513138577E-2</v>
      </c>
      <c r="HT13" s="4">
        <f>MAX(GP30:GP33)</f>
        <v>0.12509433962264152</v>
      </c>
      <c r="HU13" s="15">
        <f>SUM(GQ30:GQ33)</f>
        <v>23.4440752</v>
      </c>
      <c r="HV13" s="15">
        <f>SUM(GR30:GR33)/SUM(GO30:GO33)</f>
        <v>119.5234075725172</v>
      </c>
      <c r="HW13" s="2">
        <f>COUNT(GQ30:GQ33)</f>
        <v>4</v>
      </c>
      <c r="HX13" s="2">
        <f t="shared" ref="HX13:HY13" si="218">SUM(HB30:HB33)</f>
        <v>0</v>
      </c>
      <c r="HY13" s="2">
        <f t="shared" si="218"/>
        <v>0</v>
      </c>
      <c r="HZ13" s="2" t="s">
        <v>176</v>
      </c>
      <c r="IA13" s="2" t="s">
        <v>176</v>
      </c>
      <c r="IB13" s="2" t="s">
        <v>176</v>
      </c>
      <c r="IC13" s="2" t="s">
        <v>176</v>
      </c>
      <c r="ID13" s="2">
        <f>COUNT(GY30:GY33)</f>
        <v>0</v>
      </c>
      <c r="IE13" s="2"/>
      <c r="IF13" s="15">
        <f t="shared" ref="IF13:IN13" si="219">100*SUM(EI30:EI33)/SUM($EI30:$FA33)</f>
        <v>4.0270851200457054</v>
      </c>
      <c r="IG13" s="4">
        <f t="shared" si="219"/>
        <v>3.8963998792208798E-2</v>
      </c>
      <c r="IH13" s="39">
        <f t="shared" si="219"/>
        <v>0</v>
      </c>
      <c r="II13" s="15">
        <f t="shared" si="219"/>
        <v>59.96919548109468</v>
      </c>
      <c r="IJ13" s="15">
        <f t="shared" si="219"/>
        <v>0.539011492335425</v>
      </c>
      <c r="IK13" s="39">
        <f t="shared" si="219"/>
        <v>0</v>
      </c>
      <c r="IL13" s="39">
        <f t="shared" si="219"/>
        <v>1.9781521569000691</v>
      </c>
      <c r="IM13" s="15">
        <f t="shared" si="219"/>
        <v>6.3430451641228949</v>
      </c>
      <c r="IN13" s="15">
        <f t="shared" si="219"/>
        <v>20.065293134017832</v>
      </c>
      <c r="IO13" s="39">
        <f t="shared" ref="IO13:IQ13" si="220">100*SUM(EV30:EV33)/SUM($EI30:$FA33)</f>
        <v>0</v>
      </c>
      <c r="IP13" s="39">
        <f t="shared" si="220"/>
        <v>0</v>
      </c>
      <c r="IQ13" s="39">
        <f t="shared" si="220"/>
        <v>0</v>
      </c>
      <c r="IR13" s="39">
        <f t="shared" ref="IR13:IS13" si="221">100*SUM(EZ30:EZ33)/SUM($EI30:$FA33)</f>
        <v>7.039253452691197</v>
      </c>
      <c r="IS13" s="39">
        <f t="shared" si="221"/>
        <v>0</v>
      </c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 t="s">
        <v>3</v>
      </c>
    </row>
    <row r="14" spans="1:268" ht="15.75" customHeight="1" x14ac:dyDescent="0.2">
      <c r="A14" s="21" t="s">
        <v>1042</v>
      </c>
      <c r="B14" s="2" t="s">
        <v>99</v>
      </c>
      <c r="C14" s="2"/>
      <c r="D14" s="2"/>
      <c r="E14" s="2"/>
      <c r="F14" s="2" t="s">
        <v>1043</v>
      </c>
      <c r="G14" s="2"/>
      <c r="H14" s="2"/>
      <c r="I14" s="2">
        <v>0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4">
        <v>28.301300000000001</v>
      </c>
      <c r="AE14" s="2">
        <v>0.10100000000000001</v>
      </c>
      <c r="AF14" s="2"/>
      <c r="AG14" s="2"/>
      <c r="AH14" s="2"/>
      <c r="AI14" s="2"/>
      <c r="AJ14" s="2"/>
      <c r="AK14" s="2">
        <v>0.378</v>
      </c>
      <c r="AL14" s="2">
        <v>0.192</v>
      </c>
      <c r="AM14" s="2">
        <v>1.2E-2</v>
      </c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19">
        <v>5.9603999999999999</v>
      </c>
      <c r="AZ14" s="2">
        <v>0.104</v>
      </c>
      <c r="BA14" s="2"/>
      <c r="BB14" s="2"/>
      <c r="BC14" s="2"/>
      <c r="BD14" s="2"/>
      <c r="BE14" s="2"/>
      <c r="BF14" s="2">
        <v>0.39100000000000001</v>
      </c>
      <c r="BG14" s="2">
        <v>0.186</v>
      </c>
      <c r="BH14" s="2">
        <v>1.2E-2</v>
      </c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>
        <v>0</v>
      </c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>
        <v>0</v>
      </c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 t="s">
        <v>81</v>
      </c>
      <c r="DK14" s="2" t="s">
        <v>81</v>
      </c>
      <c r="DL14" s="2">
        <f t="shared" si="3"/>
        <v>0.19095619890431587</v>
      </c>
      <c r="DM14" s="2">
        <f t="shared" si="4"/>
        <v>1.1999999999999999E-2</v>
      </c>
      <c r="DN14" s="2" t="s">
        <v>1044</v>
      </c>
      <c r="DO14" s="2" t="s">
        <v>3</v>
      </c>
      <c r="DP14" s="2">
        <f t="shared" si="5"/>
        <v>3.4783129000000003E-2</v>
      </c>
      <c r="DQ14" s="2">
        <f t="shared" ref="DQ14:DR14" si="222">K14*$I14+AF14*$AD14+BA14*$AY14</f>
        <v>0</v>
      </c>
      <c r="DR14" s="2">
        <f t="shared" si="222"/>
        <v>0</v>
      </c>
      <c r="DS14" s="2">
        <f t="shared" ref="DS14:DX14" si="223">(M14*$I14+AH14*$AD14+BC14*$AY14)/100</f>
        <v>0</v>
      </c>
      <c r="DT14" s="2">
        <f t="shared" si="223"/>
        <v>0</v>
      </c>
      <c r="DU14" s="2">
        <f t="shared" si="223"/>
        <v>0</v>
      </c>
      <c r="DV14" s="2">
        <f t="shared" si="223"/>
        <v>0.13028407800000003</v>
      </c>
      <c r="DW14" s="2">
        <f t="shared" si="223"/>
        <v>6.5424839999999998E-2</v>
      </c>
      <c r="DX14" s="2">
        <f t="shared" si="223"/>
        <v>4.1114039999999999E-3</v>
      </c>
      <c r="DY14" s="2">
        <f t="shared" ref="DY14:EC14" si="224">S14*$I14+AN14*$AD14+BI14*$AY14</f>
        <v>0</v>
      </c>
      <c r="DZ14" s="2">
        <f t="shared" si="224"/>
        <v>0</v>
      </c>
      <c r="EA14" s="2">
        <f t="shared" si="224"/>
        <v>0</v>
      </c>
      <c r="EB14" s="2">
        <f t="shared" si="224"/>
        <v>0</v>
      </c>
      <c r="EC14" s="2">
        <f t="shared" si="224"/>
        <v>0</v>
      </c>
      <c r="ED14" s="2">
        <f t="shared" ref="ED14:EE14" si="225">(X14*$I14+AS14*$AD14+BN14*$AY14)/100</f>
        <v>0</v>
      </c>
      <c r="EE14" s="2">
        <f t="shared" si="225"/>
        <v>0</v>
      </c>
      <c r="EF14" s="2"/>
      <c r="EG14" s="2">
        <f t="shared" si="10"/>
        <v>0</v>
      </c>
      <c r="EH14" s="2">
        <f t="shared" si="11"/>
        <v>0</v>
      </c>
      <c r="EI14" s="39">
        <f t="shared" si="12"/>
        <v>226.98134313246402</v>
      </c>
      <c r="EJ14" s="39">
        <f t="shared" ref="EJ14:EK14" si="226">EJ$1*DQ14/1000000</f>
        <v>0</v>
      </c>
      <c r="EK14" s="39">
        <f t="shared" si="226"/>
        <v>0</v>
      </c>
      <c r="EL14" s="39">
        <f t="shared" ref="EL14:EQ14" si="227">EL$1*DS14</f>
        <v>0</v>
      </c>
      <c r="EM14" s="39">
        <f t="shared" si="227"/>
        <v>0</v>
      </c>
      <c r="EN14" s="39">
        <f t="shared" si="227"/>
        <v>0</v>
      </c>
      <c r="EO14" s="39">
        <f t="shared" si="227"/>
        <v>381.14661738212766</v>
      </c>
      <c r="EP14" s="39">
        <f t="shared" si="227"/>
        <v>857.98135175999994</v>
      </c>
      <c r="EQ14" s="39">
        <f t="shared" si="227"/>
        <v>298.56820145169593</v>
      </c>
      <c r="ER14" s="39">
        <f t="shared" ref="ER14:EV14" si="228">ER$1*DY14/1000000</f>
        <v>0</v>
      </c>
      <c r="ES14" s="39">
        <f t="shared" si="228"/>
        <v>0</v>
      </c>
      <c r="ET14" s="39">
        <f t="shared" si="228"/>
        <v>0</v>
      </c>
      <c r="EU14" s="39">
        <f t="shared" si="228"/>
        <v>0</v>
      </c>
      <c r="EV14" s="39">
        <f t="shared" si="228"/>
        <v>0</v>
      </c>
      <c r="EW14" s="39">
        <f t="shared" ref="EW14:EX14" si="229">EW$1*ED14</f>
        <v>0</v>
      </c>
      <c r="EX14" s="39">
        <f t="shared" si="229"/>
        <v>0</v>
      </c>
      <c r="EY14" s="2"/>
      <c r="EZ14" s="39">
        <f t="shared" si="17"/>
        <v>0</v>
      </c>
      <c r="FA14" s="39">
        <f t="shared" si="18"/>
        <v>0</v>
      </c>
      <c r="FB14" s="2">
        <f t="shared" si="19"/>
        <v>0</v>
      </c>
      <c r="FC14" s="2">
        <f t="shared" ref="FC14:FD14" si="230">BV14*$BT14+CQ14*$CO14</f>
        <v>0</v>
      </c>
      <c r="FD14" s="2">
        <f t="shared" si="230"/>
        <v>0</v>
      </c>
      <c r="FE14" s="2">
        <f t="shared" ref="FE14:FJ14" si="231">(BX14*$BT14+CS14*$CO14)/100</f>
        <v>0</v>
      </c>
      <c r="FF14" s="2">
        <f t="shared" si="231"/>
        <v>0</v>
      </c>
      <c r="FG14" s="2">
        <f t="shared" si="231"/>
        <v>0</v>
      </c>
      <c r="FH14" s="2">
        <f t="shared" si="231"/>
        <v>0</v>
      </c>
      <c r="FI14" s="2">
        <f t="shared" si="231"/>
        <v>0</v>
      </c>
      <c r="FJ14" s="2">
        <f t="shared" si="231"/>
        <v>0</v>
      </c>
      <c r="FK14" s="2">
        <f t="shared" ref="FK14:FO14" si="232">CD14*$BT14+CY14*$CO14</f>
        <v>0</v>
      </c>
      <c r="FL14" s="2">
        <f t="shared" si="232"/>
        <v>0</v>
      </c>
      <c r="FM14" s="2">
        <f t="shared" si="232"/>
        <v>0</v>
      </c>
      <c r="FN14" s="2">
        <f t="shared" si="232"/>
        <v>0</v>
      </c>
      <c r="FO14" s="2">
        <f t="shared" si="232"/>
        <v>0</v>
      </c>
      <c r="FP14" s="2">
        <f t="shared" ref="FP14:FQ14" si="233">(CI14*$BT14+DD14*$CO14)/100</f>
        <v>0</v>
      </c>
      <c r="FQ14" s="2">
        <f t="shared" si="233"/>
        <v>0</v>
      </c>
      <c r="FR14" s="2"/>
      <c r="FS14" s="2">
        <f t="shared" si="24"/>
        <v>0</v>
      </c>
      <c r="FT14" s="2">
        <f t="shared" si="25"/>
        <v>0</v>
      </c>
      <c r="FU14" s="39">
        <f t="shared" si="26"/>
        <v>0</v>
      </c>
      <c r="FV14" s="39">
        <f t="shared" ref="FV14:FW14" si="234">FV$1*FC14/1000000</f>
        <v>0</v>
      </c>
      <c r="FW14" s="39">
        <f t="shared" si="234"/>
        <v>0</v>
      </c>
      <c r="FX14" s="39">
        <f t="shared" ref="FX14:GC14" si="235">FX$1*FE14</f>
        <v>0</v>
      </c>
      <c r="FY14" s="39">
        <f t="shared" si="235"/>
        <v>0</v>
      </c>
      <c r="FZ14" s="39">
        <f t="shared" si="235"/>
        <v>0</v>
      </c>
      <c r="GA14" s="39">
        <f t="shared" si="235"/>
        <v>0</v>
      </c>
      <c r="GB14" s="39">
        <f t="shared" si="235"/>
        <v>0</v>
      </c>
      <c r="GC14" s="39">
        <f t="shared" si="235"/>
        <v>0</v>
      </c>
      <c r="GD14" s="39">
        <f t="shared" ref="GD14:GH14" si="236">GD$1*FK14/1000000</f>
        <v>0</v>
      </c>
      <c r="GE14" s="39">
        <f t="shared" si="236"/>
        <v>0</v>
      </c>
      <c r="GF14" s="39">
        <f t="shared" si="236"/>
        <v>0</v>
      </c>
      <c r="GG14" s="39">
        <f t="shared" si="236"/>
        <v>0</v>
      </c>
      <c r="GH14" s="39">
        <f t="shared" si="236"/>
        <v>0</v>
      </c>
      <c r="GI14" s="39">
        <f t="shared" ref="GI14:GJ14" si="237">GI$1*FP14</f>
        <v>0</v>
      </c>
      <c r="GJ14" s="39">
        <f t="shared" si="237"/>
        <v>0</v>
      </c>
      <c r="GK14" s="2"/>
      <c r="GL14" s="39">
        <f t="shared" si="31"/>
        <v>0</v>
      </c>
      <c r="GM14" s="39">
        <f t="shared" si="32"/>
        <v>0</v>
      </c>
      <c r="GN14" s="2" t="s">
        <v>3</v>
      </c>
      <c r="GO14" s="4">
        <f t="shared" si="33"/>
        <v>34.261700000000005</v>
      </c>
      <c r="GP14" s="4">
        <f t="shared" si="34"/>
        <v>0.19095619890431587</v>
      </c>
      <c r="GQ14" s="15">
        <f t="shared" si="35"/>
        <v>65.424839999999989</v>
      </c>
      <c r="GR14" s="15">
        <f t="shared" si="36"/>
        <v>1764.6775137262875</v>
      </c>
      <c r="GS14" s="15">
        <f t="shared" si="37"/>
        <v>51.505836363236128</v>
      </c>
      <c r="GT14" s="2">
        <f t="shared" si="38"/>
        <v>0</v>
      </c>
      <c r="GU14" s="2">
        <f t="shared" si="39"/>
        <v>54.338496000000006</v>
      </c>
      <c r="GV14" s="2">
        <f t="shared" si="40"/>
        <v>11.086343999999999</v>
      </c>
      <c r="GW14" s="2">
        <f t="shared" si="41"/>
        <v>0</v>
      </c>
      <c r="GX14" s="2"/>
      <c r="GY14" s="2"/>
      <c r="GZ14" s="2"/>
      <c r="HA14" s="2"/>
      <c r="HB14" s="2">
        <f t="shared" si="42"/>
        <v>0</v>
      </c>
      <c r="HC14" s="2">
        <f t="shared" si="43"/>
        <v>0</v>
      </c>
      <c r="HD14" s="2" t="s">
        <v>3</v>
      </c>
      <c r="HE14" s="2" t="s">
        <v>183</v>
      </c>
      <c r="HF14" s="2" t="s">
        <v>577</v>
      </c>
      <c r="HG14" s="2"/>
      <c r="HH14" s="2"/>
      <c r="HI14" s="2" t="s">
        <v>81</v>
      </c>
      <c r="HJ14" s="2" t="s">
        <v>3</v>
      </c>
      <c r="HK14" s="2" t="s">
        <v>183</v>
      </c>
      <c r="HL14" s="2" t="s">
        <v>567</v>
      </c>
      <c r="HM14" s="2" t="s">
        <v>81</v>
      </c>
      <c r="HN14" s="15">
        <f t="shared" ref="HN14:HP14" si="238">SUM(GT34:GT41)</f>
        <v>12.970599999999999</v>
      </c>
      <c r="HO14" s="15">
        <f t="shared" si="238"/>
        <v>28.180399999999999</v>
      </c>
      <c r="HP14" s="15">
        <f t="shared" si="238"/>
        <v>11.489100000000001</v>
      </c>
      <c r="HQ14" s="15">
        <f>SUM(GO34:GO41)</f>
        <v>18.071000000000002</v>
      </c>
      <c r="HR14" s="4">
        <f t="shared" si="45"/>
        <v>0.29129599911460347</v>
      </c>
      <c r="HS14" s="4">
        <f>MIN(GP34:GP41)</f>
        <v>0.05</v>
      </c>
      <c r="HT14" s="4">
        <f>MAX(GP34:GP41)</f>
        <v>1.02</v>
      </c>
      <c r="HU14" s="15">
        <f>SUM(GQ34:GQ41)</f>
        <v>52.640100000000004</v>
      </c>
      <c r="HV14" s="15">
        <f>SUM(GR34:GR41)/SUM(GO34:GO41)</f>
        <v>165.87590506198413</v>
      </c>
      <c r="HW14" s="2">
        <f>COUNT(GQ34:GQ41)</f>
        <v>8</v>
      </c>
      <c r="HX14" s="15">
        <f t="shared" ref="HX14:HY14" si="239">SUM(HB34:HB41)</f>
        <v>1.8545999999999998</v>
      </c>
      <c r="HY14" s="15">
        <f t="shared" si="239"/>
        <v>1.3311000000000002</v>
      </c>
      <c r="HZ14" s="15">
        <f>SUM(GW34:GW41)</f>
        <v>1.3359999999999999</v>
      </c>
      <c r="IA14" s="4">
        <f>100*(IB14/1000)/HZ14</f>
        <v>0.23845059880239522</v>
      </c>
      <c r="IB14" s="15">
        <f>SUM(GY34:GY41)</f>
        <v>3.1856999999999998</v>
      </c>
      <c r="IC14" s="15">
        <f>SUM(GZ34:GZ41)/SUM(GW34:GW41)</f>
        <v>246.15127892048687</v>
      </c>
      <c r="ID14" s="2">
        <f>COUNT(GY34:GY41)</f>
        <v>1</v>
      </c>
      <c r="IE14" s="2"/>
      <c r="IF14" s="15">
        <f t="shared" ref="IF14:IN14" si="240">100*SUM(EI34:EI41)/SUM($EI34:$FA41)</f>
        <v>21.042460629083731</v>
      </c>
      <c r="IG14" s="15">
        <f t="shared" si="240"/>
        <v>4.7094655586393319</v>
      </c>
      <c r="IH14" s="4">
        <f t="shared" si="240"/>
        <v>0.19790642666401731</v>
      </c>
      <c r="II14" s="39">
        <f t="shared" si="240"/>
        <v>0</v>
      </c>
      <c r="IJ14" s="39">
        <f t="shared" si="240"/>
        <v>0</v>
      </c>
      <c r="IK14" s="39">
        <f t="shared" si="240"/>
        <v>0</v>
      </c>
      <c r="IL14" s="15">
        <f t="shared" si="240"/>
        <v>5.2504596924080209</v>
      </c>
      <c r="IM14" s="15">
        <f t="shared" si="240"/>
        <v>23.029599934730971</v>
      </c>
      <c r="IN14" s="15">
        <f t="shared" si="240"/>
        <v>45.77010775847392</v>
      </c>
      <c r="IO14" s="39">
        <f>100*SUM(ER34:EV41)/SUM($EI34:$FA41)</f>
        <v>0</v>
      </c>
      <c r="IP14" s="39">
        <f t="shared" ref="IP14:IQ14" si="241">100*SUM(EW34:EW41)/SUM($EI34:$FA41)</f>
        <v>0</v>
      </c>
      <c r="IQ14" s="39">
        <f t="shared" si="241"/>
        <v>0</v>
      </c>
      <c r="IR14" s="39">
        <f t="shared" ref="IR14:IS14" si="242">100*SUM(EZ34:EZ41)/SUM($EI34:$FA41)</f>
        <v>0</v>
      </c>
      <c r="IS14" s="39">
        <f t="shared" si="242"/>
        <v>0</v>
      </c>
      <c r="IT14" s="15">
        <f t="shared" ref="IT14:JB14" si="243">100*SUM(FU34:FU41)/SUM($FU34:$GM41)</f>
        <v>17.977197204743007</v>
      </c>
      <c r="IU14" s="15">
        <f t="shared" si="243"/>
        <v>15.927412584813068</v>
      </c>
      <c r="IV14" s="39">
        <f t="shared" si="243"/>
        <v>0</v>
      </c>
      <c r="IW14" s="39">
        <f t="shared" si="243"/>
        <v>0</v>
      </c>
      <c r="IX14" s="39">
        <f t="shared" si="243"/>
        <v>0</v>
      </c>
      <c r="IY14" s="39">
        <f t="shared" si="243"/>
        <v>0</v>
      </c>
      <c r="IZ14" s="15">
        <f t="shared" si="243"/>
        <v>3.8698257656275863</v>
      </c>
      <c r="JA14" s="15">
        <f t="shared" si="243"/>
        <v>12.703737174994425</v>
      </c>
      <c r="JB14" s="15">
        <f t="shared" si="243"/>
        <v>49.521827269821912</v>
      </c>
      <c r="JC14" s="39">
        <f>100*SUM(GD34:GH41)/SUM($FU34:$GM41)</f>
        <v>0</v>
      </c>
      <c r="JD14" s="39">
        <f t="shared" ref="JD14:JE14" si="244">100*SUM(GI34:GI41)/SUM($FU34:$GM41)</f>
        <v>0</v>
      </c>
      <c r="JE14" s="39">
        <f t="shared" si="244"/>
        <v>0</v>
      </c>
      <c r="JF14" s="39">
        <f t="shared" ref="JF14:JG14" si="245">100*SUM(GL34:GL41)/SUM($FU34:$GM41)</f>
        <v>0</v>
      </c>
      <c r="JG14" s="39">
        <f t="shared" si="245"/>
        <v>0</v>
      </c>
      <c r="JH14" s="2" t="s">
        <v>3</v>
      </c>
    </row>
    <row r="15" spans="1:268" ht="15.75" customHeight="1" x14ac:dyDescent="0.2">
      <c r="A15" s="21" t="s">
        <v>354</v>
      </c>
      <c r="B15" s="2" t="s">
        <v>99</v>
      </c>
      <c r="C15" s="2"/>
      <c r="D15" s="2"/>
      <c r="E15" s="2" t="s">
        <v>346</v>
      </c>
      <c r="F15" s="2" t="s">
        <v>355</v>
      </c>
      <c r="G15" s="2"/>
      <c r="H15" s="2" t="s">
        <v>348</v>
      </c>
      <c r="I15" s="15">
        <f>0.56*2.6</f>
        <v>1.4560000000000002</v>
      </c>
      <c r="J15" s="2">
        <v>1.05</v>
      </c>
      <c r="K15" s="2"/>
      <c r="L15" s="2"/>
      <c r="M15" s="2"/>
      <c r="N15" s="2"/>
      <c r="O15" s="2"/>
      <c r="P15" s="2"/>
      <c r="Q15" s="2">
        <v>1.33</v>
      </c>
      <c r="R15" s="2">
        <v>0.23</v>
      </c>
      <c r="S15" s="2"/>
      <c r="T15" s="2"/>
      <c r="U15" s="2"/>
      <c r="V15" s="2"/>
      <c r="W15" s="2"/>
      <c r="X15" s="2"/>
      <c r="Y15" s="2"/>
      <c r="Z15" s="2"/>
      <c r="AA15" s="2"/>
      <c r="AB15" s="2">
        <v>27.57</v>
      </c>
      <c r="AC15" s="2"/>
      <c r="AD15" s="15">
        <f>0.56*68.1</f>
        <v>38.136000000000003</v>
      </c>
      <c r="AE15" s="2">
        <v>1.18</v>
      </c>
      <c r="AF15" s="2"/>
      <c r="AG15" s="2"/>
      <c r="AH15" s="2"/>
      <c r="AI15" s="2"/>
      <c r="AJ15" s="2"/>
      <c r="AK15" s="2"/>
      <c r="AL15" s="2">
        <v>1.35</v>
      </c>
      <c r="AM15" s="2">
        <v>0.21</v>
      </c>
      <c r="AN15" s="2"/>
      <c r="AO15" s="2"/>
      <c r="AP15" s="2"/>
      <c r="AQ15" s="2"/>
      <c r="AR15" s="2"/>
      <c r="AS15" s="2"/>
      <c r="AT15" s="2"/>
      <c r="AU15" s="2"/>
      <c r="AV15" s="2"/>
      <c r="AW15" s="2">
        <v>30.32</v>
      </c>
      <c r="AX15" s="2"/>
      <c r="AY15" s="15">
        <f>0.56*685.3</f>
        <v>383.76800000000003</v>
      </c>
      <c r="AZ15" s="2">
        <v>1.1399999999999999</v>
      </c>
      <c r="BA15" s="2"/>
      <c r="BB15" s="2"/>
      <c r="BC15" s="2"/>
      <c r="BD15" s="2"/>
      <c r="BE15" s="2"/>
      <c r="BF15" s="2"/>
      <c r="BG15" s="2">
        <v>1.29</v>
      </c>
      <c r="BH15" s="4">
        <v>0.2</v>
      </c>
      <c r="BI15" s="2"/>
      <c r="BJ15" s="2"/>
      <c r="BK15" s="2"/>
      <c r="BL15" s="2"/>
      <c r="BM15" s="2"/>
      <c r="BN15" s="2"/>
      <c r="BO15" s="2"/>
      <c r="BP15" s="2"/>
      <c r="BQ15" s="2"/>
      <c r="BR15" s="2">
        <v>29.05</v>
      </c>
      <c r="BS15" s="2"/>
      <c r="BT15" s="2">
        <v>0</v>
      </c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>
        <v>0</v>
      </c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 t="s">
        <v>81</v>
      </c>
      <c r="DK15" s="2" t="s">
        <v>81</v>
      </c>
      <c r="DL15" s="2">
        <f t="shared" si="3"/>
        <v>1.2955423280423282</v>
      </c>
      <c r="DM15" s="2">
        <f t="shared" si="4"/>
        <v>0.20100396825396827</v>
      </c>
      <c r="DN15" s="2" t="s">
        <v>356</v>
      </c>
      <c r="DO15" s="2" t="s">
        <v>3</v>
      </c>
      <c r="DP15" s="2">
        <f t="shared" si="5"/>
        <v>4.8402479999999999</v>
      </c>
      <c r="DQ15" s="2">
        <f t="shared" ref="DQ15:DR15" si="246">K15*$I15+AF15*$AD15+BA15*$AY15</f>
        <v>0</v>
      </c>
      <c r="DR15" s="2">
        <f t="shared" si="246"/>
        <v>0</v>
      </c>
      <c r="DS15" s="2">
        <f t="shared" ref="DS15:DX15" si="247">(M15*$I15+AH15*$AD15+BC15*$AY15)/100</f>
        <v>0</v>
      </c>
      <c r="DT15" s="2">
        <f t="shared" si="247"/>
        <v>0</v>
      </c>
      <c r="DU15" s="2">
        <f t="shared" si="247"/>
        <v>0</v>
      </c>
      <c r="DV15" s="2">
        <f t="shared" si="247"/>
        <v>0</v>
      </c>
      <c r="DW15" s="2">
        <f t="shared" si="247"/>
        <v>5.4848080000000001</v>
      </c>
      <c r="DX15" s="2">
        <f t="shared" si="247"/>
        <v>0.85097040000000002</v>
      </c>
      <c r="DY15" s="2">
        <f t="shared" ref="DY15:EC15" si="248">S15*$I15+AN15*$AD15+BI15*$AY15</f>
        <v>0</v>
      </c>
      <c r="DZ15" s="2">
        <f t="shared" si="248"/>
        <v>0</v>
      </c>
      <c r="EA15" s="2">
        <f t="shared" si="248"/>
        <v>0</v>
      </c>
      <c r="EB15" s="2">
        <f t="shared" si="248"/>
        <v>0</v>
      </c>
      <c r="EC15" s="2">
        <f t="shared" si="248"/>
        <v>0</v>
      </c>
      <c r="ED15" s="2">
        <f t="shared" ref="ED15:EE15" si="249">(X15*$I15+AS15*$AD15+BN15*$AY15)/100</f>
        <v>0</v>
      </c>
      <c r="EE15" s="2">
        <f t="shared" si="249"/>
        <v>0</v>
      </c>
      <c r="EF15" s="2"/>
      <c r="EG15" s="2">
        <f t="shared" si="10"/>
        <v>0</v>
      </c>
      <c r="EH15" s="2">
        <f t="shared" si="11"/>
        <v>123.44885840000002</v>
      </c>
      <c r="EI15" s="39">
        <f t="shared" si="12"/>
        <v>31585.599792768</v>
      </c>
      <c r="EJ15" s="39">
        <f t="shared" ref="EJ15:EK15" si="250">EJ$1*DQ15/1000000</f>
        <v>0</v>
      </c>
      <c r="EK15" s="39">
        <f t="shared" si="250"/>
        <v>0</v>
      </c>
      <c r="EL15" s="39">
        <f t="shared" ref="EL15:EQ15" si="251">EL$1*DS15</f>
        <v>0</v>
      </c>
      <c r="EM15" s="39">
        <f t="shared" si="251"/>
        <v>0</v>
      </c>
      <c r="EN15" s="39">
        <f t="shared" si="251"/>
        <v>0</v>
      </c>
      <c r="EO15" s="39">
        <f t="shared" si="251"/>
        <v>0</v>
      </c>
      <c r="EP15" s="39">
        <f t="shared" si="251"/>
        <v>71927.772112000006</v>
      </c>
      <c r="EQ15" s="39">
        <f t="shared" si="251"/>
        <v>61797.065386089591</v>
      </c>
      <c r="ER15" s="39">
        <f t="shared" ref="ER15:EV15" si="252">ER$1*DY15/1000000</f>
        <v>0</v>
      </c>
      <c r="ES15" s="39">
        <f t="shared" si="252"/>
        <v>0</v>
      </c>
      <c r="ET15" s="39">
        <f t="shared" si="252"/>
        <v>0</v>
      </c>
      <c r="EU15" s="39">
        <f t="shared" si="252"/>
        <v>0</v>
      </c>
      <c r="EV15" s="39">
        <f t="shared" si="252"/>
        <v>0</v>
      </c>
      <c r="EW15" s="39">
        <f t="shared" ref="EW15:EX15" si="253">EW$1*ED15</f>
        <v>0</v>
      </c>
      <c r="EX15" s="39">
        <f t="shared" si="253"/>
        <v>0</v>
      </c>
      <c r="EY15" s="2"/>
      <c r="EZ15" s="39">
        <f t="shared" si="17"/>
        <v>0</v>
      </c>
      <c r="FA15" s="39">
        <f t="shared" si="18"/>
        <v>200884.96048727277</v>
      </c>
      <c r="FB15" s="2">
        <f t="shared" si="19"/>
        <v>0</v>
      </c>
      <c r="FC15" s="2">
        <f t="shared" ref="FC15:FD15" si="254">BV15*$BT15+CQ15*$CO15</f>
        <v>0</v>
      </c>
      <c r="FD15" s="2">
        <f t="shared" si="254"/>
        <v>0</v>
      </c>
      <c r="FE15" s="2">
        <f t="shared" ref="FE15:FJ15" si="255">(BX15*$BT15+CS15*$CO15)/100</f>
        <v>0</v>
      </c>
      <c r="FF15" s="2">
        <f t="shared" si="255"/>
        <v>0</v>
      </c>
      <c r="FG15" s="2">
        <f t="shared" si="255"/>
        <v>0</v>
      </c>
      <c r="FH15" s="2">
        <f t="shared" si="255"/>
        <v>0</v>
      </c>
      <c r="FI15" s="2">
        <f t="shared" si="255"/>
        <v>0</v>
      </c>
      <c r="FJ15" s="2">
        <f t="shared" si="255"/>
        <v>0</v>
      </c>
      <c r="FK15" s="2">
        <f t="shared" ref="FK15:FO15" si="256">CD15*$BT15+CY15*$CO15</f>
        <v>0</v>
      </c>
      <c r="FL15" s="2">
        <f t="shared" si="256"/>
        <v>0</v>
      </c>
      <c r="FM15" s="2">
        <f t="shared" si="256"/>
        <v>0</v>
      </c>
      <c r="FN15" s="2">
        <f t="shared" si="256"/>
        <v>0</v>
      </c>
      <c r="FO15" s="2">
        <f t="shared" si="256"/>
        <v>0</v>
      </c>
      <c r="FP15" s="2">
        <f t="shared" ref="FP15:FQ15" si="257">(CI15*$BT15+DD15*$CO15)/100</f>
        <v>0</v>
      </c>
      <c r="FQ15" s="2">
        <f t="shared" si="257"/>
        <v>0</v>
      </c>
      <c r="FR15" s="2"/>
      <c r="FS15" s="2">
        <f t="shared" si="24"/>
        <v>0</v>
      </c>
      <c r="FT15" s="2">
        <f t="shared" si="25"/>
        <v>0</v>
      </c>
      <c r="FU15" s="39">
        <f t="shared" si="26"/>
        <v>0</v>
      </c>
      <c r="FV15" s="39">
        <f t="shared" ref="FV15:FW15" si="258">FV$1*FC15/1000000</f>
        <v>0</v>
      </c>
      <c r="FW15" s="39">
        <f t="shared" si="258"/>
        <v>0</v>
      </c>
      <c r="FX15" s="39">
        <f t="shared" ref="FX15:GC15" si="259">FX$1*FE15</f>
        <v>0</v>
      </c>
      <c r="FY15" s="39">
        <f t="shared" si="259"/>
        <v>0</v>
      </c>
      <c r="FZ15" s="39">
        <f t="shared" si="259"/>
        <v>0</v>
      </c>
      <c r="GA15" s="39">
        <f t="shared" si="259"/>
        <v>0</v>
      </c>
      <c r="GB15" s="39">
        <f t="shared" si="259"/>
        <v>0</v>
      </c>
      <c r="GC15" s="39">
        <f t="shared" si="259"/>
        <v>0</v>
      </c>
      <c r="GD15" s="39">
        <f t="shared" ref="GD15:GH15" si="260">GD$1*FK15/1000000</f>
        <v>0</v>
      </c>
      <c r="GE15" s="39">
        <f t="shared" si="260"/>
        <v>0</v>
      </c>
      <c r="GF15" s="39">
        <f t="shared" si="260"/>
        <v>0</v>
      </c>
      <c r="GG15" s="39">
        <f t="shared" si="260"/>
        <v>0</v>
      </c>
      <c r="GH15" s="39">
        <f t="shared" si="260"/>
        <v>0</v>
      </c>
      <c r="GI15" s="39">
        <f t="shared" ref="GI15:GJ15" si="261">GI$1*FP15</f>
        <v>0</v>
      </c>
      <c r="GJ15" s="39">
        <f t="shared" si="261"/>
        <v>0</v>
      </c>
      <c r="GK15" s="2"/>
      <c r="GL15" s="39">
        <f t="shared" si="31"/>
        <v>0</v>
      </c>
      <c r="GM15" s="39">
        <f t="shared" si="32"/>
        <v>0</v>
      </c>
      <c r="GN15" s="2" t="s">
        <v>3</v>
      </c>
      <c r="GO15" s="15">
        <f t="shared" si="33"/>
        <v>423.36</v>
      </c>
      <c r="GP15" s="4">
        <f t="shared" si="34"/>
        <v>1.2955423280423282</v>
      </c>
      <c r="GQ15" s="18">
        <f t="shared" si="35"/>
        <v>5484.8080000000009</v>
      </c>
      <c r="GR15" s="15">
        <f t="shared" si="36"/>
        <v>366195.39777813037</v>
      </c>
      <c r="GS15" s="15">
        <f t="shared" si="37"/>
        <v>864.97401213655132</v>
      </c>
      <c r="GT15" s="2">
        <f t="shared" si="38"/>
        <v>19.364800000000006</v>
      </c>
      <c r="GU15" s="2">
        <f t="shared" si="39"/>
        <v>514.83600000000013</v>
      </c>
      <c r="GV15" s="2">
        <f t="shared" si="40"/>
        <v>4950.6072000000013</v>
      </c>
      <c r="GW15" s="2">
        <f t="shared" si="41"/>
        <v>0</v>
      </c>
      <c r="GX15" s="2"/>
      <c r="GY15" s="2"/>
      <c r="GZ15" s="2"/>
      <c r="HA15" s="2"/>
      <c r="HB15" s="2">
        <f t="shared" si="42"/>
        <v>0</v>
      </c>
      <c r="HC15" s="2">
        <f t="shared" si="43"/>
        <v>0</v>
      </c>
      <c r="HD15" s="2" t="s">
        <v>3</v>
      </c>
      <c r="HE15" s="2" t="s">
        <v>183</v>
      </c>
      <c r="HF15" s="2" t="s">
        <v>350</v>
      </c>
      <c r="HG15" s="2"/>
      <c r="HH15" s="2"/>
      <c r="HI15" s="2" t="s">
        <v>81</v>
      </c>
      <c r="HJ15" s="2" t="s">
        <v>3</v>
      </c>
      <c r="HK15" s="2" t="s">
        <v>183</v>
      </c>
      <c r="HL15" s="2" t="s">
        <v>567</v>
      </c>
      <c r="HM15" s="2" t="s">
        <v>100</v>
      </c>
      <c r="HN15" s="2">
        <f t="shared" ref="HN15:HP15" si="262">SUM(GT42:GT46)</f>
        <v>0</v>
      </c>
      <c r="HO15" s="2">
        <f t="shared" si="262"/>
        <v>0</v>
      </c>
      <c r="HP15" s="15">
        <f t="shared" si="262"/>
        <v>5.7236000000000002</v>
      </c>
      <c r="HQ15" s="15">
        <f>SUM(GO42:GO46)</f>
        <v>5.024</v>
      </c>
      <c r="HR15" s="4">
        <f t="shared" si="45"/>
        <v>0.11392515923566879</v>
      </c>
      <c r="HS15" s="4">
        <f>MIN(GP42:GP46)</f>
        <v>0.02</v>
      </c>
      <c r="HT15" s="4">
        <f>MAX(GP42:GP46)</f>
        <v>0.3</v>
      </c>
      <c r="HU15" s="15">
        <f>SUM(GQ42:GQ46)</f>
        <v>5.7235999999999994</v>
      </c>
      <c r="HV15" s="15">
        <f>SUM(GR42:GR46)/SUM(GO42:GO46)</f>
        <v>260.1819645115998</v>
      </c>
      <c r="HW15" s="2">
        <f>COUNT(GQ42:GQ46)</f>
        <v>5</v>
      </c>
      <c r="HX15" s="2">
        <f t="shared" ref="HX15:HY15" si="263">SUM(HB42:HB46)</f>
        <v>0</v>
      </c>
      <c r="HY15" s="2">
        <f t="shared" si="263"/>
        <v>0</v>
      </c>
      <c r="HZ15" s="2" t="s">
        <v>176</v>
      </c>
      <c r="IA15" s="2" t="s">
        <v>176</v>
      </c>
      <c r="IB15" s="2" t="s">
        <v>176</v>
      </c>
      <c r="IC15" s="2" t="s">
        <v>176</v>
      </c>
      <c r="ID15" s="2">
        <f>COUNT(GY42:GY46)</f>
        <v>0</v>
      </c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 t="s">
        <v>3</v>
      </c>
    </row>
    <row r="16" spans="1:268" ht="15.75" customHeight="1" x14ac:dyDescent="0.2">
      <c r="A16" s="21" t="s">
        <v>345</v>
      </c>
      <c r="B16" s="2" t="s">
        <v>99</v>
      </c>
      <c r="C16" s="2"/>
      <c r="D16" s="2"/>
      <c r="E16" s="2" t="s">
        <v>346</v>
      </c>
      <c r="F16" s="2" t="s">
        <v>347</v>
      </c>
      <c r="G16" s="2"/>
      <c r="H16" s="2" t="s">
        <v>348</v>
      </c>
      <c r="I16" s="2">
        <f>0.8*4</f>
        <v>3.2</v>
      </c>
      <c r="J16" s="2">
        <v>1.1599999999999999</v>
      </c>
      <c r="K16" s="2"/>
      <c r="L16" s="2"/>
      <c r="M16" s="2"/>
      <c r="N16" s="2"/>
      <c r="O16" s="2"/>
      <c r="P16" s="2"/>
      <c r="Q16" s="4">
        <v>1.4</v>
      </c>
      <c r="R16" s="2">
        <v>0.13</v>
      </c>
      <c r="S16" s="2"/>
      <c r="T16" s="2"/>
      <c r="U16" s="2"/>
      <c r="V16" s="2"/>
      <c r="W16" s="2"/>
      <c r="X16" s="2"/>
      <c r="Y16" s="2"/>
      <c r="Z16" s="2"/>
      <c r="AA16" s="2"/>
      <c r="AB16" s="2">
        <v>31.9</v>
      </c>
      <c r="AC16" s="2"/>
      <c r="AD16" s="2">
        <f>0.8*33</f>
        <v>26.400000000000002</v>
      </c>
      <c r="AE16" s="2">
        <v>1.1499999999999999</v>
      </c>
      <c r="AF16" s="2"/>
      <c r="AG16" s="2"/>
      <c r="AH16" s="2"/>
      <c r="AI16" s="2"/>
      <c r="AJ16" s="2"/>
      <c r="AK16" s="2"/>
      <c r="AL16" s="2">
        <v>1.35</v>
      </c>
      <c r="AM16" s="2">
        <v>0.13</v>
      </c>
      <c r="AN16" s="2"/>
      <c r="AO16" s="2"/>
      <c r="AP16" s="2"/>
      <c r="AQ16" s="2"/>
      <c r="AR16" s="2"/>
      <c r="AS16" s="2"/>
      <c r="AT16" s="2"/>
      <c r="AU16" s="2"/>
      <c r="AV16" s="2"/>
      <c r="AW16" s="2">
        <v>31.1</v>
      </c>
      <c r="AX16" s="2"/>
      <c r="AY16" s="2">
        <f>0.8*855</f>
        <v>684</v>
      </c>
      <c r="AZ16" s="2">
        <v>1.08</v>
      </c>
      <c r="BA16" s="2"/>
      <c r="BB16" s="2"/>
      <c r="BC16" s="2"/>
      <c r="BD16" s="2"/>
      <c r="BE16" s="2"/>
      <c r="BF16" s="2"/>
      <c r="BG16" s="4">
        <v>1.3</v>
      </c>
      <c r="BH16" s="2">
        <v>0.18</v>
      </c>
      <c r="BI16" s="2"/>
      <c r="BJ16" s="2"/>
      <c r="BK16" s="2"/>
      <c r="BL16" s="2"/>
      <c r="BM16" s="2"/>
      <c r="BN16" s="2"/>
      <c r="BO16" s="2"/>
      <c r="BP16" s="2"/>
      <c r="BQ16" s="2"/>
      <c r="BR16" s="2">
        <v>31.1</v>
      </c>
      <c r="BS16" s="2"/>
      <c r="BT16" s="2">
        <v>0</v>
      </c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>
        <v>0</v>
      </c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 t="s">
        <v>81</v>
      </c>
      <c r="DK16" s="2" t="s">
        <v>81</v>
      </c>
      <c r="DL16" s="2">
        <f t="shared" si="3"/>
        <v>1.3022982062780268</v>
      </c>
      <c r="DM16" s="2">
        <f t="shared" si="4"/>
        <v>0.17792600896860986</v>
      </c>
      <c r="DN16" s="2" t="s">
        <v>349</v>
      </c>
      <c r="DO16" s="2" t="s">
        <v>3</v>
      </c>
      <c r="DP16" s="2">
        <f t="shared" si="5"/>
        <v>7.7279200000000001</v>
      </c>
      <c r="DQ16" s="2">
        <f t="shared" ref="DQ16:DR16" si="264">K16*$I16+AF16*$AD16+BA16*$AY16</f>
        <v>0</v>
      </c>
      <c r="DR16" s="2">
        <f t="shared" si="264"/>
        <v>0</v>
      </c>
      <c r="DS16" s="2">
        <f t="shared" ref="DS16:DX16" si="265">(M16*$I16+AH16*$AD16+BC16*$AY16)/100</f>
        <v>0</v>
      </c>
      <c r="DT16" s="2">
        <f t="shared" si="265"/>
        <v>0</v>
      </c>
      <c r="DU16" s="2">
        <f t="shared" si="265"/>
        <v>0</v>
      </c>
      <c r="DV16" s="2">
        <f t="shared" si="265"/>
        <v>0</v>
      </c>
      <c r="DW16" s="2">
        <f t="shared" si="265"/>
        <v>9.2932000000000006</v>
      </c>
      <c r="DX16" s="2">
        <f t="shared" si="265"/>
        <v>1.2696799999999999</v>
      </c>
      <c r="DY16" s="2">
        <f t="shared" ref="DY16:EC16" si="266">S16*$I16+AN16*$AD16+BI16*$AY16</f>
        <v>0</v>
      </c>
      <c r="DZ16" s="2">
        <f t="shared" si="266"/>
        <v>0</v>
      </c>
      <c r="EA16" s="2">
        <f t="shared" si="266"/>
        <v>0</v>
      </c>
      <c r="EB16" s="2">
        <f t="shared" si="266"/>
        <v>0</v>
      </c>
      <c r="EC16" s="2">
        <f t="shared" si="266"/>
        <v>0</v>
      </c>
      <c r="ED16" s="2">
        <f t="shared" ref="ED16:EE16" si="267">(X16*$I16+AS16*$AD16+BN16*$AY16)/100</f>
        <v>0</v>
      </c>
      <c r="EE16" s="2">
        <f t="shared" si="267"/>
        <v>0</v>
      </c>
      <c r="EF16" s="2"/>
      <c r="EG16" s="2">
        <f t="shared" si="10"/>
        <v>0</v>
      </c>
      <c r="EH16" s="2">
        <f t="shared" si="11"/>
        <v>221.95519999999999</v>
      </c>
      <c r="EI16" s="39">
        <f t="shared" si="12"/>
        <v>50429.438398719998</v>
      </c>
      <c r="EJ16" s="39">
        <f t="shared" ref="EJ16:EK16" si="268">EJ$1*DQ16/1000000</f>
        <v>0</v>
      </c>
      <c r="EK16" s="39">
        <f t="shared" si="268"/>
        <v>0</v>
      </c>
      <c r="EL16" s="39">
        <f t="shared" ref="EL16:EQ16" si="269">EL$1*DS16</f>
        <v>0</v>
      </c>
      <c r="EM16" s="39">
        <f t="shared" si="269"/>
        <v>0</v>
      </c>
      <c r="EN16" s="39">
        <f t="shared" si="269"/>
        <v>0</v>
      </c>
      <c r="EO16" s="39">
        <f t="shared" si="269"/>
        <v>0</v>
      </c>
      <c r="EP16" s="39">
        <f t="shared" si="269"/>
        <v>121871.02480000001</v>
      </c>
      <c r="EQ16" s="39">
        <f t="shared" si="269"/>
        <v>92203.557232319989</v>
      </c>
      <c r="ER16" s="39">
        <f t="shared" ref="ER16:EV16" si="270">ER$1*DY16/1000000</f>
        <v>0</v>
      </c>
      <c r="ES16" s="39">
        <f t="shared" si="270"/>
        <v>0</v>
      </c>
      <c r="ET16" s="39">
        <f t="shared" si="270"/>
        <v>0</v>
      </c>
      <c r="EU16" s="39">
        <f t="shared" si="270"/>
        <v>0</v>
      </c>
      <c r="EV16" s="39">
        <f t="shared" si="270"/>
        <v>0</v>
      </c>
      <c r="EW16" s="39">
        <f t="shared" ref="EW16:EX16" si="271">EW$1*ED16</f>
        <v>0</v>
      </c>
      <c r="EX16" s="39">
        <f t="shared" si="271"/>
        <v>0</v>
      </c>
      <c r="EY16" s="2"/>
      <c r="EZ16" s="39">
        <f t="shared" si="17"/>
        <v>0</v>
      </c>
      <c r="FA16" s="39">
        <f t="shared" si="18"/>
        <v>361181.64363636362</v>
      </c>
      <c r="FB16" s="2">
        <f t="shared" si="19"/>
        <v>0</v>
      </c>
      <c r="FC16" s="2">
        <f t="shared" ref="FC16:FD16" si="272">BV16*$BT16+CQ16*$CO16</f>
        <v>0</v>
      </c>
      <c r="FD16" s="2">
        <f t="shared" si="272"/>
        <v>0</v>
      </c>
      <c r="FE16" s="2">
        <f t="shared" ref="FE16:FJ16" si="273">(BX16*$BT16+CS16*$CO16)/100</f>
        <v>0</v>
      </c>
      <c r="FF16" s="2">
        <f t="shared" si="273"/>
        <v>0</v>
      </c>
      <c r="FG16" s="2">
        <f t="shared" si="273"/>
        <v>0</v>
      </c>
      <c r="FH16" s="2">
        <f t="shared" si="273"/>
        <v>0</v>
      </c>
      <c r="FI16" s="2">
        <f t="shared" si="273"/>
        <v>0</v>
      </c>
      <c r="FJ16" s="2">
        <f t="shared" si="273"/>
        <v>0</v>
      </c>
      <c r="FK16" s="2">
        <f t="shared" ref="FK16:FO16" si="274">CD16*$BT16+CY16*$CO16</f>
        <v>0</v>
      </c>
      <c r="FL16" s="2">
        <f t="shared" si="274"/>
        <v>0</v>
      </c>
      <c r="FM16" s="2">
        <f t="shared" si="274"/>
        <v>0</v>
      </c>
      <c r="FN16" s="2">
        <f t="shared" si="274"/>
        <v>0</v>
      </c>
      <c r="FO16" s="2">
        <f t="shared" si="274"/>
        <v>0</v>
      </c>
      <c r="FP16" s="2">
        <f t="shared" ref="FP16:FQ16" si="275">(CI16*$BT16+DD16*$CO16)/100</f>
        <v>0</v>
      </c>
      <c r="FQ16" s="2">
        <f t="shared" si="275"/>
        <v>0</v>
      </c>
      <c r="FR16" s="2"/>
      <c r="FS16" s="2">
        <f t="shared" si="24"/>
        <v>0</v>
      </c>
      <c r="FT16" s="2">
        <f t="shared" si="25"/>
        <v>0</v>
      </c>
      <c r="FU16" s="39">
        <f t="shared" si="26"/>
        <v>0</v>
      </c>
      <c r="FV16" s="39">
        <f t="shared" ref="FV16:FW16" si="276">FV$1*FC16/1000000</f>
        <v>0</v>
      </c>
      <c r="FW16" s="39">
        <f t="shared" si="276"/>
        <v>0</v>
      </c>
      <c r="FX16" s="39">
        <f t="shared" ref="FX16:GC16" si="277">FX$1*FE16</f>
        <v>0</v>
      </c>
      <c r="FY16" s="39">
        <f t="shared" si="277"/>
        <v>0</v>
      </c>
      <c r="FZ16" s="39">
        <f t="shared" si="277"/>
        <v>0</v>
      </c>
      <c r="GA16" s="39">
        <f t="shared" si="277"/>
        <v>0</v>
      </c>
      <c r="GB16" s="39">
        <f t="shared" si="277"/>
        <v>0</v>
      </c>
      <c r="GC16" s="39">
        <f t="shared" si="277"/>
        <v>0</v>
      </c>
      <c r="GD16" s="39">
        <f t="shared" ref="GD16:GH16" si="278">GD$1*FK16/1000000</f>
        <v>0</v>
      </c>
      <c r="GE16" s="39">
        <f t="shared" si="278"/>
        <v>0</v>
      </c>
      <c r="GF16" s="39">
        <f t="shared" si="278"/>
        <v>0</v>
      </c>
      <c r="GG16" s="39">
        <f t="shared" si="278"/>
        <v>0</v>
      </c>
      <c r="GH16" s="39">
        <f t="shared" si="278"/>
        <v>0</v>
      </c>
      <c r="GI16" s="39">
        <f t="shared" ref="GI16:GJ16" si="279">GI$1*FP16</f>
        <v>0</v>
      </c>
      <c r="GJ16" s="39">
        <f t="shared" si="279"/>
        <v>0</v>
      </c>
      <c r="GK16" s="2"/>
      <c r="GL16" s="39">
        <f t="shared" si="31"/>
        <v>0</v>
      </c>
      <c r="GM16" s="39">
        <f t="shared" si="32"/>
        <v>0</v>
      </c>
      <c r="GN16" s="2" t="s">
        <v>3</v>
      </c>
      <c r="GO16" s="2">
        <f t="shared" si="33"/>
        <v>713.6</v>
      </c>
      <c r="GP16" s="4">
        <f t="shared" si="34"/>
        <v>1.3022982062780268</v>
      </c>
      <c r="GQ16" s="18">
        <f t="shared" si="35"/>
        <v>9293.2000000000007</v>
      </c>
      <c r="GR16" s="15">
        <f t="shared" si="36"/>
        <v>625685.66406740365</v>
      </c>
      <c r="GS16" s="15">
        <f t="shared" si="37"/>
        <v>876.80165928728081</v>
      </c>
      <c r="GT16" s="2">
        <f t="shared" si="38"/>
        <v>44.79999999999999</v>
      </c>
      <c r="GU16" s="2">
        <f t="shared" si="39"/>
        <v>356.40000000000009</v>
      </c>
      <c r="GV16" s="2">
        <f t="shared" si="40"/>
        <v>8892</v>
      </c>
      <c r="GW16" s="2">
        <f t="shared" si="41"/>
        <v>0</v>
      </c>
      <c r="GX16" s="2"/>
      <c r="GY16" s="2"/>
      <c r="GZ16" s="2"/>
      <c r="HA16" s="2"/>
      <c r="HB16" s="2">
        <f t="shared" si="42"/>
        <v>0</v>
      </c>
      <c r="HC16" s="2">
        <f t="shared" si="43"/>
        <v>0</v>
      </c>
      <c r="HD16" s="2" t="s">
        <v>3</v>
      </c>
      <c r="HE16" s="2" t="s">
        <v>183</v>
      </c>
      <c r="HF16" s="2" t="s">
        <v>350</v>
      </c>
      <c r="HG16" s="2"/>
      <c r="HH16" s="2"/>
      <c r="HI16" s="2" t="s">
        <v>81</v>
      </c>
      <c r="HJ16" s="2" t="s">
        <v>3</v>
      </c>
      <c r="HK16" s="2" t="s">
        <v>183</v>
      </c>
      <c r="HL16" s="2" t="s">
        <v>1394</v>
      </c>
      <c r="HM16" s="2" t="s">
        <v>81</v>
      </c>
      <c r="HN16" s="15">
        <f t="shared" ref="HN16:HP16" si="280">SUM(GT48:GT51)</f>
        <v>168.82</v>
      </c>
      <c r="HO16" s="15">
        <f t="shared" si="280"/>
        <v>871.88999999999987</v>
      </c>
      <c r="HP16" s="15">
        <f t="shared" si="280"/>
        <v>482.57</v>
      </c>
      <c r="HQ16" s="15">
        <f>SUM(GO48:GO51)</f>
        <v>210.32500000000002</v>
      </c>
      <c r="HR16" s="4">
        <f t="shared" si="45"/>
        <v>0.724250564602401</v>
      </c>
      <c r="HS16" s="4">
        <f>MIN(GP48:GP51)</f>
        <v>0.40469635627530359</v>
      </c>
      <c r="HT16" s="4">
        <f>MAX(GP48:GP51)</f>
        <v>0.85544217687074831</v>
      </c>
      <c r="HU16" s="3">
        <f>SUM(GQ48:GQ51)</f>
        <v>1523.28</v>
      </c>
      <c r="HV16" s="15">
        <f>SUM(GR48:GR51)/SUM(GO48:GO51)</f>
        <v>122.90051201661277</v>
      </c>
      <c r="HW16" s="2">
        <f>COUNT(GQ48:GQ51)</f>
        <v>4</v>
      </c>
      <c r="HX16" s="2">
        <f t="shared" ref="HX16:HY16" si="281">SUM(HB48:HB51)</f>
        <v>0</v>
      </c>
      <c r="HY16" s="15">
        <f t="shared" si="281"/>
        <v>664.82</v>
      </c>
      <c r="HZ16" s="15">
        <f>SUM(GW48:GW51)</f>
        <v>89</v>
      </c>
      <c r="IA16" s="4">
        <f>100*(IB16/1000)/HZ16</f>
        <v>0.74698876404494396</v>
      </c>
      <c r="IB16" s="3">
        <f>SUM(GY48:GY51)</f>
        <v>664.82</v>
      </c>
      <c r="IC16" s="15">
        <f>SUM(GZ48:GZ51)/SUM(GW48:GW51)</f>
        <v>130.41391505414646</v>
      </c>
      <c r="ID16" s="2">
        <f>COUNT(GY48:GY51)</f>
        <v>1</v>
      </c>
      <c r="IE16" s="2"/>
      <c r="IF16" s="15">
        <f t="shared" ref="IF16:IN16" si="282">100*SUM(EI48:EI51)/SUM($EI48:$FA51)</f>
        <v>8.5290536766489762</v>
      </c>
      <c r="IG16" s="39">
        <f t="shared" si="282"/>
        <v>0</v>
      </c>
      <c r="IH16" s="39">
        <f t="shared" si="282"/>
        <v>0</v>
      </c>
      <c r="II16" s="39">
        <f t="shared" si="282"/>
        <v>0</v>
      </c>
      <c r="IJ16" s="39">
        <f t="shared" si="282"/>
        <v>0</v>
      </c>
      <c r="IK16" s="39">
        <f t="shared" si="282"/>
        <v>0</v>
      </c>
      <c r="IL16" s="39">
        <f t="shared" si="282"/>
        <v>0</v>
      </c>
      <c r="IM16" s="15">
        <f t="shared" si="282"/>
        <v>77.280572296656047</v>
      </c>
      <c r="IN16" s="15">
        <f t="shared" si="282"/>
        <v>8.1513845707327839</v>
      </c>
      <c r="IO16" s="15">
        <f>100*SUM(ER48:EV51)/SUM($EI48:$FA51)</f>
        <v>6.038989455962211</v>
      </c>
      <c r="IP16" s="39">
        <f t="shared" ref="IP16:IQ16" si="283">100*SUM(EW48:EW51)/SUM($EI48:$FA51)</f>
        <v>0</v>
      </c>
      <c r="IQ16" s="39">
        <f t="shared" si="283"/>
        <v>0</v>
      </c>
      <c r="IR16" s="39">
        <f t="shared" ref="IR16:IS16" si="284">100*SUM(EZ48:EZ51)/SUM($EI48:$FA51)</f>
        <v>0</v>
      </c>
      <c r="IS16" s="39">
        <f t="shared" si="284"/>
        <v>0</v>
      </c>
      <c r="IT16" s="15">
        <f t="shared" ref="IT16:JB16" si="285">100*SUM(FU48:FU51)/SUM($FU48:$GM51)</f>
        <v>9.4352039342857825</v>
      </c>
      <c r="IU16" s="39">
        <f t="shared" si="285"/>
        <v>0</v>
      </c>
      <c r="IV16" s="39">
        <f t="shared" si="285"/>
        <v>0</v>
      </c>
      <c r="IW16" s="39">
        <f t="shared" si="285"/>
        <v>0</v>
      </c>
      <c r="IX16" s="39">
        <f t="shared" si="285"/>
        <v>0</v>
      </c>
      <c r="IY16" s="39">
        <f t="shared" si="285"/>
        <v>0</v>
      </c>
      <c r="IZ16" s="39">
        <f t="shared" si="285"/>
        <v>0</v>
      </c>
      <c r="JA16" s="15">
        <f t="shared" si="285"/>
        <v>75.114765534170147</v>
      </c>
      <c r="JB16" s="15">
        <f t="shared" si="285"/>
        <v>8.3525815442910165</v>
      </c>
      <c r="JC16" s="15">
        <f>100*SUM(GD48:GH51)/SUM($FU48:$GM51)</f>
        <v>7.0974489872530642</v>
      </c>
      <c r="JD16" s="39">
        <f t="shared" ref="JD16:JE16" si="286">100*SUM(GI48:GI51)/SUM($FU48:$GM51)</f>
        <v>0</v>
      </c>
      <c r="JE16" s="39">
        <f t="shared" si="286"/>
        <v>0</v>
      </c>
      <c r="JF16" s="39">
        <f t="shared" ref="JF16:JG16" si="287">100*SUM(GL48:GL51)/SUM($FU48:$GM51)</f>
        <v>0</v>
      </c>
      <c r="JG16" s="39">
        <f t="shared" si="287"/>
        <v>0</v>
      </c>
      <c r="JH16" s="2" t="s">
        <v>3</v>
      </c>
    </row>
    <row r="17" spans="1:268" ht="15.75" customHeight="1" x14ac:dyDescent="0.2">
      <c r="A17" s="21" t="s">
        <v>357</v>
      </c>
      <c r="B17" s="2" t="s">
        <v>99</v>
      </c>
      <c r="C17" s="2"/>
      <c r="D17" s="2"/>
      <c r="E17" s="2" t="s">
        <v>346</v>
      </c>
      <c r="F17" s="2" t="s">
        <v>358</v>
      </c>
      <c r="G17" s="2"/>
      <c r="H17" s="2" t="s">
        <v>348</v>
      </c>
      <c r="I17" s="2">
        <v>0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>
        <v>0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>
        <v>448</v>
      </c>
      <c r="AZ17" s="2">
        <v>1.1000000000000001</v>
      </c>
      <c r="BA17" s="2"/>
      <c r="BB17" s="2"/>
      <c r="BC17" s="2"/>
      <c r="BD17" s="2"/>
      <c r="BE17" s="2"/>
      <c r="BF17" s="2"/>
      <c r="BG17" s="4">
        <v>1.39</v>
      </c>
      <c r="BH17" s="4">
        <v>0.23</v>
      </c>
      <c r="BI17" s="2"/>
      <c r="BJ17" s="2"/>
      <c r="BK17" s="2"/>
      <c r="BL17" s="2"/>
      <c r="BM17" s="2"/>
      <c r="BN17" s="2"/>
      <c r="BO17" s="2"/>
      <c r="BP17" s="2"/>
      <c r="BQ17" s="2"/>
      <c r="BR17" s="2">
        <v>29.3</v>
      </c>
      <c r="BS17" s="2"/>
      <c r="BT17" s="2">
        <v>0</v>
      </c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>
        <v>0</v>
      </c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 t="s">
        <v>100</v>
      </c>
      <c r="DK17" s="2" t="s">
        <v>100</v>
      </c>
      <c r="DL17" s="2">
        <f t="shared" si="3"/>
        <v>1.39</v>
      </c>
      <c r="DM17" s="2">
        <f t="shared" si="4"/>
        <v>0.23</v>
      </c>
      <c r="DN17" s="2" t="s">
        <v>359</v>
      </c>
      <c r="DO17" s="2" t="s">
        <v>3</v>
      </c>
      <c r="DP17" s="2">
        <f t="shared" si="5"/>
        <v>4.9280000000000008</v>
      </c>
      <c r="DQ17" s="2">
        <f t="shared" ref="DQ17:DR17" si="288">K17*$I17+AF17*$AD17+BA17*$AY17</f>
        <v>0</v>
      </c>
      <c r="DR17" s="2">
        <f t="shared" si="288"/>
        <v>0</v>
      </c>
      <c r="DS17" s="2">
        <f t="shared" ref="DS17:DX17" si="289">(M17*$I17+AH17*$AD17+BC17*$AY17)/100</f>
        <v>0</v>
      </c>
      <c r="DT17" s="2">
        <f t="shared" si="289"/>
        <v>0</v>
      </c>
      <c r="DU17" s="2">
        <f t="shared" si="289"/>
        <v>0</v>
      </c>
      <c r="DV17" s="2">
        <f t="shared" si="289"/>
        <v>0</v>
      </c>
      <c r="DW17" s="2">
        <f t="shared" si="289"/>
        <v>6.227199999999999</v>
      </c>
      <c r="DX17" s="2">
        <f t="shared" si="289"/>
        <v>1.0304</v>
      </c>
      <c r="DY17" s="2">
        <f t="shared" ref="DY17:EC17" si="290">S17*$I17+AN17*$AD17+BI17*$AY17</f>
        <v>0</v>
      </c>
      <c r="DZ17" s="2">
        <f t="shared" si="290"/>
        <v>0</v>
      </c>
      <c r="EA17" s="2">
        <f t="shared" si="290"/>
        <v>0</v>
      </c>
      <c r="EB17" s="2">
        <f t="shared" si="290"/>
        <v>0</v>
      </c>
      <c r="EC17" s="2">
        <f t="shared" si="290"/>
        <v>0</v>
      </c>
      <c r="ED17" s="2">
        <f t="shared" ref="ED17:EE17" si="291">(X17*$I17+AS17*$AD17+BN17*$AY17)/100</f>
        <v>0</v>
      </c>
      <c r="EE17" s="2">
        <f t="shared" si="291"/>
        <v>0</v>
      </c>
      <c r="EF17" s="2"/>
      <c r="EG17" s="2">
        <f t="shared" si="10"/>
        <v>0</v>
      </c>
      <c r="EH17" s="2">
        <f t="shared" si="11"/>
        <v>131.26400000000001</v>
      </c>
      <c r="EI17" s="39">
        <f t="shared" si="12"/>
        <v>32158.235648000005</v>
      </c>
      <c r="EJ17" s="39">
        <f t="shared" ref="EJ17:EK17" si="292">EJ$1*DQ17/1000000</f>
        <v>0</v>
      </c>
      <c r="EK17" s="39">
        <f t="shared" si="292"/>
        <v>0</v>
      </c>
      <c r="EL17" s="39">
        <f t="shared" ref="EL17:EQ17" si="293">EL$1*DS17</f>
        <v>0</v>
      </c>
      <c r="EM17" s="39">
        <f t="shared" si="293"/>
        <v>0</v>
      </c>
      <c r="EN17" s="39">
        <f t="shared" si="293"/>
        <v>0</v>
      </c>
      <c r="EO17" s="39">
        <f t="shared" si="293"/>
        <v>0</v>
      </c>
      <c r="EP17" s="39">
        <f t="shared" si="293"/>
        <v>81663.50079999998</v>
      </c>
      <c r="EQ17" s="39">
        <f t="shared" si="293"/>
        <v>74827.157529599994</v>
      </c>
      <c r="ER17" s="39">
        <f t="shared" ref="ER17:EV17" si="294">ER$1*DY17/1000000</f>
        <v>0</v>
      </c>
      <c r="ES17" s="39">
        <f t="shared" si="294"/>
        <v>0</v>
      </c>
      <c r="ET17" s="39">
        <f t="shared" si="294"/>
        <v>0</v>
      </c>
      <c r="EU17" s="39">
        <f t="shared" si="294"/>
        <v>0</v>
      </c>
      <c r="EV17" s="39">
        <f t="shared" si="294"/>
        <v>0</v>
      </c>
      <c r="EW17" s="39">
        <f t="shared" ref="EW17:EX17" si="295">EW$1*ED17</f>
        <v>0</v>
      </c>
      <c r="EX17" s="39">
        <f t="shared" si="295"/>
        <v>0</v>
      </c>
      <c r="EY17" s="2"/>
      <c r="EZ17" s="39">
        <f t="shared" si="17"/>
        <v>0</v>
      </c>
      <c r="FA17" s="39">
        <f t="shared" si="18"/>
        <v>213602.3272727273</v>
      </c>
      <c r="FB17" s="2">
        <f t="shared" si="19"/>
        <v>0</v>
      </c>
      <c r="FC17" s="2">
        <f t="shared" ref="FC17:FD17" si="296">BV17*$BT17+CQ17*$CO17</f>
        <v>0</v>
      </c>
      <c r="FD17" s="2">
        <f t="shared" si="296"/>
        <v>0</v>
      </c>
      <c r="FE17" s="2">
        <f t="shared" ref="FE17:FJ17" si="297">(BX17*$BT17+CS17*$CO17)/100</f>
        <v>0</v>
      </c>
      <c r="FF17" s="2">
        <f t="shared" si="297"/>
        <v>0</v>
      </c>
      <c r="FG17" s="2">
        <f t="shared" si="297"/>
        <v>0</v>
      </c>
      <c r="FH17" s="2">
        <f t="shared" si="297"/>
        <v>0</v>
      </c>
      <c r="FI17" s="2">
        <f t="shared" si="297"/>
        <v>0</v>
      </c>
      <c r="FJ17" s="2">
        <f t="shared" si="297"/>
        <v>0</v>
      </c>
      <c r="FK17" s="2">
        <f t="shared" ref="FK17:FO17" si="298">CD17*$BT17+CY17*$CO17</f>
        <v>0</v>
      </c>
      <c r="FL17" s="2">
        <f t="shared" si="298"/>
        <v>0</v>
      </c>
      <c r="FM17" s="2">
        <f t="shared" si="298"/>
        <v>0</v>
      </c>
      <c r="FN17" s="2">
        <f t="shared" si="298"/>
        <v>0</v>
      </c>
      <c r="FO17" s="2">
        <f t="shared" si="298"/>
        <v>0</v>
      </c>
      <c r="FP17" s="2">
        <f t="shared" ref="FP17:FQ17" si="299">(CI17*$BT17+DD17*$CO17)/100</f>
        <v>0</v>
      </c>
      <c r="FQ17" s="2">
        <f t="shared" si="299"/>
        <v>0</v>
      </c>
      <c r="FR17" s="2"/>
      <c r="FS17" s="2">
        <f t="shared" si="24"/>
        <v>0</v>
      </c>
      <c r="FT17" s="2">
        <f t="shared" si="25"/>
        <v>0</v>
      </c>
      <c r="FU17" s="39">
        <f t="shared" si="26"/>
        <v>0</v>
      </c>
      <c r="FV17" s="39">
        <f t="shared" ref="FV17:FW17" si="300">FV$1*FC17/1000000</f>
        <v>0</v>
      </c>
      <c r="FW17" s="39">
        <f t="shared" si="300"/>
        <v>0</v>
      </c>
      <c r="FX17" s="39">
        <f t="shared" ref="FX17:GC17" si="301">FX$1*FE17</f>
        <v>0</v>
      </c>
      <c r="FY17" s="39">
        <f t="shared" si="301"/>
        <v>0</v>
      </c>
      <c r="FZ17" s="39">
        <f t="shared" si="301"/>
        <v>0</v>
      </c>
      <c r="GA17" s="39">
        <f t="shared" si="301"/>
        <v>0</v>
      </c>
      <c r="GB17" s="39">
        <f t="shared" si="301"/>
        <v>0</v>
      </c>
      <c r="GC17" s="39">
        <f t="shared" si="301"/>
        <v>0</v>
      </c>
      <c r="GD17" s="39">
        <f t="shared" ref="GD17:GH17" si="302">GD$1*FK17/1000000</f>
        <v>0</v>
      </c>
      <c r="GE17" s="39">
        <f t="shared" si="302"/>
        <v>0</v>
      </c>
      <c r="GF17" s="39">
        <f t="shared" si="302"/>
        <v>0</v>
      </c>
      <c r="GG17" s="39">
        <f t="shared" si="302"/>
        <v>0</v>
      </c>
      <c r="GH17" s="39">
        <f t="shared" si="302"/>
        <v>0</v>
      </c>
      <c r="GI17" s="39">
        <f t="shared" ref="GI17:GJ17" si="303">GI$1*FP17</f>
        <v>0</v>
      </c>
      <c r="GJ17" s="39">
        <f t="shared" si="303"/>
        <v>0</v>
      </c>
      <c r="GK17" s="2"/>
      <c r="GL17" s="39">
        <f t="shared" si="31"/>
        <v>0</v>
      </c>
      <c r="GM17" s="39">
        <f t="shared" si="32"/>
        <v>0</v>
      </c>
      <c r="GN17" s="2" t="s">
        <v>3</v>
      </c>
      <c r="GO17" s="2">
        <f t="shared" si="33"/>
        <v>448</v>
      </c>
      <c r="GP17" s="4">
        <f t="shared" si="34"/>
        <v>1.39</v>
      </c>
      <c r="GQ17" s="18">
        <f t="shared" si="35"/>
        <v>6227.2</v>
      </c>
      <c r="GR17" s="15">
        <f t="shared" si="36"/>
        <v>402251.2212503273</v>
      </c>
      <c r="GS17" s="15">
        <f t="shared" si="37"/>
        <v>897.88219029090919</v>
      </c>
      <c r="GT17" s="2">
        <f t="shared" si="38"/>
        <v>0</v>
      </c>
      <c r="GU17" s="2">
        <f t="shared" si="39"/>
        <v>0</v>
      </c>
      <c r="GV17" s="2">
        <f t="shared" si="40"/>
        <v>6227.1999999999989</v>
      </c>
      <c r="GW17" s="2">
        <f t="shared" si="41"/>
        <v>0</v>
      </c>
      <c r="GX17" s="2"/>
      <c r="GY17" s="2"/>
      <c r="GZ17" s="2"/>
      <c r="HA17" s="2"/>
      <c r="HB17" s="2">
        <f t="shared" si="42"/>
        <v>0</v>
      </c>
      <c r="HC17" s="2">
        <f t="shared" si="43"/>
        <v>0</v>
      </c>
      <c r="HD17" s="2" t="s">
        <v>3</v>
      </c>
      <c r="HE17" s="2" t="s">
        <v>183</v>
      </c>
      <c r="HF17" s="2" t="s">
        <v>350</v>
      </c>
      <c r="HG17" s="2"/>
      <c r="HH17" s="2"/>
      <c r="HI17" s="2" t="s">
        <v>100</v>
      </c>
      <c r="HJ17" s="2" t="s">
        <v>3</v>
      </c>
      <c r="HK17" s="2" t="s">
        <v>183</v>
      </c>
      <c r="HL17" s="2" t="s">
        <v>1394</v>
      </c>
      <c r="HM17" s="2" t="s">
        <v>100</v>
      </c>
      <c r="HN17" s="2">
        <f t="shared" ref="HN17:HP17" si="304">SUM(GT47)</f>
        <v>0</v>
      </c>
      <c r="HO17" s="2">
        <f t="shared" si="304"/>
        <v>0</v>
      </c>
      <c r="HP17" s="4">
        <f t="shared" si="304"/>
        <v>0.51300000000000001</v>
      </c>
      <c r="HQ17" s="4">
        <f>SUM(GO47)</f>
        <v>0.114</v>
      </c>
      <c r="HR17" s="4">
        <f t="shared" si="45"/>
        <v>0.44999999999999996</v>
      </c>
      <c r="HS17" s="4">
        <f>MIN(GP47)</f>
        <v>0.45</v>
      </c>
      <c r="HT17" s="4">
        <f>MAX(GP47)</f>
        <v>0.45</v>
      </c>
      <c r="HU17" s="4">
        <f>SUM(GQ47)</f>
        <v>0.51300000000000001</v>
      </c>
      <c r="HV17" s="15">
        <f>SUM(GR47)/SUM(GO47)</f>
        <v>79.463160771704182</v>
      </c>
      <c r="HW17" s="2">
        <f>COUNT(GQ47)</f>
        <v>1</v>
      </c>
      <c r="HX17" s="2">
        <f t="shared" ref="HX17:HY17" si="305">SUM(HB47)</f>
        <v>0</v>
      </c>
      <c r="HY17" s="2">
        <f t="shared" si="305"/>
        <v>0</v>
      </c>
      <c r="HZ17" s="2" t="s">
        <v>176</v>
      </c>
      <c r="IA17" s="2" t="s">
        <v>176</v>
      </c>
      <c r="IB17" s="2" t="s">
        <v>176</v>
      </c>
      <c r="IC17" s="2" t="s">
        <v>176</v>
      </c>
      <c r="ID17" s="2">
        <f>COUNT(GY47)</f>
        <v>0</v>
      </c>
      <c r="IE17" s="2"/>
      <c r="IF17" s="39">
        <f t="shared" ref="IF17:IO17" si="306">100*SUM(EI47)/SUM($EI47:$FA47)</f>
        <v>0</v>
      </c>
      <c r="IG17" s="15">
        <f t="shared" si="306"/>
        <v>25.735398105364848</v>
      </c>
      <c r="IH17" s="39">
        <f t="shared" si="306"/>
        <v>0</v>
      </c>
      <c r="II17" s="39">
        <f t="shared" si="306"/>
        <v>0</v>
      </c>
      <c r="IJ17" s="39">
        <f t="shared" si="306"/>
        <v>0</v>
      </c>
      <c r="IK17" s="39">
        <f t="shared" si="306"/>
        <v>0</v>
      </c>
      <c r="IL17" s="39">
        <f t="shared" si="306"/>
        <v>0</v>
      </c>
      <c r="IM17" s="15">
        <f t="shared" si="306"/>
        <v>74.264601894635149</v>
      </c>
      <c r="IN17" s="39">
        <f t="shared" si="306"/>
        <v>0</v>
      </c>
      <c r="IO17" s="39">
        <f t="shared" si="306"/>
        <v>0</v>
      </c>
      <c r="IP17" s="39">
        <f t="shared" ref="IP17:IQ17" si="307">100*SUM(EW47)/SUM($EI47:$FA47)</f>
        <v>0</v>
      </c>
      <c r="IQ17" s="39">
        <f t="shared" si="307"/>
        <v>0</v>
      </c>
      <c r="IR17" s="39">
        <f t="shared" ref="IR17:IS17" si="308">100*SUM(EZ47)/SUM($EI47:$FA47)</f>
        <v>0</v>
      </c>
      <c r="IS17" s="39">
        <f t="shared" si="308"/>
        <v>0</v>
      </c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 t="s">
        <v>3</v>
      </c>
    </row>
    <row r="18" spans="1:268" ht="15.75" customHeight="1" x14ac:dyDescent="0.2">
      <c r="A18" s="21" t="s">
        <v>360</v>
      </c>
      <c r="B18" s="2" t="s">
        <v>99</v>
      </c>
      <c r="C18" s="2"/>
      <c r="D18" s="2"/>
      <c r="E18" s="2" t="s">
        <v>346</v>
      </c>
      <c r="F18" s="2" t="s">
        <v>361</v>
      </c>
      <c r="G18" s="2"/>
      <c r="H18" s="2" t="s">
        <v>348</v>
      </c>
      <c r="I18" s="2">
        <v>0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>
        <v>0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>
        <v>33.700000000000003</v>
      </c>
      <c r="AZ18" s="4">
        <f>100*0.435/AY18</f>
        <v>1.29080118694362</v>
      </c>
      <c r="BA18" s="2"/>
      <c r="BB18" s="2"/>
      <c r="BC18" s="2"/>
      <c r="BD18" s="2"/>
      <c r="BE18" s="2"/>
      <c r="BF18" s="2"/>
      <c r="BG18" s="4">
        <f>100*0.443/AY18</f>
        <v>1.3145400593471808</v>
      </c>
      <c r="BH18" s="4">
        <f>100*0.053/AY18</f>
        <v>0.15727002967359049</v>
      </c>
      <c r="BI18" s="2"/>
      <c r="BJ18" s="2"/>
      <c r="BK18" s="2"/>
      <c r="BL18" s="2"/>
      <c r="BM18" s="2"/>
      <c r="BN18" s="2"/>
      <c r="BO18" s="2"/>
      <c r="BP18" s="2"/>
      <c r="BQ18" s="2"/>
      <c r="BR18" s="15">
        <f>100*11/AY18</f>
        <v>32.640949554896139</v>
      </c>
      <c r="BS18" s="2"/>
      <c r="BT18" s="2">
        <v>0</v>
      </c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>
        <v>0</v>
      </c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 t="s">
        <v>100</v>
      </c>
      <c r="DK18" s="2" t="s">
        <v>100</v>
      </c>
      <c r="DL18" s="2">
        <f t="shared" si="3"/>
        <v>1.3145400593471808</v>
      </c>
      <c r="DM18" s="2">
        <f t="shared" si="4"/>
        <v>0.15727002967359049</v>
      </c>
      <c r="DN18" s="2" t="s">
        <v>362</v>
      </c>
      <c r="DO18" s="2" t="s">
        <v>3</v>
      </c>
      <c r="DP18" s="2">
        <f t="shared" si="5"/>
        <v>0.435</v>
      </c>
      <c r="DQ18" s="2">
        <f t="shared" ref="DQ18:DR18" si="309">K18*$I18+AF18*$AD18+BA18*$AY18</f>
        <v>0</v>
      </c>
      <c r="DR18" s="2">
        <f t="shared" si="309"/>
        <v>0</v>
      </c>
      <c r="DS18" s="2">
        <f t="shared" ref="DS18:DX18" si="310">(M18*$I18+AH18*$AD18+BC18*$AY18)/100</f>
        <v>0</v>
      </c>
      <c r="DT18" s="2">
        <f t="shared" si="310"/>
        <v>0</v>
      </c>
      <c r="DU18" s="2">
        <f t="shared" si="310"/>
        <v>0</v>
      </c>
      <c r="DV18" s="2">
        <f t="shared" si="310"/>
        <v>0</v>
      </c>
      <c r="DW18" s="2">
        <f t="shared" si="310"/>
        <v>0.44299999999999995</v>
      </c>
      <c r="DX18" s="2">
        <f t="shared" si="310"/>
        <v>5.2999999999999999E-2</v>
      </c>
      <c r="DY18" s="2">
        <f t="shared" ref="DY18:EC18" si="311">S18*$I18+AN18*$AD18+BI18*$AY18</f>
        <v>0</v>
      </c>
      <c r="DZ18" s="2">
        <f t="shared" si="311"/>
        <v>0</v>
      </c>
      <c r="EA18" s="2">
        <f t="shared" si="311"/>
        <v>0</v>
      </c>
      <c r="EB18" s="2">
        <f t="shared" si="311"/>
        <v>0</v>
      </c>
      <c r="EC18" s="2">
        <f t="shared" si="311"/>
        <v>0</v>
      </c>
      <c r="ED18" s="2">
        <f t="shared" ref="ED18:EE18" si="312">(X18*$I18+AS18*$AD18+BN18*$AY18)/100</f>
        <v>0</v>
      </c>
      <c r="EE18" s="2">
        <f t="shared" si="312"/>
        <v>0</v>
      </c>
      <c r="EF18" s="2"/>
      <c r="EG18" s="2">
        <f t="shared" si="10"/>
        <v>0</v>
      </c>
      <c r="EH18" s="2">
        <f t="shared" si="11"/>
        <v>11</v>
      </c>
      <c r="EI18" s="39">
        <f t="shared" si="12"/>
        <v>2838.6429600000001</v>
      </c>
      <c r="EJ18" s="39">
        <f t="shared" ref="EJ18:EK18" si="313">EJ$1*DQ18/1000000</f>
        <v>0</v>
      </c>
      <c r="EK18" s="39">
        <f t="shared" si="313"/>
        <v>0</v>
      </c>
      <c r="EL18" s="39">
        <f t="shared" ref="EL18:EQ18" si="314">EL$1*DS18</f>
        <v>0</v>
      </c>
      <c r="EM18" s="39">
        <f t="shared" si="314"/>
        <v>0</v>
      </c>
      <c r="EN18" s="39">
        <f t="shared" si="314"/>
        <v>0</v>
      </c>
      <c r="EO18" s="39">
        <f t="shared" si="314"/>
        <v>0</v>
      </c>
      <c r="EP18" s="39">
        <f t="shared" si="314"/>
        <v>5809.5019999999995</v>
      </c>
      <c r="EQ18" s="39">
        <f t="shared" si="314"/>
        <v>3848.8347719999992</v>
      </c>
      <c r="ER18" s="39">
        <f t="shared" ref="ER18:EV18" si="315">ER$1*DY18/1000000</f>
        <v>0</v>
      </c>
      <c r="ES18" s="39">
        <f t="shared" si="315"/>
        <v>0</v>
      </c>
      <c r="ET18" s="39">
        <f t="shared" si="315"/>
        <v>0</v>
      </c>
      <c r="EU18" s="39">
        <f t="shared" si="315"/>
        <v>0</v>
      </c>
      <c r="EV18" s="39">
        <f t="shared" si="315"/>
        <v>0</v>
      </c>
      <c r="EW18" s="39">
        <f t="shared" ref="EW18:EX18" si="316">EW$1*ED18</f>
        <v>0</v>
      </c>
      <c r="EX18" s="39">
        <f t="shared" si="316"/>
        <v>0</v>
      </c>
      <c r="EY18" s="2"/>
      <c r="EZ18" s="39">
        <f t="shared" si="17"/>
        <v>0</v>
      </c>
      <c r="FA18" s="39">
        <f t="shared" si="18"/>
        <v>17900</v>
      </c>
      <c r="FB18" s="2">
        <f t="shared" si="19"/>
        <v>0</v>
      </c>
      <c r="FC18" s="2">
        <f t="shared" ref="FC18:FD18" si="317">BV18*$BT18+CQ18*$CO18</f>
        <v>0</v>
      </c>
      <c r="FD18" s="2">
        <f t="shared" si="317"/>
        <v>0</v>
      </c>
      <c r="FE18" s="2">
        <f t="shared" ref="FE18:FJ18" si="318">(BX18*$BT18+CS18*$CO18)/100</f>
        <v>0</v>
      </c>
      <c r="FF18" s="2">
        <f t="shared" si="318"/>
        <v>0</v>
      </c>
      <c r="FG18" s="2">
        <f t="shared" si="318"/>
        <v>0</v>
      </c>
      <c r="FH18" s="2">
        <f t="shared" si="318"/>
        <v>0</v>
      </c>
      <c r="FI18" s="2">
        <f t="shared" si="318"/>
        <v>0</v>
      </c>
      <c r="FJ18" s="2">
        <f t="shared" si="318"/>
        <v>0</v>
      </c>
      <c r="FK18" s="2">
        <f t="shared" ref="FK18:FO18" si="319">CD18*$BT18+CY18*$CO18</f>
        <v>0</v>
      </c>
      <c r="FL18" s="2">
        <f t="shared" si="319"/>
        <v>0</v>
      </c>
      <c r="FM18" s="2">
        <f t="shared" si="319"/>
        <v>0</v>
      </c>
      <c r="FN18" s="2">
        <f t="shared" si="319"/>
        <v>0</v>
      </c>
      <c r="FO18" s="2">
        <f t="shared" si="319"/>
        <v>0</v>
      </c>
      <c r="FP18" s="2">
        <f t="shared" ref="FP18:FQ18" si="320">(CI18*$BT18+DD18*$CO18)/100</f>
        <v>0</v>
      </c>
      <c r="FQ18" s="2">
        <f t="shared" si="320"/>
        <v>0</v>
      </c>
      <c r="FR18" s="2"/>
      <c r="FS18" s="2">
        <f t="shared" si="24"/>
        <v>0</v>
      </c>
      <c r="FT18" s="2">
        <f t="shared" si="25"/>
        <v>0</v>
      </c>
      <c r="FU18" s="39">
        <f t="shared" si="26"/>
        <v>0</v>
      </c>
      <c r="FV18" s="39">
        <f t="shared" ref="FV18:FW18" si="321">FV$1*FC18/1000000</f>
        <v>0</v>
      </c>
      <c r="FW18" s="39">
        <f t="shared" si="321"/>
        <v>0</v>
      </c>
      <c r="FX18" s="39">
        <f t="shared" ref="FX18:GC18" si="322">FX$1*FE18</f>
        <v>0</v>
      </c>
      <c r="FY18" s="39">
        <f t="shared" si="322"/>
        <v>0</v>
      </c>
      <c r="FZ18" s="39">
        <f t="shared" si="322"/>
        <v>0</v>
      </c>
      <c r="GA18" s="39">
        <f t="shared" si="322"/>
        <v>0</v>
      </c>
      <c r="GB18" s="39">
        <f t="shared" si="322"/>
        <v>0</v>
      </c>
      <c r="GC18" s="39">
        <f t="shared" si="322"/>
        <v>0</v>
      </c>
      <c r="GD18" s="39">
        <f t="shared" ref="GD18:GH18" si="323">GD$1*FK18/1000000</f>
        <v>0</v>
      </c>
      <c r="GE18" s="39">
        <f t="shared" si="323"/>
        <v>0</v>
      </c>
      <c r="GF18" s="39">
        <f t="shared" si="323"/>
        <v>0</v>
      </c>
      <c r="GG18" s="39">
        <f t="shared" si="323"/>
        <v>0</v>
      </c>
      <c r="GH18" s="39">
        <f t="shared" si="323"/>
        <v>0</v>
      </c>
      <c r="GI18" s="39">
        <f t="shared" ref="GI18:GJ18" si="324">GI$1*FP18</f>
        <v>0</v>
      </c>
      <c r="GJ18" s="39">
        <f t="shared" si="324"/>
        <v>0</v>
      </c>
      <c r="GK18" s="2"/>
      <c r="GL18" s="39">
        <f t="shared" si="31"/>
        <v>0</v>
      </c>
      <c r="GM18" s="39">
        <f t="shared" si="32"/>
        <v>0</v>
      </c>
      <c r="GN18" s="2" t="s">
        <v>3</v>
      </c>
      <c r="GO18" s="2">
        <f t="shared" si="33"/>
        <v>33.700000000000003</v>
      </c>
      <c r="GP18" s="4">
        <f t="shared" si="34"/>
        <v>1.3145400593471808</v>
      </c>
      <c r="GQ18" s="15">
        <f t="shared" si="35"/>
        <v>442.99999999999994</v>
      </c>
      <c r="GR18" s="15">
        <f t="shared" si="36"/>
        <v>30396.979732</v>
      </c>
      <c r="GS18" s="15">
        <f t="shared" si="37"/>
        <v>901.98752913946578</v>
      </c>
      <c r="GT18" s="2">
        <f t="shared" si="38"/>
        <v>0</v>
      </c>
      <c r="GU18" s="2">
        <f t="shared" si="39"/>
        <v>0</v>
      </c>
      <c r="GV18" s="2">
        <f t="shared" si="40"/>
        <v>443</v>
      </c>
      <c r="GW18" s="2">
        <f t="shared" si="41"/>
        <v>0</v>
      </c>
      <c r="GX18" s="2"/>
      <c r="GY18" s="2"/>
      <c r="GZ18" s="2"/>
      <c r="HA18" s="2"/>
      <c r="HB18" s="2">
        <f t="shared" si="42"/>
        <v>0</v>
      </c>
      <c r="HC18" s="2">
        <f t="shared" si="43"/>
        <v>0</v>
      </c>
      <c r="HD18" s="2" t="s">
        <v>3</v>
      </c>
      <c r="HE18" s="2" t="s">
        <v>183</v>
      </c>
      <c r="HF18" s="2" t="s">
        <v>350</v>
      </c>
      <c r="HG18" s="2"/>
      <c r="HH18" s="2"/>
      <c r="HI18" s="2" t="s">
        <v>100</v>
      </c>
      <c r="HJ18" s="2" t="s">
        <v>3</v>
      </c>
      <c r="HK18" s="2" t="s">
        <v>37</v>
      </c>
      <c r="HL18" s="2" t="s">
        <v>1395</v>
      </c>
      <c r="HM18" s="2" t="s">
        <v>81</v>
      </c>
      <c r="HN18" s="3">
        <f t="shared" ref="HN18:HP18" si="325">SUM(GT52:GT80)</f>
        <v>2876.6781000000005</v>
      </c>
      <c r="HO18" s="3">
        <f t="shared" si="325"/>
        <v>4109.4102240000002</v>
      </c>
      <c r="HP18" s="3">
        <f t="shared" si="325"/>
        <v>1962.3527779999999</v>
      </c>
      <c r="HQ18" s="3">
        <f>SUM(GO52:GO80)</f>
        <v>994.47766800000011</v>
      </c>
      <c r="HR18" s="4">
        <f t="shared" si="45"/>
        <v>0.899813177303042</v>
      </c>
      <c r="HS18" s="4">
        <f>MIN(GP52:GP80)</f>
        <v>0.65392829469218372</v>
      </c>
      <c r="HT18" s="4">
        <f>MAX(GP52:GP80)</f>
        <v>1.4</v>
      </c>
      <c r="HU18" s="3">
        <f>SUM(GQ52:GQ80)</f>
        <v>8948.4411019999989</v>
      </c>
      <c r="HV18" s="15">
        <f>SUM(GR52:GR80)/SUM(GO52:GO80)</f>
        <v>154.73553446151297</v>
      </c>
      <c r="HW18" s="2">
        <f>COUNT(GQ52:GQ80)</f>
        <v>29</v>
      </c>
      <c r="HX18" s="3">
        <f t="shared" ref="HX18:HY18" si="326">SUM(HB52:HB80)</f>
        <v>1154.1500000000001</v>
      </c>
      <c r="HY18" s="15">
        <f t="shared" si="326"/>
        <v>963.8</v>
      </c>
      <c r="HZ18" s="3">
        <f>SUM(GW52:GW80)</f>
        <v>203.59999999999997</v>
      </c>
      <c r="IA18" s="4">
        <f>100*(IB18/1000)/HZ18</f>
        <v>1.0402504911591357</v>
      </c>
      <c r="IB18" s="3">
        <f>SUM(GY52:GY80)</f>
        <v>2117.9499999999998</v>
      </c>
      <c r="IC18" s="15">
        <f>SUM(GZ52:GZ80)/SUM(GW52:GW80)</f>
        <v>178.58913487999999</v>
      </c>
      <c r="ID18" s="2">
        <f>COUNT(GY52:GY80)</f>
        <v>5</v>
      </c>
      <c r="IE18" s="2"/>
      <c r="IF18" s="39">
        <f t="shared" ref="IF18:IN18" si="327">100*SUM(EI52:EI80)/SUM($EI52:$FA80)</f>
        <v>0</v>
      </c>
      <c r="IG18" s="39">
        <f t="shared" si="327"/>
        <v>0</v>
      </c>
      <c r="IH18" s="39">
        <f t="shared" si="327"/>
        <v>0</v>
      </c>
      <c r="II18" s="39">
        <f t="shared" si="327"/>
        <v>0</v>
      </c>
      <c r="IJ18" s="39">
        <f t="shared" si="327"/>
        <v>0</v>
      </c>
      <c r="IK18" s="39">
        <f t="shared" si="327"/>
        <v>0</v>
      </c>
      <c r="IL18" s="39">
        <f t="shared" si="327"/>
        <v>0</v>
      </c>
      <c r="IM18" s="15">
        <f t="shared" si="327"/>
        <v>76.260117291203798</v>
      </c>
      <c r="IN18" s="15">
        <f t="shared" si="327"/>
        <v>21.015818740803031</v>
      </c>
      <c r="IO18" s="39">
        <f>100*SUM(ER52:EV80)/SUM($EI52:$FA80)</f>
        <v>0</v>
      </c>
      <c r="IP18" s="4">
        <f t="shared" ref="IP18:IQ18" si="328">100*SUM(EW52:EW80)/SUM($EI52:$FA80)</f>
        <v>0.23541762305611794</v>
      </c>
      <c r="IQ18" s="15">
        <f t="shared" si="328"/>
        <v>2.488646344936988</v>
      </c>
      <c r="IR18" s="39">
        <f t="shared" ref="IR18:IS18" si="329">100*SUM(EZ52:EZ80)/SUM($EI52:$FA80)</f>
        <v>0</v>
      </c>
      <c r="IS18" s="39">
        <f t="shared" si="329"/>
        <v>0</v>
      </c>
      <c r="IT18" s="39">
        <f t="shared" ref="IT18:JB18" si="330">100*SUM(FU52:FU80)/SUM($FU52:$GM80)</f>
        <v>0</v>
      </c>
      <c r="IU18" s="39">
        <f t="shared" si="330"/>
        <v>0</v>
      </c>
      <c r="IV18" s="39">
        <f t="shared" si="330"/>
        <v>0</v>
      </c>
      <c r="IW18" s="39">
        <f t="shared" si="330"/>
        <v>0</v>
      </c>
      <c r="IX18" s="39">
        <f t="shared" si="330"/>
        <v>0</v>
      </c>
      <c r="IY18" s="39">
        <f t="shared" si="330"/>
        <v>0</v>
      </c>
      <c r="IZ18" s="39">
        <f t="shared" si="330"/>
        <v>0</v>
      </c>
      <c r="JA18" s="15">
        <f t="shared" si="330"/>
        <v>76.386757515944723</v>
      </c>
      <c r="JB18" s="15">
        <f t="shared" si="330"/>
        <v>23.613242484055281</v>
      </c>
      <c r="JC18" s="39">
        <f>100*SUM(GD52:GH80)/SUM($FU52:$GM80)</f>
        <v>0</v>
      </c>
      <c r="JD18" s="39">
        <f t="shared" ref="JD18:JE18" si="331">100*SUM(GI52:GI80)/SUM($FU52:$GM80)</f>
        <v>0</v>
      </c>
      <c r="JE18" s="39">
        <f t="shared" si="331"/>
        <v>0</v>
      </c>
      <c r="JF18" s="39">
        <f t="shared" ref="JF18:JG18" si="332">100*SUM(GL52:GL80)/SUM($FU52:$GM80)</f>
        <v>0</v>
      </c>
      <c r="JG18" s="39">
        <f t="shared" si="332"/>
        <v>0</v>
      </c>
      <c r="JH18" s="2" t="s">
        <v>3</v>
      </c>
    </row>
    <row r="19" spans="1:268" ht="15.75" customHeight="1" x14ac:dyDescent="0.2">
      <c r="A19" s="21" t="s">
        <v>351</v>
      </c>
      <c r="B19" s="2" t="s">
        <v>99</v>
      </c>
      <c r="C19" s="2"/>
      <c r="D19" s="2"/>
      <c r="E19" s="2" t="s">
        <v>346</v>
      </c>
      <c r="F19" s="2" t="s">
        <v>352</v>
      </c>
      <c r="G19" s="2"/>
      <c r="H19" s="2" t="s">
        <v>348</v>
      </c>
      <c r="I19" s="2">
        <v>0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>
        <v>0</v>
      </c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>
        <v>188.4</v>
      </c>
      <c r="AZ19" s="2">
        <v>1.02</v>
      </c>
      <c r="BA19" s="2"/>
      <c r="BB19" s="2"/>
      <c r="BC19" s="2"/>
      <c r="BD19" s="2"/>
      <c r="BE19" s="2"/>
      <c r="BF19" s="2"/>
      <c r="BG19" s="2">
        <v>1.19</v>
      </c>
      <c r="BH19" s="2">
        <v>0.22</v>
      </c>
      <c r="BI19" s="2"/>
      <c r="BJ19" s="2"/>
      <c r="BK19" s="2"/>
      <c r="BL19" s="2"/>
      <c r="BM19" s="2"/>
      <c r="BN19" s="2"/>
      <c r="BO19" s="2"/>
      <c r="BP19" s="2"/>
      <c r="BQ19" s="2"/>
      <c r="BR19" s="2">
        <v>27.7</v>
      </c>
      <c r="BS19" s="2"/>
      <c r="BT19" s="2">
        <v>0</v>
      </c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>
        <v>0</v>
      </c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 t="s">
        <v>100</v>
      </c>
      <c r="DK19" s="2" t="s">
        <v>100</v>
      </c>
      <c r="DL19" s="2">
        <f t="shared" si="3"/>
        <v>1.19</v>
      </c>
      <c r="DM19" s="2">
        <f t="shared" si="4"/>
        <v>0.22</v>
      </c>
      <c r="DN19" s="2" t="s">
        <v>353</v>
      </c>
      <c r="DO19" s="2" t="s">
        <v>3</v>
      </c>
      <c r="DP19" s="2">
        <f t="shared" si="5"/>
        <v>1.9216800000000001</v>
      </c>
      <c r="DQ19" s="2">
        <f t="shared" ref="DQ19:DR19" si="333">K19*$I19+AF19*$AD19+BA19*$AY19</f>
        <v>0</v>
      </c>
      <c r="DR19" s="2">
        <f t="shared" si="333"/>
        <v>0</v>
      </c>
      <c r="DS19" s="2">
        <f t="shared" ref="DS19:DX19" si="334">(M19*$I19+AH19*$AD19+BC19*$AY19)/100</f>
        <v>0</v>
      </c>
      <c r="DT19" s="2">
        <f t="shared" si="334"/>
        <v>0</v>
      </c>
      <c r="DU19" s="2">
        <f t="shared" si="334"/>
        <v>0</v>
      </c>
      <c r="DV19" s="2">
        <f t="shared" si="334"/>
        <v>0</v>
      </c>
      <c r="DW19" s="2">
        <f t="shared" si="334"/>
        <v>2.2419600000000002</v>
      </c>
      <c r="DX19" s="2">
        <f t="shared" si="334"/>
        <v>0.41448000000000002</v>
      </c>
      <c r="DY19" s="2">
        <f t="shared" ref="DY19:EC19" si="335">S19*$I19+AN19*$AD19+BI19*$AY19</f>
        <v>0</v>
      </c>
      <c r="DZ19" s="2">
        <f t="shared" si="335"/>
        <v>0</v>
      </c>
      <c r="EA19" s="2">
        <f t="shared" si="335"/>
        <v>0</v>
      </c>
      <c r="EB19" s="2">
        <f t="shared" si="335"/>
        <v>0</v>
      </c>
      <c r="EC19" s="2">
        <f t="shared" si="335"/>
        <v>0</v>
      </c>
      <c r="ED19" s="2">
        <f t="shared" ref="ED19:EE19" si="336">(X19*$I19+AS19*$AD19+BN19*$AY19)/100</f>
        <v>0</v>
      </c>
      <c r="EE19" s="2">
        <f t="shared" si="336"/>
        <v>0</v>
      </c>
      <c r="EF19" s="2"/>
      <c r="EG19" s="2">
        <f t="shared" si="10"/>
        <v>0</v>
      </c>
      <c r="EH19" s="2">
        <f t="shared" si="11"/>
        <v>52.186800000000005</v>
      </c>
      <c r="EI19" s="39">
        <f t="shared" si="12"/>
        <v>12540.145754880001</v>
      </c>
      <c r="EJ19" s="39">
        <f t="shared" ref="EJ19:EK19" si="337">EJ$1*DQ19/1000000</f>
        <v>0</v>
      </c>
      <c r="EK19" s="39">
        <f t="shared" si="337"/>
        <v>0</v>
      </c>
      <c r="EL19" s="39">
        <f t="shared" ref="EL19:EQ19" si="338">EL$1*DS19</f>
        <v>0</v>
      </c>
      <c r="EM19" s="39">
        <f t="shared" si="338"/>
        <v>0</v>
      </c>
      <c r="EN19" s="39">
        <f t="shared" si="338"/>
        <v>0</v>
      </c>
      <c r="EO19" s="39">
        <f t="shared" si="338"/>
        <v>0</v>
      </c>
      <c r="EP19" s="39">
        <f t="shared" si="338"/>
        <v>29401.063440000002</v>
      </c>
      <c r="EQ19" s="39">
        <f t="shared" si="338"/>
        <v>30099.340307519997</v>
      </c>
      <c r="ER19" s="39">
        <f t="shared" ref="ER19:EV19" si="339">ER$1*DY19/1000000</f>
        <v>0</v>
      </c>
      <c r="ES19" s="39">
        <f t="shared" si="339"/>
        <v>0</v>
      </c>
      <c r="ET19" s="39">
        <f t="shared" si="339"/>
        <v>0</v>
      </c>
      <c r="EU19" s="39">
        <f t="shared" si="339"/>
        <v>0</v>
      </c>
      <c r="EV19" s="39">
        <f t="shared" si="339"/>
        <v>0</v>
      </c>
      <c r="EW19" s="39">
        <f t="shared" ref="EW19:EX19" si="340">EW$1*ED19</f>
        <v>0</v>
      </c>
      <c r="EX19" s="39">
        <f t="shared" si="340"/>
        <v>0</v>
      </c>
      <c r="EY19" s="2"/>
      <c r="EZ19" s="39">
        <f t="shared" si="17"/>
        <v>0</v>
      </c>
      <c r="FA19" s="39">
        <f t="shared" si="18"/>
        <v>84922.156363636372</v>
      </c>
      <c r="FB19" s="2">
        <f t="shared" si="19"/>
        <v>0</v>
      </c>
      <c r="FC19" s="2">
        <f t="shared" ref="FC19:FD19" si="341">BV19*$BT19+CQ19*$CO19</f>
        <v>0</v>
      </c>
      <c r="FD19" s="2">
        <f t="shared" si="341"/>
        <v>0</v>
      </c>
      <c r="FE19" s="2">
        <f t="shared" ref="FE19:FJ19" si="342">(BX19*$BT19+CS19*$CO19)/100</f>
        <v>0</v>
      </c>
      <c r="FF19" s="2">
        <f t="shared" si="342"/>
        <v>0</v>
      </c>
      <c r="FG19" s="2">
        <f t="shared" si="342"/>
        <v>0</v>
      </c>
      <c r="FH19" s="2">
        <f t="shared" si="342"/>
        <v>0</v>
      </c>
      <c r="FI19" s="2">
        <f t="shared" si="342"/>
        <v>0</v>
      </c>
      <c r="FJ19" s="2">
        <f t="shared" si="342"/>
        <v>0</v>
      </c>
      <c r="FK19" s="2">
        <f t="shared" ref="FK19:FO19" si="343">CD19*$BT19+CY19*$CO19</f>
        <v>0</v>
      </c>
      <c r="FL19" s="2">
        <f t="shared" si="343"/>
        <v>0</v>
      </c>
      <c r="FM19" s="2">
        <f t="shared" si="343"/>
        <v>0</v>
      </c>
      <c r="FN19" s="2">
        <f t="shared" si="343"/>
        <v>0</v>
      </c>
      <c r="FO19" s="2">
        <f t="shared" si="343"/>
        <v>0</v>
      </c>
      <c r="FP19" s="2">
        <f t="shared" ref="FP19:FQ19" si="344">(CI19*$BT19+DD19*$CO19)/100</f>
        <v>0</v>
      </c>
      <c r="FQ19" s="2">
        <f t="shared" si="344"/>
        <v>0</v>
      </c>
      <c r="FR19" s="2"/>
      <c r="FS19" s="2">
        <f t="shared" si="24"/>
        <v>0</v>
      </c>
      <c r="FT19" s="2">
        <f t="shared" si="25"/>
        <v>0</v>
      </c>
      <c r="FU19" s="39">
        <f t="shared" si="26"/>
        <v>0</v>
      </c>
      <c r="FV19" s="39">
        <f t="shared" ref="FV19:FW19" si="345">FV$1*FC19/1000000</f>
        <v>0</v>
      </c>
      <c r="FW19" s="39">
        <f t="shared" si="345"/>
        <v>0</v>
      </c>
      <c r="FX19" s="39">
        <f t="shared" ref="FX19:GC19" si="346">FX$1*FE19</f>
        <v>0</v>
      </c>
      <c r="FY19" s="39">
        <f t="shared" si="346"/>
        <v>0</v>
      </c>
      <c r="FZ19" s="39">
        <f t="shared" si="346"/>
        <v>0</v>
      </c>
      <c r="GA19" s="39">
        <f t="shared" si="346"/>
        <v>0</v>
      </c>
      <c r="GB19" s="39">
        <f t="shared" si="346"/>
        <v>0</v>
      </c>
      <c r="GC19" s="39">
        <f t="shared" si="346"/>
        <v>0</v>
      </c>
      <c r="GD19" s="39">
        <f t="shared" ref="GD19:GH19" si="347">GD$1*FK19/1000000</f>
        <v>0</v>
      </c>
      <c r="GE19" s="39">
        <f t="shared" si="347"/>
        <v>0</v>
      </c>
      <c r="GF19" s="39">
        <f t="shared" si="347"/>
        <v>0</v>
      </c>
      <c r="GG19" s="39">
        <f t="shared" si="347"/>
        <v>0</v>
      </c>
      <c r="GH19" s="39">
        <f t="shared" si="347"/>
        <v>0</v>
      </c>
      <c r="GI19" s="39">
        <f t="shared" ref="GI19:GJ19" si="348">GI$1*FP19</f>
        <v>0</v>
      </c>
      <c r="GJ19" s="39">
        <f t="shared" si="348"/>
        <v>0</v>
      </c>
      <c r="GK19" s="2"/>
      <c r="GL19" s="39">
        <f t="shared" si="31"/>
        <v>0</v>
      </c>
      <c r="GM19" s="39">
        <f t="shared" si="32"/>
        <v>0</v>
      </c>
      <c r="GN19" s="2" t="s">
        <v>3</v>
      </c>
      <c r="GO19" s="2">
        <f t="shared" si="33"/>
        <v>188.4</v>
      </c>
      <c r="GP19" s="4">
        <f t="shared" si="34"/>
        <v>1.19</v>
      </c>
      <c r="GQ19" s="18">
        <f t="shared" si="35"/>
        <v>2241.96</v>
      </c>
      <c r="GR19" s="15">
        <f t="shared" si="36"/>
        <v>156962.70586603635</v>
      </c>
      <c r="GS19" s="15">
        <f t="shared" si="37"/>
        <v>833.13538145454538</v>
      </c>
      <c r="GT19" s="2">
        <f t="shared" si="38"/>
        <v>0</v>
      </c>
      <c r="GU19" s="2">
        <f t="shared" si="39"/>
        <v>0</v>
      </c>
      <c r="GV19" s="2">
        <f t="shared" si="40"/>
        <v>2241.96</v>
      </c>
      <c r="GW19" s="2">
        <f t="shared" si="41"/>
        <v>0</v>
      </c>
      <c r="GX19" s="2"/>
      <c r="GY19" s="2"/>
      <c r="GZ19" s="2"/>
      <c r="HA19" s="2"/>
      <c r="HB19" s="2">
        <f t="shared" si="42"/>
        <v>0</v>
      </c>
      <c r="HC19" s="2">
        <f t="shared" si="43"/>
        <v>0</v>
      </c>
      <c r="HD19" s="2" t="s">
        <v>3</v>
      </c>
      <c r="HE19" s="2" t="s">
        <v>183</v>
      </c>
      <c r="HF19" s="2" t="s">
        <v>350</v>
      </c>
      <c r="HG19" s="2"/>
      <c r="HH19" s="2"/>
      <c r="HI19" s="2" t="s">
        <v>100</v>
      </c>
      <c r="HJ19" s="2" t="s">
        <v>3</v>
      </c>
      <c r="HK19" s="2" t="s">
        <v>37</v>
      </c>
      <c r="HL19" s="2" t="s">
        <v>1395</v>
      </c>
      <c r="HM19" s="2" t="s">
        <v>100</v>
      </c>
      <c r="HN19" s="2">
        <f t="shared" ref="HN19:HP19" si="349">SUM(GT81:GT92)</f>
        <v>0</v>
      </c>
      <c r="HO19" s="2">
        <f t="shared" si="349"/>
        <v>0</v>
      </c>
      <c r="HP19" s="3">
        <f t="shared" si="349"/>
        <v>4571.7808000000005</v>
      </c>
      <c r="HQ19" s="15">
        <f>SUM(GO81:GO92)</f>
        <v>486.96899999999994</v>
      </c>
      <c r="HR19" s="4">
        <f t="shared" si="45"/>
        <v>0.93882378549763978</v>
      </c>
      <c r="HS19" s="4">
        <f>MIN(GP81:GP92)</f>
        <v>0.63</v>
      </c>
      <c r="HT19" s="4">
        <f>MAX(GP81:GP92)</f>
        <v>1.35</v>
      </c>
      <c r="HU19" s="3">
        <f>SUM(GQ81:GQ92)</f>
        <v>4571.7808000000005</v>
      </c>
      <c r="HV19" s="15">
        <f>SUM(GR81:GR92)/SUM(GO81:GO92)</f>
        <v>259.91859246227671</v>
      </c>
      <c r="HW19" s="2">
        <f>COUNT(GQ81:GQ92)</f>
        <v>12</v>
      </c>
      <c r="HX19" s="2">
        <f t="shared" ref="HX19:HY19" si="350">SUM(HB81:HB92)</f>
        <v>0</v>
      </c>
      <c r="HY19" s="2">
        <f t="shared" si="350"/>
        <v>0</v>
      </c>
      <c r="HZ19" s="2" t="s">
        <v>176</v>
      </c>
      <c r="IA19" s="2" t="s">
        <v>176</v>
      </c>
      <c r="IB19" s="2" t="s">
        <v>176</v>
      </c>
      <c r="IC19" s="2" t="s">
        <v>176</v>
      </c>
      <c r="ID19" s="2">
        <f>COUNT(GY81:GY92)</f>
        <v>0</v>
      </c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 t="s">
        <v>3</v>
      </c>
    </row>
    <row r="20" spans="1:268" ht="15.75" customHeight="1" x14ac:dyDescent="0.2">
      <c r="A20" s="21" t="s">
        <v>825</v>
      </c>
      <c r="B20" s="2" t="s">
        <v>99</v>
      </c>
      <c r="C20" s="2"/>
      <c r="D20" s="2"/>
      <c r="E20" s="2"/>
      <c r="F20" s="2" t="s">
        <v>79</v>
      </c>
      <c r="G20" s="2"/>
      <c r="H20" s="2"/>
      <c r="I20" s="2">
        <v>0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>
        <v>0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15">
        <f>2*0.9072</f>
        <v>1.8144</v>
      </c>
      <c r="AZ20" s="2">
        <v>0.13</v>
      </c>
      <c r="BA20" s="2"/>
      <c r="BB20" s="2"/>
      <c r="BC20" s="2"/>
      <c r="BD20" s="2"/>
      <c r="BE20" s="2">
        <v>3.3</v>
      </c>
      <c r="BF20" s="2"/>
      <c r="BG20" s="2">
        <v>0.46</v>
      </c>
      <c r="BH20" s="2">
        <v>0.28000000000000003</v>
      </c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>
        <v>0</v>
      </c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>
        <v>0</v>
      </c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 t="s">
        <v>100</v>
      </c>
      <c r="DK20" s="2" t="s">
        <v>100</v>
      </c>
      <c r="DL20" s="2">
        <f t="shared" si="3"/>
        <v>0.46</v>
      </c>
      <c r="DM20" s="2">
        <f t="shared" si="4"/>
        <v>0.28000000000000003</v>
      </c>
      <c r="DN20" s="2" t="s">
        <v>826</v>
      </c>
      <c r="DO20" s="2" t="s">
        <v>3</v>
      </c>
      <c r="DP20" s="2">
        <f t="shared" si="5"/>
        <v>2.3587199999999999E-3</v>
      </c>
      <c r="DQ20" s="2">
        <f t="shared" ref="DQ20:DR20" si="351">K20*$I20+AF20*$AD20+BA20*$AY20</f>
        <v>0</v>
      </c>
      <c r="DR20" s="2">
        <f t="shared" si="351"/>
        <v>0</v>
      </c>
      <c r="DS20" s="2">
        <f t="shared" ref="DS20:DX20" si="352">(M20*$I20+AH20*$AD20+BC20*$AY20)/100</f>
        <v>0</v>
      </c>
      <c r="DT20" s="2">
        <f t="shared" si="352"/>
        <v>0</v>
      </c>
      <c r="DU20" s="2">
        <f t="shared" si="352"/>
        <v>5.9875199999999996E-2</v>
      </c>
      <c r="DV20" s="2">
        <f t="shared" si="352"/>
        <v>0</v>
      </c>
      <c r="DW20" s="2">
        <f t="shared" si="352"/>
        <v>8.3462399999999996E-3</v>
      </c>
      <c r="DX20" s="2">
        <f t="shared" si="352"/>
        <v>5.0803200000000001E-3</v>
      </c>
      <c r="DY20" s="2">
        <f t="shared" ref="DY20:EC20" si="353">S20*$I20+AN20*$AD20+BI20*$AY20</f>
        <v>0</v>
      </c>
      <c r="DZ20" s="2">
        <f t="shared" si="353"/>
        <v>0</v>
      </c>
      <c r="EA20" s="2">
        <f t="shared" si="353"/>
        <v>0</v>
      </c>
      <c r="EB20" s="2">
        <f t="shared" si="353"/>
        <v>0</v>
      </c>
      <c r="EC20" s="2">
        <f t="shared" si="353"/>
        <v>0</v>
      </c>
      <c r="ED20" s="2">
        <f t="shared" ref="ED20:EE20" si="354">(X20*$I20+AS20*$AD20+BN20*$AY20)/100</f>
        <v>0</v>
      </c>
      <c r="EE20" s="2">
        <f t="shared" si="354"/>
        <v>0</v>
      </c>
      <c r="EF20" s="2"/>
      <c r="EG20" s="2">
        <f t="shared" si="10"/>
        <v>0</v>
      </c>
      <c r="EH20" s="2">
        <f t="shared" si="11"/>
        <v>0</v>
      </c>
      <c r="EI20" s="39">
        <f t="shared" si="12"/>
        <v>15.39210097152</v>
      </c>
      <c r="EJ20" s="39">
        <f t="shared" ref="EJ20:EK20" si="355">EJ$1*DQ20/1000000</f>
        <v>0</v>
      </c>
      <c r="EK20" s="39">
        <f t="shared" si="355"/>
        <v>0</v>
      </c>
      <c r="EL20" s="39">
        <f t="shared" ref="EL20:EQ20" si="356">EL$1*DS20</f>
        <v>0</v>
      </c>
      <c r="EM20" s="39">
        <f t="shared" si="356"/>
        <v>0</v>
      </c>
      <c r="EN20" s="39">
        <f t="shared" si="356"/>
        <v>134.37688150655998</v>
      </c>
      <c r="EO20" s="39">
        <f t="shared" si="356"/>
        <v>0</v>
      </c>
      <c r="EP20" s="39">
        <f t="shared" si="356"/>
        <v>109.45259136</v>
      </c>
      <c r="EQ20" s="39">
        <f t="shared" si="356"/>
        <v>368.93042016767998</v>
      </c>
      <c r="ER20" s="39">
        <f t="shared" ref="ER20:EV20" si="357">ER$1*DY20/1000000</f>
        <v>0</v>
      </c>
      <c r="ES20" s="39">
        <f t="shared" si="357"/>
        <v>0</v>
      </c>
      <c r="ET20" s="39">
        <f t="shared" si="357"/>
        <v>0</v>
      </c>
      <c r="EU20" s="39">
        <f t="shared" si="357"/>
        <v>0</v>
      </c>
      <c r="EV20" s="39">
        <f t="shared" si="357"/>
        <v>0</v>
      </c>
      <c r="EW20" s="39">
        <f t="shared" ref="EW20:EX20" si="358">EW$1*ED20</f>
        <v>0</v>
      </c>
      <c r="EX20" s="39">
        <f t="shared" si="358"/>
        <v>0</v>
      </c>
      <c r="EY20" s="2"/>
      <c r="EZ20" s="39">
        <f t="shared" si="17"/>
        <v>0</v>
      </c>
      <c r="FA20" s="39">
        <f t="shared" si="18"/>
        <v>0</v>
      </c>
      <c r="FB20" s="2">
        <f t="shared" si="19"/>
        <v>0</v>
      </c>
      <c r="FC20" s="2">
        <f t="shared" ref="FC20:FD20" si="359">BV20*$BT20+CQ20*$CO20</f>
        <v>0</v>
      </c>
      <c r="FD20" s="2">
        <f t="shared" si="359"/>
        <v>0</v>
      </c>
      <c r="FE20" s="2">
        <f t="shared" ref="FE20:FJ20" si="360">(BX20*$BT20+CS20*$CO20)/100</f>
        <v>0</v>
      </c>
      <c r="FF20" s="2">
        <f t="shared" si="360"/>
        <v>0</v>
      </c>
      <c r="FG20" s="2">
        <f t="shared" si="360"/>
        <v>0</v>
      </c>
      <c r="FH20" s="2">
        <f t="shared" si="360"/>
        <v>0</v>
      </c>
      <c r="FI20" s="2">
        <f t="shared" si="360"/>
        <v>0</v>
      </c>
      <c r="FJ20" s="2">
        <f t="shared" si="360"/>
        <v>0</v>
      </c>
      <c r="FK20" s="2">
        <f t="shared" ref="FK20:FO20" si="361">CD20*$BT20+CY20*$CO20</f>
        <v>0</v>
      </c>
      <c r="FL20" s="2">
        <f t="shared" si="361"/>
        <v>0</v>
      </c>
      <c r="FM20" s="2">
        <f t="shared" si="361"/>
        <v>0</v>
      </c>
      <c r="FN20" s="2">
        <f t="shared" si="361"/>
        <v>0</v>
      </c>
      <c r="FO20" s="2">
        <f t="shared" si="361"/>
        <v>0</v>
      </c>
      <c r="FP20" s="2">
        <f t="shared" ref="FP20:FQ20" si="362">(CI20*$BT20+DD20*$CO20)/100</f>
        <v>0</v>
      </c>
      <c r="FQ20" s="2">
        <f t="shared" si="362"/>
        <v>0</v>
      </c>
      <c r="FR20" s="2"/>
      <c r="FS20" s="2">
        <f t="shared" si="24"/>
        <v>0</v>
      </c>
      <c r="FT20" s="2">
        <f t="shared" si="25"/>
        <v>0</v>
      </c>
      <c r="FU20" s="39">
        <f t="shared" si="26"/>
        <v>0</v>
      </c>
      <c r="FV20" s="39">
        <f t="shared" ref="FV20:FW20" si="363">FV$1*FC20/1000000</f>
        <v>0</v>
      </c>
      <c r="FW20" s="39">
        <f t="shared" si="363"/>
        <v>0</v>
      </c>
      <c r="FX20" s="39">
        <f t="shared" ref="FX20:GC20" si="364">FX$1*FE20</f>
        <v>0</v>
      </c>
      <c r="FY20" s="39">
        <f t="shared" si="364"/>
        <v>0</v>
      </c>
      <c r="FZ20" s="39">
        <f t="shared" si="364"/>
        <v>0</v>
      </c>
      <c r="GA20" s="39">
        <f t="shared" si="364"/>
        <v>0</v>
      </c>
      <c r="GB20" s="39">
        <f t="shared" si="364"/>
        <v>0</v>
      </c>
      <c r="GC20" s="39">
        <f t="shared" si="364"/>
        <v>0</v>
      </c>
      <c r="GD20" s="39">
        <f t="shared" ref="GD20:GH20" si="365">GD$1*FK20/1000000</f>
        <v>0</v>
      </c>
      <c r="GE20" s="39">
        <f t="shared" si="365"/>
        <v>0</v>
      </c>
      <c r="GF20" s="39">
        <f t="shared" si="365"/>
        <v>0</v>
      </c>
      <c r="GG20" s="39">
        <f t="shared" si="365"/>
        <v>0</v>
      </c>
      <c r="GH20" s="39">
        <f t="shared" si="365"/>
        <v>0</v>
      </c>
      <c r="GI20" s="39">
        <f t="shared" ref="GI20:GJ20" si="366">GI$1*FP20</f>
        <v>0</v>
      </c>
      <c r="GJ20" s="39">
        <f t="shared" si="366"/>
        <v>0</v>
      </c>
      <c r="GK20" s="2"/>
      <c r="GL20" s="39">
        <f t="shared" si="31"/>
        <v>0</v>
      </c>
      <c r="GM20" s="39">
        <f t="shared" si="32"/>
        <v>0</v>
      </c>
      <c r="GN20" s="2" t="s">
        <v>3</v>
      </c>
      <c r="GO20" s="19">
        <f t="shared" si="33"/>
        <v>1.8144</v>
      </c>
      <c r="GP20" s="2">
        <f t="shared" si="34"/>
        <v>0.46</v>
      </c>
      <c r="GQ20" s="15">
        <f t="shared" si="35"/>
        <v>8.3462399999999999</v>
      </c>
      <c r="GR20" s="15">
        <f t="shared" si="36"/>
        <v>628.15199400575989</v>
      </c>
      <c r="GS20" s="15">
        <f t="shared" si="37"/>
        <v>346.20370039999995</v>
      </c>
      <c r="GT20" s="2">
        <f t="shared" si="38"/>
        <v>0</v>
      </c>
      <c r="GU20" s="2">
        <f t="shared" si="39"/>
        <v>0</v>
      </c>
      <c r="GV20" s="2">
        <f t="shared" si="40"/>
        <v>8.3462399999999999</v>
      </c>
      <c r="GW20" s="2">
        <f t="shared" si="41"/>
        <v>0</v>
      </c>
      <c r="GX20" s="2"/>
      <c r="GY20" s="2"/>
      <c r="GZ20" s="2"/>
      <c r="HA20" s="2"/>
      <c r="HB20" s="2">
        <f t="shared" si="42"/>
        <v>0</v>
      </c>
      <c r="HC20" s="2">
        <f t="shared" si="43"/>
        <v>0</v>
      </c>
      <c r="HD20" s="2" t="s">
        <v>3</v>
      </c>
      <c r="HE20" s="2" t="s">
        <v>183</v>
      </c>
      <c r="HF20" s="2" t="s">
        <v>529</v>
      </c>
      <c r="HG20" s="2" t="s">
        <v>530</v>
      </c>
      <c r="HH20" s="2"/>
      <c r="HI20" s="2" t="s">
        <v>100</v>
      </c>
      <c r="HJ20" s="2" t="s">
        <v>3</v>
      </c>
      <c r="HK20" s="2" t="s">
        <v>37</v>
      </c>
      <c r="HL20" s="2" t="s">
        <v>1396</v>
      </c>
      <c r="HM20" s="2" t="s">
        <v>81</v>
      </c>
      <c r="HN20" s="3">
        <f t="shared" ref="HN20:HP20" si="367">SUM(GT93:GT122)</f>
        <v>8066.0699138</v>
      </c>
      <c r="HO20" s="3">
        <f t="shared" si="367"/>
        <v>12843.8550297</v>
      </c>
      <c r="HP20" s="3">
        <f t="shared" si="367"/>
        <v>12602.664912800001</v>
      </c>
      <c r="HQ20" s="3">
        <f>SUM(GO93:GO122)</f>
        <v>2075.4118050000002</v>
      </c>
      <c r="HR20" s="4">
        <f t="shared" si="45"/>
        <v>1.6147441088830077</v>
      </c>
      <c r="HS20" s="4">
        <f>MIN(GP93:GP122)</f>
        <v>0.36276043493511045</v>
      </c>
      <c r="HT20" s="4">
        <f>MAX(GP93:GP122)</f>
        <v>2.4668866571018651</v>
      </c>
      <c r="HU20" s="3">
        <f>SUM(GQ93:GQ122)</f>
        <v>33512.589856299994</v>
      </c>
      <c r="HV20" s="15">
        <f>SUM(GR93:GR122)/SUM(GO93:GO122)</f>
        <v>237.5051365059397</v>
      </c>
      <c r="HW20" s="2">
        <f>COUNT(GQ93:GQ122)</f>
        <v>30</v>
      </c>
      <c r="HX20" s="3">
        <f t="shared" ref="HX20:HY20" si="368">SUM(HB93:HB122)</f>
        <v>6101.3109999999997</v>
      </c>
      <c r="HY20" s="3">
        <f t="shared" si="368"/>
        <v>6133.8982000000005</v>
      </c>
      <c r="HZ20" s="3">
        <f>SUM(GW93:GW122)</f>
        <v>727.85199999999998</v>
      </c>
      <c r="IA20" s="4">
        <f>100*(IB20/1000)/HZ20</f>
        <v>1.6810023466309088</v>
      </c>
      <c r="IB20" s="3">
        <f>SUM(GY93:GY122)</f>
        <v>12235.209200000001</v>
      </c>
      <c r="IC20" s="15">
        <f>SUM(GZ93:GZ122)/SUM(GW93:GW122)</f>
        <v>234.60093402979726</v>
      </c>
      <c r="ID20" s="2">
        <f>COUNT(GY93:GY122)</f>
        <v>13</v>
      </c>
      <c r="IE20" s="2"/>
      <c r="IF20" s="39">
        <f t="shared" ref="IF20:IN20" si="369">100*SUM(EI93:EI122)/SUM($EI93:$FA122)</f>
        <v>0</v>
      </c>
      <c r="IG20" s="39">
        <f t="shared" si="369"/>
        <v>0</v>
      </c>
      <c r="IH20" s="39">
        <f t="shared" si="369"/>
        <v>0</v>
      </c>
      <c r="II20" s="39">
        <f t="shared" si="369"/>
        <v>0</v>
      </c>
      <c r="IJ20" s="39">
        <f t="shared" si="369"/>
        <v>0</v>
      </c>
      <c r="IK20" s="39">
        <f t="shared" si="369"/>
        <v>0</v>
      </c>
      <c r="IL20" s="39">
        <f t="shared" si="369"/>
        <v>0</v>
      </c>
      <c r="IM20" s="15">
        <f t="shared" si="369"/>
        <v>89.159142220750155</v>
      </c>
      <c r="IN20" s="15">
        <f t="shared" si="369"/>
        <v>7.6746606235497872</v>
      </c>
      <c r="IO20" s="39">
        <f>100*SUM(ER93:EV122)/SUM($EI93:$FA122)</f>
        <v>0</v>
      </c>
      <c r="IP20" s="26">
        <f t="shared" ref="IP20:IQ20" si="370">100*SUM(EW93:EW122)/SUM($EI93:$FA122)</f>
        <v>2.5396523607109272E-3</v>
      </c>
      <c r="IQ20" s="15">
        <f t="shared" si="370"/>
        <v>3.1636575033393504</v>
      </c>
      <c r="IR20" s="39">
        <f t="shared" ref="IR20:IS20" si="371">100*SUM(EZ93:EZ122)/SUM($EI93:$FA122)</f>
        <v>0</v>
      </c>
      <c r="IS20" s="39">
        <f t="shared" si="371"/>
        <v>0</v>
      </c>
      <c r="IT20" s="39">
        <f t="shared" ref="IT20:JB20" si="372">100*SUM(FU93:FU122)/SUM($FU93:$GM122)</f>
        <v>0</v>
      </c>
      <c r="IU20" s="39">
        <f t="shared" si="372"/>
        <v>0</v>
      </c>
      <c r="IV20" s="39">
        <f t="shared" si="372"/>
        <v>0</v>
      </c>
      <c r="IW20" s="39">
        <f t="shared" si="372"/>
        <v>0</v>
      </c>
      <c r="IX20" s="39">
        <f t="shared" si="372"/>
        <v>0</v>
      </c>
      <c r="IY20" s="39">
        <f t="shared" si="372"/>
        <v>0</v>
      </c>
      <c r="IZ20" s="39">
        <f t="shared" si="372"/>
        <v>0</v>
      </c>
      <c r="JA20" s="15">
        <f t="shared" si="372"/>
        <v>93.966653904787023</v>
      </c>
      <c r="JB20" s="15">
        <f t="shared" si="372"/>
        <v>3.5338673787727526</v>
      </c>
      <c r="JC20" s="39">
        <f>100*SUM(GD93:GH122)/SUM($FU93:$GM122)</f>
        <v>0</v>
      </c>
      <c r="JD20" s="39">
        <f t="shared" ref="JD20:JE20" si="373">100*SUM(GI93:GI122)/SUM($FU93:$GM122)</f>
        <v>0</v>
      </c>
      <c r="JE20" s="15">
        <f t="shared" si="373"/>
        <v>2.4994787164402164</v>
      </c>
      <c r="JF20" s="39">
        <f t="shared" ref="JF20:JG20" si="374">100*SUM(GL93:GL122)/SUM($FU93:$GM122)</f>
        <v>0</v>
      </c>
      <c r="JG20" s="39">
        <f t="shared" si="374"/>
        <v>0</v>
      </c>
      <c r="JH20" s="2" t="s">
        <v>3</v>
      </c>
    </row>
    <row r="21" spans="1:268" ht="15.75" customHeight="1" x14ac:dyDescent="0.2">
      <c r="A21" s="21" t="s">
        <v>527</v>
      </c>
      <c r="B21" s="2" t="s">
        <v>99</v>
      </c>
      <c r="C21" s="2"/>
      <c r="D21" s="2"/>
      <c r="E21" s="2"/>
      <c r="F21" s="2" t="s">
        <v>79</v>
      </c>
      <c r="G21" s="2"/>
      <c r="H21" s="2"/>
      <c r="I21" s="2">
        <v>0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>
        <v>0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>
        <v>3.55</v>
      </c>
      <c r="AZ21" s="2">
        <v>0.34</v>
      </c>
      <c r="BA21" s="2"/>
      <c r="BB21" s="2"/>
      <c r="BC21" s="2"/>
      <c r="BD21" s="2"/>
      <c r="BE21" s="2">
        <v>4.5999999999999996</v>
      </c>
      <c r="BF21" s="2">
        <v>1.4</v>
      </c>
      <c r="BG21" s="4">
        <f>1.3*BH21</f>
        <v>0.10400000000000001</v>
      </c>
      <c r="BH21" s="2">
        <v>0.08</v>
      </c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>
        <v>0</v>
      </c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>
        <v>0</v>
      </c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 t="s">
        <v>100</v>
      </c>
      <c r="DK21" s="2" t="s">
        <v>100</v>
      </c>
      <c r="DL21" s="2">
        <f t="shared" si="3"/>
        <v>0.10400000000000001</v>
      </c>
      <c r="DM21" s="2">
        <f t="shared" si="4"/>
        <v>0.08</v>
      </c>
      <c r="DN21" s="2" t="s">
        <v>528</v>
      </c>
      <c r="DO21" s="2" t="s">
        <v>3</v>
      </c>
      <c r="DP21" s="2">
        <f t="shared" si="5"/>
        <v>1.2070000000000001E-2</v>
      </c>
      <c r="DQ21" s="2">
        <f t="shared" ref="DQ21:DR21" si="375">K21*$I21+AF21*$AD21+BA21*$AY21</f>
        <v>0</v>
      </c>
      <c r="DR21" s="2">
        <f t="shared" si="375"/>
        <v>0</v>
      </c>
      <c r="DS21" s="2">
        <f t="shared" ref="DS21:DX21" si="376">(M21*$I21+AH21*$AD21+BC21*$AY21)/100</f>
        <v>0</v>
      </c>
      <c r="DT21" s="2">
        <f t="shared" si="376"/>
        <v>0</v>
      </c>
      <c r="DU21" s="2">
        <f t="shared" si="376"/>
        <v>0.16329999999999997</v>
      </c>
      <c r="DV21" s="2">
        <f t="shared" si="376"/>
        <v>4.9699999999999994E-2</v>
      </c>
      <c r="DW21" s="2">
        <f t="shared" si="376"/>
        <v>3.6920000000000004E-3</v>
      </c>
      <c r="DX21" s="2">
        <f t="shared" si="376"/>
        <v>2.8399999999999996E-3</v>
      </c>
      <c r="DY21" s="2">
        <f t="shared" ref="DY21:EC21" si="377">S21*$I21+AN21*$AD21+BI21*$AY21</f>
        <v>0</v>
      </c>
      <c r="DZ21" s="2">
        <f t="shared" si="377"/>
        <v>0</v>
      </c>
      <c r="EA21" s="2">
        <f t="shared" si="377"/>
        <v>0</v>
      </c>
      <c r="EB21" s="2">
        <f t="shared" si="377"/>
        <v>0</v>
      </c>
      <c r="EC21" s="2">
        <f t="shared" si="377"/>
        <v>0</v>
      </c>
      <c r="ED21" s="2">
        <f t="shared" ref="ED21:EE21" si="378">(X21*$I21+AS21*$AD21+BN21*$AY21)/100</f>
        <v>0</v>
      </c>
      <c r="EE21" s="2">
        <f t="shared" si="378"/>
        <v>0</v>
      </c>
      <c r="EF21" s="2"/>
      <c r="EG21" s="2">
        <f t="shared" si="10"/>
        <v>0</v>
      </c>
      <c r="EH21" s="2">
        <f t="shared" si="11"/>
        <v>0</v>
      </c>
      <c r="EI21" s="39">
        <f t="shared" si="12"/>
        <v>78.764185120000008</v>
      </c>
      <c r="EJ21" s="39">
        <f t="shared" ref="EJ21:EK21" si="379">EJ$1*DQ21/1000000</f>
        <v>0</v>
      </c>
      <c r="EK21" s="39">
        <f t="shared" si="379"/>
        <v>0</v>
      </c>
      <c r="EL21" s="39">
        <f t="shared" ref="EL21:EQ21" si="380">EL$1*DS21</f>
        <v>0</v>
      </c>
      <c r="EM21" s="39">
        <f t="shared" si="380"/>
        <v>0</v>
      </c>
      <c r="EN21" s="39">
        <f t="shared" si="380"/>
        <v>366.49138123999995</v>
      </c>
      <c r="EO21" s="39">
        <f t="shared" si="380"/>
        <v>145.39755873999997</v>
      </c>
      <c r="EP21" s="39">
        <f t="shared" si="380"/>
        <v>48.416888000000007</v>
      </c>
      <c r="EQ21" s="39">
        <f t="shared" si="380"/>
        <v>206.23944815999994</v>
      </c>
      <c r="ER21" s="39">
        <f t="shared" ref="ER21:EV21" si="381">ER$1*DY21/1000000</f>
        <v>0</v>
      </c>
      <c r="ES21" s="39">
        <f t="shared" si="381"/>
        <v>0</v>
      </c>
      <c r="ET21" s="39">
        <f t="shared" si="381"/>
        <v>0</v>
      </c>
      <c r="EU21" s="39">
        <f t="shared" si="381"/>
        <v>0</v>
      </c>
      <c r="EV21" s="39">
        <f t="shared" si="381"/>
        <v>0</v>
      </c>
      <c r="EW21" s="39">
        <f t="shared" ref="EW21:EX21" si="382">EW$1*ED21</f>
        <v>0</v>
      </c>
      <c r="EX21" s="39">
        <f t="shared" si="382"/>
        <v>0</v>
      </c>
      <c r="EY21" s="2"/>
      <c r="EZ21" s="39">
        <f t="shared" si="17"/>
        <v>0</v>
      </c>
      <c r="FA21" s="39">
        <f t="shared" si="18"/>
        <v>0</v>
      </c>
      <c r="FB21" s="2">
        <f t="shared" si="19"/>
        <v>0</v>
      </c>
      <c r="FC21" s="2">
        <f t="shared" ref="FC21:FD21" si="383">BV21*$BT21+CQ21*$CO21</f>
        <v>0</v>
      </c>
      <c r="FD21" s="2">
        <f t="shared" si="383"/>
        <v>0</v>
      </c>
      <c r="FE21" s="2">
        <f t="shared" ref="FE21:FJ21" si="384">(BX21*$BT21+CS21*$CO21)/100</f>
        <v>0</v>
      </c>
      <c r="FF21" s="2">
        <f t="shared" si="384"/>
        <v>0</v>
      </c>
      <c r="FG21" s="2">
        <f t="shared" si="384"/>
        <v>0</v>
      </c>
      <c r="FH21" s="2">
        <f t="shared" si="384"/>
        <v>0</v>
      </c>
      <c r="FI21" s="2">
        <f t="shared" si="384"/>
        <v>0</v>
      </c>
      <c r="FJ21" s="2">
        <f t="shared" si="384"/>
        <v>0</v>
      </c>
      <c r="FK21" s="2">
        <f t="shared" ref="FK21:FO21" si="385">CD21*$BT21+CY21*$CO21</f>
        <v>0</v>
      </c>
      <c r="FL21" s="2">
        <f t="shared" si="385"/>
        <v>0</v>
      </c>
      <c r="FM21" s="2">
        <f t="shared" si="385"/>
        <v>0</v>
      </c>
      <c r="FN21" s="2">
        <f t="shared" si="385"/>
        <v>0</v>
      </c>
      <c r="FO21" s="2">
        <f t="shared" si="385"/>
        <v>0</v>
      </c>
      <c r="FP21" s="2">
        <f t="shared" ref="FP21:FQ21" si="386">(CI21*$BT21+DD21*$CO21)/100</f>
        <v>0</v>
      </c>
      <c r="FQ21" s="2">
        <f t="shared" si="386"/>
        <v>0</v>
      </c>
      <c r="FR21" s="2"/>
      <c r="FS21" s="2">
        <f t="shared" si="24"/>
        <v>0</v>
      </c>
      <c r="FT21" s="2">
        <f t="shared" si="25"/>
        <v>0</v>
      </c>
      <c r="FU21" s="39">
        <f t="shared" si="26"/>
        <v>0</v>
      </c>
      <c r="FV21" s="39">
        <f t="shared" ref="FV21:FW21" si="387">FV$1*FC21/1000000</f>
        <v>0</v>
      </c>
      <c r="FW21" s="39">
        <f t="shared" si="387"/>
        <v>0</v>
      </c>
      <c r="FX21" s="39">
        <f t="shared" ref="FX21:GC21" si="388">FX$1*FE21</f>
        <v>0</v>
      </c>
      <c r="FY21" s="39">
        <f t="shared" si="388"/>
        <v>0</v>
      </c>
      <c r="FZ21" s="39">
        <f t="shared" si="388"/>
        <v>0</v>
      </c>
      <c r="GA21" s="39">
        <f t="shared" si="388"/>
        <v>0</v>
      </c>
      <c r="GB21" s="39">
        <f t="shared" si="388"/>
        <v>0</v>
      </c>
      <c r="GC21" s="39">
        <f t="shared" si="388"/>
        <v>0</v>
      </c>
      <c r="GD21" s="39">
        <f t="shared" ref="GD21:GH21" si="389">GD$1*FK21/1000000</f>
        <v>0</v>
      </c>
      <c r="GE21" s="39">
        <f t="shared" si="389"/>
        <v>0</v>
      </c>
      <c r="GF21" s="39">
        <f t="shared" si="389"/>
        <v>0</v>
      </c>
      <c r="GG21" s="39">
        <f t="shared" si="389"/>
        <v>0</v>
      </c>
      <c r="GH21" s="39">
        <f t="shared" si="389"/>
        <v>0</v>
      </c>
      <c r="GI21" s="39">
        <f t="shared" ref="GI21:GJ21" si="390">GI$1*FP21</f>
        <v>0</v>
      </c>
      <c r="GJ21" s="39">
        <f t="shared" si="390"/>
        <v>0</v>
      </c>
      <c r="GK21" s="2"/>
      <c r="GL21" s="39">
        <f t="shared" si="31"/>
        <v>0</v>
      </c>
      <c r="GM21" s="39">
        <f t="shared" si="32"/>
        <v>0</v>
      </c>
      <c r="GN21" s="2" t="s">
        <v>3</v>
      </c>
      <c r="GO21" s="2">
        <f t="shared" si="33"/>
        <v>3.55</v>
      </c>
      <c r="GP21" s="2">
        <f t="shared" si="34"/>
        <v>0.10400000000000001</v>
      </c>
      <c r="GQ21" s="15">
        <f t="shared" si="35"/>
        <v>3.6920000000000006</v>
      </c>
      <c r="GR21" s="15">
        <f t="shared" si="36"/>
        <v>845.30946125999981</v>
      </c>
      <c r="GS21" s="15">
        <f t="shared" si="37"/>
        <v>238.11534119999996</v>
      </c>
      <c r="GT21" s="2">
        <f t="shared" si="38"/>
        <v>0</v>
      </c>
      <c r="GU21" s="2">
        <f t="shared" si="39"/>
        <v>0</v>
      </c>
      <c r="GV21" s="2">
        <f t="shared" si="40"/>
        <v>3.6920000000000006</v>
      </c>
      <c r="GW21" s="2">
        <f t="shared" si="41"/>
        <v>0</v>
      </c>
      <c r="GX21" s="2"/>
      <c r="GY21" s="2"/>
      <c r="GZ21" s="2"/>
      <c r="HA21" s="2"/>
      <c r="HB21" s="2">
        <f t="shared" si="42"/>
        <v>0</v>
      </c>
      <c r="HC21" s="2">
        <f t="shared" si="43"/>
        <v>0</v>
      </c>
      <c r="HD21" s="2" t="s">
        <v>3</v>
      </c>
      <c r="HE21" s="2" t="s">
        <v>183</v>
      </c>
      <c r="HF21" s="2" t="s">
        <v>529</v>
      </c>
      <c r="HG21" s="2" t="s">
        <v>530</v>
      </c>
      <c r="HH21" s="2"/>
      <c r="HI21" s="2" t="s">
        <v>100</v>
      </c>
      <c r="HJ21" s="2" t="s">
        <v>3</v>
      </c>
      <c r="HK21" s="2" t="s">
        <v>37</v>
      </c>
      <c r="HL21" s="2" t="s">
        <v>1396</v>
      </c>
      <c r="HM21" s="2" t="s">
        <v>100</v>
      </c>
      <c r="HN21" s="2">
        <f t="shared" ref="HN21:HP21" si="391">SUM(GT123:GT148)</f>
        <v>0</v>
      </c>
      <c r="HO21" s="2">
        <f t="shared" si="391"/>
        <v>0</v>
      </c>
      <c r="HP21" s="3">
        <f t="shared" si="391"/>
        <v>24444.268019999996</v>
      </c>
      <c r="HQ21" s="3">
        <f>SUM(GO123:GO148)</f>
        <v>2099.2922999999996</v>
      </c>
      <c r="HR21" s="4">
        <f t="shared" si="45"/>
        <v>1.164405167398556</v>
      </c>
      <c r="HS21" s="4">
        <f>MIN(GP123:GP148)</f>
        <v>0.77</v>
      </c>
      <c r="HT21" s="4">
        <f>MAX(GP123:GP148)</f>
        <v>2.15</v>
      </c>
      <c r="HU21" s="3">
        <f>SUM(GQ123:GQ148)</f>
        <v>24444.268019999996</v>
      </c>
      <c r="HV21" s="15">
        <f>SUM(GR123:GR148)/SUM(GO123:GO148)</f>
        <v>201.80088047733014</v>
      </c>
      <c r="HW21" s="2">
        <f>COUNT(GQ123:GQ148)</f>
        <v>26</v>
      </c>
      <c r="HX21" s="2">
        <f t="shared" ref="HX21:HY21" si="392">SUM(HB123:HB148)</f>
        <v>0</v>
      </c>
      <c r="HY21" s="2">
        <f t="shared" si="392"/>
        <v>0</v>
      </c>
      <c r="HZ21" s="2" t="s">
        <v>176</v>
      </c>
      <c r="IA21" s="2" t="s">
        <v>176</v>
      </c>
      <c r="IB21" s="2" t="s">
        <v>176</v>
      </c>
      <c r="IC21" s="2" t="s">
        <v>176</v>
      </c>
      <c r="ID21" s="2">
        <f>COUNT(GY123:GY148)</f>
        <v>0</v>
      </c>
      <c r="IE21" s="2"/>
      <c r="IF21" s="39">
        <f t="shared" ref="IF21:IN21" si="393">100*SUM(EI123:EI148)/SUM($EI123:$FA148)</f>
        <v>0</v>
      </c>
      <c r="IG21" s="39">
        <f t="shared" si="393"/>
        <v>0</v>
      </c>
      <c r="IH21" s="39">
        <f t="shared" si="393"/>
        <v>0</v>
      </c>
      <c r="II21" s="39">
        <f t="shared" si="393"/>
        <v>0</v>
      </c>
      <c r="IJ21" s="39">
        <f t="shared" si="393"/>
        <v>0</v>
      </c>
      <c r="IK21" s="39">
        <f t="shared" si="393"/>
        <v>0</v>
      </c>
      <c r="IL21" s="39">
        <f t="shared" si="393"/>
        <v>0</v>
      </c>
      <c r="IM21" s="15">
        <f t="shared" si="393"/>
        <v>75.668695444468426</v>
      </c>
      <c r="IN21" s="15">
        <f t="shared" si="393"/>
        <v>14.034006981141465</v>
      </c>
      <c r="IO21" s="15">
        <f>100*SUM(ER123:EV148)/SUM($EI123:$FA148)</f>
        <v>10.297297574390115</v>
      </c>
      <c r="IP21" s="39">
        <f t="shared" ref="IP21:IQ21" si="394">100*SUM(EW123:EW148)/SUM($EI123:$FA148)</f>
        <v>0</v>
      </c>
      <c r="IQ21" s="39">
        <f t="shared" si="394"/>
        <v>0</v>
      </c>
      <c r="IR21" s="39">
        <f t="shared" ref="IR21:IS21" si="395">100*SUM(EZ123:EZ148)/SUM($EI123:$FA148)</f>
        <v>0</v>
      </c>
      <c r="IS21" s="39">
        <f t="shared" si="395"/>
        <v>0</v>
      </c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 t="s">
        <v>3</v>
      </c>
    </row>
    <row r="22" spans="1:268" ht="15.75" customHeight="1" x14ac:dyDescent="0.2">
      <c r="A22" s="21" t="s">
        <v>1172</v>
      </c>
      <c r="B22" s="2" t="s">
        <v>99</v>
      </c>
      <c r="C22" s="2"/>
      <c r="D22" s="2"/>
      <c r="E22" s="2" t="s">
        <v>78</v>
      </c>
      <c r="F22" s="2" t="s">
        <v>1173</v>
      </c>
      <c r="G22" s="2"/>
      <c r="H22" s="2" t="s">
        <v>181</v>
      </c>
      <c r="I22" s="2">
        <v>0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>
        <f>0.406+0.286</f>
        <v>0.69199999999999995</v>
      </c>
      <c r="AE22" s="4">
        <f>(0.16*0.406+0.09*0.286)/AD22</f>
        <v>0.13106936416184972</v>
      </c>
      <c r="AF22" s="2"/>
      <c r="AG22" s="2"/>
      <c r="AH22" s="2"/>
      <c r="AI22" s="2"/>
      <c r="AJ22" s="2"/>
      <c r="AK22" s="2"/>
      <c r="AL22" s="4">
        <f>(0.05*0.406+0.09*0.286)/AD22</f>
        <v>6.6531791907514459E-2</v>
      </c>
      <c r="AM22" s="4">
        <f>(0.12*0.406+0.18*0.286)/AD22</f>
        <v>0.14479768786127167</v>
      </c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>
        <f>0.008+0.242</f>
        <v>0.25</v>
      </c>
      <c r="AZ22" s="4">
        <f>(0.21*0.008+0.08*0.242)/AY22</f>
        <v>8.4159999999999999E-2</v>
      </c>
      <c r="BA22" s="2"/>
      <c r="BB22" s="2"/>
      <c r="BC22" s="2"/>
      <c r="BD22" s="2"/>
      <c r="BE22" s="2"/>
      <c r="BF22" s="2"/>
      <c r="BG22" s="4">
        <f>(0.03*0.008+0.04*0.242)/AY22</f>
        <v>3.968E-2</v>
      </c>
      <c r="BH22" s="4">
        <f>(0.05*0.008+0.08*0.242)/AY22</f>
        <v>7.9039999999999999E-2</v>
      </c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>
        <v>0</v>
      </c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>
        <v>0</v>
      </c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 t="s">
        <v>100</v>
      </c>
      <c r="DK22" s="2" t="s">
        <v>100</v>
      </c>
      <c r="DL22" s="2">
        <f t="shared" si="3"/>
        <v>5.9405520169851386E-2</v>
      </c>
      <c r="DM22" s="2">
        <f t="shared" si="4"/>
        <v>0.12734607218683652</v>
      </c>
      <c r="DN22" s="2" t="s">
        <v>1174</v>
      </c>
      <c r="DO22" s="2" t="s">
        <v>3</v>
      </c>
      <c r="DP22" s="2">
        <f t="shared" si="5"/>
        <v>1.1174000000000002E-3</v>
      </c>
      <c r="DQ22" s="2">
        <f t="shared" ref="DQ22:DR22" si="396">K22*$I22+AF22*$AD22+BA22*$AY22</f>
        <v>0</v>
      </c>
      <c r="DR22" s="2">
        <f t="shared" si="396"/>
        <v>0</v>
      </c>
      <c r="DS22" s="2">
        <f t="shared" ref="DS22:DX22" si="397">(M22*$I22+AH22*$AD22+BC22*$AY22)/100</f>
        <v>0</v>
      </c>
      <c r="DT22" s="2">
        <f t="shared" si="397"/>
        <v>0</v>
      </c>
      <c r="DU22" s="2">
        <f t="shared" si="397"/>
        <v>0</v>
      </c>
      <c r="DV22" s="2">
        <f t="shared" si="397"/>
        <v>0</v>
      </c>
      <c r="DW22" s="2">
        <f t="shared" si="397"/>
        <v>5.5960000000000005E-4</v>
      </c>
      <c r="DX22" s="2">
        <f t="shared" si="397"/>
        <v>1.1995999999999999E-3</v>
      </c>
      <c r="DY22" s="2">
        <f t="shared" ref="DY22:EC22" si="398">S22*$I22+AN22*$AD22+BI22*$AY22</f>
        <v>0</v>
      </c>
      <c r="DZ22" s="2">
        <f t="shared" si="398"/>
        <v>0</v>
      </c>
      <c r="EA22" s="2">
        <f t="shared" si="398"/>
        <v>0</v>
      </c>
      <c r="EB22" s="2">
        <f t="shared" si="398"/>
        <v>0</v>
      </c>
      <c r="EC22" s="2">
        <f t="shared" si="398"/>
        <v>0</v>
      </c>
      <c r="ED22" s="2">
        <f t="shared" ref="ED22:EE22" si="399">(X22*$I22+AS22*$AD22+BN22*$AY22)/100</f>
        <v>0</v>
      </c>
      <c r="EE22" s="2">
        <f t="shared" si="399"/>
        <v>0</v>
      </c>
      <c r="EF22" s="2"/>
      <c r="EG22" s="2">
        <f t="shared" si="10"/>
        <v>0</v>
      </c>
      <c r="EH22" s="2">
        <f t="shared" si="11"/>
        <v>0</v>
      </c>
      <c r="EI22" s="39">
        <f t="shared" si="12"/>
        <v>7.2917233184000008</v>
      </c>
      <c r="EJ22" s="39">
        <f t="shared" ref="EJ22:EK22" si="400">EJ$1*DQ22/1000000</f>
        <v>0</v>
      </c>
      <c r="EK22" s="39">
        <f t="shared" si="400"/>
        <v>0</v>
      </c>
      <c r="EL22" s="39">
        <f t="shared" ref="EL22:EQ22" si="401">EL$1*DS22</f>
        <v>0</v>
      </c>
      <c r="EM22" s="39">
        <f t="shared" si="401"/>
        <v>0</v>
      </c>
      <c r="EN22" s="39">
        <f t="shared" si="401"/>
        <v>0</v>
      </c>
      <c r="EO22" s="39">
        <f t="shared" si="401"/>
        <v>0</v>
      </c>
      <c r="EP22" s="39">
        <f t="shared" si="401"/>
        <v>7.3385944000000007</v>
      </c>
      <c r="EQ22" s="39">
        <f t="shared" si="401"/>
        <v>87.11438099039998</v>
      </c>
      <c r="ER22" s="39">
        <f t="shared" ref="ER22:EV22" si="402">ER$1*DY22/1000000</f>
        <v>0</v>
      </c>
      <c r="ES22" s="39">
        <f t="shared" si="402"/>
        <v>0</v>
      </c>
      <c r="ET22" s="39">
        <f t="shared" si="402"/>
        <v>0</v>
      </c>
      <c r="EU22" s="39">
        <f t="shared" si="402"/>
        <v>0</v>
      </c>
      <c r="EV22" s="39">
        <f t="shared" si="402"/>
        <v>0</v>
      </c>
      <c r="EW22" s="39">
        <f t="shared" ref="EW22:EX22" si="403">EW$1*ED22</f>
        <v>0</v>
      </c>
      <c r="EX22" s="39">
        <f t="shared" si="403"/>
        <v>0</v>
      </c>
      <c r="EY22" s="2"/>
      <c r="EZ22" s="39">
        <f t="shared" si="17"/>
        <v>0</v>
      </c>
      <c r="FA22" s="39">
        <f t="shared" si="18"/>
        <v>0</v>
      </c>
      <c r="FB22" s="2">
        <f t="shared" si="19"/>
        <v>0</v>
      </c>
      <c r="FC22" s="2">
        <f t="shared" ref="FC22:FD22" si="404">BV22*$BT22+CQ22*$CO22</f>
        <v>0</v>
      </c>
      <c r="FD22" s="2">
        <f t="shared" si="404"/>
        <v>0</v>
      </c>
      <c r="FE22" s="2">
        <f t="shared" ref="FE22:FJ22" si="405">(BX22*$BT22+CS22*$CO22)/100</f>
        <v>0</v>
      </c>
      <c r="FF22" s="2">
        <f t="shared" si="405"/>
        <v>0</v>
      </c>
      <c r="FG22" s="2">
        <f t="shared" si="405"/>
        <v>0</v>
      </c>
      <c r="FH22" s="2">
        <f t="shared" si="405"/>
        <v>0</v>
      </c>
      <c r="FI22" s="2">
        <f t="shared" si="405"/>
        <v>0</v>
      </c>
      <c r="FJ22" s="2">
        <f t="shared" si="405"/>
        <v>0</v>
      </c>
      <c r="FK22" s="2">
        <f t="shared" ref="FK22:FO22" si="406">CD22*$BT22+CY22*$CO22</f>
        <v>0</v>
      </c>
      <c r="FL22" s="2">
        <f t="shared" si="406"/>
        <v>0</v>
      </c>
      <c r="FM22" s="2">
        <f t="shared" si="406"/>
        <v>0</v>
      </c>
      <c r="FN22" s="2">
        <f t="shared" si="406"/>
        <v>0</v>
      </c>
      <c r="FO22" s="2">
        <f t="shared" si="406"/>
        <v>0</v>
      </c>
      <c r="FP22" s="2">
        <f t="shared" ref="FP22:FQ22" si="407">(CI22*$BT22+DD22*$CO22)/100</f>
        <v>0</v>
      </c>
      <c r="FQ22" s="2">
        <f t="shared" si="407"/>
        <v>0</v>
      </c>
      <c r="FR22" s="2"/>
      <c r="FS22" s="2">
        <f t="shared" si="24"/>
        <v>0</v>
      </c>
      <c r="FT22" s="2">
        <f t="shared" si="25"/>
        <v>0</v>
      </c>
      <c r="FU22" s="39">
        <f t="shared" si="26"/>
        <v>0</v>
      </c>
      <c r="FV22" s="39">
        <f t="shared" ref="FV22:FW22" si="408">FV$1*FC22/1000000</f>
        <v>0</v>
      </c>
      <c r="FW22" s="39">
        <f t="shared" si="408"/>
        <v>0</v>
      </c>
      <c r="FX22" s="39">
        <f t="shared" ref="FX22:GC22" si="409">FX$1*FE22</f>
        <v>0</v>
      </c>
      <c r="FY22" s="39">
        <f t="shared" si="409"/>
        <v>0</v>
      </c>
      <c r="FZ22" s="39">
        <f t="shared" si="409"/>
        <v>0</v>
      </c>
      <c r="GA22" s="39">
        <f t="shared" si="409"/>
        <v>0</v>
      </c>
      <c r="GB22" s="39">
        <f t="shared" si="409"/>
        <v>0</v>
      </c>
      <c r="GC22" s="39">
        <f t="shared" si="409"/>
        <v>0</v>
      </c>
      <c r="GD22" s="39">
        <f t="shared" ref="GD22:GH22" si="410">GD$1*FK22/1000000</f>
        <v>0</v>
      </c>
      <c r="GE22" s="39">
        <f t="shared" si="410"/>
        <v>0</v>
      </c>
      <c r="GF22" s="39">
        <f t="shared" si="410"/>
        <v>0</v>
      </c>
      <c r="GG22" s="39">
        <f t="shared" si="410"/>
        <v>0</v>
      </c>
      <c r="GH22" s="39">
        <f t="shared" si="410"/>
        <v>0</v>
      </c>
      <c r="GI22" s="39">
        <f t="shared" ref="GI22:GJ22" si="411">GI$1*FP22</f>
        <v>0</v>
      </c>
      <c r="GJ22" s="39">
        <f t="shared" si="411"/>
        <v>0</v>
      </c>
      <c r="GK22" s="2"/>
      <c r="GL22" s="39">
        <f t="shared" si="31"/>
        <v>0</v>
      </c>
      <c r="GM22" s="39">
        <f t="shared" si="32"/>
        <v>0</v>
      </c>
      <c r="GN22" s="2" t="s">
        <v>3</v>
      </c>
      <c r="GO22" s="2">
        <f t="shared" si="33"/>
        <v>0.94199999999999995</v>
      </c>
      <c r="GP22" s="19">
        <f t="shared" si="34"/>
        <v>5.9405520169851386E-2</v>
      </c>
      <c r="GQ22" s="15">
        <f t="shared" si="35"/>
        <v>0.5596000000000001</v>
      </c>
      <c r="GR22" s="15">
        <f t="shared" si="36"/>
        <v>101.74469870879997</v>
      </c>
      <c r="GS22" s="15">
        <f t="shared" si="37"/>
        <v>108.00923429808915</v>
      </c>
      <c r="GT22" s="2">
        <f t="shared" si="38"/>
        <v>0</v>
      </c>
      <c r="GU22" s="2">
        <f t="shared" si="39"/>
        <v>0.46040000000000009</v>
      </c>
      <c r="GV22" s="2">
        <f t="shared" si="40"/>
        <v>9.9199999999999997E-2</v>
      </c>
      <c r="GW22" s="2">
        <f t="shared" si="41"/>
        <v>0</v>
      </c>
      <c r="GX22" s="2"/>
      <c r="GY22" s="2"/>
      <c r="GZ22" s="2"/>
      <c r="HA22" s="2"/>
      <c r="HB22" s="2">
        <f t="shared" si="42"/>
        <v>0</v>
      </c>
      <c r="HC22" s="2">
        <f t="shared" si="43"/>
        <v>0</v>
      </c>
      <c r="HD22" s="2" t="s">
        <v>3</v>
      </c>
      <c r="HE22" s="2" t="s">
        <v>183</v>
      </c>
      <c r="HF22" s="2" t="s">
        <v>600</v>
      </c>
      <c r="HG22" s="2"/>
      <c r="HH22" s="2"/>
      <c r="HI22" s="2" t="s">
        <v>100</v>
      </c>
      <c r="HJ22" s="2" t="s">
        <v>3</v>
      </c>
      <c r="HK22" s="2" t="s">
        <v>37</v>
      </c>
      <c r="HL22" s="2" t="s">
        <v>1397</v>
      </c>
      <c r="HM22" s="2" t="s">
        <v>81</v>
      </c>
      <c r="HN22" s="3">
        <f t="shared" ref="HN22:HP22" si="412">SUM(GT149:GT237)</f>
        <v>13220.934847000004</v>
      </c>
      <c r="HO22" s="3">
        <f t="shared" si="412"/>
        <v>28182.837667000007</v>
      </c>
      <c r="HP22" s="3">
        <f t="shared" si="412"/>
        <v>39383.288398000004</v>
      </c>
      <c r="HQ22" s="3">
        <f>SUM(GO149:GO237)</f>
        <v>8194.0365660000043</v>
      </c>
      <c r="HR22" s="4">
        <f t="shared" si="45"/>
        <v>0.98592507198728485</v>
      </c>
      <c r="HS22" s="4">
        <f>MIN(GP149:GP237)</f>
        <v>0.10148876404494382</v>
      </c>
      <c r="HT22" s="4">
        <f>MAX(GP149:GP237)</f>
        <v>1.8168978358249233</v>
      </c>
      <c r="HU22" s="3">
        <f>SUM(GQ149:GQ237)</f>
        <v>80787.060911999986</v>
      </c>
      <c r="HV22" s="15">
        <f>SUM(GR149:GR237)/SUM(GO149:GO237)</f>
        <v>179.07605739636026</v>
      </c>
      <c r="HW22" s="2">
        <f>COUNT(GQ149:GQ237)</f>
        <v>89</v>
      </c>
      <c r="HX22" s="3">
        <f t="shared" ref="HX22:HY22" si="413">SUM(HB149:HB237)</f>
        <v>2973.4717550999999</v>
      </c>
      <c r="HY22" s="3">
        <f t="shared" si="413"/>
        <v>8644.6288112000002</v>
      </c>
      <c r="HZ22" s="3">
        <f>SUM(GW149:GW237)</f>
        <v>1269.6306710000001</v>
      </c>
      <c r="IA22" s="4">
        <f>100*(IB22/1000)/HZ22</f>
        <v>0.91507718202406285</v>
      </c>
      <c r="IB22" s="3">
        <f>SUM(GY149:GY237)</f>
        <v>11618.100566300003</v>
      </c>
      <c r="IC22" s="15">
        <f>SUM(GZ149:GZ237)/SUM(GW149:GW237)</f>
        <v>198.21356820703994</v>
      </c>
      <c r="ID22" s="2">
        <f>COUNT(GY149:GY237)</f>
        <v>20</v>
      </c>
      <c r="IE22" s="2"/>
      <c r="IF22" s="4">
        <f t="shared" ref="IF22:IN22" si="414">100*SUM(EI149:EI237)/SUM($EI149:$FA237)</f>
        <v>0.14021380628305286</v>
      </c>
      <c r="IG22" s="19">
        <f t="shared" si="414"/>
        <v>1.3974038148989246E-2</v>
      </c>
      <c r="IH22" s="39">
        <f t="shared" si="414"/>
        <v>0</v>
      </c>
      <c r="II22" s="39">
        <f t="shared" si="414"/>
        <v>0</v>
      </c>
      <c r="IJ22" s="39">
        <f t="shared" si="414"/>
        <v>0</v>
      </c>
      <c r="IK22" s="39">
        <f t="shared" si="414"/>
        <v>0</v>
      </c>
      <c r="IL22" s="39">
        <f t="shared" si="414"/>
        <v>0</v>
      </c>
      <c r="IM22" s="15">
        <f t="shared" si="414"/>
        <v>72.200726227871755</v>
      </c>
      <c r="IN22" s="15">
        <f t="shared" si="414"/>
        <v>22.355720729397213</v>
      </c>
      <c r="IO22" s="4">
        <f>100*SUM(ER149:EV237)/SUM($EI149:$FA237)</f>
        <v>0.18487521005685775</v>
      </c>
      <c r="IP22" s="4">
        <f t="shared" ref="IP22:IQ22" si="415">100*SUM(EW149:EW237)/SUM($EI149:$FA237)</f>
        <v>0.11528332732233151</v>
      </c>
      <c r="IQ22" s="15">
        <f t="shared" si="415"/>
        <v>3.830992288135902</v>
      </c>
      <c r="IR22" s="15">
        <f t="shared" ref="IR22:IS22" si="416">100*SUM(EZ149:EZ237)/SUM($EI149:$FA237)</f>
        <v>1.1582143727839069</v>
      </c>
      <c r="IS22" s="39">
        <f t="shared" si="416"/>
        <v>0</v>
      </c>
      <c r="IT22" s="39">
        <f t="shared" ref="IT22:JB22" si="417">100*SUM(FU149:FU237)/SUM($FU149:$GM237)</f>
        <v>0</v>
      </c>
      <c r="IU22" s="39">
        <f t="shared" si="417"/>
        <v>0</v>
      </c>
      <c r="IV22" s="39">
        <f t="shared" si="417"/>
        <v>0</v>
      </c>
      <c r="IW22" s="39">
        <f t="shared" si="417"/>
        <v>0</v>
      </c>
      <c r="IX22" s="39">
        <f t="shared" si="417"/>
        <v>0</v>
      </c>
      <c r="IY22" s="39">
        <f t="shared" si="417"/>
        <v>0</v>
      </c>
      <c r="IZ22" s="39">
        <f t="shared" si="417"/>
        <v>0</v>
      </c>
      <c r="JA22" s="15">
        <f t="shared" si="417"/>
        <v>60.542385032536551</v>
      </c>
      <c r="JB22" s="15">
        <f t="shared" si="417"/>
        <v>33.012319530569634</v>
      </c>
      <c r="JC22" s="39">
        <f>100*SUM(GD149:GH237)/SUM($FU149:$GM237)</f>
        <v>0</v>
      </c>
      <c r="JD22" s="39">
        <f t="shared" ref="JD22:JE22" si="418">100*SUM(GI149:GI237)/SUM($FU149:$GM237)</f>
        <v>0</v>
      </c>
      <c r="JE22" s="15">
        <f t="shared" si="418"/>
        <v>5.0131519591129035</v>
      </c>
      <c r="JF22" s="15">
        <f t="shared" ref="JF22:JG22" si="419">100*SUM(GL149:GL237)/SUM($FU149:$GM237)</f>
        <v>1.4321434777809026</v>
      </c>
      <c r="JG22" s="39">
        <f t="shared" si="419"/>
        <v>0</v>
      </c>
      <c r="JH22" s="2" t="s">
        <v>3</v>
      </c>
    </row>
    <row r="23" spans="1:268" ht="15.75" customHeight="1" x14ac:dyDescent="0.2">
      <c r="A23" s="21" t="s">
        <v>962</v>
      </c>
      <c r="B23" s="2" t="s">
        <v>99</v>
      </c>
      <c r="C23" s="2"/>
      <c r="D23" s="2"/>
      <c r="E23" s="2"/>
      <c r="F23" s="2" t="s">
        <v>963</v>
      </c>
      <c r="G23" s="2"/>
      <c r="H23" s="2"/>
      <c r="I23" s="2">
        <v>0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>
        <v>0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4">
        <v>30.496085000000001</v>
      </c>
      <c r="AZ23" s="2"/>
      <c r="BA23" s="2"/>
      <c r="BB23" s="2"/>
      <c r="BC23" s="2"/>
      <c r="BD23" s="2"/>
      <c r="BE23" s="2"/>
      <c r="BF23" s="2"/>
      <c r="BG23" s="19">
        <v>0.16020000000000001</v>
      </c>
      <c r="BH23" s="19">
        <v>8.3000000000000001E-3</v>
      </c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>
        <v>0</v>
      </c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>
        <v>0</v>
      </c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 t="s">
        <v>81</v>
      </c>
      <c r="DK23" s="2" t="s">
        <v>81</v>
      </c>
      <c r="DL23" s="2">
        <f t="shared" si="3"/>
        <v>0.16020000000000001</v>
      </c>
      <c r="DM23" s="2">
        <f t="shared" si="4"/>
        <v>8.3000000000000001E-3</v>
      </c>
      <c r="DN23" s="2" t="s">
        <v>784</v>
      </c>
      <c r="DO23" s="2" t="s">
        <v>3</v>
      </c>
      <c r="DP23" s="2">
        <f t="shared" si="5"/>
        <v>0</v>
      </c>
      <c r="DQ23" s="2">
        <f t="shared" ref="DQ23:DR23" si="420">K23*$I23+AF23*$AD23+BA23*$AY23</f>
        <v>0</v>
      </c>
      <c r="DR23" s="2">
        <f t="shared" si="420"/>
        <v>0</v>
      </c>
      <c r="DS23" s="2">
        <f t="shared" ref="DS23:DX23" si="421">(M23*$I23+AH23*$AD23+BC23*$AY23)/100</f>
        <v>0</v>
      </c>
      <c r="DT23" s="2">
        <f t="shared" si="421"/>
        <v>0</v>
      </c>
      <c r="DU23" s="2">
        <f t="shared" si="421"/>
        <v>0</v>
      </c>
      <c r="DV23" s="2">
        <f t="shared" si="421"/>
        <v>0</v>
      </c>
      <c r="DW23" s="2">
        <f t="shared" si="421"/>
        <v>4.885472817E-2</v>
      </c>
      <c r="DX23" s="2">
        <f t="shared" si="421"/>
        <v>2.5311750549999999E-3</v>
      </c>
      <c r="DY23" s="2">
        <f t="shared" ref="DY23:EC23" si="422">S23*$I23+AN23*$AD23+BI23*$AY23</f>
        <v>0</v>
      </c>
      <c r="DZ23" s="2">
        <f t="shared" si="422"/>
        <v>0</v>
      </c>
      <c r="EA23" s="2">
        <f t="shared" si="422"/>
        <v>0</v>
      </c>
      <c r="EB23" s="2">
        <f t="shared" si="422"/>
        <v>0</v>
      </c>
      <c r="EC23" s="2">
        <f t="shared" si="422"/>
        <v>0</v>
      </c>
      <c r="ED23" s="2">
        <f t="shared" ref="ED23:EE23" si="423">(X23*$I23+AS23*$AD23+BN23*$AY23)/100</f>
        <v>0</v>
      </c>
      <c r="EE23" s="2">
        <f t="shared" si="423"/>
        <v>0</v>
      </c>
      <c r="EF23" s="2"/>
      <c r="EG23" s="2">
        <f t="shared" si="10"/>
        <v>0</v>
      </c>
      <c r="EH23" s="2">
        <f t="shared" si="11"/>
        <v>0</v>
      </c>
      <c r="EI23" s="39">
        <f t="shared" si="12"/>
        <v>0</v>
      </c>
      <c r="EJ23" s="39">
        <f t="shared" ref="EJ23:EK23" si="424">EJ$1*DQ23/1000000</f>
        <v>0</v>
      </c>
      <c r="EK23" s="39">
        <f t="shared" si="424"/>
        <v>0</v>
      </c>
      <c r="EL23" s="39">
        <f t="shared" ref="EL23:EQ23" si="425">EL$1*DS23</f>
        <v>0</v>
      </c>
      <c r="EM23" s="39">
        <f t="shared" si="425"/>
        <v>0</v>
      </c>
      <c r="EN23" s="39">
        <f t="shared" si="425"/>
        <v>0</v>
      </c>
      <c r="EO23" s="39">
        <f t="shared" si="425"/>
        <v>0</v>
      </c>
      <c r="EP23" s="39">
        <f t="shared" si="425"/>
        <v>640.68090522138004</v>
      </c>
      <c r="EQ23" s="39">
        <f t="shared" si="425"/>
        <v>183.81272765477379</v>
      </c>
      <c r="ER23" s="39">
        <f t="shared" ref="ER23:EV23" si="426">ER$1*DY23/1000000</f>
        <v>0</v>
      </c>
      <c r="ES23" s="39">
        <f t="shared" si="426"/>
        <v>0</v>
      </c>
      <c r="ET23" s="39">
        <f t="shared" si="426"/>
        <v>0</v>
      </c>
      <c r="EU23" s="39">
        <f t="shared" si="426"/>
        <v>0</v>
      </c>
      <c r="EV23" s="39">
        <f t="shared" si="426"/>
        <v>0</v>
      </c>
      <c r="EW23" s="39">
        <f t="shared" ref="EW23:EX23" si="427">EW$1*ED23</f>
        <v>0</v>
      </c>
      <c r="EX23" s="39">
        <f t="shared" si="427"/>
        <v>0</v>
      </c>
      <c r="EY23" s="2"/>
      <c r="EZ23" s="39">
        <f t="shared" si="17"/>
        <v>0</v>
      </c>
      <c r="FA23" s="39">
        <f t="shared" si="18"/>
        <v>0</v>
      </c>
      <c r="FB23" s="2">
        <f t="shared" si="19"/>
        <v>0</v>
      </c>
      <c r="FC23" s="2">
        <f t="shared" ref="FC23:FD23" si="428">BV23*$BT23+CQ23*$CO23</f>
        <v>0</v>
      </c>
      <c r="FD23" s="2">
        <f t="shared" si="428"/>
        <v>0</v>
      </c>
      <c r="FE23" s="2">
        <f t="shared" ref="FE23:FJ23" si="429">(BX23*$BT23+CS23*$CO23)/100</f>
        <v>0</v>
      </c>
      <c r="FF23" s="2">
        <f t="shared" si="429"/>
        <v>0</v>
      </c>
      <c r="FG23" s="2">
        <f t="shared" si="429"/>
        <v>0</v>
      </c>
      <c r="FH23" s="2">
        <f t="shared" si="429"/>
        <v>0</v>
      </c>
      <c r="FI23" s="2">
        <f t="shared" si="429"/>
        <v>0</v>
      </c>
      <c r="FJ23" s="2">
        <f t="shared" si="429"/>
        <v>0</v>
      </c>
      <c r="FK23" s="2">
        <f t="shared" ref="FK23:FO23" si="430">CD23*$BT23+CY23*$CO23</f>
        <v>0</v>
      </c>
      <c r="FL23" s="2">
        <f t="shared" si="430"/>
        <v>0</v>
      </c>
      <c r="FM23" s="2">
        <f t="shared" si="430"/>
        <v>0</v>
      </c>
      <c r="FN23" s="2">
        <f t="shared" si="430"/>
        <v>0</v>
      </c>
      <c r="FO23" s="2">
        <f t="shared" si="430"/>
        <v>0</v>
      </c>
      <c r="FP23" s="2">
        <f t="shared" ref="FP23:FQ23" si="431">(CI23*$BT23+DD23*$CO23)/100</f>
        <v>0</v>
      </c>
      <c r="FQ23" s="2">
        <f t="shared" si="431"/>
        <v>0</v>
      </c>
      <c r="FR23" s="2"/>
      <c r="FS23" s="2">
        <f t="shared" si="24"/>
        <v>0</v>
      </c>
      <c r="FT23" s="2">
        <f t="shared" si="25"/>
        <v>0</v>
      </c>
      <c r="FU23" s="39">
        <f t="shared" si="26"/>
        <v>0</v>
      </c>
      <c r="FV23" s="39">
        <f t="shared" ref="FV23:FW23" si="432">FV$1*FC23/1000000</f>
        <v>0</v>
      </c>
      <c r="FW23" s="39">
        <f t="shared" si="432"/>
        <v>0</v>
      </c>
      <c r="FX23" s="39">
        <f t="shared" ref="FX23:GC23" si="433">FX$1*FE23</f>
        <v>0</v>
      </c>
      <c r="FY23" s="39">
        <f t="shared" si="433"/>
        <v>0</v>
      </c>
      <c r="FZ23" s="39">
        <f t="shared" si="433"/>
        <v>0</v>
      </c>
      <c r="GA23" s="39">
        <f t="shared" si="433"/>
        <v>0</v>
      </c>
      <c r="GB23" s="39">
        <f t="shared" si="433"/>
        <v>0</v>
      </c>
      <c r="GC23" s="39">
        <f t="shared" si="433"/>
        <v>0</v>
      </c>
      <c r="GD23" s="39">
        <f t="shared" ref="GD23:GH23" si="434">GD$1*FK23/1000000</f>
        <v>0</v>
      </c>
      <c r="GE23" s="39">
        <f t="shared" si="434"/>
        <v>0</v>
      </c>
      <c r="GF23" s="39">
        <f t="shared" si="434"/>
        <v>0</v>
      </c>
      <c r="GG23" s="39">
        <f t="shared" si="434"/>
        <v>0</v>
      </c>
      <c r="GH23" s="39">
        <f t="shared" si="434"/>
        <v>0</v>
      </c>
      <c r="GI23" s="39">
        <f t="shared" ref="GI23:GJ23" si="435">GI$1*FP23</f>
        <v>0</v>
      </c>
      <c r="GJ23" s="39">
        <f t="shared" si="435"/>
        <v>0</v>
      </c>
      <c r="GK23" s="2"/>
      <c r="GL23" s="39">
        <f t="shared" si="31"/>
        <v>0</v>
      </c>
      <c r="GM23" s="39">
        <f t="shared" si="32"/>
        <v>0</v>
      </c>
      <c r="GN23" s="2" t="s">
        <v>3</v>
      </c>
      <c r="GO23" s="4">
        <f t="shared" si="33"/>
        <v>30.496085000000001</v>
      </c>
      <c r="GP23" s="4">
        <f t="shared" si="34"/>
        <v>0.16020000000000001</v>
      </c>
      <c r="GQ23" s="15">
        <f t="shared" si="35"/>
        <v>48.854728170000001</v>
      </c>
      <c r="GR23" s="15">
        <f t="shared" si="36"/>
        <v>824.49363287615381</v>
      </c>
      <c r="GS23" s="15">
        <f t="shared" si="37"/>
        <v>27.036048491999999</v>
      </c>
      <c r="GT23" s="2">
        <f t="shared" si="38"/>
        <v>0</v>
      </c>
      <c r="GU23" s="2">
        <f t="shared" si="39"/>
        <v>0</v>
      </c>
      <c r="GV23" s="2">
        <f t="shared" si="40"/>
        <v>48.854728170000001</v>
      </c>
      <c r="GW23" s="2">
        <f t="shared" si="41"/>
        <v>0</v>
      </c>
      <c r="GX23" s="2"/>
      <c r="GY23" s="2"/>
      <c r="GZ23" s="2"/>
      <c r="HA23" s="2"/>
      <c r="HB23" s="2">
        <f t="shared" si="42"/>
        <v>0</v>
      </c>
      <c r="HC23" s="2">
        <f t="shared" si="43"/>
        <v>0</v>
      </c>
      <c r="HD23" s="2" t="s">
        <v>3</v>
      </c>
      <c r="HE23" s="2" t="s">
        <v>183</v>
      </c>
      <c r="HF23" s="2" t="s">
        <v>529</v>
      </c>
      <c r="HG23" s="2" t="s">
        <v>567</v>
      </c>
      <c r="HH23" s="2"/>
      <c r="HI23" s="2" t="s">
        <v>81</v>
      </c>
      <c r="HJ23" s="2" t="s">
        <v>3</v>
      </c>
      <c r="HK23" s="2" t="s">
        <v>37</v>
      </c>
      <c r="HL23" s="2" t="s">
        <v>1397</v>
      </c>
      <c r="HM23" s="2" t="s">
        <v>100</v>
      </c>
      <c r="HN23" s="2">
        <f t="shared" ref="HN23:HP23" si="436">SUM(GT238:GT285)</f>
        <v>0</v>
      </c>
      <c r="HO23" s="2">
        <f t="shared" si="436"/>
        <v>0</v>
      </c>
      <c r="HP23" s="3">
        <f t="shared" si="436"/>
        <v>37960.626501939994</v>
      </c>
      <c r="HQ23" s="3">
        <f>SUM(GO238:GO285)</f>
        <v>3555.9656997333336</v>
      </c>
      <c r="HR23" s="4">
        <f t="shared" si="45"/>
        <v>1.0675194787392552</v>
      </c>
      <c r="HS23" s="4">
        <f>MIN(GP238:GP285)</f>
        <v>0.3</v>
      </c>
      <c r="HT23" s="4">
        <f>MAX(GP238:GP285)</f>
        <v>2.2000000000000002</v>
      </c>
      <c r="HU23" s="3">
        <f>SUM(GQ238:GQ285)</f>
        <v>37960.626501939994</v>
      </c>
      <c r="HV23" s="15">
        <f>SUM(GR238:GR285)/SUM(GO238:GO285)</f>
        <v>175.11115545353712</v>
      </c>
      <c r="HW23" s="2">
        <f>COUNT(GQ238:GQ285)</f>
        <v>48</v>
      </c>
      <c r="HX23" s="2">
        <f t="shared" ref="HX23:HY23" si="437">SUM(HB238:HB285)</f>
        <v>0</v>
      </c>
      <c r="HY23" s="2">
        <f t="shared" si="437"/>
        <v>0</v>
      </c>
      <c r="HZ23" s="2" t="s">
        <v>176</v>
      </c>
      <c r="IA23" s="2" t="s">
        <v>176</v>
      </c>
      <c r="IB23" s="2" t="s">
        <v>176</v>
      </c>
      <c r="IC23" s="2" t="s">
        <v>176</v>
      </c>
      <c r="ID23" s="2">
        <f>COUNT(GY238:GY285)</f>
        <v>0</v>
      </c>
      <c r="IE23" s="2"/>
      <c r="IF23" s="39">
        <f t="shared" ref="IF23:IN23" si="438">100*SUM(EI238:EI285)/SUM($EI238:$FA285)</f>
        <v>0</v>
      </c>
      <c r="IG23" s="39">
        <f t="shared" si="438"/>
        <v>0</v>
      </c>
      <c r="IH23" s="39">
        <f t="shared" si="438"/>
        <v>0</v>
      </c>
      <c r="II23" s="39">
        <f t="shared" si="438"/>
        <v>0</v>
      </c>
      <c r="IJ23" s="39">
        <f t="shared" si="438"/>
        <v>0</v>
      </c>
      <c r="IK23" s="39">
        <f t="shared" si="438"/>
        <v>0</v>
      </c>
      <c r="IL23" s="39">
        <f t="shared" si="438"/>
        <v>0</v>
      </c>
      <c r="IM23" s="15">
        <f t="shared" si="438"/>
        <v>79.946080008027351</v>
      </c>
      <c r="IN23" s="15">
        <f t="shared" si="438"/>
        <v>19.053719565401384</v>
      </c>
      <c r="IO23" s="39">
        <f>100*SUM(ER238:EV285)/SUM($EI238:$FA285)</f>
        <v>0</v>
      </c>
      <c r="IP23" s="4">
        <f t="shared" ref="IP23:IQ23" si="439">100*SUM(EW238:EW285)/SUM($EI238:$FA285)</f>
        <v>0.13584222801182527</v>
      </c>
      <c r="IQ23" s="4">
        <f t="shared" si="439"/>
        <v>0.85489800555681428</v>
      </c>
      <c r="IR23" s="26">
        <f t="shared" ref="IR23:IS23" si="440">100*SUM(EZ238:EZ285)/SUM($EI238:$FA285)</f>
        <v>9.460193002620753E-3</v>
      </c>
      <c r="IS23" s="39">
        <f t="shared" si="440"/>
        <v>0</v>
      </c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 t="s">
        <v>3</v>
      </c>
    </row>
    <row r="24" spans="1:268" ht="15.75" customHeight="1" x14ac:dyDescent="0.2">
      <c r="A24" s="21" t="s">
        <v>1217</v>
      </c>
      <c r="B24" s="2" t="s">
        <v>109</v>
      </c>
      <c r="C24" s="2"/>
      <c r="D24" s="2"/>
      <c r="E24" s="2"/>
      <c r="F24" s="2" t="s">
        <v>1218</v>
      </c>
      <c r="G24" s="2"/>
      <c r="H24" s="2" t="s">
        <v>781</v>
      </c>
      <c r="I24" s="2">
        <v>0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>
        <v>0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18">
        <v>1525</v>
      </c>
      <c r="AZ24" s="2">
        <v>0.14399999999999999</v>
      </c>
      <c r="BA24" s="2"/>
      <c r="BB24" s="2">
        <v>2</v>
      </c>
      <c r="BC24" s="2">
        <v>1.6999999999999999E-3</v>
      </c>
      <c r="BD24" s="2">
        <v>7.0000000000000001E-3</v>
      </c>
      <c r="BE24" s="2">
        <v>5.0000000000000001E-3</v>
      </c>
      <c r="BF24" s="2">
        <v>0.54200000000000004</v>
      </c>
      <c r="BG24" s="2">
        <v>0.26700000000000002</v>
      </c>
      <c r="BH24" s="2">
        <v>2.1000000000000001E-2</v>
      </c>
      <c r="BI24" s="2">
        <v>1.4999999999999999E-2</v>
      </c>
      <c r="BJ24" s="2">
        <v>0.02</v>
      </c>
      <c r="BK24" s="2"/>
      <c r="BL24" s="2"/>
      <c r="BM24" s="2"/>
      <c r="BN24" s="2"/>
      <c r="BO24" s="2"/>
      <c r="BP24" s="2"/>
      <c r="BQ24" s="2"/>
      <c r="BR24" s="2"/>
      <c r="BS24" s="2"/>
      <c r="BT24" s="2">
        <v>0</v>
      </c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>
        <v>0</v>
      </c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 t="s">
        <v>81</v>
      </c>
      <c r="DK24" s="2" t="s">
        <v>81</v>
      </c>
      <c r="DL24" s="2">
        <f t="shared" si="3"/>
        <v>0.26700000000000002</v>
      </c>
      <c r="DM24" s="2">
        <f t="shared" si="4"/>
        <v>2.0999999999999998E-2</v>
      </c>
      <c r="DN24" s="2" t="s">
        <v>211</v>
      </c>
      <c r="DO24" s="2" t="s">
        <v>3</v>
      </c>
      <c r="DP24" s="2">
        <f t="shared" si="5"/>
        <v>2.1959999999999997</v>
      </c>
      <c r="DQ24" s="2">
        <f t="shared" ref="DQ24:DR24" si="441">K24*$I24+AF24*$AD24+BA24*$AY24</f>
        <v>0</v>
      </c>
      <c r="DR24" s="2">
        <f t="shared" si="441"/>
        <v>3050</v>
      </c>
      <c r="DS24" s="2">
        <f t="shared" ref="DS24:DX24" si="442">(M24*$I24+AH24*$AD24+BC24*$AY24)/100</f>
        <v>2.5924999999999997E-2</v>
      </c>
      <c r="DT24" s="2">
        <f t="shared" si="442"/>
        <v>0.10675000000000001</v>
      </c>
      <c r="DU24" s="2">
        <f t="shared" si="442"/>
        <v>7.6249999999999998E-2</v>
      </c>
      <c r="DV24" s="2">
        <f t="shared" si="442"/>
        <v>8.2655000000000012</v>
      </c>
      <c r="DW24" s="2">
        <f t="shared" si="442"/>
        <v>4.0717499999999998</v>
      </c>
      <c r="DX24" s="2">
        <f t="shared" si="442"/>
        <v>0.32024999999999998</v>
      </c>
      <c r="DY24" s="2">
        <f t="shared" ref="DY24:EC24" si="443">S24*$I24+AN24*$AD24+BI24*$AY24</f>
        <v>22.875</v>
      </c>
      <c r="DZ24" s="2">
        <f t="shared" si="443"/>
        <v>30.5</v>
      </c>
      <c r="EA24" s="2">
        <f t="shared" si="443"/>
        <v>0</v>
      </c>
      <c r="EB24" s="2">
        <f t="shared" si="443"/>
        <v>0</v>
      </c>
      <c r="EC24" s="2">
        <f t="shared" si="443"/>
        <v>0</v>
      </c>
      <c r="ED24" s="2">
        <f t="shared" ref="ED24:EE24" si="444">(X24*$I24+AS24*$AD24+BN24*$AY24)/100</f>
        <v>0</v>
      </c>
      <c r="EE24" s="2">
        <f t="shared" si="444"/>
        <v>0</v>
      </c>
      <c r="EF24" s="2"/>
      <c r="EG24" s="2">
        <f t="shared" si="10"/>
        <v>0</v>
      </c>
      <c r="EH24" s="2">
        <f t="shared" si="11"/>
        <v>0</v>
      </c>
      <c r="EI24" s="39">
        <f t="shared" si="12"/>
        <v>14330.252735999999</v>
      </c>
      <c r="EJ24" s="39">
        <f t="shared" ref="EJ24:EK24" si="445">EJ$1*DQ24/1000000</f>
        <v>0</v>
      </c>
      <c r="EK24" s="39">
        <f t="shared" si="445"/>
        <v>1544.6141479099676</v>
      </c>
      <c r="EL24" s="39">
        <f t="shared" ref="EL24:EQ24" si="446">EL$1*DS24</f>
        <v>1712.376265317904</v>
      </c>
      <c r="EM24" s="39">
        <f t="shared" si="446"/>
        <v>2886.5200000000004</v>
      </c>
      <c r="EN24" s="39">
        <f t="shared" si="446"/>
        <v>171.1265635</v>
      </c>
      <c r="EO24" s="39">
        <f t="shared" si="446"/>
        <v>24180.754965100001</v>
      </c>
      <c r="EP24" s="39">
        <f t="shared" si="446"/>
        <v>53396.929499999998</v>
      </c>
      <c r="EQ24" s="39">
        <f t="shared" si="446"/>
        <v>23256.402560999995</v>
      </c>
      <c r="ER24" s="39">
        <f t="shared" ref="ER24:EV24" si="447">ER$1*DY24/1000000</f>
        <v>649.22339228295812</v>
      </c>
      <c r="ES24" s="39">
        <f t="shared" si="447"/>
        <v>1016.4345659163988</v>
      </c>
      <c r="ET24" s="39">
        <f t="shared" si="447"/>
        <v>0</v>
      </c>
      <c r="EU24" s="39">
        <f t="shared" si="447"/>
        <v>0</v>
      </c>
      <c r="EV24" s="39">
        <f t="shared" si="447"/>
        <v>0</v>
      </c>
      <c r="EW24" s="39">
        <f t="shared" ref="EW24:EX24" si="448">EW$1*ED24</f>
        <v>0</v>
      </c>
      <c r="EX24" s="39">
        <f t="shared" si="448"/>
        <v>0</v>
      </c>
      <c r="EY24" s="2"/>
      <c r="EZ24" s="39">
        <f t="shared" si="17"/>
        <v>0</v>
      </c>
      <c r="FA24" s="39">
        <f t="shared" si="18"/>
        <v>0</v>
      </c>
      <c r="FB24" s="2">
        <f t="shared" si="19"/>
        <v>0</v>
      </c>
      <c r="FC24" s="2">
        <f t="shared" ref="FC24:FD24" si="449">BV24*$BT24+CQ24*$CO24</f>
        <v>0</v>
      </c>
      <c r="FD24" s="2">
        <f t="shared" si="449"/>
        <v>0</v>
      </c>
      <c r="FE24" s="2">
        <f t="shared" ref="FE24:FJ24" si="450">(BX24*$BT24+CS24*$CO24)/100</f>
        <v>0</v>
      </c>
      <c r="FF24" s="2">
        <f t="shared" si="450"/>
        <v>0</v>
      </c>
      <c r="FG24" s="2">
        <f t="shared" si="450"/>
        <v>0</v>
      </c>
      <c r="FH24" s="2">
        <f t="shared" si="450"/>
        <v>0</v>
      </c>
      <c r="FI24" s="2">
        <f t="shared" si="450"/>
        <v>0</v>
      </c>
      <c r="FJ24" s="2">
        <f t="shared" si="450"/>
        <v>0</v>
      </c>
      <c r="FK24" s="2">
        <f t="shared" ref="FK24:FO24" si="451">CD24*$BT24+CY24*$CO24</f>
        <v>0</v>
      </c>
      <c r="FL24" s="2">
        <f t="shared" si="451"/>
        <v>0</v>
      </c>
      <c r="FM24" s="2">
        <f t="shared" si="451"/>
        <v>0</v>
      </c>
      <c r="FN24" s="2">
        <f t="shared" si="451"/>
        <v>0</v>
      </c>
      <c r="FO24" s="2">
        <f t="shared" si="451"/>
        <v>0</v>
      </c>
      <c r="FP24" s="2">
        <f t="shared" ref="FP24:FQ24" si="452">(CI24*$BT24+DD24*$CO24)/100</f>
        <v>0</v>
      </c>
      <c r="FQ24" s="2">
        <f t="shared" si="452"/>
        <v>0</v>
      </c>
      <c r="FR24" s="2"/>
      <c r="FS24" s="2">
        <f t="shared" si="24"/>
        <v>0</v>
      </c>
      <c r="FT24" s="2">
        <f t="shared" si="25"/>
        <v>0</v>
      </c>
      <c r="FU24" s="39">
        <f t="shared" si="26"/>
        <v>0</v>
      </c>
      <c r="FV24" s="39">
        <f t="shared" ref="FV24:FW24" si="453">FV$1*FC24/1000000</f>
        <v>0</v>
      </c>
      <c r="FW24" s="39">
        <f t="shared" si="453"/>
        <v>0</v>
      </c>
      <c r="FX24" s="39">
        <f t="shared" ref="FX24:GC24" si="454">FX$1*FE24</f>
        <v>0</v>
      </c>
      <c r="FY24" s="39">
        <f t="shared" si="454"/>
        <v>0</v>
      </c>
      <c r="FZ24" s="39">
        <f t="shared" si="454"/>
        <v>0</v>
      </c>
      <c r="GA24" s="39">
        <f t="shared" si="454"/>
        <v>0</v>
      </c>
      <c r="GB24" s="39">
        <f t="shared" si="454"/>
        <v>0</v>
      </c>
      <c r="GC24" s="39">
        <f t="shared" si="454"/>
        <v>0</v>
      </c>
      <c r="GD24" s="39">
        <f t="shared" ref="GD24:GH24" si="455">GD$1*FK24/1000000</f>
        <v>0</v>
      </c>
      <c r="GE24" s="39">
        <f t="shared" si="455"/>
        <v>0</v>
      </c>
      <c r="GF24" s="39">
        <f t="shared" si="455"/>
        <v>0</v>
      </c>
      <c r="GG24" s="39">
        <f t="shared" si="455"/>
        <v>0</v>
      </c>
      <c r="GH24" s="39">
        <f t="shared" si="455"/>
        <v>0</v>
      </c>
      <c r="GI24" s="39">
        <f t="shared" ref="GI24:GJ24" si="456">GI$1*FP24</f>
        <v>0</v>
      </c>
      <c r="GJ24" s="39">
        <f t="shared" si="456"/>
        <v>0</v>
      </c>
      <c r="GK24" s="2"/>
      <c r="GL24" s="39">
        <f t="shared" si="31"/>
        <v>0</v>
      </c>
      <c r="GM24" s="39">
        <f t="shared" si="32"/>
        <v>0</v>
      </c>
      <c r="GN24" s="2" t="s">
        <v>3</v>
      </c>
      <c r="GO24" s="18">
        <f t="shared" si="33"/>
        <v>1525</v>
      </c>
      <c r="GP24" s="4">
        <f t="shared" si="34"/>
        <v>0.26700000000000002</v>
      </c>
      <c r="GQ24" s="18">
        <f t="shared" si="35"/>
        <v>4071.75</v>
      </c>
      <c r="GR24" s="15">
        <f t="shared" si="36"/>
        <v>123144.63469702723</v>
      </c>
      <c r="GS24" s="15">
        <f t="shared" si="37"/>
        <v>80.750580129198184</v>
      </c>
      <c r="GT24" s="2">
        <f t="shared" si="38"/>
        <v>0</v>
      </c>
      <c r="GU24" s="2">
        <f t="shared" si="39"/>
        <v>0</v>
      </c>
      <c r="GV24" s="2">
        <f t="shared" si="40"/>
        <v>4071.75</v>
      </c>
      <c r="GW24" s="2">
        <f t="shared" si="41"/>
        <v>0</v>
      </c>
      <c r="GX24" s="2"/>
      <c r="GY24" s="2"/>
      <c r="GZ24" s="2"/>
      <c r="HA24" s="2"/>
      <c r="HB24" s="2">
        <f t="shared" si="42"/>
        <v>0</v>
      </c>
      <c r="HC24" s="2">
        <f t="shared" si="43"/>
        <v>0</v>
      </c>
      <c r="HD24" s="2" t="s">
        <v>3</v>
      </c>
      <c r="HE24" s="2" t="s">
        <v>183</v>
      </c>
      <c r="HF24" s="2" t="s">
        <v>289</v>
      </c>
      <c r="HG24" s="2" t="s">
        <v>290</v>
      </c>
      <c r="HH24" s="2"/>
      <c r="HI24" s="2" t="s">
        <v>81</v>
      </c>
      <c r="HJ24" s="2" t="s">
        <v>3</v>
      </c>
      <c r="HK24" s="2" t="s">
        <v>89</v>
      </c>
      <c r="HL24" s="2" t="s">
        <v>137</v>
      </c>
      <c r="HM24" s="2" t="s">
        <v>81</v>
      </c>
      <c r="HN24" s="3">
        <f t="shared" ref="HN24:HP24" si="457">SUM(GT286:GT345)</f>
        <v>3863.6189229571423</v>
      </c>
      <c r="HO24" s="3">
        <f t="shared" si="457"/>
        <v>8970.5530251571436</v>
      </c>
      <c r="HP24" s="3">
        <f t="shared" si="457"/>
        <v>5293.7958182738339</v>
      </c>
      <c r="HQ24" s="3">
        <f>SUM(GO286:GO345)</f>
        <v>4484.0721857142862</v>
      </c>
      <c r="HR24" s="4">
        <f t="shared" si="45"/>
        <v>0.40427466409086016</v>
      </c>
      <c r="HS24" s="4">
        <f>MIN(GP286:GP345)</f>
        <v>0.24468591773202134</v>
      </c>
      <c r="HT24" s="4">
        <f>MAX(GP286:GP345)</f>
        <v>4.9581702512817589</v>
      </c>
      <c r="HU24" s="3">
        <f>SUM(GQ286:GQ345)</f>
        <v>18127.967766388119</v>
      </c>
      <c r="HV24" s="15">
        <f>SUM(GR286:GR345)/SUM(GO286:GO345)</f>
        <v>61.107197940195114</v>
      </c>
      <c r="HW24" s="2">
        <f>COUNT(GQ286:GQ345)</f>
        <v>60</v>
      </c>
      <c r="HX24" s="3">
        <f t="shared" ref="HX24:HY24" si="458">SUM(HB286:HB345)</f>
        <v>1030.0179499999999</v>
      </c>
      <c r="HY24" s="3">
        <f t="shared" si="458"/>
        <v>3169.4461890000002</v>
      </c>
      <c r="HZ24" s="3">
        <f>SUM(GW286:GW345)</f>
        <v>1228.1365350000001</v>
      </c>
      <c r="IA24" s="4">
        <f>100*(IB24/1000)/HZ24</f>
        <v>0.3419378887706489</v>
      </c>
      <c r="IB24" s="3">
        <f>SUM(GY286:GY345)</f>
        <v>4199.4641390000015</v>
      </c>
      <c r="IC24" s="15">
        <f>SUM(GZ286:GZ345)/SUM(GW286:GW345)</f>
        <v>52.464896969950331</v>
      </c>
      <c r="ID24" s="2">
        <f>COUNT(GY286:GY345)</f>
        <v>15</v>
      </c>
      <c r="IE24" s="2"/>
      <c r="IF24" s="4">
        <f t="shared" ref="IF24:IN24" si="459">100*SUM(EI286:EI345)/SUM($EI286:$FA345)</f>
        <v>0.34631287872435496</v>
      </c>
      <c r="IG24" s="26">
        <f t="shared" si="459"/>
        <v>1.9976308448245959E-3</v>
      </c>
      <c r="IH24" s="39">
        <f t="shared" si="459"/>
        <v>0</v>
      </c>
      <c r="II24" s="39">
        <f t="shared" si="459"/>
        <v>0</v>
      </c>
      <c r="IJ24" s="39">
        <f t="shared" si="459"/>
        <v>0</v>
      </c>
      <c r="IK24" s="39">
        <f t="shared" si="459"/>
        <v>0</v>
      </c>
      <c r="IL24" s="39">
        <f t="shared" si="459"/>
        <v>0</v>
      </c>
      <c r="IM24" s="15">
        <f t="shared" si="459"/>
        <v>86.75995829617662</v>
      </c>
      <c r="IN24" s="15">
        <f t="shared" si="459"/>
        <v>9.8201508398274537</v>
      </c>
      <c r="IO24" s="15">
        <f>100*SUM(ER286:EV345)/SUM($EI286:$FA345)</f>
        <v>1.0135711013084845</v>
      </c>
      <c r="IP24" s="39">
        <f t="shared" ref="IP24:IQ24" si="460">100*SUM(EW286:EW345)/SUM($EI286:$FA345)</f>
        <v>0</v>
      </c>
      <c r="IQ24" s="4">
        <f t="shared" si="460"/>
        <v>2.0580092531182661</v>
      </c>
      <c r="IR24" s="39">
        <f t="shared" ref="IR24:IS24" si="461">100*SUM(EZ286:EZ345)/SUM($EI286:$FA345)</f>
        <v>0</v>
      </c>
      <c r="IS24" s="39">
        <f t="shared" si="461"/>
        <v>0</v>
      </c>
      <c r="IT24" s="4">
        <f t="shared" ref="IT24:JB24" si="462">100*SUM(FU286:FU345)/SUM($FU286:$GM345)</f>
        <v>0.19293258277932171</v>
      </c>
      <c r="IU24" s="39">
        <f t="shared" si="462"/>
        <v>0</v>
      </c>
      <c r="IV24" s="39">
        <f t="shared" si="462"/>
        <v>0</v>
      </c>
      <c r="IW24" s="39">
        <f t="shared" si="462"/>
        <v>0</v>
      </c>
      <c r="IX24" s="39">
        <f t="shared" si="462"/>
        <v>0</v>
      </c>
      <c r="IY24" s="39">
        <f t="shared" si="462"/>
        <v>0</v>
      </c>
      <c r="IZ24" s="39">
        <f t="shared" si="462"/>
        <v>0</v>
      </c>
      <c r="JA24" s="15">
        <f t="shared" si="462"/>
        <v>85.469975780313277</v>
      </c>
      <c r="JB24" s="15">
        <f t="shared" si="462"/>
        <v>12.916861412714939</v>
      </c>
      <c r="JC24" s="15">
        <f>100*SUM(GD286:GH345)/SUM($FU286:$GM345)</f>
        <v>1.4202302241924385</v>
      </c>
      <c r="JD24" s="39">
        <f t="shared" ref="JD24:JE24" si="463">100*SUM(GI286:GI345)/SUM($FU286:$GM345)</f>
        <v>0</v>
      </c>
      <c r="JE24" s="39">
        <f t="shared" si="463"/>
        <v>0</v>
      </c>
      <c r="JF24" s="39">
        <f t="shared" ref="JF24:JG24" si="464">100*SUM(GL286:GL345)/SUM($FU286:$GM345)</f>
        <v>0</v>
      </c>
      <c r="JG24" s="39">
        <f t="shared" si="464"/>
        <v>0</v>
      </c>
      <c r="JH24" s="2" t="s">
        <v>3</v>
      </c>
    </row>
    <row r="25" spans="1:268" ht="15.75" customHeight="1" x14ac:dyDescent="0.2">
      <c r="A25" s="21" t="s">
        <v>598</v>
      </c>
      <c r="B25" s="2" t="s">
        <v>99</v>
      </c>
      <c r="C25" s="2"/>
      <c r="D25" s="2"/>
      <c r="E25" s="2"/>
      <c r="F25" s="2" t="s">
        <v>599</v>
      </c>
      <c r="G25" s="2"/>
      <c r="H25" s="2"/>
      <c r="I25" s="2">
        <v>5.0999999999999996</v>
      </c>
      <c r="J25" s="2"/>
      <c r="K25" s="2"/>
      <c r="L25" s="2"/>
      <c r="M25" s="2"/>
      <c r="N25" s="2"/>
      <c r="O25" s="2"/>
      <c r="P25" s="2"/>
      <c r="Q25" s="2">
        <v>1.56</v>
      </c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>
        <f>4.3+30.3</f>
        <v>34.6</v>
      </c>
      <c r="AE25" s="2"/>
      <c r="AF25" s="2"/>
      <c r="AG25" s="2"/>
      <c r="AH25" s="2"/>
      <c r="AI25" s="2"/>
      <c r="AJ25" s="2"/>
      <c r="AK25" s="2"/>
      <c r="AL25" s="4">
        <f>(0.69*4.3+0.96*30.3)/AD25</f>
        <v>0.92644508670520231</v>
      </c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>
        <v>20.9</v>
      </c>
      <c r="AZ25" s="2"/>
      <c r="BA25" s="2"/>
      <c r="BB25" s="2"/>
      <c r="BC25" s="2"/>
      <c r="BD25" s="2"/>
      <c r="BE25" s="2"/>
      <c r="BF25" s="2"/>
      <c r="BG25" s="2">
        <v>0.63</v>
      </c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>
        <v>5.3</v>
      </c>
      <c r="BU25" s="2"/>
      <c r="BV25" s="2"/>
      <c r="BW25" s="2"/>
      <c r="BX25" s="2"/>
      <c r="BY25" s="2"/>
      <c r="BZ25" s="2"/>
      <c r="CA25" s="2"/>
      <c r="CB25" s="2">
        <v>1.43</v>
      </c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>
        <v>30.1</v>
      </c>
      <c r="CP25" s="2"/>
      <c r="CQ25" s="2"/>
      <c r="CR25" s="2"/>
      <c r="CS25" s="2"/>
      <c r="CT25" s="2"/>
      <c r="CU25" s="2"/>
      <c r="CV25" s="2"/>
      <c r="CW25" s="2">
        <v>0.89</v>
      </c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 t="s">
        <v>81</v>
      </c>
      <c r="DK25" s="2"/>
      <c r="DL25" s="2">
        <f t="shared" si="3"/>
        <v>0.87752475247524742</v>
      </c>
      <c r="DM25" s="2">
        <f t="shared" si="4"/>
        <v>0</v>
      </c>
      <c r="DN25" s="2" t="s">
        <v>150</v>
      </c>
      <c r="DO25" s="2" t="s">
        <v>3</v>
      </c>
      <c r="DP25" s="2">
        <f t="shared" si="5"/>
        <v>0</v>
      </c>
      <c r="DQ25" s="2">
        <f t="shared" ref="DQ25:DR25" si="465">K25*$I25+AF25*$AD25+BA25*$AY25</f>
        <v>0</v>
      </c>
      <c r="DR25" s="2">
        <f t="shared" si="465"/>
        <v>0</v>
      </c>
      <c r="DS25" s="2">
        <f t="shared" ref="DS25:DX25" si="466">(M25*$I25+AH25*$AD25+BC25*$AY25)/100</f>
        <v>0</v>
      </c>
      <c r="DT25" s="2">
        <f t="shared" si="466"/>
        <v>0</v>
      </c>
      <c r="DU25" s="2">
        <f t="shared" si="466"/>
        <v>0</v>
      </c>
      <c r="DV25" s="2">
        <f t="shared" si="466"/>
        <v>0</v>
      </c>
      <c r="DW25" s="2">
        <f t="shared" si="466"/>
        <v>0.53177999999999992</v>
      </c>
      <c r="DX25" s="2">
        <f t="shared" si="466"/>
        <v>0</v>
      </c>
      <c r="DY25" s="2">
        <f t="shared" ref="DY25:EC25" si="467">S25*$I25+AN25*$AD25+BI25*$AY25</f>
        <v>0</v>
      </c>
      <c r="DZ25" s="2">
        <f t="shared" si="467"/>
        <v>0</v>
      </c>
      <c r="EA25" s="2">
        <f t="shared" si="467"/>
        <v>0</v>
      </c>
      <c r="EB25" s="2">
        <f t="shared" si="467"/>
        <v>0</v>
      </c>
      <c r="EC25" s="2">
        <f t="shared" si="467"/>
        <v>0</v>
      </c>
      <c r="ED25" s="2">
        <f t="shared" ref="ED25:EE25" si="468">(X25*$I25+AS25*$AD25+BN25*$AY25)/100</f>
        <v>0</v>
      </c>
      <c r="EE25" s="2">
        <f t="shared" si="468"/>
        <v>0</v>
      </c>
      <c r="EF25" s="2"/>
      <c r="EG25" s="2">
        <f t="shared" si="10"/>
        <v>0</v>
      </c>
      <c r="EH25" s="2">
        <f t="shared" si="11"/>
        <v>0</v>
      </c>
      <c r="EI25" s="39">
        <f t="shared" si="12"/>
        <v>0</v>
      </c>
      <c r="EJ25" s="39">
        <f t="shared" ref="EJ25:EK25" si="469">EJ$1*DQ25/1000000</f>
        <v>0</v>
      </c>
      <c r="EK25" s="39">
        <f t="shared" si="469"/>
        <v>0</v>
      </c>
      <c r="EL25" s="39">
        <f t="shared" ref="EL25:EQ25" si="470">EL$1*DS25</f>
        <v>0</v>
      </c>
      <c r="EM25" s="39">
        <f t="shared" si="470"/>
        <v>0</v>
      </c>
      <c r="EN25" s="39">
        <f t="shared" si="470"/>
        <v>0</v>
      </c>
      <c r="EO25" s="39">
        <f t="shared" si="470"/>
        <v>0</v>
      </c>
      <c r="EP25" s="39">
        <f t="shared" si="470"/>
        <v>6973.7629199999992</v>
      </c>
      <c r="EQ25" s="39">
        <f t="shared" si="470"/>
        <v>0</v>
      </c>
      <c r="ER25" s="39">
        <f t="shared" ref="ER25:EV25" si="471">ER$1*DY25/1000000</f>
        <v>0</v>
      </c>
      <c r="ES25" s="39">
        <f t="shared" si="471"/>
        <v>0</v>
      </c>
      <c r="ET25" s="39">
        <f t="shared" si="471"/>
        <v>0</v>
      </c>
      <c r="EU25" s="39">
        <f t="shared" si="471"/>
        <v>0</v>
      </c>
      <c r="EV25" s="39">
        <f t="shared" si="471"/>
        <v>0</v>
      </c>
      <c r="EW25" s="39">
        <f t="shared" ref="EW25:EX25" si="472">EW$1*ED25</f>
        <v>0</v>
      </c>
      <c r="EX25" s="39">
        <f t="shared" si="472"/>
        <v>0</v>
      </c>
      <c r="EY25" s="2"/>
      <c r="EZ25" s="39">
        <f t="shared" si="17"/>
        <v>0</v>
      </c>
      <c r="FA25" s="39">
        <f t="shared" si="18"/>
        <v>0</v>
      </c>
      <c r="FB25" s="2">
        <f t="shared" si="19"/>
        <v>0</v>
      </c>
      <c r="FC25" s="2">
        <f t="shared" ref="FC25:FD25" si="473">BV25*$BT25+CQ25*$CO25</f>
        <v>0</v>
      </c>
      <c r="FD25" s="2">
        <f t="shared" si="473"/>
        <v>0</v>
      </c>
      <c r="FE25" s="2">
        <f t="shared" ref="FE25:FJ25" si="474">(BX25*$BT25+CS25*$CO25)/100</f>
        <v>0</v>
      </c>
      <c r="FF25" s="2">
        <f t="shared" si="474"/>
        <v>0</v>
      </c>
      <c r="FG25" s="2">
        <f t="shared" si="474"/>
        <v>0</v>
      </c>
      <c r="FH25" s="2">
        <f t="shared" si="474"/>
        <v>0</v>
      </c>
      <c r="FI25" s="2">
        <f t="shared" si="474"/>
        <v>0.34368000000000004</v>
      </c>
      <c r="FJ25" s="2">
        <f t="shared" si="474"/>
        <v>0</v>
      </c>
      <c r="FK25" s="2">
        <f t="shared" ref="FK25:FO25" si="475">CD25*$BT25+CY25*$CO25</f>
        <v>0</v>
      </c>
      <c r="FL25" s="2">
        <f t="shared" si="475"/>
        <v>0</v>
      </c>
      <c r="FM25" s="2">
        <f t="shared" si="475"/>
        <v>0</v>
      </c>
      <c r="FN25" s="2">
        <f t="shared" si="475"/>
        <v>0</v>
      </c>
      <c r="FO25" s="2">
        <f t="shared" si="475"/>
        <v>0</v>
      </c>
      <c r="FP25" s="2">
        <f t="shared" ref="FP25:FQ25" si="476">(CI25*$BT25+DD25*$CO25)/100</f>
        <v>0</v>
      </c>
      <c r="FQ25" s="2">
        <f t="shared" si="476"/>
        <v>0</v>
      </c>
      <c r="FR25" s="2"/>
      <c r="FS25" s="2">
        <f t="shared" si="24"/>
        <v>0</v>
      </c>
      <c r="FT25" s="2">
        <f t="shared" si="25"/>
        <v>0</v>
      </c>
      <c r="FU25" s="39">
        <f t="shared" si="26"/>
        <v>0</v>
      </c>
      <c r="FV25" s="39">
        <f t="shared" ref="FV25:FW25" si="477">FV$1*FC25/1000000</f>
        <v>0</v>
      </c>
      <c r="FW25" s="39">
        <f t="shared" si="477"/>
        <v>0</v>
      </c>
      <c r="FX25" s="39">
        <f t="shared" ref="FX25:GC25" si="478">FX$1*FE25</f>
        <v>0</v>
      </c>
      <c r="FY25" s="39">
        <f t="shared" si="478"/>
        <v>0</v>
      </c>
      <c r="FZ25" s="39">
        <f t="shared" si="478"/>
        <v>0</v>
      </c>
      <c r="GA25" s="39">
        <f t="shared" si="478"/>
        <v>0</v>
      </c>
      <c r="GB25" s="39">
        <f t="shared" si="478"/>
        <v>4507.0195200000007</v>
      </c>
      <c r="GC25" s="39">
        <f t="shared" si="478"/>
        <v>0</v>
      </c>
      <c r="GD25" s="39">
        <f t="shared" ref="GD25:GH25" si="479">GD$1*FK25/1000000</f>
        <v>0</v>
      </c>
      <c r="GE25" s="39">
        <f t="shared" si="479"/>
        <v>0</v>
      </c>
      <c r="GF25" s="39">
        <f t="shared" si="479"/>
        <v>0</v>
      </c>
      <c r="GG25" s="39">
        <f t="shared" si="479"/>
        <v>0</v>
      </c>
      <c r="GH25" s="39">
        <f t="shared" si="479"/>
        <v>0</v>
      </c>
      <c r="GI25" s="39">
        <f t="shared" ref="GI25:GJ25" si="480">GI$1*FP25</f>
        <v>0</v>
      </c>
      <c r="GJ25" s="39">
        <f t="shared" si="480"/>
        <v>0</v>
      </c>
      <c r="GK25" s="2"/>
      <c r="GL25" s="39">
        <f t="shared" si="31"/>
        <v>0</v>
      </c>
      <c r="GM25" s="39">
        <f t="shared" si="32"/>
        <v>0</v>
      </c>
      <c r="GN25" s="2" t="s">
        <v>3</v>
      </c>
      <c r="GO25" s="2">
        <f t="shared" si="33"/>
        <v>60.6</v>
      </c>
      <c r="GP25" s="4">
        <f t="shared" si="34"/>
        <v>0.87752475247524742</v>
      </c>
      <c r="GQ25" s="15">
        <f t="shared" si="35"/>
        <v>531.78</v>
      </c>
      <c r="GR25" s="15">
        <f t="shared" si="36"/>
        <v>6973.7629199999992</v>
      </c>
      <c r="GS25" s="15">
        <f t="shared" si="37"/>
        <v>115.07859603960395</v>
      </c>
      <c r="GT25" s="2">
        <f t="shared" si="38"/>
        <v>79.559999999999988</v>
      </c>
      <c r="GU25" s="2">
        <f t="shared" si="39"/>
        <v>320.55</v>
      </c>
      <c r="GV25" s="2">
        <f t="shared" si="40"/>
        <v>131.66999999999999</v>
      </c>
      <c r="GW25" s="2">
        <f t="shared" si="41"/>
        <v>35.4</v>
      </c>
      <c r="GX25" s="4">
        <f>(BT25*CB25+CO25*CW25)/GW25</f>
        <v>0.97084745762711877</v>
      </c>
      <c r="GY25" s="15">
        <f>1000*GW25*GX25/100</f>
        <v>343.68000000000006</v>
      </c>
      <c r="GZ25" s="15">
        <f>SUM(FU25:GM25)</f>
        <v>4507.0195200000007</v>
      </c>
      <c r="HA25" s="15">
        <f>GZ25/GW25</f>
        <v>127.31693559322036</v>
      </c>
      <c r="HB25" s="2">
        <f t="shared" si="42"/>
        <v>75.790000000000006</v>
      </c>
      <c r="HC25" s="2">
        <f t="shared" si="43"/>
        <v>267.89</v>
      </c>
      <c r="HD25" s="2" t="s">
        <v>3</v>
      </c>
      <c r="HE25" s="2" t="s">
        <v>183</v>
      </c>
      <c r="HF25" s="2" t="s">
        <v>600</v>
      </c>
      <c r="HG25" s="2" t="s">
        <v>601</v>
      </c>
      <c r="HH25" s="2"/>
      <c r="HI25" s="2" t="s">
        <v>81</v>
      </c>
      <c r="HJ25" s="2" t="s">
        <v>3</v>
      </c>
      <c r="HK25" s="2" t="s">
        <v>89</v>
      </c>
      <c r="HL25" s="2" t="s">
        <v>137</v>
      </c>
      <c r="HM25" s="2" t="s">
        <v>100</v>
      </c>
      <c r="HN25" s="2">
        <f t="shared" ref="HN25:HP25" si="481">SUM(GT346:GT356)</f>
        <v>0</v>
      </c>
      <c r="HO25" s="2">
        <f t="shared" si="481"/>
        <v>0</v>
      </c>
      <c r="HP25" s="3">
        <f t="shared" si="481"/>
        <v>4716.0392000000002</v>
      </c>
      <c r="HQ25" s="3">
        <f>SUM(GO346:GO356)</f>
        <v>1165.896</v>
      </c>
      <c r="HR25" s="4">
        <f t="shared" si="45"/>
        <v>0.40449913199805132</v>
      </c>
      <c r="HS25" s="4">
        <f>MIN(GP346:GP356)</f>
        <v>0.34</v>
      </c>
      <c r="HT25" s="4">
        <f>MAX(GP346:GP356)</f>
        <v>0.92</v>
      </c>
      <c r="HU25" s="3">
        <f>SUM(GQ346:GQ356)</f>
        <v>4716.0392000000002</v>
      </c>
      <c r="HV25" s="15">
        <f>SUM(GR346:GR356)/SUM(GO346:GO356)</f>
        <v>53.304497567072879</v>
      </c>
      <c r="HW25" s="2">
        <f>COUNT(GQ346:GQ356)</f>
        <v>11</v>
      </c>
      <c r="HX25" s="2">
        <f t="shared" ref="HX25:HY25" si="482">SUM(HB346:HB356)</f>
        <v>0</v>
      </c>
      <c r="HY25" s="2">
        <f t="shared" si="482"/>
        <v>0</v>
      </c>
      <c r="HZ25" s="2" t="s">
        <v>176</v>
      </c>
      <c r="IA25" s="2" t="s">
        <v>176</v>
      </c>
      <c r="IB25" s="2" t="s">
        <v>176</v>
      </c>
      <c r="IC25" s="2" t="s">
        <v>176</v>
      </c>
      <c r="ID25" s="2">
        <f>COUNT(GY346:GY356)</f>
        <v>0</v>
      </c>
      <c r="IE25" s="2"/>
      <c r="IF25" s="4">
        <f t="shared" ref="IF25:IN25" si="483">100*SUM(EI346:EI356)/SUM($EI346:$FA356)</f>
        <v>0.47502935031404236</v>
      </c>
      <c r="IG25" s="39">
        <f t="shared" si="483"/>
        <v>0</v>
      </c>
      <c r="IH25" s="39">
        <f t="shared" si="483"/>
        <v>0</v>
      </c>
      <c r="II25" s="39">
        <f t="shared" si="483"/>
        <v>0</v>
      </c>
      <c r="IJ25" s="39">
        <f t="shared" si="483"/>
        <v>0</v>
      </c>
      <c r="IK25" s="39">
        <f t="shared" si="483"/>
        <v>0</v>
      </c>
      <c r="IL25" s="26">
        <f t="shared" si="483"/>
        <v>9.8854479601296254E-3</v>
      </c>
      <c r="IM25" s="15">
        <f t="shared" si="483"/>
        <v>99.515085201725839</v>
      </c>
      <c r="IN25" s="39">
        <f t="shared" si="483"/>
        <v>0</v>
      </c>
      <c r="IO25" s="39">
        <f>100*SUM(ER346:EV356)/SUM($EI346:$FA356)</f>
        <v>0</v>
      </c>
      <c r="IP25" s="39">
        <f t="shared" ref="IP25:IQ25" si="484">100*SUM(EW346:EW356)/SUM($EI346:$FA356)</f>
        <v>0</v>
      </c>
      <c r="IQ25" s="39">
        <f t="shared" si="484"/>
        <v>0</v>
      </c>
      <c r="IR25" s="39">
        <f t="shared" ref="IR25:IS25" si="485">100*SUM(EZ346:EZ356)/SUM($EI346:$FA356)</f>
        <v>0</v>
      </c>
      <c r="IS25" s="39">
        <f t="shared" si="485"/>
        <v>0</v>
      </c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 t="s">
        <v>3</v>
      </c>
    </row>
    <row r="26" spans="1:268" ht="15.75" customHeight="1" x14ac:dyDescent="0.2">
      <c r="A26" s="21" t="s">
        <v>903</v>
      </c>
      <c r="B26" s="2" t="s">
        <v>99</v>
      </c>
      <c r="C26" s="2"/>
      <c r="D26" s="37"/>
      <c r="E26" s="2"/>
      <c r="F26" s="2" t="s">
        <v>79</v>
      </c>
      <c r="G26" s="2"/>
      <c r="H26" s="2"/>
      <c r="I26" s="2">
        <v>0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15">
        <f>43.656+78.218+9.196906</f>
        <v>131.07090600000001</v>
      </c>
      <c r="AE26" s="19">
        <f>(0.099*43.656+0.012*78.218+0.067*9.196906)/AD26</f>
        <v>4.4836439156070225E-2</v>
      </c>
      <c r="AF26" s="2"/>
      <c r="AG26" s="2"/>
      <c r="AH26" s="2"/>
      <c r="AI26" s="2"/>
      <c r="AJ26" s="2"/>
      <c r="AK26" s="2"/>
      <c r="AL26" s="19">
        <f>(0.011*43.656+0.019*78.218+0.05*9.196906)/AD26</f>
        <v>1.8510616688649423E-2</v>
      </c>
      <c r="AM26" s="19">
        <f>(0.055*43.656+0.043*78.218+0.165*9.196906)/AD26</f>
        <v>5.5557283551545752E-2</v>
      </c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4">
        <v>54.712288999999998</v>
      </c>
      <c r="AZ26" s="19">
        <v>0.03</v>
      </c>
      <c r="BA26" s="2"/>
      <c r="BB26" s="2"/>
      <c r="BC26" s="2"/>
      <c r="BD26" s="2"/>
      <c r="BE26" s="2"/>
      <c r="BF26" s="2"/>
      <c r="BG26" s="2">
        <v>2.4E-2</v>
      </c>
      <c r="BH26" s="2">
        <v>6.6000000000000003E-2</v>
      </c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>
        <v>0</v>
      </c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>
        <v>0</v>
      </c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 t="s">
        <v>81</v>
      </c>
      <c r="DK26" s="2" t="s">
        <v>81</v>
      </c>
      <c r="DL26" s="2">
        <f t="shared" si="3"/>
        <v>2.0127214606251116E-2</v>
      </c>
      <c r="DM26" s="2">
        <f t="shared" si="4"/>
        <v>5.863261509739888E-2</v>
      </c>
      <c r="DN26" s="2" t="s">
        <v>904</v>
      </c>
      <c r="DO26" s="2" t="s">
        <v>3</v>
      </c>
      <c r="DP26" s="2">
        <f t="shared" si="5"/>
        <v>7.5181213720000001E-2</v>
      </c>
      <c r="DQ26" s="2">
        <f t="shared" ref="DQ26:DR26" si="486">K26*$I26+AF26*$AD26+BA26*$AY26</f>
        <v>0</v>
      </c>
      <c r="DR26" s="2">
        <f t="shared" si="486"/>
        <v>0</v>
      </c>
      <c r="DS26" s="2">
        <f t="shared" ref="DS26:DX26" si="487">(M26*$I26+AH26*$AD26+BC26*$AY26)/100</f>
        <v>0</v>
      </c>
      <c r="DT26" s="2">
        <f t="shared" si="487"/>
        <v>0</v>
      </c>
      <c r="DU26" s="2">
        <f t="shared" si="487"/>
        <v>0</v>
      </c>
      <c r="DV26" s="2">
        <f t="shared" si="487"/>
        <v>0</v>
      </c>
      <c r="DW26" s="2">
        <f t="shared" si="487"/>
        <v>3.739298236E-2</v>
      </c>
      <c r="DX26" s="2">
        <f t="shared" si="487"/>
        <v>0.10892954564</v>
      </c>
      <c r="DY26" s="2">
        <f t="shared" ref="DY26:EC26" si="488">S26*$I26+AN26*$AD26+BI26*$AY26</f>
        <v>0</v>
      </c>
      <c r="DZ26" s="2">
        <f t="shared" si="488"/>
        <v>0</v>
      </c>
      <c r="EA26" s="2">
        <f t="shared" si="488"/>
        <v>0</v>
      </c>
      <c r="EB26" s="2">
        <f t="shared" si="488"/>
        <v>0</v>
      </c>
      <c r="EC26" s="2">
        <f t="shared" si="488"/>
        <v>0</v>
      </c>
      <c r="ED26" s="2">
        <f t="shared" ref="ED26:EE26" si="489">(X26*$I26+AS26*$AD26+BN26*$AY26)/100</f>
        <v>0</v>
      </c>
      <c r="EE26" s="2">
        <f t="shared" si="489"/>
        <v>0</v>
      </c>
      <c r="EF26" s="2"/>
      <c r="EG26" s="2">
        <f t="shared" si="10"/>
        <v>0</v>
      </c>
      <c r="EH26" s="2">
        <f t="shared" si="11"/>
        <v>0</v>
      </c>
      <c r="EI26" s="39">
        <f t="shared" si="12"/>
        <v>490.60373115065153</v>
      </c>
      <c r="EJ26" s="39">
        <f t="shared" ref="EJ26:EK26" si="490">EJ$1*DQ26/1000000</f>
        <v>0</v>
      </c>
      <c r="EK26" s="39">
        <f t="shared" si="490"/>
        <v>0</v>
      </c>
      <c r="EL26" s="39">
        <f t="shared" ref="EL26:EQ26" si="491">EL$1*DS26</f>
        <v>0</v>
      </c>
      <c r="EM26" s="39">
        <f t="shared" si="491"/>
        <v>0</v>
      </c>
      <c r="EN26" s="39">
        <f t="shared" si="491"/>
        <v>0</v>
      </c>
      <c r="EO26" s="39">
        <f t="shared" si="491"/>
        <v>0</v>
      </c>
      <c r="EP26" s="39">
        <f t="shared" si="491"/>
        <v>490.37157066904001</v>
      </c>
      <c r="EQ26" s="39">
        <f t="shared" si="491"/>
        <v>7910.4117539130739</v>
      </c>
      <c r="ER26" s="39">
        <f t="shared" ref="ER26:EV26" si="492">ER$1*DY26/1000000</f>
        <v>0</v>
      </c>
      <c r="ES26" s="39">
        <f t="shared" si="492"/>
        <v>0</v>
      </c>
      <c r="ET26" s="39">
        <f t="shared" si="492"/>
        <v>0</v>
      </c>
      <c r="EU26" s="39">
        <f t="shared" si="492"/>
        <v>0</v>
      </c>
      <c r="EV26" s="39">
        <f t="shared" si="492"/>
        <v>0</v>
      </c>
      <c r="EW26" s="39">
        <f t="shared" ref="EW26:EX26" si="493">EW$1*ED26</f>
        <v>0</v>
      </c>
      <c r="EX26" s="39">
        <f t="shared" si="493"/>
        <v>0</v>
      </c>
      <c r="EY26" s="2"/>
      <c r="EZ26" s="39">
        <f t="shared" si="17"/>
        <v>0</v>
      </c>
      <c r="FA26" s="39">
        <f t="shared" si="18"/>
        <v>0</v>
      </c>
      <c r="FB26" s="2">
        <f t="shared" si="19"/>
        <v>0</v>
      </c>
      <c r="FC26" s="2">
        <f t="shared" ref="FC26:FD26" si="494">BV26*$BT26+CQ26*$CO26</f>
        <v>0</v>
      </c>
      <c r="FD26" s="2">
        <f t="shared" si="494"/>
        <v>0</v>
      </c>
      <c r="FE26" s="2">
        <f t="shared" ref="FE26:FJ26" si="495">(BX26*$BT26+CS26*$CO26)/100</f>
        <v>0</v>
      </c>
      <c r="FF26" s="2">
        <f t="shared" si="495"/>
        <v>0</v>
      </c>
      <c r="FG26" s="2">
        <f t="shared" si="495"/>
        <v>0</v>
      </c>
      <c r="FH26" s="2">
        <f t="shared" si="495"/>
        <v>0</v>
      </c>
      <c r="FI26" s="2">
        <f t="shared" si="495"/>
        <v>0</v>
      </c>
      <c r="FJ26" s="2">
        <f t="shared" si="495"/>
        <v>0</v>
      </c>
      <c r="FK26" s="2">
        <f t="shared" ref="FK26:FO26" si="496">CD26*$BT26+CY26*$CO26</f>
        <v>0</v>
      </c>
      <c r="FL26" s="2">
        <f t="shared" si="496"/>
        <v>0</v>
      </c>
      <c r="FM26" s="2">
        <f t="shared" si="496"/>
        <v>0</v>
      </c>
      <c r="FN26" s="2">
        <f t="shared" si="496"/>
        <v>0</v>
      </c>
      <c r="FO26" s="2">
        <f t="shared" si="496"/>
        <v>0</v>
      </c>
      <c r="FP26" s="2">
        <f t="shared" ref="FP26:FQ26" si="497">(CI26*$BT26+DD26*$CO26)/100</f>
        <v>0</v>
      </c>
      <c r="FQ26" s="2">
        <f t="shared" si="497"/>
        <v>0</v>
      </c>
      <c r="FR26" s="2"/>
      <c r="FS26" s="2">
        <f t="shared" si="24"/>
        <v>0</v>
      </c>
      <c r="FT26" s="2">
        <f t="shared" si="25"/>
        <v>0</v>
      </c>
      <c r="FU26" s="39">
        <f t="shared" si="26"/>
        <v>0</v>
      </c>
      <c r="FV26" s="39">
        <f t="shared" ref="FV26:FW26" si="498">FV$1*FC26/1000000</f>
        <v>0</v>
      </c>
      <c r="FW26" s="39">
        <f t="shared" si="498"/>
        <v>0</v>
      </c>
      <c r="FX26" s="39">
        <f t="shared" ref="FX26:GC26" si="499">FX$1*FE26</f>
        <v>0</v>
      </c>
      <c r="FY26" s="39">
        <f t="shared" si="499"/>
        <v>0</v>
      </c>
      <c r="FZ26" s="39">
        <f t="shared" si="499"/>
        <v>0</v>
      </c>
      <c r="GA26" s="39">
        <f t="shared" si="499"/>
        <v>0</v>
      </c>
      <c r="GB26" s="39">
        <f t="shared" si="499"/>
        <v>0</v>
      </c>
      <c r="GC26" s="39">
        <f t="shared" si="499"/>
        <v>0</v>
      </c>
      <c r="GD26" s="39">
        <f t="shared" ref="GD26:GH26" si="500">GD$1*FK26/1000000</f>
        <v>0</v>
      </c>
      <c r="GE26" s="39">
        <f t="shared" si="500"/>
        <v>0</v>
      </c>
      <c r="GF26" s="39">
        <f t="shared" si="500"/>
        <v>0</v>
      </c>
      <c r="GG26" s="39">
        <f t="shared" si="500"/>
        <v>0</v>
      </c>
      <c r="GH26" s="39">
        <f t="shared" si="500"/>
        <v>0</v>
      </c>
      <c r="GI26" s="39">
        <f t="shared" ref="GI26:GJ26" si="501">GI$1*FP26</f>
        <v>0</v>
      </c>
      <c r="GJ26" s="39">
        <f t="shared" si="501"/>
        <v>0</v>
      </c>
      <c r="GK26" s="2"/>
      <c r="GL26" s="39">
        <f t="shared" si="31"/>
        <v>0</v>
      </c>
      <c r="GM26" s="39">
        <f t="shared" si="32"/>
        <v>0</v>
      </c>
      <c r="GN26" s="2" t="s">
        <v>3</v>
      </c>
      <c r="GO26" s="15">
        <f t="shared" si="33"/>
        <v>185.78319500000001</v>
      </c>
      <c r="GP26" s="19">
        <f t="shared" si="34"/>
        <v>2.0127214606251116E-2</v>
      </c>
      <c r="GQ26" s="15">
        <f t="shared" si="35"/>
        <v>37.392982359999998</v>
      </c>
      <c r="GR26" s="15">
        <f t="shared" si="36"/>
        <v>8891.3870557327646</v>
      </c>
      <c r="GS26" s="15">
        <f t="shared" si="37"/>
        <v>47.858941470636054</v>
      </c>
      <c r="GT26" s="2">
        <f t="shared" si="38"/>
        <v>0</v>
      </c>
      <c r="GU26" s="2">
        <f t="shared" si="39"/>
        <v>24.262033000000002</v>
      </c>
      <c r="GV26" s="2">
        <f t="shared" si="40"/>
        <v>13.130949359999999</v>
      </c>
      <c r="GW26" s="2">
        <f t="shared" si="41"/>
        <v>0</v>
      </c>
      <c r="GX26" s="2"/>
      <c r="GY26" s="2"/>
      <c r="GZ26" s="2"/>
      <c r="HA26" s="2"/>
      <c r="HB26" s="2">
        <f t="shared" si="42"/>
        <v>0</v>
      </c>
      <c r="HC26" s="2">
        <f t="shared" si="43"/>
        <v>0</v>
      </c>
      <c r="HD26" s="2" t="s">
        <v>3</v>
      </c>
      <c r="HE26" s="2" t="s">
        <v>183</v>
      </c>
      <c r="HF26" s="2" t="s">
        <v>600</v>
      </c>
      <c r="HG26" s="2" t="s">
        <v>905</v>
      </c>
      <c r="HH26" s="2"/>
      <c r="HI26" s="2" t="s">
        <v>81</v>
      </c>
      <c r="HJ26" s="2" t="s">
        <v>3</v>
      </c>
      <c r="HK26" s="2" t="s">
        <v>89</v>
      </c>
      <c r="HL26" s="2" t="s">
        <v>408</v>
      </c>
      <c r="HM26" s="2" t="s">
        <v>81</v>
      </c>
      <c r="HN26" s="15">
        <f t="shared" ref="HN26:HP26" si="502">SUM(GT357:GT368)</f>
        <v>436.67399999999992</v>
      </c>
      <c r="HO26" s="3">
        <f t="shared" si="502"/>
        <v>1232.4191493999995</v>
      </c>
      <c r="HP26" s="15">
        <f t="shared" si="502"/>
        <v>775.95460000000003</v>
      </c>
      <c r="HQ26" s="15">
        <f>SUM(GO357:GO368)</f>
        <v>224.22496000000001</v>
      </c>
      <c r="HR26" s="4">
        <f t="shared" si="45"/>
        <v>1.0904440564511637</v>
      </c>
      <c r="HS26" s="4">
        <f>MIN(GP357:GP368)</f>
        <v>0.31970235634559735</v>
      </c>
      <c r="HT26" s="4">
        <f>MAX(GP357:GP368)</f>
        <v>2.5</v>
      </c>
      <c r="HU26" s="3">
        <f>SUM(GQ357:GQ368)</f>
        <v>2445.0477493999997</v>
      </c>
      <c r="HV26" s="15">
        <f>SUM(GR357:GR368)/SUM(GO357:GO368)</f>
        <v>312.28582464133638</v>
      </c>
      <c r="HW26" s="2">
        <f>COUNT(GQ357:GQ368)</f>
        <v>12</v>
      </c>
      <c r="HX26" s="15">
        <f t="shared" ref="HX26:HY26" si="503">SUM(HB357:HB368)</f>
        <v>433.16714939999991</v>
      </c>
      <c r="HY26" s="15">
        <f t="shared" si="503"/>
        <v>827.77800000000002</v>
      </c>
      <c r="HZ26" s="15">
        <f>SUM(GW357:GW368)</f>
        <v>83.230959999999996</v>
      </c>
      <c r="IA26" s="4">
        <f>100*(IB26/1000)/HZ26</f>
        <v>1.5149953207316125</v>
      </c>
      <c r="IB26" s="3">
        <f>SUM(GY357:GY368)</f>
        <v>1260.9451494</v>
      </c>
      <c r="IC26" s="15">
        <f>SUM(GZ357:GZ368)/SUM(GW357:GW368)</f>
        <v>409.58251330735072</v>
      </c>
      <c r="ID26" s="2">
        <f>COUNT(GY357:GY368)</f>
        <v>3</v>
      </c>
      <c r="IE26" s="2"/>
      <c r="IF26" s="15">
        <f t="shared" ref="IF26:IN26" si="504">100*SUM(EI357:EI368)/SUM($EI357:$FA368)</f>
        <v>28.047226210005512</v>
      </c>
      <c r="IG26" s="15">
        <f t="shared" si="504"/>
        <v>2.6807002932434867</v>
      </c>
      <c r="IH26" s="4">
        <f t="shared" si="504"/>
        <v>0.1408281992324415</v>
      </c>
      <c r="II26" s="39">
        <f t="shared" si="504"/>
        <v>0</v>
      </c>
      <c r="IJ26" s="39">
        <f t="shared" si="504"/>
        <v>0</v>
      </c>
      <c r="IK26" s="39">
        <f t="shared" si="504"/>
        <v>0</v>
      </c>
      <c r="IL26" s="39">
        <f t="shared" si="504"/>
        <v>0</v>
      </c>
      <c r="IM26" s="15">
        <f t="shared" si="504"/>
        <v>45.791650558344635</v>
      </c>
      <c r="IN26" s="15">
        <f t="shared" si="504"/>
        <v>5.9503051793076587</v>
      </c>
      <c r="IO26" s="15">
        <f>100*SUM(ER357:EV368)/SUM($EI357:$FA368)</f>
        <v>17.389289559866263</v>
      </c>
      <c r="IP26" s="39">
        <f t="shared" ref="IP26:IQ26" si="505">100*SUM(EW357:EW368)/SUM($EI357:$FA368)</f>
        <v>0</v>
      </c>
      <c r="IQ26" s="39">
        <f t="shared" si="505"/>
        <v>0</v>
      </c>
      <c r="IR26" s="39">
        <f t="shared" ref="IR26:IS26" si="506">100*SUM(EZ357:EZ368)/SUM($EI357:$FA368)</f>
        <v>0</v>
      </c>
      <c r="IS26" s="39">
        <f t="shared" si="506"/>
        <v>0</v>
      </c>
      <c r="IT26" s="15">
        <f t="shared" ref="IT26:JB26" si="507">100*SUM(FU357:FU368)/SUM($FU357:$GM368)</f>
        <v>25.279915746107537</v>
      </c>
      <c r="IU26" s="15">
        <f t="shared" si="507"/>
        <v>3.4625554622428258</v>
      </c>
      <c r="IV26" s="39">
        <f t="shared" si="507"/>
        <v>0</v>
      </c>
      <c r="IW26" s="39">
        <f t="shared" si="507"/>
        <v>0</v>
      </c>
      <c r="IX26" s="39">
        <f t="shared" si="507"/>
        <v>0</v>
      </c>
      <c r="IY26" s="39">
        <f t="shared" si="507"/>
        <v>0</v>
      </c>
      <c r="IZ26" s="39">
        <f t="shared" si="507"/>
        <v>0</v>
      </c>
      <c r="JA26" s="15">
        <f t="shared" si="507"/>
        <v>48.507072422707836</v>
      </c>
      <c r="JB26" s="15">
        <f t="shared" si="507"/>
        <v>5.6213857038984747</v>
      </c>
      <c r="JC26" s="15">
        <f>100*SUM(GD357:GH368)/SUM($FU357:$GM368)</f>
        <v>17.129070665043294</v>
      </c>
      <c r="JD26" s="39">
        <f t="shared" ref="JD26:JE26" si="508">100*SUM(GI357:GI368)/SUM($FU357:$GM368)</f>
        <v>0</v>
      </c>
      <c r="JE26" s="39">
        <f t="shared" si="508"/>
        <v>0</v>
      </c>
      <c r="JF26" s="39">
        <f t="shared" ref="JF26:JG26" si="509">100*SUM(GL357:GL368)/SUM($FU357:$GM368)</f>
        <v>0</v>
      </c>
      <c r="JG26" s="39">
        <f t="shared" si="509"/>
        <v>0</v>
      </c>
      <c r="JH26" s="2" t="s">
        <v>3</v>
      </c>
    </row>
    <row r="27" spans="1:268" ht="15.75" customHeight="1" x14ac:dyDescent="0.2">
      <c r="A27" s="21" t="s">
        <v>285</v>
      </c>
      <c r="B27" s="2" t="s">
        <v>99</v>
      </c>
      <c r="C27" s="2"/>
      <c r="D27" s="2"/>
      <c r="E27" s="2"/>
      <c r="F27" s="2" t="s">
        <v>286</v>
      </c>
      <c r="G27" s="2"/>
      <c r="H27" s="2"/>
      <c r="I27" s="2">
        <v>0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15">
        <f>271.934</f>
        <v>271.93400000000003</v>
      </c>
      <c r="AE27" s="19">
        <v>4.1599999999999996E-3</v>
      </c>
      <c r="AF27" s="2"/>
      <c r="AG27" s="2"/>
      <c r="AH27" s="19">
        <f>0.00109/1.179</f>
        <v>9.2451229855810006E-4</v>
      </c>
      <c r="AI27" s="19">
        <f>0.0027*(95.94/(95.94+3*16.001))</f>
        <v>1.7995873366540927E-3</v>
      </c>
      <c r="AJ27" s="2"/>
      <c r="AK27" s="19">
        <v>1.7479999999999999E-2</v>
      </c>
      <c r="AL27" s="19">
        <v>7.0299999999999998E-3</v>
      </c>
      <c r="AM27" s="19">
        <v>1.65E-3</v>
      </c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3">
        <f>4440.112+496.968</f>
        <v>4937.08</v>
      </c>
      <c r="AZ27" s="19">
        <f>(0.00402*4440.112+0.00472*496.968)/AY27</f>
        <v>4.0904622165328494E-3</v>
      </c>
      <c r="BA27" s="2"/>
      <c r="BB27" s="2"/>
      <c r="BC27" s="19">
        <f>((0.00107*4440.112+0.00118*496.968)/AY27)/1.179</f>
        <v>9.1694031724053472E-4</v>
      </c>
      <c r="BD27" s="19">
        <f>((0.0023*4440.112+0.00259*496.968)/AY27)*(95.94/(95.94+3*16.001))</f>
        <v>1.5524383368586063E-3</v>
      </c>
      <c r="BE27" s="2"/>
      <c r="BF27" s="19">
        <f>(0.01696*4440.112+0.01847*496.968)/AY27</f>
        <v>1.711199706709229E-2</v>
      </c>
      <c r="BG27" s="19">
        <f>(0.00674*4440.112+0.00713*496.968)/AY27</f>
        <v>6.7792575206397305E-3</v>
      </c>
      <c r="BH27" s="19">
        <f>(0.00153*4440.112+0.00152*496.968)/AY27</f>
        <v>1.5289933969066735E-3</v>
      </c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>
        <v>0</v>
      </c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>
        <v>0</v>
      </c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 t="s">
        <v>81</v>
      </c>
      <c r="DK27" s="2" t="s">
        <v>81</v>
      </c>
      <c r="DL27" s="2">
        <f t="shared" si="3"/>
        <v>6.792347407781972E-3</v>
      </c>
      <c r="DM27" s="2">
        <f t="shared" si="4"/>
        <v>1.5353104867831032E-3</v>
      </c>
      <c r="DN27" s="2" t="s">
        <v>287</v>
      </c>
      <c r="DO27" s="2" t="s">
        <v>3</v>
      </c>
      <c r="DP27" s="2">
        <f t="shared" si="5"/>
        <v>0.21326184640000001</v>
      </c>
      <c r="DQ27" s="2">
        <f t="shared" ref="DQ27:DR27" si="510">K27*$I27+AF27*$AD27+BA27*$AY27</f>
        <v>0</v>
      </c>
      <c r="DR27" s="2">
        <f t="shared" si="510"/>
        <v>0</v>
      </c>
      <c r="DS27" s="2">
        <f t="shared" ref="DS27:DX27" si="511">(M27*$I27+AH27*$AD27+BC27*$AY27)/100</f>
        <v>4.7784140288379975E-2</v>
      </c>
      <c r="DT27" s="2">
        <f t="shared" si="511"/>
        <v>8.1538812469435826E-2</v>
      </c>
      <c r="DU27" s="2">
        <f t="shared" si="511"/>
        <v>0</v>
      </c>
      <c r="DV27" s="2">
        <f t="shared" si="511"/>
        <v>0.892367048</v>
      </c>
      <c r="DW27" s="2">
        <f t="shared" si="511"/>
        <v>0.35381432740000002</v>
      </c>
      <c r="DX27" s="2">
        <f t="shared" si="511"/>
        <v>7.99745382E-2</v>
      </c>
      <c r="DY27" s="2">
        <f t="shared" ref="DY27:EC27" si="512">S27*$I27+AN27*$AD27+BI27*$AY27</f>
        <v>0</v>
      </c>
      <c r="DZ27" s="2">
        <f t="shared" si="512"/>
        <v>0</v>
      </c>
      <c r="EA27" s="2">
        <f t="shared" si="512"/>
        <v>0</v>
      </c>
      <c r="EB27" s="2">
        <f t="shared" si="512"/>
        <v>0</v>
      </c>
      <c r="EC27" s="2">
        <f t="shared" si="512"/>
        <v>0</v>
      </c>
      <c r="ED27" s="2">
        <f t="shared" ref="ED27:EE27" si="513">(X27*$I27+AS27*$AD27+BN27*$AY27)/100</f>
        <v>0</v>
      </c>
      <c r="EE27" s="2">
        <f t="shared" si="513"/>
        <v>0</v>
      </c>
      <c r="EF27" s="2"/>
      <c r="EG27" s="2">
        <f t="shared" si="10"/>
        <v>0</v>
      </c>
      <c r="EH27" s="2">
        <f t="shared" si="11"/>
        <v>0</v>
      </c>
      <c r="EI27" s="39">
        <f t="shared" si="12"/>
        <v>1391.6649170573824</v>
      </c>
      <c r="EJ27" s="39">
        <f t="shared" ref="EJ27:EK27" si="514">EJ$1*DQ27/1000000</f>
        <v>0</v>
      </c>
      <c r="EK27" s="39">
        <f t="shared" si="514"/>
        <v>0</v>
      </c>
      <c r="EL27" s="39">
        <f t="shared" ref="EL27:EQ27" si="515">EL$1*DS27</f>
        <v>3156.1977893324165</v>
      </c>
      <c r="EM27" s="39">
        <f t="shared" si="515"/>
        <v>2204.8094891735445</v>
      </c>
      <c r="EN27" s="39">
        <f t="shared" si="515"/>
        <v>0</v>
      </c>
      <c r="EO27" s="39">
        <f t="shared" si="515"/>
        <v>2610.6235468656014</v>
      </c>
      <c r="EP27" s="39">
        <f t="shared" si="515"/>
        <v>4639.9210895236001</v>
      </c>
      <c r="EQ27" s="39">
        <f t="shared" si="515"/>
        <v>5807.7128962038159</v>
      </c>
      <c r="ER27" s="39">
        <f t="shared" ref="ER27:EV27" si="516">ER$1*DY27/1000000</f>
        <v>0</v>
      </c>
      <c r="ES27" s="39">
        <f t="shared" si="516"/>
        <v>0</v>
      </c>
      <c r="ET27" s="39">
        <f t="shared" si="516"/>
        <v>0</v>
      </c>
      <c r="EU27" s="39">
        <f t="shared" si="516"/>
        <v>0</v>
      </c>
      <c r="EV27" s="39">
        <f t="shared" si="516"/>
        <v>0</v>
      </c>
      <c r="EW27" s="39">
        <f t="shared" ref="EW27:EX27" si="517">EW$1*ED27</f>
        <v>0</v>
      </c>
      <c r="EX27" s="39">
        <f t="shared" si="517"/>
        <v>0</v>
      </c>
      <c r="EY27" s="2"/>
      <c r="EZ27" s="39">
        <f t="shared" si="17"/>
        <v>0</v>
      </c>
      <c r="FA27" s="39">
        <f t="shared" si="18"/>
        <v>0</v>
      </c>
      <c r="FB27" s="2">
        <f t="shared" si="19"/>
        <v>0</v>
      </c>
      <c r="FC27" s="2">
        <f t="shared" ref="FC27:FD27" si="518">BV27*$BT27+CQ27*$CO27</f>
        <v>0</v>
      </c>
      <c r="FD27" s="2">
        <f t="shared" si="518"/>
        <v>0</v>
      </c>
      <c r="FE27" s="2">
        <f t="shared" ref="FE27:FJ27" si="519">(BX27*$BT27+CS27*$CO27)/100</f>
        <v>0</v>
      </c>
      <c r="FF27" s="2">
        <f t="shared" si="519"/>
        <v>0</v>
      </c>
      <c r="FG27" s="2">
        <f t="shared" si="519"/>
        <v>0</v>
      </c>
      <c r="FH27" s="2">
        <f t="shared" si="519"/>
        <v>0</v>
      </c>
      <c r="FI27" s="2">
        <f t="shared" si="519"/>
        <v>0</v>
      </c>
      <c r="FJ27" s="2">
        <f t="shared" si="519"/>
        <v>0</v>
      </c>
      <c r="FK27" s="2">
        <f t="shared" ref="FK27:FO27" si="520">CD27*$BT27+CY27*$CO27</f>
        <v>0</v>
      </c>
      <c r="FL27" s="2">
        <f t="shared" si="520"/>
        <v>0</v>
      </c>
      <c r="FM27" s="2">
        <f t="shared" si="520"/>
        <v>0</v>
      </c>
      <c r="FN27" s="2">
        <f t="shared" si="520"/>
        <v>0</v>
      </c>
      <c r="FO27" s="2">
        <f t="shared" si="520"/>
        <v>0</v>
      </c>
      <c r="FP27" s="2">
        <f t="shared" ref="FP27:FQ27" si="521">(CI27*$BT27+DD27*$CO27)/100</f>
        <v>0</v>
      </c>
      <c r="FQ27" s="2">
        <f t="shared" si="521"/>
        <v>0</v>
      </c>
      <c r="FR27" s="2"/>
      <c r="FS27" s="2">
        <f t="shared" si="24"/>
        <v>0</v>
      </c>
      <c r="FT27" s="2">
        <f t="shared" si="25"/>
        <v>0</v>
      </c>
      <c r="FU27" s="39">
        <f t="shared" si="26"/>
        <v>0</v>
      </c>
      <c r="FV27" s="39">
        <f t="shared" ref="FV27:FW27" si="522">FV$1*FC27/1000000</f>
        <v>0</v>
      </c>
      <c r="FW27" s="39">
        <f t="shared" si="522"/>
        <v>0</v>
      </c>
      <c r="FX27" s="39">
        <f t="shared" ref="FX27:GC27" si="523">FX$1*FE27</f>
        <v>0</v>
      </c>
      <c r="FY27" s="39">
        <f t="shared" si="523"/>
        <v>0</v>
      </c>
      <c r="FZ27" s="39">
        <f t="shared" si="523"/>
        <v>0</v>
      </c>
      <c r="GA27" s="39">
        <f t="shared" si="523"/>
        <v>0</v>
      </c>
      <c r="GB27" s="39">
        <f t="shared" si="523"/>
        <v>0</v>
      </c>
      <c r="GC27" s="39">
        <f t="shared" si="523"/>
        <v>0</v>
      </c>
      <c r="GD27" s="39">
        <f t="shared" ref="GD27:GH27" si="524">GD$1*FK27/1000000</f>
        <v>0</v>
      </c>
      <c r="GE27" s="39">
        <f t="shared" si="524"/>
        <v>0</v>
      </c>
      <c r="GF27" s="39">
        <f t="shared" si="524"/>
        <v>0</v>
      </c>
      <c r="GG27" s="39">
        <f t="shared" si="524"/>
        <v>0</v>
      </c>
      <c r="GH27" s="39">
        <f t="shared" si="524"/>
        <v>0</v>
      </c>
      <c r="GI27" s="39">
        <f t="shared" ref="GI27:GJ27" si="525">GI$1*FP27</f>
        <v>0</v>
      </c>
      <c r="GJ27" s="39">
        <f t="shared" si="525"/>
        <v>0</v>
      </c>
      <c r="GK27" s="2"/>
      <c r="GL27" s="39">
        <f t="shared" si="31"/>
        <v>0</v>
      </c>
      <c r="GM27" s="39">
        <f t="shared" si="32"/>
        <v>0</v>
      </c>
      <c r="GN27" s="2" t="s">
        <v>3</v>
      </c>
      <c r="GO27" s="3">
        <f t="shared" si="33"/>
        <v>5209.0140000000001</v>
      </c>
      <c r="GP27" s="26">
        <f t="shared" si="34"/>
        <v>6.792347407781972E-3</v>
      </c>
      <c r="GQ27" s="15">
        <f t="shared" si="35"/>
        <v>353.81432740000002</v>
      </c>
      <c r="GR27" s="15">
        <f t="shared" si="36"/>
        <v>19810.929728156359</v>
      </c>
      <c r="GS27" s="15">
        <f t="shared" si="37"/>
        <v>3.8032014750116545</v>
      </c>
      <c r="GT27" s="2">
        <f t="shared" si="38"/>
        <v>0</v>
      </c>
      <c r="GU27" s="2">
        <f t="shared" si="39"/>
        <v>19.116960200000001</v>
      </c>
      <c r="GV27" s="2">
        <f t="shared" si="40"/>
        <v>334.69736720000003</v>
      </c>
      <c r="GW27" s="2">
        <f t="shared" si="41"/>
        <v>0</v>
      </c>
      <c r="GX27" s="2"/>
      <c r="GY27" s="2"/>
      <c r="GZ27" s="2"/>
      <c r="HA27" s="2"/>
      <c r="HB27" s="2">
        <f t="shared" si="42"/>
        <v>0</v>
      </c>
      <c r="HC27" s="2">
        <f t="shared" si="43"/>
        <v>0</v>
      </c>
      <c r="HD27" s="2" t="s">
        <v>3</v>
      </c>
      <c r="HE27" s="2" t="s">
        <v>183</v>
      </c>
      <c r="HF27" s="2" t="s">
        <v>288</v>
      </c>
      <c r="HG27" s="2" t="s">
        <v>289</v>
      </c>
      <c r="HH27" s="2" t="s">
        <v>290</v>
      </c>
      <c r="HI27" s="2" t="s">
        <v>81</v>
      </c>
      <c r="HJ27" s="2" t="s">
        <v>3</v>
      </c>
      <c r="HK27" s="2" t="s">
        <v>89</v>
      </c>
      <c r="HL27" s="2" t="s">
        <v>408</v>
      </c>
      <c r="HM27" s="2" t="s">
        <v>100</v>
      </c>
      <c r="HN27" s="2">
        <f t="shared" ref="HN27:HP27" si="526">SUM(GT369:GT370)</f>
        <v>0</v>
      </c>
      <c r="HO27" s="2">
        <f t="shared" si="526"/>
        <v>0</v>
      </c>
      <c r="HP27" s="15">
        <f t="shared" si="526"/>
        <v>4.2585329999999999</v>
      </c>
      <c r="HQ27" s="4">
        <f>SUM(GO369:GO370)</f>
        <v>0.75361</v>
      </c>
      <c r="HR27" s="4">
        <f t="shared" si="45"/>
        <v>0.5650844601318985</v>
      </c>
      <c r="HS27" s="4">
        <f>MIN(GP369:GP370)</f>
        <v>0.53</v>
      </c>
      <c r="HT27" s="4">
        <f>MAX(GP369:GP370)</f>
        <v>0.56999999999999995</v>
      </c>
      <c r="HU27" s="15">
        <f>SUM(GQ369:GQ370)</f>
        <v>4.2585329999999999</v>
      </c>
      <c r="HV27" s="15">
        <f>SUM(GR369:GR370)/SUM(GO369:GO370)</f>
        <v>119.77043431423679</v>
      </c>
      <c r="HW27" s="2">
        <f>COUNT(GQ369:GQ370)</f>
        <v>2</v>
      </c>
      <c r="HX27" s="2">
        <f t="shared" ref="HX27:HY27" si="527">SUM(HB369:HB370)</f>
        <v>0</v>
      </c>
      <c r="HY27" s="2">
        <f t="shared" si="527"/>
        <v>0</v>
      </c>
      <c r="HZ27" s="2" t="s">
        <v>176</v>
      </c>
      <c r="IA27" s="2" t="s">
        <v>176</v>
      </c>
      <c r="IB27" s="2" t="s">
        <v>176</v>
      </c>
      <c r="IC27" s="2" t="s">
        <v>176</v>
      </c>
      <c r="ID27" s="2">
        <f>COUNT(GY369:GY370)</f>
        <v>0</v>
      </c>
      <c r="IE27" s="2"/>
      <c r="IF27" s="39">
        <f t="shared" ref="IF27:IN27" si="528">100*SUM(EI369:EI370)/SUM($EI369:$FA370)</f>
        <v>38.127321215793188</v>
      </c>
      <c r="IG27" s="39">
        <f t="shared" si="528"/>
        <v>0</v>
      </c>
      <c r="IH27" s="39">
        <f t="shared" si="528"/>
        <v>0</v>
      </c>
      <c r="II27" s="39">
        <f t="shared" si="528"/>
        <v>0</v>
      </c>
      <c r="IJ27" s="39">
        <f t="shared" si="528"/>
        <v>0</v>
      </c>
      <c r="IK27" s="39">
        <f t="shared" si="528"/>
        <v>0</v>
      </c>
      <c r="IL27" s="39">
        <f t="shared" si="528"/>
        <v>0</v>
      </c>
      <c r="IM27" s="39">
        <f t="shared" si="528"/>
        <v>61.872678784206833</v>
      </c>
      <c r="IN27" s="39">
        <f t="shared" si="528"/>
        <v>0</v>
      </c>
      <c r="IO27" s="39">
        <f>100*SUM(ER369:EV370)/SUM($EI369:$FA370)</f>
        <v>0</v>
      </c>
      <c r="IP27" s="39">
        <f t="shared" ref="IP27:IQ27" si="529">100*SUM(EW369:EW370)/SUM($EI369:$FA370)</f>
        <v>0</v>
      </c>
      <c r="IQ27" s="39">
        <f t="shared" si="529"/>
        <v>0</v>
      </c>
      <c r="IR27" s="39">
        <f t="shared" ref="IR27:IS27" si="530">100*SUM(EZ369:EZ370)/SUM($EI369:$FA370)</f>
        <v>0</v>
      </c>
      <c r="IS27" s="39">
        <f t="shared" si="530"/>
        <v>0</v>
      </c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 t="s">
        <v>3</v>
      </c>
    </row>
    <row r="28" spans="1:268" ht="15.75" customHeight="1" x14ac:dyDescent="0.2">
      <c r="A28" s="21" t="s">
        <v>515</v>
      </c>
      <c r="B28" s="2" t="s">
        <v>99</v>
      </c>
      <c r="C28" s="2"/>
      <c r="D28" s="2"/>
      <c r="E28" s="2"/>
      <c r="F28" s="2" t="s">
        <v>516</v>
      </c>
      <c r="G28" s="2"/>
      <c r="H28" s="2"/>
      <c r="I28" s="2">
        <v>0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>
        <v>0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18">
        <v>2600</v>
      </c>
      <c r="AZ28" s="2"/>
      <c r="BA28" s="2"/>
      <c r="BB28" s="2"/>
      <c r="BC28" s="19">
        <f>0.015/1.179</f>
        <v>1.2722646310432569E-2</v>
      </c>
      <c r="BD28" s="2">
        <v>0.02</v>
      </c>
      <c r="BE28" s="2"/>
      <c r="BF28" s="2">
        <v>0.04</v>
      </c>
      <c r="BG28" s="2">
        <v>0.03</v>
      </c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>
        <v>0.26</v>
      </c>
      <c r="BT28" s="2">
        <v>0</v>
      </c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>
        <v>0</v>
      </c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 t="s">
        <v>81</v>
      </c>
      <c r="DK28" s="2"/>
      <c r="DL28" s="2">
        <f t="shared" si="3"/>
        <v>0.03</v>
      </c>
      <c r="DM28" s="2">
        <f t="shared" si="4"/>
        <v>0</v>
      </c>
      <c r="DN28" s="2" t="s">
        <v>211</v>
      </c>
      <c r="DO28" s="2" t="s">
        <v>3</v>
      </c>
      <c r="DP28" s="2">
        <f t="shared" si="5"/>
        <v>0</v>
      </c>
      <c r="DQ28" s="2">
        <f t="shared" ref="DQ28:DR28" si="531">K28*$I28+AF28*$AD28+BA28*$AY28</f>
        <v>0</v>
      </c>
      <c r="DR28" s="2">
        <f t="shared" si="531"/>
        <v>0</v>
      </c>
      <c r="DS28" s="2">
        <f t="shared" ref="DS28:DX28" si="532">(M28*$I28+AH28*$AD28+BC28*$AY28)/100</f>
        <v>0.33078880407124678</v>
      </c>
      <c r="DT28" s="2">
        <f t="shared" si="532"/>
        <v>0.52</v>
      </c>
      <c r="DU28" s="2">
        <f t="shared" si="532"/>
        <v>0</v>
      </c>
      <c r="DV28" s="2">
        <f t="shared" si="532"/>
        <v>1.04</v>
      </c>
      <c r="DW28" s="2">
        <f t="shared" si="532"/>
        <v>0.78</v>
      </c>
      <c r="DX28" s="2">
        <f t="shared" si="532"/>
        <v>0</v>
      </c>
      <c r="DY28" s="2">
        <f t="shared" ref="DY28:EC28" si="533">S28*$I28+AN28*$AD28+BI28*$AY28</f>
        <v>0</v>
      </c>
      <c r="DZ28" s="2">
        <f t="shared" si="533"/>
        <v>0</v>
      </c>
      <c r="EA28" s="2">
        <f t="shared" si="533"/>
        <v>0</v>
      </c>
      <c r="EB28" s="2">
        <f t="shared" si="533"/>
        <v>0</v>
      </c>
      <c r="EC28" s="2">
        <f t="shared" si="533"/>
        <v>0</v>
      </c>
      <c r="ED28" s="2">
        <f t="shared" ref="ED28:EE28" si="534">(X28*$I28+AS28*$AD28+BN28*$AY28)/100</f>
        <v>0</v>
      </c>
      <c r="EE28" s="2">
        <f t="shared" si="534"/>
        <v>0</v>
      </c>
      <c r="EF28" s="2"/>
      <c r="EG28" s="2">
        <f t="shared" si="10"/>
        <v>0</v>
      </c>
      <c r="EH28" s="2">
        <f t="shared" si="11"/>
        <v>0</v>
      </c>
      <c r="EI28" s="39">
        <f t="shared" si="12"/>
        <v>0</v>
      </c>
      <c r="EJ28" s="39">
        <f t="shared" ref="EJ28:EK28" si="535">EJ$1*DQ28/1000000</f>
        <v>0</v>
      </c>
      <c r="EK28" s="39">
        <f t="shared" si="535"/>
        <v>0</v>
      </c>
      <c r="EL28" s="39">
        <f t="shared" ref="EL28:EQ28" si="536">EL$1*DS28</f>
        <v>21848.983487926616</v>
      </c>
      <c r="EM28" s="39">
        <f t="shared" si="536"/>
        <v>14060.800000000001</v>
      </c>
      <c r="EN28" s="39">
        <f t="shared" si="536"/>
        <v>0</v>
      </c>
      <c r="EO28" s="39">
        <f t="shared" si="536"/>
        <v>3042.5243679999999</v>
      </c>
      <c r="EP28" s="39">
        <f t="shared" si="536"/>
        <v>10228.92</v>
      </c>
      <c r="EQ28" s="39">
        <f t="shared" si="536"/>
        <v>0</v>
      </c>
      <c r="ER28" s="39">
        <f t="shared" ref="ER28:EV28" si="537">ER$1*DY28/1000000</f>
        <v>0</v>
      </c>
      <c r="ES28" s="39">
        <f t="shared" si="537"/>
        <v>0</v>
      </c>
      <c r="ET28" s="39">
        <f t="shared" si="537"/>
        <v>0</v>
      </c>
      <c r="EU28" s="39">
        <f t="shared" si="537"/>
        <v>0</v>
      </c>
      <c r="EV28" s="39">
        <f t="shared" si="537"/>
        <v>0</v>
      </c>
      <c r="EW28" s="39">
        <f t="shared" ref="EW28:EX28" si="538">EW$1*ED28</f>
        <v>0</v>
      </c>
      <c r="EX28" s="39">
        <f t="shared" si="538"/>
        <v>0</v>
      </c>
      <c r="EY28" s="2"/>
      <c r="EZ28" s="39">
        <f t="shared" si="17"/>
        <v>0</v>
      </c>
      <c r="FA28" s="39">
        <f t="shared" si="18"/>
        <v>0</v>
      </c>
      <c r="FB28" s="2">
        <f t="shared" si="19"/>
        <v>0</v>
      </c>
      <c r="FC28" s="2">
        <f t="shared" ref="FC28:FD28" si="539">BV28*$BT28+CQ28*$CO28</f>
        <v>0</v>
      </c>
      <c r="FD28" s="2">
        <f t="shared" si="539"/>
        <v>0</v>
      </c>
      <c r="FE28" s="2">
        <f t="shared" ref="FE28:FJ28" si="540">(BX28*$BT28+CS28*$CO28)/100</f>
        <v>0</v>
      </c>
      <c r="FF28" s="2">
        <f t="shared" si="540"/>
        <v>0</v>
      </c>
      <c r="FG28" s="2">
        <f t="shared" si="540"/>
        <v>0</v>
      </c>
      <c r="FH28" s="2">
        <f t="shared" si="540"/>
        <v>0</v>
      </c>
      <c r="FI28" s="2">
        <f t="shared" si="540"/>
        <v>0</v>
      </c>
      <c r="FJ28" s="2">
        <f t="shared" si="540"/>
        <v>0</v>
      </c>
      <c r="FK28" s="2">
        <f t="shared" ref="FK28:FO28" si="541">CD28*$BT28+CY28*$CO28</f>
        <v>0</v>
      </c>
      <c r="FL28" s="2">
        <f t="shared" si="541"/>
        <v>0</v>
      </c>
      <c r="FM28" s="2">
        <f t="shared" si="541"/>
        <v>0</v>
      </c>
      <c r="FN28" s="2">
        <f t="shared" si="541"/>
        <v>0</v>
      </c>
      <c r="FO28" s="2">
        <f t="shared" si="541"/>
        <v>0</v>
      </c>
      <c r="FP28" s="2">
        <f t="shared" ref="FP28:FQ28" si="542">(CI28*$BT28+DD28*$CO28)/100</f>
        <v>0</v>
      </c>
      <c r="FQ28" s="2">
        <f t="shared" si="542"/>
        <v>0</v>
      </c>
      <c r="FR28" s="2"/>
      <c r="FS28" s="2">
        <f t="shared" si="24"/>
        <v>0</v>
      </c>
      <c r="FT28" s="2">
        <f t="shared" si="25"/>
        <v>0</v>
      </c>
      <c r="FU28" s="39">
        <f t="shared" si="26"/>
        <v>0</v>
      </c>
      <c r="FV28" s="39">
        <f t="shared" ref="FV28:FW28" si="543">FV$1*FC28/1000000</f>
        <v>0</v>
      </c>
      <c r="FW28" s="39">
        <f t="shared" si="543"/>
        <v>0</v>
      </c>
      <c r="FX28" s="39">
        <f t="shared" ref="FX28:GC28" si="544">FX$1*FE28</f>
        <v>0</v>
      </c>
      <c r="FY28" s="39">
        <f t="shared" si="544"/>
        <v>0</v>
      </c>
      <c r="FZ28" s="39">
        <f t="shared" si="544"/>
        <v>0</v>
      </c>
      <c r="GA28" s="39">
        <f t="shared" si="544"/>
        <v>0</v>
      </c>
      <c r="GB28" s="39">
        <f t="shared" si="544"/>
        <v>0</v>
      </c>
      <c r="GC28" s="39">
        <f t="shared" si="544"/>
        <v>0</v>
      </c>
      <c r="GD28" s="39">
        <f t="shared" ref="GD28:GH28" si="545">GD$1*FK28/1000000</f>
        <v>0</v>
      </c>
      <c r="GE28" s="39">
        <f t="shared" si="545"/>
        <v>0</v>
      </c>
      <c r="GF28" s="39">
        <f t="shared" si="545"/>
        <v>0</v>
      </c>
      <c r="GG28" s="39">
        <f t="shared" si="545"/>
        <v>0</v>
      </c>
      <c r="GH28" s="39">
        <f t="shared" si="545"/>
        <v>0</v>
      </c>
      <c r="GI28" s="39">
        <f t="shared" ref="GI28:GJ28" si="546">GI$1*FP28</f>
        <v>0</v>
      </c>
      <c r="GJ28" s="39">
        <f t="shared" si="546"/>
        <v>0</v>
      </c>
      <c r="GK28" s="2"/>
      <c r="GL28" s="39">
        <f t="shared" si="31"/>
        <v>0</v>
      </c>
      <c r="GM28" s="39">
        <f t="shared" si="32"/>
        <v>0</v>
      </c>
      <c r="GN28" s="2" t="s">
        <v>3</v>
      </c>
      <c r="GO28" s="18">
        <f t="shared" si="33"/>
        <v>2600</v>
      </c>
      <c r="GP28" s="2">
        <f t="shared" si="34"/>
        <v>0.03</v>
      </c>
      <c r="GQ28" s="15">
        <f t="shared" si="35"/>
        <v>780</v>
      </c>
      <c r="GR28" s="15">
        <f t="shared" si="36"/>
        <v>49181.227855926612</v>
      </c>
      <c r="GS28" s="15">
        <f t="shared" si="37"/>
        <v>18.915856867664083</v>
      </c>
      <c r="GT28" s="2">
        <f t="shared" si="38"/>
        <v>0</v>
      </c>
      <c r="GU28" s="2">
        <f t="shared" si="39"/>
        <v>0</v>
      </c>
      <c r="GV28" s="2">
        <f t="shared" si="40"/>
        <v>780</v>
      </c>
      <c r="GW28" s="2">
        <f t="shared" si="41"/>
        <v>0</v>
      </c>
      <c r="GX28" s="2"/>
      <c r="GY28" s="2"/>
      <c r="GZ28" s="2"/>
      <c r="HA28" s="2"/>
      <c r="HB28" s="2">
        <f t="shared" si="42"/>
        <v>0</v>
      </c>
      <c r="HC28" s="2">
        <f t="shared" si="43"/>
        <v>0</v>
      </c>
      <c r="HD28" s="2" t="s">
        <v>3</v>
      </c>
      <c r="HE28" s="2" t="s">
        <v>183</v>
      </c>
      <c r="HF28" s="2" t="s">
        <v>288</v>
      </c>
      <c r="HG28" s="2" t="s">
        <v>289</v>
      </c>
      <c r="HH28" s="2" t="s">
        <v>290</v>
      </c>
      <c r="HI28" s="2" t="s">
        <v>81</v>
      </c>
      <c r="HJ28" s="2" t="s">
        <v>3</v>
      </c>
      <c r="HK28" s="2" t="s">
        <v>89</v>
      </c>
      <c r="HL28" s="2" t="s">
        <v>90</v>
      </c>
      <c r="HM28" s="2" t="s">
        <v>81</v>
      </c>
      <c r="HN28" s="3">
        <f t="shared" ref="HN28:HP28" si="547">SUM(GT371:GT465)</f>
        <v>7220.4854734116198</v>
      </c>
      <c r="HO28" s="3">
        <f t="shared" si="547"/>
        <v>13651.301915538093</v>
      </c>
      <c r="HP28" s="3">
        <f t="shared" si="547"/>
        <v>13895.338820972993</v>
      </c>
      <c r="HQ28" s="3">
        <f>SUM(GO371:GO465)</f>
        <v>21007.507608255059</v>
      </c>
      <c r="HR28" s="4">
        <f t="shared" si="45"/>
        <v>0.16549857726225786</v>
      </c>
      <c r="HS28" s="4">
        <f>MIN(GP371:GP465)</f>
        <v>0.03</v>
      </c>
      <c r="HT28" s="4">
        <f>MAX(GP371:GP465)</f>
        <v>1.652610505600969</v>
      </c>
      <c r="HU28" s="3">
        <f>SUM(GQ371:GQ465)</f>
        <v>34767.126209922695</v>
      </c>
      <c r="HV28" s="15">
        <f>SUM(GR371:GR465)/SUM(GO371:GO465)</f>
        <v>162.11181801913909</v>
      </c>
      <c r="HW28" s="2">
        <f>COUNT(GQ371:GQ465)</f>
        <v>95</v>
      </c>
      <c r="HX28" s="3">
        <f t="shared" ref="HX28:HY28" si="548">SUM(HB371:HB465)</f>
        <v>2604.4068804730105</v>
      </c>
      <c r="HY28" s="3">
        <f t="shared" si="548"/>
        <v>3014.7641393980625</v>
      </c>
      <c r="HZ28" s="3">
        <f>SUM(GW371:GW465)</f>
        <v>3513.349481245195</v>
      </c>
      <c r="IA28" s="4">
        <f>100*(IB28/1000)/HZ28</f>
        <v>0.159937718973506</v>
      </c>
      <c r="IB28" s="3">
        <f>SUM(GY371:GY465)</f>
        <v>5619.1710198710716</v>
      </c>
      <c r="IC28" s="15">
        <f>SUM(GZ371:GZ465)/SUM(GW371:GW465)</f>
        <v>155.50743994332507</v>
      </c>
      <c r="ID28" s="2">
        <f>COUNT(GY371:GY465)</f>
        <v>37</v>
      </c>
      <c r="IE28" s="2"/>
      <c r="IF28" s="15">
        <f t="shared" ref="IF28:IN28" si="549">100*SUM(EI371:EI465)/SUM($EI371:$FA465)</f>
        <v>3.2724067682776821</v>
      </c>
      <c r="IG28" s="15">
        <f t="shared" si="549"/>
        <v>3.7404621095840032</v>
      </c>
      <c r="IH28" s="29">
        <f t="shared" si="549"/>
        <v>0</v>
      </c>
      <c r="II28" s="39">
        <f t="shared" si="549"/>
        <v>0</v>
      </c>
      <c r="IJ28" s="39">
        <f t="shared" si="549"/>
        <v>0</v>
      </c>
      <c r="IK28" s="39">
        <f t="shared" si="549"/>
        <v>0</v>
      </c>
      <c r="IL28" s="39">
        <f t="shared" si="549"/>
        <v>0</v>
      </c>
      <c r="IM28" s="15">
        <f t="shared" si="549"/>
        <v>13.387971146934007</v>
      </c>
      <c r="IN28" s="15">
        <f t="shared" si="549"/>
        <v>1.0116817537279787</v>
      </c>
      <c r="IO28" s="15">
        <f>100*SUM(ER371:EV465)/SUM($EI371:$FA465)</f>
        <v>74.750937669242774</v>
      </c>
      <c r="IP28" s="15">
        <f t="shared" ref="IP28:IQ28" si="550">100*SUM(EW371:EW465)/SUM($EI371:$FA465)</f>
        <v>3.8365405522335667</v>
      </c>
      <c r="IQ28" s="39">
        <f t="shared" si="550"/>
        <v>0</v>
      </c>
      <c r="IR28" s="39">
        <f t="shared" ref="IR28:IS28" si="551">100*SUM(EZ371:EZ465)/SUM($EI371:$FA465)</f>
        <v>0</v>
      </c>
      <c r="IS28" s="39">
        <f t="shared" si="551"/>
        <v>0</v>
      </c>
      <c r="IT28" s="15">
        <f t="shared" ref="IT28:JB28" si="552">100*SUM(FU371:FU465)/SUM($FU371:$GM465)</f>
        <v>3.5295056385017398</v>
      </c>
      <c r="IU28" s="15">
        <f t="shared" si="552"/>
        <v>3.8527097542340836</v>
      </c>
      <c r="IV28" s="39">
        <f t="shared" si="552"/>
        <v>0</v>
      </c>
      <c r="IW28" s="39">
        <f t="shared" si="552"/>
        <v>0</v>
      </c>
      <c r="IX28" s="39">
        <f t="shared" si="552"/>
        <v>0</v>
      </c>
      <c r="IY28" s="39">
        <f t="shared" si="552"/>
        <v>0</v>
      </c>
      <c r="IZ28" s="39">
        <f t="shared" si="552"/>
        <v>0</v>
      </c>
      <c r="JA28" s="15">
        <f t="shared" si="552"/>
        <v>13.487607071294896</v>
      </c>
      <c r="JB28" s="15">
        <f t="shared" si="552"/>
        <v>1.7567971436785146</v>
      </c>
      <c r="JC28" s="15">
        <f>100*SUM(GD371:GH465)/SUM($FU371:$GM465)</f>
        <v>73.247008342836935</v>
      </c>
      <c r="JD28" s="15">
        <f t="shared" ref="JD28:JE28" si="553">100*SUM(GI371:GI465)/SUM($FU371:$GM465)</f>
        <v>4.1263720494538223</v>
      </c>
      <c r="JE28" s="39">
        <f t="shared" si="553"/>
        <v>0</v>
      </c>
      <c r="JF28" s="39">
        <f t="shared" ref="JF28:JG28" si="554">100*SUM(GL371:GL465)/SUM($FU371:$GM465)</f>
        <v>0</v>
      </c>
      <c r="JG28" s="39">
        <f t="shared" si="554"/>
        <v>0</v>
      </c>
      <c r="JH28" s="2" t="s">
        <v>3</v>
      </c>
    </row>
    <row r="29" spans="1:268" ht="15.75" customHeight="1" x14ac:dyDescent="0.2">
      <c r="A29" s="21" t="s">
        <v>1271</v>
      </c>
      <c r="B29" s="2" t="s">
        <v>99</v>
      </c>
      <c r="C29" s="2"/>
      <c r="D29" s="2"/>
      <c r="E29" s="2"/>
      <c r="F29" s="2" t="s">
        <v>1272</v>
      </c>
      <c r="G29" s="2"/>
      <c r="H29" s="2"/>
      <c r="I29" s="2">
        <v>0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>
        <v>43</v>
      </c>
      <c r="AE29" s="19">
        <v>0.01</v>
      </c>
      <c r="AF29" s="2"/>
      <c r="AG29" s="2"/>
      <c r="AH29" s="19">
        <f>0.019/1.179</f>
        <v>1.6115351993214587E-2</v>
      </c>
      <c r="AI29" s="2"/>
      <c r="AJ29" s="2"/>
      <c r="AK29" s="2">
        <v>4.1000000000000002E-2</v>
      </c>
      <c r="AL29" s="2">
        <v>3.4000000000000002E-2</v>
      </c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18">
        <v>3019</v>
      </c>
      <c r="AZ29" s="2">
        <v>1.9E-2</v>
      </c>
      <c r="BA29" s="2"/>
      <c r="BB29" s="2"/>
      <c r="BC29" s="19">
        <f>0.017/1.179</f>
        <v>1.441899915182358E-2</v>
      </c>
      <c r="BD29" s="2"/>
      <c r="BE29" s="2"/>
      <c r="BF29" s="2">
        <v>4.2000000000000003E-2</v>
      </c>
      <c r="BG29" s="2">
        <v>3.4000000000000002E-2</v>
      </c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>
        <v>0</v>
      </c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>
        <v>0</v>
      </c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 t="s">
        <v>81</v>
      </c>
      <c r="DK29" s="2"/>
      <c r="DL29" s="2">
        <f t="shared" si="3"/>
        <v>3.4000000000000002E-2</v>
      </c>
      <c r="DM29" s="2">
        <f t="shared" si="4"/>
        <v>0</v>
      </c>
      <c r="DN29" s="2" t="s">
        <v>1273</v>
      </c>
      <c r="DO29" s="2" t="s">
        <v>3</v>
      </c>
      <c r="DP29" s="2">
        <f t="shared" si="5"/>
        <v>0.57790999999999992</v>
      </c>
      <c r="DQ29" s="2">
        <f t="shared" ref="DQ29:DR29" si="555">K29*$I29+AF29*$AD29+BA29*$AY29</f>
        <v>0</v>
      </c>
      <c r="DR29" s="2">
        <f t="shared" si="555"/>
        <v>0</v>
      </c>
      <c r="DS29" s="2">
        <f t="shared" ref="DS29:DX29" si="556">(M29*$I29+AH29*$AD29+BC29*$AY29)/100</f>
        <v>0.44223918575063614</v>
      </c>
      <c r="DT29" s="2">
        <f t="shared" si="556"/>
        <v>0</v>
      </c>
      <c r="DU29" s="2">
        <f t="shared" si="556"/>
        <v>0</v>
      </c>
      <c r="DV29" s="2">
        <f t="shared" si="556"/>
        <v>1.2856100000000001</v>
      </c>
      <c r="DW29" s="2">
        <f t="shared" si="556"/>
        <v>1.04108</v>
      </c>
      <c r="DX29" s="2">
        <f t="shared" si="556"/>
        <v>0</v>
      </c>
      <c r="DY29" s="2">
        <f t="shared" ref="DY29:EC29" si="557">S29*$I29+AN29*$AD29+BI29*$AY29</f>
        <v>0</v>
      </c>
      <c r="DZ29" s="2">
        <f t="shared" si="557"/>
        <v>0</v>
      </c>
      <c r="EA29" s="2">
        <f t="shared" si="557"/>
        <v>0</v>
      </c>
      <c r="EB29" s="2">
        <f t="shared" si="557"/>
        <v>0</v>
      </c>
      <c r="EC29" s="2">
        <f t="shared" si="557"/>
        <v>0</v>
      </c>
      <c r="ED29" s="2">
        <f t="shared" ref="ED29:EE29" si="558">(X29*$I29+AS29*$AD29+BN29*$AY29)/100</f>
        <v>0</v>
      </c>
      <c r="EE29" s="2">
        <f t="shared" si="558"/>
        <v>0</v>
      </c>
      <c r="EF29" s="2"/>
      <c r="EG29" s="2">
        <f t="shared" si="10"/>
        <v>0</v>
      </c>
      <c r="EH29" s="2">
        <f t="shared" si="11"/>
        <v>0</v>
      </c>
      <c r="EI29" s="39">
        <f t="shared" si="12"/>
        <v>3771.2187425599996</v>
      </c>
      <c r="EJ29" s="39">
        <f t="shared" ref="EJ29:EK29" si="559">EJ$1*DQ29/1000000</f>
        <v>0</v>
      </c>
      <c r="EK29" s="39">
        <f t="shared" si="559"/>
        <v>0</v>
      </c>
      <c r="EL29" s="39">
        <f t="shared" ref="EL29:EQ29" si="560">EL$1*DS29</f>
        <v>29210.410232320355</v>
      </c>
      <c r="EM29" s="39">
        <f t="shared" si="560"/>
        <v>0</v>
      </c>
      <c r="EN29" s="39">
        <f t="shared" si="560"/>
        <v>0</v>
      </c>
      <c r="EO29" s="39">
        <f t="shared" si="560"/>
        <v>3761.0574545620002</v>
      </c>
      <c r="EP29" s="39">
        <f t="shared" si="560"/>
        <v>13652.723120000001</v>
      </c>
      <c r="EQ29" s="39">
        <f t="shared" si="560"/>
        <v>0</v>
      </c>
      <c r="ER29" s="39">
        <f t="shared" ref="ER29:EV29" si="561">ER$1*DY29/1000000</f>
        <v>0</v>
      </c>
      <c r="ES29" s="39">
        <f t="shared" si="561"/>
        <v>0</v>
      </c>
      <c r="ET29" s="39">
        <f t="shared" si="561"/>
        <v>0</v>
      </c>
      <c r="EU29" s="39">
        <f t="shared" si="561"/>
        <v>0</v>
      </c>
      <c r="EV29" s="39">
        <f t="shared" si="561"/>
        <v>0</v>
      </c>
      <c r="EW29" s="39">
        <f t="shared" ref="EW29:EX29" si="562">EW$1*ED29</f>
        <v>0</v>
      </c>
      <c r="EX29" s="39">
        <f t="shared" si="562"/>
        <v>0</v>
      </c>
      <c r="EY29" s="2"/>
      <c r="EZ29" s="39">
        <f t="shared" si="17"/>
        <v>0</v>
      </c>
      <c r="FA29" s="39">
        <f t="shared" si="18"/>
        <v>0</v>
      </c>
      <c r="FB29" s="2">
        <f t="shared" si="19"/>
        <v>0</v>
      </c>
      <c r="FC29" s="2">
        <f t="shared" ref="FC29:FD29" si="563">BV29*$BT29+CQ29*$CO29</f>
        <v>0</v>
      </c>
      <c r="FD29" s="2">
        <f t="shared" si="563"/>
        <v>0</v>
      </c>
      <c r="FE29" s="2">
        <f t="shared" ref="FE29:FJ29" si="564">(BX29*$BT29+CS29*$CO29)/100</f>
        <v>0</v>
      </c>
      <c r="FF29" s="2">
        <f t="shared" si="564"/>
        <v>0</v>
      </c>
      <c r="FG29" s="2">
        <f t="shared" si="564"/>
        <v>0</v>
      </c>
      <c r="FH29" s="2">
        <f t="shared" si="564"/>
        <v>0</v>
      </c>
      <c r="FI29" s="2">
        <f t="shared" si="564"/>
        <v>0</v>
      </c>
      <c r="FJ29" s="2">
        <f t="shared" si="564"/>
        <v>0</v>
      </c>
      <c r="FK29" s="2">
        <f t="shared" ref="FK29:FO29" si="565">CD29*$BT29+CY29*$CO29</f>
        <v>0</v>
      </c>
      <c r="FL29" s="2">
        <f t="shared" si="565"/>
        <v>0</v>
      </c>
      <c r="FM29" s="2">
        <f t="shared" si="565"/>
        <v>0</v>
      </c>
      <c r="FN29" s="2">
        <f t="shared" si="565"/>
        <v>0</v>
      </c>
      <c r="FO29" s="2">
        <f t="shared" si="565"/>
        <v>0</v>
      </c>
      <c r="FP29" s="2">
        <f t="shared" ref="FP29:FQ29" si="566">(CI29*$BT29+DD29*$CO29)/100</f>
        <v>0</v>
      </c>
      <c r="FQ29" s="2">
        <f t="shared" si="566"/>
        <v>0</v>
      </c>
      <c r="FR29" s="2"/>
      <c r="FS29" s="2">
        <f t="shared" si="24"/>
        <v>0</v>
      </c>
      <c r="FT29" s="2">
        <f t="shared" si="25"/>
        <v>0</v>
      </c>
      <c r="FU29" s="39">
        <f t="shared" si="26"/>
        <v>0</v>
      </c>
      <c r="FV29" s="39">
        <f t="shared" ref="FV29:FW29" si="567">FV$1*FC29/1000000</f>
        <v>0</v>
      </c>
      <c r="FW29" s="39">
        <f t="shared" si="567"/>
        <v>0</v>
      </c>
      <c r="FX29" s="39">
        <f t="shared" ref="FX29:GC29" si="568">FX$1*FE29</f>
        <v>0</v>
      </c>
      <c r="FY29" s="39">
        <f t="shared" si="568"/>
        <v>0</v>
      </c>
      <c r="FZ29" s="39">
        <f t="shared" si="568"/>
        <v>0</v>
      </c>
      <c r="GA29" s="39">
        <f t="shared" si="568"/>
        <v>0</v>
      </c>
      <c r="GB29" s="39">
        <f t="shared" si="568"/>
        <v>0</v>
      </c>
      <c r="GC29" s="39">
        <f t="shared" si="568"/>
        <v>0</v>
      </c>
      <c r="GD29" s="39">
        <f t="shared" ref="GD29:GH29" si="569">GD$1*FK29/1000000</f>
        <v>0</v>
      </c>
      <c r="GE29" s="39">
        <f t="shared" si="569"/>
        <v>0</v>
      </c>
      <c r="GF29" s="39">
        <f t="shared" si="569"/>
        <v>0</v>
      </c>
      <c r="GG29" s="39">
        <f t="shared" si="569"/>
        <v>0</v>
      </c>
      <c r="GH29" s="39">
        <f t="shared" si="569"/>
        <v>0</v>
      </c>
      <c r="GI29" s="39">
        <f t="shared" ref="GI29:GJ29" si="570">GI$1*FP29</f>
        <v>0</v>
      </c>
      <c r="GJ29" s="39">
        <f t="shared" si="570"/>
        <v>0</v>
      </c>
      <c r="GK29" s="2"/>
      <c r="GL29" s="39">
        <f t="shared" si="31"/>
        <v>0</v>
      </c>
      <c r="GM29" s="39">
        <f t="shared" si="32"/>
        <v>0</v>
      </c>
      <c r="GN29" s="2" t="s">
        <v>3</v>
      </c>
      <c r="GO29" s="18">
        <f t="shared" si="33"/>
        <v>3062</v>
      </c>
      <c r="GP29" s="2">
        <f t="shared" si="34"/>
        <v>3.4000000000000002E-2</v>
      </c>
      <c r="GQ29" s="18">
        <f t="shared" si="35"/>
        <v>1041.0800000000002</v>
      </c>
      <c r="GR29" s="15">
        <f t="shared" si="36"/>
        <v>50395.40954944236</v>
      </c>
      <c r="GS29" s="15">
        <f t="shared" si="37"/>
        <v>16.458331008962233</v>
      </c>
      <c r="GT29" s="2">
        <f t="shared" si="38"/>
        <v>0</v>
      </c>
      <c r="GU29" s="2">
        <f t="shared" si="39"/>
        <v>14.620000000000003</v>
      </c>
      <c r="GV29" s="2">
        <f t="shared" si="40"/>
        <v>1026.46</v>
      </c>
      <c r="GW29" s="2">
        <f t="shared" si="41"/>
        <v>0</v>
      </c>
      <c r="GX29" s="2"/>
      <c r="GY29" s="2"/>
      <c r="GZ29" s="2"/>
      <c r="HA29" s="2"/>
      <c r="HB29" s="2">
        <f t="shared" si="42"/>
        <v>0</v>
      </c>
      <c r="HC29" s="2">
        <f t="shared" si="43"/>
        <v>0</v>
      </c>
      <c r="HD29" s="2" t="s">
        <v>3</v>
      </c>
      <c r="HE29" s="2" t="s">
        <v>183</v>
      </c>
      <c r="HF29" s="2" t="s">
        <v>288</v>
      </c>
      <c r="HG29" s="2" t="s">
        <v>289</v>
      </c>
      <c r="HH29" s="2" t="s">
        <v>290</v>
      </c>
      <c r="HI29" s="2" t="s">
        <v>81</v>
      </c>
      <c r="HJ29" s="2" t="s">
        <v>3</v>
      </c>
      <c r="HK29" s="2" t="s">
        <v>89</v>
      </c>
      <c r="HL29" s="2" t="s">
        <v>90</v>
      </c>
      <c r="HM29" s="2" t="s">
        <v>100</v>
      </c>
      <c r="HN29" s="2">
        <f t="shared" ref="HN29:HP29" si="571">SUM(GT466:GT482)</f>
        <v>0</v>
      </c>
      <c r="HO29" s="2">
        <f t="shared" si="571"/>
        <v>0</v>
      </c>
      <c r="HP29" s="3">
        <f t="shared" si="571"/>
        <v>10482.276581689084</v>
      </c>
      <c r="HQ29" s="3">
        <f>SUM(GO466:GO482)</f>
        <v>3475.7530959999995</v>
      </c>
      <c r="HR29" s="4">
        <f t="shared" si="45"/>
        <v>0.30158288843221925</v>
      </c>
      <c r="HS29" s="4">
        <f>MIN(GP466:GP482)</f>
        <v>0.12099999999999998</v>
      </c>
      <c r="HT29" s="4">
        <f>MAX(GP466:GP482)</f>
        <v>5.0999999999999996</v>
      </c>
      <c r="HU29" s="3">
        <f>SUM(GQ466:GQ482)</f>
        <v>10482.276581689084</v>
      </c>
      <c r="HV29" s="15">
        <f>SUM(GR466:GR482)/SUM(GO466:GO482)</f>
        <v>46.544038423664361</v>
      </c>
      <c r="HW29" s="2">
        <f>COUNT(GQ466:GQ482)</f>
        <v>17</v>
      </c>
      <c r="HX29" s="2">
        <f t="shared" ref="HX29:HY29" si="572">SUM(HB466:HB482)</f>
        <v>0</v>
      </c>
      <c r="HY29" s="2">
        <f t="shared" si="572"/>
        <v>0</v>
      </c>
      <c r="HZ29" s="2" t="s">
        <v>176</v>
      </c>
      <c r="IA29" s="2" t="s">
        <v>176</v>
      </c>
      <c r="IB29" s="2" t="s">
        <v>176</v>
      </c>
      <c r="IC29" s="2" t="s">
        <v>176</v>
      </c>
      <c r="ID29" s="2">
        <f>COUNT(GY466:GY482)</f>
        <v>0</v>
      </c>
      <c r="IE29" s="2"/>
      <c r="IF29" s="15">
        <f t="shared" ref="IF29:IN29" si="573">100*SUM(EI466:EI482)/SUM($EI466:$FA482)</f>
        <v>6.6629950896048626</v>
      </c>
      <c r="IG29" s="4">
        <f t="shared" si="573"/>
        <v>0.85885928975304771</v>
      </c>
      <c r="IH29" s="19">
        <f t="shared" si="573"/>
        <v>1.4438901438242285E-2</v>
      </c>
      <c r="II29" s="39">
        <f t="shared" si="573"/>
        <v>0</v>
      </c>
      <c r="IJ29" s="39">
        <f t="shared" si="573"/>
        <v>0</v>
      </c>
      <c r="IK29" s="39">
        <f t="shared" si="573"/>
        <v>0</v>
      </c>
      <c r="IL29" s="39">
        <f t="shared" si="573"/>
        <v>0</v>
      </c>
      <c r="IM29" s="15">
        <f t="shared" si="573"/>
        <v>84.972385999262727</v>
      </c>
      <c r="IN29" s="15">
        <f t="shared" si="573"/>
        <v>3.2446281014434275</v>
      </c>
      <c r="IO29" s="15">
        <f>100*SUM(ER466:EV482)/SUM($EI466:$FA482)</f>
        <v>4.2466926184977281</v>
      </c>
      <c r="IP29" s="39">
        <f t="shared" ref="IP29:IQ29" si="574">100*SUM(EW466:EW482)/SUM($EI466:$FA482)</f>
        <v>0</v>
      </c>
      <c r="IQ29" s="39">
        <f t="shared" si="574"/>
        <v>0</v>
      </c>
      <c r="IR29" s="39">
        <f t="shared" ref="IR29:IS29" si="575">100*SUM(EZ466:EZ482)/SUM($EI466:$FA482)</f>
        <v>0</v>
      </c>
      <c r="IS29" s="39">
        <f t="shared" si="575"/>
        <v>0</v>
      </c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 t="s">
        <v>3</v>
      </c>
    </row>
    <row r="30" spans="1:268" ht="15.75" customHeight="1" x14ac:dyDescent="0.2">
      <c r="A30" s="21" t="s">
        <v>863</v>
      </c>
      <c r="B30" s="2" t="s">
        <v>99</v>
      </c>
      <c r="C30" s="2"/>
      <c r="D30" s="2"/>
      <c r="E30" s="2" t="s">
        <v>78</v>
      </c>
      <c r="F30" s="2" t="s">
        <v>166</v>
      </c>
      <c r="G30" s="2"/>
      <c r="H30" s="2" t="s">
        <v>167</v>
      </c>
      <c r="I30" s="2">
        <v>0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15">
        <v>4</v>
      </c>
      <c r="AE30" s="2">
        <v>0.37</v>
      </c>
      <c r="AF30" s="2"/>
      <c r="AG30" s="2"/>
      <c r="AH30" s="2"/>
      <c r="AI30" s="2"/>
      <c r="AJ30" s="2"/>
      <c r="AK30" s="2"/>
      <c r="AL30" s="2">
        <v>0.13</v>
      </c>
      <c r="AM30" s="4">
        <v>0.1</v>
      </c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>
        <v>1.3</v>
      </c>
      <c r="AZ30" s="2">
        <v>0.31</v>
      </c>
      <c r="BA30" s="2"/>
      <c r="BB30" s="2"/>
      <c r="BC30" s="2"/>
      <c r="BD30" s="2"/>
      <c r="BE30" s="2"/>
      <c r="BF30" s="2"/>
      <c r="BG30" s="2">
        <v>0.11</v>
      </c>
      <c r="BH30" s="2">
        <v>0.08</v>
      </c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>
        <v>0</v>
      </c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>
        <v>0</v>
      </c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 t="s">
        <v>81</v>
      </c>
      <c r="DK30" s="2" t="s">
        <v>81</v>
      </c>
      <c r="DL30" s="2">
        <f t="shared" si="3"/>
        <v>0.12509433962264152</v>
      </c>
      <c r="DM30" s="2">
        <f t="shared" si="4"/>
        <v>9.5094339622641508E-2</v>
      </c>
      <c r="DN30" s="2" t="s">
        <v>277</v>
      </c>
      <c r="DO30" s="2" t="s">
        <v>3</v>
      </c>
      <c r="DP30" s="2">
        <f t="shared" si="5"/>
        <v>1.883E-2</v>
      </c>
      <c r="DQ30" s="2">
        <f t="shared" ref="DQ30:DR30" si="576">K30*$I30+AF30*$AD30+BA30*$AY30</f>
        <v>0</v>
      </c>
      <c r="DR30" s="2">
        <f t="shared" si="576"/>
        <v>0</v>
      </c>
      <c r="DS30" s="2">
        <f t="shared" ref="DS30:DX30" si="577">(M30*$I30+AH30*$AD30+BC30*$AY30)/100</f>
        <v>0</v>
      </c>
      <c r="DT30" s="2">
        <f t="shared" si="577"/>
        <v>0</v>
      </c>
      <c r="DU30" s="2">
        <f t="shared" si="577"/>
        <v>0</v>
      </c>
      <c r="DV30" s="2">
        <f t="shared" si="577"/>
        <v>0</v>
      </c>
      <c r="DW30" s="2">
        <f t="shared" si="577"/>
        <v>6.6300000000000005E-3</v>
      </c>
      <c r="DX30" s="2">
        <f t="shared" si="577"/>
        <v>5.0400000000000002E-3</v>
      </c>
      <c r="DY30" s="2">
        <f t="shared" ref="DY30:EC30" si="578">S30*$I30+AN30*$AD30+BI30*$AY30</f>
        <v>0</v>
      </c>
      <c r="DZ30" s="2">
        <f t="shared" si="578"/>
        <v>0</v>
      </c>
      <c r="EA30" s="2">
        <f t="shared" si="578"/>
        <v>0</v>
      </c>
      <c r="EB30" s="2">
        <f t="shared" si="578"/>
        <v>0</v>
      </c>
      <c r="EC30" s="2">
        <f t="shared" si="578"/>
        <v>0</v>
      </c>
      <c r="ED30" s="2">
        <f t="shared" ref="ED30:EE30" si="579">(X30*$I30+AS30*$AD30+BN30*$AY30)/100</f>
        <v>0</v>
      </c>
      <c r="EE30" s="2">
        <f t="shared" si="579"/>
        <v>0</v>
      </c>
      <c r="EF30" s="2"/>
      <c r="EG30" s="2">
        <f t="shared" si="10"/>
        <v>0</v>
      </c>
      <c r="EH30" s="2">
        <f t="shared" si="11"/>
        <v>0</v>
      </c>
      <c r="EI30" s="39">
        <f t="shared" si="12"/>
        <v>122.87734927999999</v>
      </c>
      <c r="EJ30" s="39">
        <f t="shared" ref="EJ30:EK30" si="580">EJ$1*DQ30/1000000</f>
        <v>0</v>
      </c>
      <c r="EK30" s="39">
        <f t="shared" si="580"/>
        <v>0</v>
      </c>
      <c r="EL30" s="39">
        <f t="shared" ref="EL30:EQ30" si="581">EL$1*DS30</f>
        <v>0</v>
      </c>
      <c r="EM30" s="39">
        <f t="shared" si="581"/>
        <v>0</v>
      </c>
      <c r="EN30" s="39">
        <f t="shared" si="581"/>
        <v>0</v>
      </c>
      <c r="EO30" s="39">
        <f t="shared" si="581"/>
        <v>0</v>
      </c>
      <c r="EP30" s="39">
        <f t="shared" si="581"/>
        <v>86.945820000000012</v>
      </c>
      <c r="EQ30" s="39">
        <f t="shared" si="581"/>
        <v>366.00240095999999</v>
      </c>
      <c r="ER30" s="39">
        <f t="shared" ref="ER30:EV30" si="582">ER$1*DY30/1000000</f>
        <v>0</v>
      </c>
      <c r="ES30" s="39">
        <f t="shared" si="582"/>
        <v>0</v>
      </c>
      <c r="ET30" s="39">
        <f t="shared" si="582"/>
        <v>0</v>
      </c>
      <c r="EU30" s="39">
        <f t="shared" si="582"/>
        <v>0</v>
      </c>
      <c r="EV30" s="39">
        <f t="shared" si="582"/>
        <v>0</v>
      </c>
      <c r="EW30" s="39">
        <f t="shared" ref="EW30:EX30" si="583">EW$1*ED30</f>
        <v>0</v>
      </c>
      <c r="EX30" s="39">
        <f t="shared" si="583"/>
        <v>0</v>
      </c>
      <c r="EY30" s="2"/>
      <c r="EZ30" s="39">
        <f t="shared" si="17"/>
        <v>0</v>
      </c>
      <c r="FA30" s="39">
        <f t="shared" si="18"/>
        <v>0</v>
      </c>
      <c r="FB30" s="2">
        <f t="shared" si="19"/>
        <v>0</v>
      </c>
      <c r="FC30" s="2">
        <f t="shared" ref="FC30:FD30" si="584">BV30*$BT30+CQ30*$CO30</f>
        <v>0</v>
      </c>
      <c r="FD30" s="2">
        <f t="shared" si="584"/>
        <v>0</v>
      </c>
      <c r="FE30" s="2">
        <f t="shared" ref="FE30:FJ30" si="585">(BX30*$BT30+CS30*$CO30)/100</f>
        <v>0</v>
      </c>
      <c r="FF30" s="2">
        <f t="shared" si="585"/>
        <v>0</v>
      </c>
      <c r="FG30" s="2">
        <f t="shared" si="585"/>
        <v>0</v>
      </c>
      <c r="FH30" s="2">
        <f t="shared" si="585"/>
        <v>0</v>
      </c>
      <c r="FI30" s="2">
        <f t="shared" si="585"/>
        <v>0</v>
      </c>
      <c r="FJ30" s="2">
        <f t="shared" si="585"/>
        <v>0</v>
      </c>
      <c r="FK30" s="2">
        <f t="shared" ref="FK30:FO30" si="586">CD30*$BT30+CY30*$CO30</f>
        <v>0</v>
      </c>
      <c r="FL30" s="2">
        <f t="shared" si="586"/>
        <v>0</v>
      </c>
      <c r="FM30" s="2">
        <f t="shared" si="586"/>
        <v>0</v>
      </c>
      <c r="FN30" s="2">
        <f t="shared" si="586"/>
        <v>0</v>
      </c>
      <c r="FO30" s="2">
        <f t="shared" si="586"/>
        <v>0</v>
      </c>
      <c r="FP30" s="2">
        <f t="shared" ref="FP30:FQ30" si="587">(CI30*$BT30+DD30*$CO30)/100</f>
        <v>0</v>
      </c>
      <c r="FQ30" s="2">
        <f t="shared" si="587"/>
        <v>0</v>
      </c>
      <c r="FR30" s="2"/>
      <c r="FS30" s="2">
        <f t="shared" si="24"/>
        <v>0</v>
      </c>
      <c r="FT30" s="2">
        <f t="shared" si="25"/>
        <v>0</v>
      </c>
      <c r="FU30" s="39">
        <f t="shared" si="26"/>
        <v>0</v>
      </c>
      <c r="FV30" s="39">
        <f t="shared" ref="FV30:FW30" si="588">FV$1*FC30/1000000</f>
        <v>0</v>
      </c>
      <c r="FW30" s="39">
        <f t="shared" si="588"/>
        <v>0</v>
      </c>
      <c r="FX30" s="39">
        <f t="shared" ref="FX30:GC30" si="589">FX$1*FE30</f>
        <v>0</v>
      </c>
      <c r="FY30" s="39">
        <f t="shared" si="589"/>
        <v>0</v>
      </c>
      <c r="FZ30" s="39">
        <f t="shared" si="589"/>
        <v>0</v>
      </c>
      <c r="GA30" s="39">
        <f t="shared" si="589"/>
        <v>0</v>
      </c>
      <c r="GB30" s="39">
        <f t="shared" si="589"/>
        <v>0</v>
      </c>
      <c r="GC30" s="39">
        <f t="shared" si="589"/>
        <v>0</v>
      </c>
      <c r="GD30" s="39">
        <f t="shared" ref="GD30:GH30" si="590">GD$1*FK30/1000000</f>
        <v>0</v>
      </c>
      <c r="GE30" s="39">
        <f t="shared" si="590"/>
        <v>0</v>
      </c>
      <c r="GF30" s="39">
        <f t="shared" si="590"/>
        <v>0</v>
      </c>
      <c r="GG30" s="39">
        <f t="shared" si="590"/>
        <v>0</v>
      </c>
      <c r="GH30" s="39">
        <f t="shared" si="590"/>
        <v>0</v>
      </c>
      <c r="GI30" s="39">
        <f t="shared" ref="GI30:GJ30" si="591">GI$1*FP30</f>
        <v>0</v>
      </c>
      <c r="GJ30" s="39">
        <f t="shared" si="591"/>
        <v>0</v>
      </c>
      <c r="GK30" s="2"/>
      <c r="GL30" s="39">
        <f t="shared" si="31"/>
        <v>0</v>
      </c>
      <c r="GM30" s="39">
        <f t="shared" si="32"/>
        <v>0</v>
      </c>
      <c r="GN30" s="2" t="s">
        <v>3</v>
      </c>
      <c r="GO30" s="15">
        <f t="shared" si="33"/>
        <v>5.3</v>
      </c>
      <c r="GP30" s="4">
        <f t="shared" si="34"/>
        <v>0.12509433962264152</v>
      </c>
      <c r="GQ30" s="15">
        <f t="shared" si="35"/>
        <v>6.6300000000000008</v>
      </c>
      <c r="GR30" s="15">
        <f t="shared" si="36"/>
        <v>575.82557023999993</v>
      </c>
      <c r="GS30" s="15">
        <f t="shared" si="37"/>
        <v>108.64633400754717</v>
      </c>
      <c r="GT30" s="2">
        <f t="shared" si="38"/>
        <v>0</v>
      </c>
      <c r="GU30" s="2">
        <f t="shared" si="39"/>
        <v>5.2</v>
      </c>
      <c r="GV30" s="2">
        <f t="shared" si="40"/>
        <v>1.4300000000000004</v>
      </c>
      <c r="GW30" s="2">
        <f t="shared" si="41"/>
        <v>0</v>
      </c>
      <c r="GX30" s="2"/>
      <c r="GY30" s="2"/>
      <c r="GZ30" s="2"/>
      <c r="HA30" s="2"/>
      <c r="HB30" s="2">
        <f t="shared" si="42"/>
        <v>0</v>
      </c>
      <c r="HC30" s="2">
        <f t="shared" si="43"/>
        <v>0</v>
      </c>
      <c r="HD30" s="2" t="s">
        <v>3</v>
      </c>
      <c r="HE30" s="2" t="s">
        <v>183</v>
      </c>
      <c r="HF30" s="2" t="s">
        <v>449</v>
      </c>
      <c r="HG30" s="2"/>
      <c r="HH30" s="2"/>
      <c r="HI30" s="2" t="s">
        <v>81</v>
      </c>
      <c r="HJ30" s="2" t="s">
        <v>3</v>
      </c>
      <c r="HK30" s="2" t="s">
        <v>89</v>
      </c>
      <c r="HL30" s="2" t="s">
        <v>636</v>
      </c>
      <c r="HM30" s="2" t="s">
        <v>81</v>
      </c>
      <c r="HN30" s="15">
        <f t="shared" ref="HN30:HP30" si="592">SUM(GT483:GT500)</f>
        <v>587.91444858021157</v>
      </c>
      <c r="HO30" s="3">
        <f t="shared" si="592"/>
        <v>3516.6495667219738</v>
      </c>
      <c r="HP30" s="3">
        <f t="shared" si="592"/>
        <v>1585.654474147444</v>
      </c>
      <c r="HQ30" s="15">
        <f>SUM(GO483:GO500)</f>
        <v>681.44680700000004</v>
      </c>
      <c r="HR30" s="4">
        <f t="shared" si="45"/>
        <v>0.83502019981577635</v>
      </c>
      <c r="HS30" s="4">
        <f>MIN(GP483:GP500)</f>
        <v>0.13</v>
      </c>
      <c r="HT30" s="4">
        <f>MAX(GP483:GP500)</f>
        <v>3.2018731988472617</v>
      </c>
      <c r="HU30" s="3">
        <f>SUM(GQ483:GQ500)</f>
        <v>5690.2184894496286</v>
      </c>
      <c r="HV30" s="15">
        <f>SUM(GR483:GR500)/SUM(GO483:GO500)</f>
        <v>166.55446576317757</v>
      </c>
      <c r="HW30" s="2">
        <f>COUNT(GQ483:GQ500)</f>
        <v>18</v>
      </c>
      <c r="HX30" s="15">
        <f t="shared" ref="HX30:HY30" si="593">SUM(HB483:HB500)</f>
        <v>631.2648999999999</v>
      </c>
      <c r="HY30" s="15">
        <f t="shared" si="593"/>
        <v>780.60439999999994</v>
      </c>
      <c r="HZ30" s="15">
        <f>SUM(GW483:GW500)</f>
        <v>142.26400000000004</v>
      </c>
      <c r="IA30" s="4">
        <f>100*(IB30/1000)/HZ30</f>
        <v>0.99242907552156523</v>
      </c>
      <c r="IB30" s="3">
        <f>SUM(GY483:GY500)</f>
        <v>1411.8692999999998</v>
      </c>
      <c r="IC30" s="15">
        <f>SUM(GZ483:GZ500)/SUM(GW483:GW500)</f>
        <v>183.41799487797098</v>
      </c>
      <c r="ID30" s="2">
        <f>COUNT(GY483:GY500)</f>
        <v>5</v>
      </c>
      <c r="IE30" s="2"/>
      <c r="IF30" s="15">
        <f t="shared" ref="IF30:IN30" si="594">100*SUM(EI483:EI500)/SUM($EI483:$FA500)</f>
        <v>13.595138205273278</v>
      </c>
      <c r="IG30" s="4">
        <f t="shared" si="594"/>
        <v>0.55496005497685152</v>
      </c>
      <c r="IH30" s="19">
        <f t="shared" si="594"/>
        <v>2.84962716809791E-2</v>
      </c>
      <c r="II30" s="39">
        <f t="shared" si="594"/>
        <v>0</v>
      </c>
      <c r="IJ30" s="39">
        <f t="shared" si="594"/>
        <v>0</v>
      </c>
      <c r="IK30" s="39">
        <f t="shared" si="594"/>
        <v>0</v>
      </c>
      <c r="IL30" s="39">
        <f t="shared" si="594"/>
        <v>0</v>
      </c>
      <c r="IM30" s="15">
        <f t="shared" si="594"/>
        <v>65.746990632808647</v>
      </c>
      <c r="IN30" s="15">
        <f t="shared" si="594"/>
        <v>12.976769090993301</v>
      </c>
      <c r="IO30" s="15">
        <f>100*SUM(ER483:EV500)/SUM($EI483:$FA500)</f>
        <v>7.097645744266865</v>
      </c>
      <c r="IP30" s="39">
        <f t="shared" ref="IP30:IQ30" si="595">100*SUM(EW483:EW500)/SUM($EI483:$FA500)</f>
        <v>0</v>
      </c>
      <c r="IQ30" s="39">
        <f t="shared" si="595"/>
        <v>0</v>
      </c>
      <c r="IR30" s="39">
        <f t="shared" ref="IR30:IS30" si="596">100*SUM(EZ483:EZ500)/SUM($EI483:$FA500)</f>
        <v>0</v>
      </c>
      <c r="IS30" s="39">
        <f t="shared" si="596"/>
        <v>0</v>
      </c>
      <c r="IT30" s="15">
        <f t="shared" ref="IT30:JB30" si="597">100*SUM(FU483:FU500)/SUM($FU483:$GM500)</f>
        <v>11.540470437181927</v>
      </c>
      <c r="IU30" s="4">
        <f t="shared" si="597"/>
        <v>0.46871816834227797</v>
      </c>
      <c r="IV30" s="4">
        <f t="shared" si="597"/>
        <v>0.12394794433951932</v>
      </c>
      <c r="IW30" s="39">
        <f t="shared" si="597"/>
        <v>0</v>
      </c>
      <c r="IX30" s="39">
        <f t="shared" si="597"/>
        <v>0</v>
      </c>
      <c r="IY30" s="39">
        <f t="shared" si="597"/>
        <v>0</v>
      </c>
      <c r="IZ30" s="39">
        <f t="shared" si="597"/>
        <v>0</v>
      </c>
      <c r="JA30" s="15">
        <f t="shared" si="597"/>
        <v>70.956586920757516</v>
      </c>
      <c r="JB30" s="15">
        <f t="shared" si="597"/>
        <v>12.252695456394683</v>
      </c>
      <c r="JC30" s="40">
        <f>100*SUM(GD483:GH500)/SUM($FU483:$GM500)</f>
        <v>4.657581072984069</v>
      </c>
      <c r="JD30" s="39">
        <f t="shared" ref="JD30:JE30" si="598">100*SUM(GI483:GI500)/SUM($FU483:$GM500)</f>
        <v>0</v>
      </c>
      <c r="JE30" s="39">
        <f t="shared" si="598"/>
        <v>0</v>
      </c>
      <c r="JF30" s="39">
        <f t="shared" ref="JF30:JG30" si="599">100*SUM(GL483:GL500)/SUM($FU483:$GM500)</f>
        <v>0</v>
      </c>
      <c r="JG30" s="39">
        <f t="shared" si="599"/>
        <v>0</v>
      </c>
      <c r="JH30" s="2" t="s">
        <v>3</v>
      </c>
    </row>
    <row r="31" spans="1:268" ht="15.75" customHeight="1" x14ac:dyDescent="0.2">
      <c r="A31" s="21" t="s">
        <v>1071</v>
      </c>
      <c r="B31" s="2" t="s">
        <v>99</v>
      </c>
      <c r="C31" s="2"/>
      <c r="D31" s="2"/>
      <c r="E31" s="2"/>
      <c r="F31" s="2" t="s">
        <v>1072</v>
      </c>
      <c r="G31" s="2"/>
      <c r="H31" s="2"/>
      <c r="I31" s="2">
        <v>0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>
        <f>0.0582+0.336</f>
        <v>0.39419999999999999</v>
      </c>
      <c r="AE31" s="4">
        <f>(0.41*0.0582+0*0.336)/AD31</f>
        <v>6.0532724505327241E-2</v>
      </c>
      <c r="AF31" s="2"/>
      <c r="AG31" s="2"/>
      <c r="AH31" s="4">
        <f>(10.68*0.0582+0.48*0.336)/AD31/1.179</f>
        <v>1.6844241501775747</v>
      </c>
      <c r="AI31" s="4">
        <f>(0.22*0.0582+0*0.336)/AD31</f>
        <v>3.2480974124809742E-2</v>
      </c>
      <c r="AJ31" s="2"/>
      <c r="AK31" s="2"/>
      <c r="AL31" s="4">
        <f>(0.15*0.0582+0*0.336)/AD31</f>
        <v>2.2146118721461189E-2</v>
      </c>
      <c r="AM31" s="19">
        <f>(0.03*0.0582+0*0.336)/AD31</f>
        <v>4.4292237442922376E-3</v>
      </c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>
        <f>0.0366+0.007+0.118</f>
        <v>0.16159999999999999</v>
      </c>
      <c r="AZ31" s="4">
        <f>(0.57*0.0366+0*0.007+0.86*0.118)/AY31</f>
        <v>0.75706683168316824</v>
      </c>
      <c r="BA31" s="2"/>
      <c r="BB31" s="2"/>
      <c r="BC31" s="4">
        <f>(13.07*0.0366+0.31*0.007+11.58*0.118)/AY31/1.179</f>
        <v>9.6940476490397121</v>
      </c>
      <c r="BD31" s="4">
        <f>(0.26*0.0366+0*0.007+0.1*0.118)/AY31</f>
        <v>0.13190594059405941</v>
      </c>
      <c r="BE31" s="2"/>
      <c r="BF31" s="2"/>
      <c r="BG31" s="4">
        <f>(0.55*0.0366+0*0.007+0.02*0.118)/AY31</f>
        <v>0.13917079207920793</v>
      </c>
      <c r="BH31" s="4">
        <f>(0.1*0.0366+0*0.007+0.01*0.118)/AY31</f>
        <v>2.9950495049504956E-2</v>
      </c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>
        <v>0</v>
      </c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>
        <v>0</v>
      </c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 t="s">
        <v>81</v>
      </c>
      <c r="DK31" s="2" t="s">
        <v>81</v>
      </c>
      <c r="DL31" s="2">
        <f t="shared" si="3"/>
        <v>5.6171284634760704E-2</v>
      </c>
      <c r="DM31" s="2">
        <f t="shared" si="4"/>
        <v>1.1849586182079886E-2</v>
      </c>
      <c r="DN31" s="2" t="s">
        <v>1073</v>
      </c>
      <c r="DO31" s="2" t="s">
        <v>3</v>
      </c>
      <c r="DP31" s="2">
        <f t="shared" si="5"/>
        <v>1.4620399999999997E-3</v>
      </c>
      <c r="DQ31" s="2">
        <f t="shared" ref="DQ31:DR31" si="600">K31*$I31+AF31*$AD31+BA31*$AY31</f>
        <v>0</v>
      </c>
      <c r="DR31" s="2">
        <f t="shared" si="600"/>
        <v>0</v>
      </c>
      <c r="DS31" s="2">
        <f t="shared" ref="DS31:DX31" si="601">(M31*$I31+AH31*$AD31+BC31*$AY31)/100</f>
        <v>2.230558100084817E-2</v>
      </c>
      <c r="DT31" s="2">
        <f t="shared" si="601"/>
        <v>3.412E-4</v>
      </c>
      <c r="DU31" s="2">
        <f t="shared" si="601"/>
        <v>0</v>
      </c>
      <c r="DV31" s="2">
        <f t="shared" si="601"/>
        <v>0</v>
      </c>
      <c r="DW31" s="2">
        <f t="shared" si="601"/>
        <v>3.122E-4</v>
      </c>
      <c r="DX31" s="2">
        <f t="shared" si="601"/>
        <v>6.586000000000001E-5</v>
      </c>
      <c r="DY31" s="2">
        <f t="shared" ref="DY31:EC31" si="602">S31*$I31+AN31*$AD31+BI31*$AY31</f>
        <v>0</v>
      </c>
      <c r="DZ31" s="2">
        <f t="shared" si="602"/>
        <v>0</v>
      </c>
      <c r="EA31" s="2">
        <f t="shared" si="602"/>
        <v>0</v>
      </c>
      <c r="EB31" s="2">
        <f t="shared" si="602"/>
        <v>0</v>
      </c>
      <c r="EC31" s="2">
        <f t="shared" si="602"/>
        <v>0</v>
      </c>
      <c r="ED31" s="2">
        <f t="shared" ref="ED31:EE31" si="603">(X31*$I31+AS31*$AD31+BN31*$AY31)/100</f>
        <v>0</v>
      </c>
      <c r="EE31" s="2">
        <f t="shared" si="603"/>
        <v>0</v>
      </c>
      <c r="EF31" s="2"/>
      <c r="EG31" s="2">
        <f t="shared" si="10"/>
        <v>0</v>
      </c>
      <c r="EH31" s="2">
        <f t="shared" si="11"/>
        <v>0</v>
      </c>
      <c r="EI31" s="39">
        <f t="shared" si="12"/>
        <v>9.5407116166399977</v>
      </c>
      <c r="EJ31" s="39">
        <f t="shared" ref="EJ31:EK31" si="604">EJ$1*DQ31/1000000</f>
        <v>0</v>
      </c>
      <c r="EK31" s="39">
        <f t="shared" si="604"/>
        <v>0</v>
      </c>
      <c r="EL31" s="39">
        <f t="shared" ref="EL31:EQ31" si="605">EL$1*DS31</f>
        <v>1473.3094499509505</v>
      </c>
      <c r="EM31" s="39">
        <f t="shared" si="605"/>
        <v>9.2260480000000005</v>
      </c>
      <c r="EN31" s="39">
        <f t="shared" si="605"/>
        <v>0</v>
      </c>
      <c r="EO31" s="39">
        <f t="shared" si="605"/>
        <v>0</v>
      </c>
      <c r="EP31" s="39">
        <f t="shared" si="605"/>
        <v>4.0941907999999998</v>
      </c>
      <c r="EQ31" s="39">
        <f t="shared" si="605"/>
        <v>4.7827218506399998</v>
      </c>
      <c r="ER31" s="39">
        <f t="shared" ref="ER31:EV31" si="606">ER$1*DY31/1000000</f>
        <v>0</v>
      </c>
      <c r="ES31" s="39">
        <f t="shared" si="606"/>
        <v>0</v>
      </c>
      <c r="ET31" s="39">
        <f t="shared" si="606"/>
        <v>0</v>
      </c>
      <c r="EU31" s="39">
        <f t="shared" si="606"/>
        <v>0</v>
      </c>
      <c r="EV31" s="39">
        <f t="shared" si="606"/>
        <v>0</v>
      </c>
      <c r="EW31" s="39">
        <f t="shared" ref="EW31:EX31" si="607">EW$1*ED31</f>
        <v>0</v>
      </c>
      <c r="EX31" s="39">
        <f t="shared" si="607"/>
        <v>0</v>
      </c>
      <c r="EY31" s="2"/>
      <c r="EZ31" s="39">
        <f t="shared" si="17"/>
        <v>0</v>
      </c>
      <c r="FA31" s="39">
        <f t="shared" si="18"/>
        <v>0</v>
      </c>
      <c r="FB31" s="2">
        <f t="shared" si="19"/>
        <v>0</v>
      </c>
      <c r="FC31" s="2">
        <f t="shared" ref="FC31:FD31" si="608">BV31*$BT31+CQ31*$CO31</f>
        <v>0</v>
      </c>
      <c r="FD31" s="2">
        <f t="shared" si="608"/>
        <v>0</v>
      </c>
      <c r="FE31" s="2">
        <f t="shared" ref="FE31:FJ31" si="609">(BX31*$BT31+CS31*$CO31)/100</f>
        <v>0</v>
      </c>
      <c r="FF31" s="2">
        <f t="shared" si="609"/>
        <v>0</v>
      </c>
      <c r="FG31" s="2">
        <f t="shared" si="609"/>
        <v>0</v>
      </c>
      <c r="FH31" s="2">
        <f t="shared" si="609"/>
        <v>0</v>
      </c>
      <c r="FI31" s="2">
        <f t="shared" si="609"/>
        <v>0</v>
      </c>
      <c r="FJ31" s="2">
        <f t="shared" si="609"/>
        <v>0</v>
      </c>
      <c r="FK31" s="2">
        <f t="shared" ref="FK31:FO31" si="610">CD31*$BT31+CY31*$CO31</f>
        <v>0</v>
      </c>
      <c r="FL31" s="2">
        <f t="shared" si="610"/>
        <v>0</v>
      </c>
      <c r="FM31" s="2">
        <f t="shared" si="610"/>
        <v>0</v>
      </c>
      <c r="FN31" s="2">
        <f t="shared" si="610"/>
        <v>0</v>
      </c>
      <c r="FO31" s="2">
        <f t="shared" si="610"/>
        <v>0</v>
      </c>
      <c r="FP31" s="2">
        <f t="shared" ref="FP31:FQ31" si="611">(CI31*$BT31+DD31*$CO31)/100</f>
        <v>0</v>
      </c>
      <c r="FQ31" s="2">
        <f t="shared" si="611"/>
        <v>0</v>
      </c>
      <c r="FR31" s="2"/>
      <c r="FS31" s="2">
        <f t="shared" si="24"/>
        <v>0</v>
      </c>
      <c r="FT31" s="2">
        <f t="shared" si="25"/>
        <v>0</v>
      </c>
      <c r="FU31" s="39">
        <f t="shared" si="26"/>
        <v>0</v>
      </c>
      <c r="FV31" s="39">
        <f t="shared" ref="FV31:FW31" si="612">FV$1*FC31/1000000</f>
        <v>0</v>
      </c>
      <c r="FW31" s="39">
        <f t="shared" si="612"/>
        <v>0</v>
      </c>
      <c r="FX31" s="39">
        <f t="shared" ref="FX31:GC31" si="613">FX$1*FE31</f>
        <v>0</v>
      </c>
      <c r="FY31" s="39">
        <f t="shared" si="613"/>
        <v>0</v>
      </c>
      <c r="FZ31" s="39">
        <f t="shared" si="613"/>
        <v>0</v>
      </c>
      <c r="GA31" s="39">
        <f t="shared" si="613"/>
        <v>0</v>
      </c>
      <c r="GB31" s="39">
        <f t="shared" si="613"/>
        <v>0</v>
      </c>
      <c r="GC31" s="39">
        <f t="shared" si="613"/>
        <v>0</v>
      </c>
      <c r="GD31" s="39">
        <f t="shared" ref="GD31:GH31" si="614">GD$1*FK31/1000000</f>
        <v>0</v>
      </c>
      <c r="GE31" s="39">
        <f t="shared" si="614"/>
        <v>0</v>
      </c>
      <c r="GF31" s="39">
        <f t="shared" si="614"/>
        <v>0</v>
      </c>
      <c r="GG31" s="39">
        <f t="shared" si="614"/>
        <v>0</v>
      </c>
      <c r="GH31" s="39">
        <f t="shared" si="614"/>
        <v>0</v>
      </c>
      <c r="GI31" s="39">
        <f t="shared" ref="GI31:GJ31" si="615">GI$1*FP31</f>
        <v>0</v>
      </c>
      <c r="GJ31" s="39">
        <f t="shared" si="615"/>
        <v>0</v>
      </c>
      <c r="GK31" s="2"/>
      <c r="GL31" s="39">
        <f t="shared" si="31"/>
        <v>0</v>
      </c>
      <c r="GM31" s="39">
        <f t="shared" si="32"/>
        <v>0</v>
      </c>
      <c r="GN31" s="2" t="s">
        <v>3</v>
      </c>
      <c r="GO31" s="19">
        <f t="shared" si="33"/>
        <v>0.55579999999999996</v>
      </c>
      <c r="GP31" s="19">
        <f t="shared" si="34"/>
        <v>5.6171284634760704E-2</v>
      </c>
      <c r="GQ31" s="15">
        <f t="shared" si="35"/>
        <v>0.31219999999999998</v>
      </c>
      <c r="GR31" s="15">
        <f t="shared" si="36"/>
        <v>1500.9531222182304</v>
      </c>
      <c r="GS31" s="15">
        <f t="shared" si="37"/>
        <v>2700.5273879421202</v>
      </c>
      <c r="GT31" s="2">
        <f t="shared" si="38"/>
        <v>0</v>
      </c>
      <c r="GU31" s="2">
        <f t="shared" si="39"/>
        <v>8.7300000000000003E-2</v>
      </c>
      <c r="GV31" s="2">
        <f t="shared" si="40"/>
        <v>0.22489999999999999</v>
      </c>
      <c r="GW31" s="2">
        <f t="shared" si="41"/>
        <v>0</v>
      </c>
      <c r="GX31" s="2"/>
      <c r="GY31" s="2"/>
      <c r="GZ31" s="2"/>
      <c r="HA31" s="2"/>
      <c r="HB31" s="2">
        <f t="shared" si="42"/>
        <v>0</v>
      </c>
      <c r="HC31" s="2">
        <f t="shared" si="43"/>
        <v>0</v>
      </c>
      <c r="HD31" s="2" t="s">
        <v>3</v>
      </c>
      <c r="HE31" s="2" t="s">
        <v>183</v>
      </c>
      <c r="HF31" s="2" t="s">
        <v>449</v>
      </c>
      <c r="HG31" s="2"/>
      <c r="HH31" s="2"/>
      <c r="HI31" s="2" t="s">
        <v>81</v>
      </c>
      <c r="HJ31" s="2" t="s">
        <v>3</v>
      </c>
      <c r="HK31" s="2" t="s">
        <v>89</v>
      </c>
      <c r="HL31" s="2" t="s">
        <v>636</v>
      </c>
      <c r="HM31" s="2" t="s">
        <v>100</v>
      </c>
      <c r="HN31" s="2">
        <f t="shared" ref="HN31:HP31" si="616">SUM(GT501:GT502)</f>
        <v>0</v>
      </c>
      <c r="HO31" s="2">
        <f t="shared" si="616"/>
        <v>0</v>
      </c>
      <c r="HP31" s="15">
        <f t="shared" si="616"/>
        <v>34.515000000000001</v>
      </c>
      <c r="HQ31" s="2">
        <f>SUM(GO501:GO502)</f>
        <v>8.9700000000000006</v>
      </c>
      <c r="HR31" s="4">
        <f t="shared" si="45"/>
        <v>0.38478260869565217</v>
      </c>
      <c r="HS31" s="4">
        <f>MIN(GP501:GP502)</f>
        <v>0.35</v>
      </c>
      <c r="HT31" s="4">
        <f>MAX(GP501:GP502)</f>
        <v>0.47</v>
      </c>
      <c r="HU31" s="15">
        <f>SUM(GQ501:GQ502)</f>
        <v>34.515000000000001</v>
      </c>
      <c r="HV31" s="15">
        <f>SUM(GR501:GR502)/SUM(GO501:GO502)</f>
        <v>60.686604133333326</v>
      </c>
      <c r="HW31" s="2">
        <f>COUNT(GQ501:GQ502)</f>
        <v>2</v>
      </c>
      <c r="HX31" s="2">
        <f t="shared" ref="HX31:HY31" si="617">SUM(HB501:HB502)</f>
        <v>0</v>
      </c>
      <c r="HY31" s="2">
        <f t="shared" si="617"/>
        <v>0</v>
      </c>
      <c r="HZ31" s="2" t="s">
        <v>176</v>
      </c>
      <c r="IA31" s="2" t="s">
        <v>176</v>
      </c>
      <c r="IB31" s="2" t="s">
        <v>176</v>
      </c>
      <c r="IC31" s="2" t="s">
        <v>176</v>
      </c>
      <c r="ID31" s="2">
        <f>COUNT(GY501:GY502)</f>
        <v>0</v>
      </c>
      <c r="IE31" s="2"/>
      <c r="IF31" s="15">
        <f t="shared" ref="IF31:IN31" si="618">100*SUM(EI501:EI502)/SUM($EI501:$FA502)</f>
        <v>8.3530364575657607</v>
      </c>
      <c r="IG31" s="39">
        <f t="shared" si="618"/>
        <v>0</v>
      </c>
      <c r="IH31" s="39">
        <f t="shared" si="618"/>
        <v>0</v>
      </c>
      <c r="II31" s="39">
        <f t="shared" si="618"/>
        <v>0</v>
      </c>
      <c r="IJ31" s="39">
        <f t="shared" si="618"/>
        <v>0</v>
      </c>
      <c r="IK31" s="39">
        <f t="shared" si="618"/>
        <v>0</v>
      </c>
      <c r="IL31" s="39">
        <f t="shared" si="618"/>
        <v>0</v>
      </c>
      <c r="IM31" s="15">
        <f t="shared" si="618"/>
        <v>83.149143085156496</v>
      </c>
      <c r="IN31" s="15">
        <f t="shared" si="618"/>
        <v>8.4978204572777507</v>
      </c>
      <c r="IO31" s="39">
        <f>100*SUM(ER501:EV502)/SUM($EI501:$FA502)</f>
        <v>0</v>
      </c>
      <c r="IP31" s="39">
        <f t="shared" ref="IP31:IQ31" si="619">100*SUM(EW501:EW502)/SUM($EI501:$FA502)</f>
        <v>0</v>
      </c>
      <c r="IQ31" s="39">
        <f t="shared" si="619"/>
        <v>0</v>
      </c>
      <c r="IR31" s="39">
        <f t="shared" ref="IR31:IS31" si="620">100*SUM(EZ501:EZ502)/SUM($EI501:$FA502)</f>
        <v>0</v>
      </c>
      <c r="IS31" s="39">
        <f t="shared" si="620"/>
        <v>0</v>
      </c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 t="s">
        <v>3</v>
      </c>
    </row>
    <row r="32" spans="1:268" ht="15.75" customHeight="1" x14ac:dyDescent="0.2">
      <c r="A32" s="21" t="s">
        <v>881</v>
      </c>
      <c r="B32" s="2" t="s">
        <v>99</v>
      </c>
      <c r="C32" s="2"/>
      <c r="D32" s="2"/>
      <c r="E32" s="2" t="s">
        <v>78</v>
      </c>
      <c r="F32" s="2" t="s">
        <v>882</v>
      </c>
      <c r="G32" s="2"/>
      <c r="H32" s="2" t="s">
        <v>167</v>
      </c>
      <c r="I32" s="2">
        <v>0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>
        <f>1.3+19.8</f>
        <v>21.1</v>
      </c>
      <c r="AE32" s="19">
        <f>(0.075*1.3+0.034*19.8)/AD32</f>
        <v>3.6526066350710901E-2</v>
      </c>
      <c r="AF32" s="2"/>
      <c r="AG32" s="2"/>
      <c r="AH32" s="19">
        <f>((0.069*1.3+0.072*19.8)/AD32)/1.179</f>
        <v>6.0911930345018871E-2</v>
      </c>
      <c r="AI32" s="19"/>
      <c r="AJ32" s="2"/>
      <c r="AK32" s="4">
        <f>(0.128*1.3+0.134*19.8)/AD32</f>
        <v>0.13363033175355452</v>
      </c>
      <c r="AL32" s="19">
        <f>(0.044*1.3+0.063*19.8)/AD32</f>
        <v>6.1829383886255918E-2</v>
      </c>
      <c r="AM32" s="19">
        <f>(0.021*1.3+0.031*19.8)/AD32</f>
        <v>3.038388625592417E-2</v>
      </c>
      <c r="AN32" s="2"/>
      <c r="AO32" s="2"/>
      <c r="AP32" s="2"/>
      <c r="AQ32" s="2"/>
      <c r="AR32" s="2"/>
      <c r="AS32" s="2"/>
      <c r="AT32" s="2"/>
      <c r="AU32" s="2"/>
      <c r="AV32" s="23">
        <f>(60*1.3+30*13.2)/(1.3+13.2)</f>
        <v>32.689655172413794</v>
      </c>
      <c r="AW32" s="2"/>
      <c r="AX32" s="2"/>
      <c r="AY32" s="2">
        <f>2.5+10.4</f>
        <v>12.9</v>
      </c>
      <c r="AZ32" s="19">
        <f>(0.027*2.5+0.011*10.4)/AY32</f>
        <v>1.4100775193798449E-2</v>
      </c>
      <c r="BA32" s="2"/>
      <c r="BB32" s="2"/>
      <c r="BC32" s="19">
        <f>((0.038*2.5+0.033*10.4)/AY32)/1.179</f>
        <v>2.8811698259594586E-2</v>
      </c>
      <c r="BD32" s="19"/>
      <c r="BE32" s="2"/>
      <c r="BF32" s="19">
        <f>(0.05*2.5+0.032*10.4)/AY32</f>
        <v>3.548837209302326E-2</v>
      </c>
      <c r="BG32" s="19">
        <f>(0.025*2.5+0.025*10.4)/AY32</f>
        <v>2.5000000000000001E-2</v>
      </c>
      <c r="BH32" s="19">
        <f>(0.014*2.5+0.014*10.4)/AY32</f>
        <v>1.4E-2</v>
      </c>
      <c r="BI32" s="2"/>
      <c r="BJ32" s="2"/>
      <c r="BK32" s="2"/>
      <c r="BL32" s="2"/>
      <c r="BM32" s="2"/>
      <c r="BN32" s="2"/>
      <c r="BO32" s="2"/>
      <c r="BP32" s="2"/>
      <c r="BQ32" s="23">
        <f>(20*2.5+20*16.1)/(2.5+16.1)</f>
        <v>20</v>
      </c>
      <c r="BR32" s="2"/>
      <c r="BS32" s="2"/>
      <c r="BT32" s="2">
        <v>0</v>
      </c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>
        <v>0</v>
      </c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 t="s">
        <v>81</v>
      </c>
      <c r="DK32" s="2" t="s">
        <v>81</v>
      </c>
      <c r="DL32" s="2">
        <f t="shared" si="3"/>
        <v>4.7855882352941179E-2</v>
      </c>
      <c r="DM32" s="2">
        <f t="shared" si="4"/>
        <v>2.416764705882353E-2</v>
      </c>
      <c r="DN32" s="2" t="s">
        <v>883</v>
      </c>
      <c r="DO32" s="2" t="s">
        <v>3</v>
      </c>
      <c r="DP32" s="2">
        <f t="shared" si="5"/>
        <v>9.5260000000000015E-3</v>
      </c>
      <c r="DQ32" s="2">
        <f t="shared" ref="DQ32:DR32" si="621">K32*$I32+AF32*$AD32+BA32*$AY32</f>
        <v>0</v>
      </c>
      <c r="DR32" s="2">
        <f t="shared" si="621"/>
        <v>0</v>
      </c>
      <c r="DS32" s="2">
        <f t="shared" ref="DS32:DX32" si="622">(M32*$I32+AH32*$AD32+BC32*$AY32)/100</f>
        <v>1.6569126378286683E-2</v>
      </c>
      <c r="DT32" s="2">
        <f t="shared" si="622"/>
        <v>0</v>
      </c>
      <c r="DU32" s="2">
        <f t="shared" si="622"/>
        <v>0</v>
      </c>
      <c r="DV32" s="2">
        <f t="shared" si="622"/>
        <v>3.2774000000000005E-2</v>
      </c>
      <c r="DW32" s="2">
        <f t="shared" si="622"/>
        <v>1.6271000000000001E-2</v>
      </c>
      <c r="DX32" s="2">
        <f t="shared" si="622"/>
        <v>8.2170000000000003E-3</v>
      </c>
      <c r="DY32" s="2">
        <f t="shared" ref="DY32:EC32" si="623">S32*$I32+AN32*$AD32+BI32*$AY32</f>
        <v>0</v>
      </c>
      <c r="DZ32" s="2">
        <f t="shared" si="623"/>
        <v>0</v>
      </c>
      <c r="EA32" s="2">
        <f t="shared" si="623"/>
        <v>0</v>
      </c>
      <c r="EB32" s="2">
        <f t="shared" si="623"/>
        <v>0</v>
      </c>
      <c r="EC32" s="2">
        <f t="shared" si="623"/>
        <v>0</v>
      </c>
      <c r="ED32" s="2">
        <f t="shared" ref="ED32:EE32" si="624">(X32*$I32+AS32*$AD32+BN32*$AY32)/100</f>
        <v>0</v>
      </c>
      <c r="EE32" s="2">
        <f t="shared" si="624"/>
        <v>0</v>
      </c>
      <c r="EF32" s="2"/>
      <c r="EG32" s="2">
        <f t="shared" si="10"/>
        <v>947.75172413793109</v>
      </c>
      <c r="EH32" s="2">
        <f t="shared" si="11"/>
        <v>0</v>
      </c>
      <c r="EI32" s="39">
        <f t="shared" si="12"/>
        <v>62.163018016000009</v>
      </c>
      <c r="EJ32" s="39">
        <f t="shared" ref="EJ32:EK32" si="625">EJ$1*DQ32/1000000</f>
        <v>0</v>
      </c>
      <c r="EK32" s="39">
        <f t="shared" si="625"/>
        <v>0</v>
      </c>
      <c r="EL32" s="39">
        <f t="shared" ref="EL32:EQ32" si="626">EL$1*DS32</f>
        <v>1094.4099806067859</v>
      </c>
      <c r="EM32" s="39">
        <f t="shared" si="626"/>
        <v>0</v>
      </c>
      <c r="EN32" s="39">
        <f t="shared" si="626"/>
        <v>0</v>
      </c>
      <c r="EO32" s="39">
        <f t="shared" si="626"/>
        <v>95.880474650800011</v>
      </c>
      <c r="EP32" s="39">
        <f t="shared" si="626"/>
        <v>213.377894</v>
      </c>
      <c r="EQ32" s="39">
        <f t="shared" si="626"/>
        <v>596.71462870799996</v>
      </c>
      <c r="ER32" s="39">
        <f t="shared" ref="ER32:EV32" si="627">ER$1*DY32/1000000</f>
        <v>0</v>
      </c>
      <c r="ES32" s="39">
        <f t="shared" si="627"/>
        <v>0</v>
      </c>
      <c r="ET32" s="39">
        <f t="shared" si="627"/>
        <v>0</v>
      </c>
      <c r="EU32" s="39">
        <f t="shared" si="627"/>
        <v>0</v>
      </c>
      <c r="EV32" s="39">
        <f t="shared" si="627"/>
        <v>0</v>
      </c>
      <c r="EW32" s="39">
        <f t="shared" ref="EW32:EX32" si="628">EW$1*ED32</f>
        <v>0</v>
      </c>
      <c r="EX32" s="39">
        <f t="shared" si="628"/>
        <v>0</v>
      </c>
      <c r="EY32" s="2"/>
      <c r="EZ32" s="39">
        <f t="shared" si="17"/>
        <v>341.19062068965519</v>
      </c>
      <c r="FA32" s="39">
        <f t="shared" si="18"/>
        <v>0</v>
      </c>
      <c r="FB32" s="2">
        <f t="shared" si="19"/>
        <v>0</v>
      </c>
      <c r="FC32" s="2">
        <f t="shared" ref="FC32:FD32" si="629">BV32*$BT32+CQ32*$CO32</f>
        <v>0</v>
      </c>
      <c r="FD32" s="2">
        <f t="shared" si="629"/>
        <v>0</v>
      </c>
      <c r="FE32" s="2">
        <f t="shared" ref="FE32:FJ32" si="630">(BX32*$BT32+CS32*$CO32)/100</f>
        <v>0</v>
      </c>
      <c r="FF32" s="2">
        <f t="shared" si="630"/>
        <v>0</v>
      </c>
      <c r="FG32" s="2">
        <f t="shared" si="630"/>
        <v>0</v>
      </c>
      <c r="FH32" s="2">
        <f t="shared" si="630"/>
        <v>0</v>
      </c>
      <c r="FI32" s="2">
        <f t="shared" si="630"/>
        <v>0</v>
      </c>
      <c r="FJ32" s="2">
        <f t="shared" si="630"/>
        <v>0</v>
      </c>
      <c r="FK32" s="2">
        <f t="shared" ref="FK32:FO32" si="631">CD32*$BT32+CY32*$CO32</f>
        <v>0</v>
      </c>
      <c r="FL32" s="2">
        <f t="shared" si="631"/>
        <v>0</v>
      </c>
      <c r="FM32" s="2">
        <f t="shared" si="631"/>
        <v>0</v>
      </c>
      <c r="FN32" s="2">
        <f t="shared" si="631"/>
        <v>0</v>
      </c>
      <c r="FO32" s="2">
        <f t="shared" si="631"/>
        <v>0</v>
      </c>
      <c r="FP32" s="2">
        <f t="shared" ref="FP32:FQ32" si="632">(CI32*$BT32+DD32*$CO32)/100</f>
        <v>0</v>
      </c>
      <c r="FQ32" s="2">
        <f t="shared" si="632"/>
        <v>0</v>
      </c>
      <c r="FR32" s="2"/>
      <c r="FS32" s="2">
        <f t="shared" si="24"/>
        <v>0</v>
      </c>
      <c r="FT32" s="2">
        <f t="shared" si="25"/>
        <v>0</v>
      </c>
      <c r="FU32" s="39">
        <f t="shared" si="26"/>
        <v>0</v>
      </c>
      <c r="FV32" s="39">
        <f t="shared" ref="FV32:FW32" si="633">FV$1*FC32/1000000</f>
        <v>0</v>
      </c>
      <c r="FW32" s="39">
        <f t="shared" si="633"/>
        <v>0</v>
      </c>
      <c r="FX32" s="39">
        <f t="shared" ref="FX32:GC32" si="634">FX$1*FE32</f>
        <v>0</v>
      </c>
      <c r="FY32" s="39">
        <f t="shared" si="634"/>
        <v>0</v>
      </c>
      <c r="FZ32" s="39">
        <f t="shared" si="634"/>
        <v>0</v>
      </c>
      <c r="GA32" s="39">
        <f t="shared" si="634"/>
        <v>0</v>
      </c>
      <c r="GB32" s="39">
        <f t="shared" si="634"/>
        <v>0</v>
      </c>
      <c r="GC32" s="39">
        <f t="shared" si="634"/>
        <v>0</v>
      </c>
      <c r="GD32" s="39">
        <f t="shared" ref="GD32:GH32" si="635">GD$1*FK32/1000000</f>
        <v>0</v>
      </c>
      <c r="GE32" s="39">
        <f t="shared" si="635"/>
        <v>0</v>
      </c>
      <c r="GF32" s="39">
        <f t="shared" si="635"/>
        <v>0</v>
      </c>
      <c r="GG32" s="39">
        <f t="shared" si="635"/>
        <v>0</v>
      </c>
      <c r="GH32" s="39">
        <f t="shared" si="635"/>
        <v>0</v>
      </c>
      <c r="GI32" s="39">
        <f t="shared" ref="GI32:GJ32" si="636">GI$1*FP32</f>
        <v>0</v>
      </c>
      <c r="GJ32" s="39">
        <f t="shared" si="636"/>
        <v>0</v>
      </c>
      <c r="GK32" s="2"/>
      <c r="GL32" s="39">
        <f t="shared" si="31"/>
        <v>0</v>
      </c>
      <c r="GM32" s="39">
        <f t="shared" si="32"/>
        <v>0</v>
      </c>
      <c r="GN32" s="2" t="s">
        <v>3</v>
      </c>
      <c r="GO32" s="2">
        <f t="shared" si="33"/>
        <v>34</v>
      </c>
      <c r="GP32" s="19">
        <f t="shared" si="34"/>
        <v>4.7855882352941179E-2</v>
      </c>
      <c r="GQ32" s="15">
        <f t="shared" si="35"/>
        <v>16.271000000000001</v>
      </c>
      <c r="GR32" s="15">
        <f t="shared" si="36"/>
        <v>2403.7366166712413</v>
      </c>
      <c r="GS32" s="15">
        <f t="shared" si="37"/>
        <v>70.698135784448269</v>
      </c>
      <c r="GT32" s="2">
        <f t="shared" si="38"/>
        <v>0</v>
      </c>
      <c r="GU32" s="2">
        <f t="shared" si="39"/>
        <v>13.045999999999999</v>
      </c>
      <c r="GV32" s="2">
        <f t="shared" si="40"/>
        <v>3.2250000000000001</v>
      </c>
      <c r="GW32" s="2">
        <f t="shared" si="41"/>
        <v>0</v>
      </c>
      <c r="GX32" s="2"/>
      <c r="GY32" s="2"/>
      <c r="GZ32" s="2"/>
      <c r="HA32" s="2"/>
      <c r="HB32" s="2">
        <f t="shared" si="42"/>
        <v>0</v>
      </c>
      <c r="HC32" s="2">
        <f t="shared" si="43"/>
        <v>0</v>
      </c>
      <c r="HD32" s="2" t="s">
        <v>3</v>
      </c>
      <c r="HE32" s="2" t="s">
        <v>183</v>
      </c>
      <c r="HF32" s="2" t="s">
        <v>449</v>
      </c>
      <c r="HG32" s="2"/>
      <c r="HH32" s="2"/>
      <c r="HI32" s="2" t="s">
        <v>81</v>
      </c>
      <c r="HJ32" s="2" t="s">
        <v>3</v>
      </c>
      <c r="HK32" s="2" t="s">
        <v>89</v>
      </c>
      <c r="HL32" s="2" t="s">
        <v>123</v>
      </c>
      <c r="HM32" s="2" t="s">
        <v>81</v>
      </c>
      <c r="HN32" s="3">
        <f t="shared" ref="HN32:HP32" si="637">SUM(GT503:GT561)</f>
        <v>2999.5329707000014</v>
      </c>
      <c r="HO32" s="3">
        <f t="shared" si="637"/>
        <v>18732.960306699999</v>
      </c>
      <c r="HP32" s="3">
        <f t="shared" si="637"/>
        <v>10617.600204799995</v>
      </c>
      <c r="HQ32" s="3">
        <f>SUM(GO503:GO561)</f>
        <v>8926.3666690000045</v>
      </c>
      <c r="HR32" s="4">
        <f t="shared" si="45"/>
        <v>0.36241053814814972</v>
      </c>
      <c r="HS32" s="4">
        <f>MIN(GP503:GP561)</f>
        <v>9.5406884632003447E-3</v>
      </c>
      <c r="HT32" s="4">
        <f>MAX(GP503:GP561)</f>
        <v>3.2753609687936662</v>
      </c>
      <c r="HU32" s="3">
        <f>SUM(GQ503:GQ561)</f>
        <v>32350.093482199984</v>
      </c>
      <c r="HV32" s="15">
        <f>SUM(GR503:GR561)/SUM(GO503:GO561)</f>
        <v>149.83398782008774</v>
      </c>
      <c r="HW32" s="2">
        <f>COUNT(GQ503:GQ561)</f>
        <v>59</v>
      </c>
      <c r="HX32" s="3">
        <f t="shared" ref="HX32:HY32" si="638">SUM(HB503:HB561)</f>
        <v>3206.8284300000005</v>
      </c>
      <c r="HY32" s="3">
        <f t="shared" si="638"/>
        <v>4442.4491851999992</v>
      </c>
      <c r="HZ32" s="3">
        <f>SUM(GW503:GW561)</f>
        <v>1007.2476579999999</v>
      </c>
      <c r="IA32" s="4">
        <f t="shared" ref="IA32:IA33" si="639">100*(IB32/1000)/HZ32</f>
        <v>0.75942371813387732</v>
      </c>
      <c r="IB32" s="3">
        <f>SUM(GY503:GY561)</f>
        <v>7649.2776151999997</v>
      </c>
      <c r="IC32" s="15">
        <f>SUM(GZ503:GZ561)/SUM(GW503:GW561)</f>
        <v>322.83610928177274</v>
      </c>
      <c r="ID32" s="2">
        <f>COUNT(GY503:GY561)</f>
        <v>10</v>
      </c>
      <c r="IE32" s="2"/>
      <c r="IF32" s="15">
        <f t="shared" ref="IF32:IN32" si="640">100*SUM(EI503:EI561)/SUM($EI503:$FA561)</f>
        <v>26.185496942072973</v>
      </c>
      <c r="IG32" s="15">
        <f t="shared" si="640"/>
        <v>2.3756405629367454</v>
      </c>
      <c r="IH32" s="4">
        <f t="shared" si="640"/>
        <v>0.16788887501488456</v>
      </c>
      <c r="II32" s="39">
        <f t="shared" si="640"/>
        <v>0</v>
      </c>
      <c r="IJ32" s="39">
        <f t="shared" si="640"/>
        <v>0</v>
      </c>
      <c r="IK32" s="39">
        <f t="shared" si="640"/>
        <v>0</v>
      </c>
      <c r="IL32" s="19">
        <f t="shared" si="640"/>
        <v>9.609911239005911E-2</v>
      </c>
      <c r="IM32" s="15">
        <f t="shared" si="640"/>
        <v>31.719450749595929</v>
      </c>
      <c r="IN32" s="15">
        <f t="shared" si="640"/>
        <v>6.8113926043451976</v>
      </c>
      <c r="IO32" s="15">
        <f>100*SUM(ER503:EV561)/SUM($EI503:$FA561)</f>
        <v>32.644031153644022</v>
      </c>
      <c r="IP32" s="39">
        <f t="shared" ref="IP32:IQ32" si="641">100*SUM(EW503:EW561)/SUM($EI503:$FA561)</f>
        <v>0</v>
      </c>
      <c r="IQ32" s="39">
        <f t="shared" si="641"/>
        <v>0</v>
      </c>
      <c r="IR32" s="39">
        <f t="shared" ref="IR32:IS32" si="642">100*SUM(EZ503:EZ561)/SUM($EI503:$FA561)</f>
        <v>0</v>
      </c>
      <c r="IS32" s="39">
        <f t="shared" si="642"/>
        <v>0</v>
      </c>
      <c r="IT32" s="15">
        <f t="shared" ref="IT32:JB32" si="643">100*SUM(FU503:FU561)/SUM($FU503:$GM561)</f>
        <v>26.586089808821253</v>
      </c>
      <c r="IU32" s="15">
        <f t="shared" si="643"/>
        <v>2.1794311483889794</v>
      </c>
      <c r="IV32" s="19">
        <f t="shared" si="643"/>
        <v>4.2163459787903597E-2</v>
      </c>
      <c r="IW32" s="39">
        <f t="shared" si="643"/>
        <v>0</v>
      </c>
      <c r="IX32" s="39">
        <f t="shared" si="643"/>
        <v>0</v>
      </c>
      <c r="IY32" s="39">
        <f t="shared" si="643"/>
        <v>0</v>
      </c>
      <c r="IZ32" s="39">
        <f t="shared" si="643"/>
        <v>0</v>
      </c>
      <c r="JA32" s="15">
        <f t="shared" si="643"/>
        <v>30.848725880645961</v>
      </c>
      <c r="JB32" s="15">
        <f t="shared" si="643"/>
        <v>5.1093717266819603</v>
      </c>
      <c r="JC32" s="15">
        <f>100*SUM(GD503:GH561)/SUM($FU503:$GM561)</f>
        <v>35.234217975673921</v>
      </c>
      <c r="JD32" s="39">
        <f t="shared" ref="JD32:JE32" si="644">100*SUM(GI503:GI561)/SUM($FU503:$GM561)</f>
        <v>0</v>
      </c>
      <c r="JE32" s="39">
        <f t="shared" si="644"/>
        <v>0</v>
      </c>
      <c r="JF32" s="39">
        <f t="shared" ref="JF32:JG32" si="645">100*SUM(GL503:GL561)/SUM($FU503:$GM561)</f>
        <v>0</v>
      </c>
      <c r="JG32" s="39">
        <f t="shared" si="645"/>
        <v>0</v>
      </c>
      <c r="JH32" s="2" t="s">
        <v>3</v>
      </c>
    </row>
    <row r="33" spans="1:268" ht="15.75" customHeight="1" x14ac:dyDescent="0.2">
      <c r="A33" s="21" t="s">
        <v>1287</v>
      </c>
      <c r="B33" s="2" t="s">
        <v>99</v>
      </c>
      <c r="C33" s="2"/>
      <c r="D33" s="2"/>
      <c r="E33" s="2"/>
      <c r="F33" s="2" t="s">
        <v>1288</v>
      </c>
      <c r="G33" s="2"/>
      <c r="H33" s="2"/>
      <c r="I33" s="2">
        <v>0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19">
        <v>0.45768700000000001</v>
      </c>
      <c r="AE33" s="2">
        <v>0.01</v>
      </c>
      <c r="AF33" s="2">
        <v>0.08</v>
      </c>
      <c r="AG33" s="2"/>
      <c r="AH33" s="4">
        <f>1.04/1.179</f>
        <v>0.88210347752332485</v>
      </c>
      <c r="AI33" s="4">
        <v>0.1</v>
      </c>
      <c r="AJ33" s="2"/>
      <c r="AK33" s="2"/>
      <c r="AL33" s="2">
        <v>0.04</v>
      </c>
      <c r="AM33" s="2">
        <v>0.01</v>
      </c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19">
        <v>0.23900199999999999</v>
      </c>
      <c r="AZ33" s="2">
        <v>0.02</v>
      </c>
      <c r="BA33" s="2">
        <v>0.04</v>
      </c>
      <c r="BB33" s="2"/>
      <c r="BC33" s="4">
        <f>0.54/1.179</f>
        <v>0.4580152671755725</v>
      </c>
      <c r="BD33" s="2">
        <v>7.0000000000000007E-2</v>
      </c>
      <c r="BE33" s="2"/>
      <c r="BF33" s="2"/>
      <c r="BG33" s="2">
        <v>0.02</v>
      </c>
      <c r="BH33" s="2">
        <v>0.01</v>
      </c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>
        <v>0</v>
      </c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>
        <v>0</v>
      </c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 t="s">
        <v>81</v>
      </c>
      <c r="DK33" s="2" t="s">
        <v>81</v>
      </c>
      <c r="DL33" s="2">
        <f t="shared" si="3"/>
        <v>3.3138918513138577E-2</v>
      </c>
      <c r="DM33" s="2">
        <f t="shared" si="4"/>
        <v>0.01</v>
      </c>
      <c r="DN33" s="2" t="s">
        <v>1289</v>
      </c>
      <c r="DO33" s="2" t="s">
        <v>3</v>
      </c>
      <c r="DP33" s="2">
        <f t="shared" si="5"/>
        <v>9.3569099999999992E-5</v>
      </c>
      <c r="DQ33" s="2">
        <f t="shared" ref="DQ33:DR33" si="646">K33*$I33+AF33*$AD33+BA33*$AY33</f>
        <v>4.6175040000000001E-2</v>
      </c>
      <c r="DR33" s="2">
        <f t="shared" si="646"/>
        <v>0</v>
      </c>
      <c r="DS33" s="2">
        <f t="shared" ref="DS33:DX33" si="647">(M33*$I33+AH33*$AD33+BC33*$AY33)/100</f>
        <v>5.1319385920271417E-3</v>
      </c>
      <c r="DT33" s="2">
        <f t="shared" si="647"/>
        <v>6.2498839999999996E-4</v>
      </c>
      <c r="DU33" s="2">
        <f t="shared" si="647"/>
        <v>0</v>
      </c>
      <c r="DV33" s="2">
        <f t="shared" si="647"/>
        <v>0</v>
      </c>
      <c r="DW33" s="2">
        <f t="shared" si="647"/>
        <v>2.308752E-4</v>
      </c>
      <c r="DX33" s="2">
        <f t="shared" si="647"/>
        <v>6.9668899999999993E-5</v>
      </c>
      <c r="DY33" s="2">
        <f t="shared" ref="DY33:EC33" si="648">S33*$I33+AN33*$AD33+BI33*$AY33</f>
        <v>0</v>
      </c>
      <c r="DZ33" s="2">
        <f t="shared" si="648"/>
        <v>0</v>
      </c>
      <c r="EA33" s="2">
        <f t="shared" si="648"/>
        <v>0</v>
      </c>
      <c r="EB33" s="2">
        <f t="shared" si="648"/>
        <v>0</v>
      </c>
      <c r="EC33" s="2">
        <f t="shared" si="648"/>
        <v>0</v>
      </c>
      <c r="ED33" s="2">
        <f t="shared" ref="ED33:EE33" si="649">(X33*$I33+AS33*$AD33+BN33*$AY33)/100</f>
        <v>0</v>
      </c>
      <c r="EE33" s="2">
        <f t="shared" si="649"/>
        <v>0</v>
      </c>
      <c r="EF33" s="2"/>
      <c r="EG33" s="2">
        <f t="shared" si="10"/>
        <v>0</v>
      </c>
      <c r="EH33" s="2">
        <f t="shared" si="11"/>
        <v>0</v>
      </c>
      <c r="EI33" s="39">
        <f t="shared" si="12"/>
        <v>0.61059601606559999</v>
      </c>
      <c r="EJ33" s="39">
        <f t="shared" ref="EJ33:EK33" si="650">EJ$1*DQ33/1000000</f>
        <v>1.8885739832797426</v>
      </c>
      <c r="EK33" s="39">
        <f t="shared" si="650"/>
        <v>0</v>
      </c>
      <c r="EL33" s="39">
        <f t="shared" ref="EL33:EQ33" si="651">EL$1*DS33</f>
        <v>338.9704856337998</v>
      </c>
      <c r="EM33" s="39">
        <f t="shared" si="651"/>
        <v>16.899686335999998</v>
      </c>
      <c r="EN33" s="39">
        <f t="shared" si="651"/>
        <v>0</v>
      </c>
      <c r="EO33" s="39">
        <f t="shared" si="651"/>
        <v>0</v>
      </c>
      <c r="EP33" s="39">
        <f t="shared" si="651"/>
        <v>3.0276973728000001</v>
      </c>
      <c r="EQ33" s="39">
        <f t="shared" si="651"/>
        <v>5.0593223556035989</v>
      </c>
      <c r="ER33" s="39">
        <f t="shared" ref="ER33:EV33" si="652">ER$1*DY33/1000000</f>
        <v>0</v>
      </c>
      <c r="ES33" s="39">
        <f t="shared" si="652"/>
        <v>0</v>
      </c>
      <c r="ET33" s="39">
        <f t="shared" si="652"/>
        <v>0</v>
      </c>
      <c r="EU33" s="39">
        <f t="shared" si="652"/>
        <v>0</v>
      </c>
      <c r="EV33" s="39">
        <f t="shared" si="652"/>
        <v>0</v>
      </c>
      <c r="EW33" s="39">
        <f t="shared" ref="EW33:EX33" si="653">EW$1*ED33</f>
        <v>0</v>
      </c>
      <c r="EX33" s="39">
        <f t="shared" si="653"/>
        <v>0</v>
      </c>
      <c r="EY33" s="2"/>
      <c r="EZ33" s="39">
        <f t="shared" si="17"/>
        <v>0</v>
      </c>
      <c r="FA33" s="39">
        <f t="shared" si="18"/>
        <v>0</v>
      </c>
      <c r="FB33" s="2">
        <f t="shared" si="19"/>
        <v>0</v>
      </c>
      <c r="FC33" s="2">
        <f t="shared" ref="FC33:FD33" si="654">BV33*$BT33+CQ33*$CO33</f>
        <v>0</v>
      </c>
      <c r="FD33" s="2">
        <f t="shared" si="654"/>
        <v>0</v>
      </c>
      <c r="FE33" s="2">
        <f t="shared" ref="FE33:FJ33" si="655">(BX33*$BT33+CS33*$CO33)/100</f>
        <v>0</v>
      </c>
      <c r="FF33" s="2">
        <f t="shared" si="655"/>
        <v>0</v>
      </c>
      <c r="FG33" s="2">
        <f t="shared" si="655"/>
        <v>0</v>
      </c>
      <c r="FH33" s="2">
        <f t="shared" si="655"/>
        <v>0</v>
      </c>
      <c r="FI33" s="2">
        <f t="shared" si="655"/>
        <v>0</v>
      </c>
      <c r="FJ33" s="2">
        <f t="shared" si="655"/>
        <v>0</v>
      </c>
      <c r="FK33" s="2">
        <f t="shared" ref="FK33:FO33" si="656">CD33*$BT33+CY33*$CO33</f>
        <v>0</v>
      </c>
      <c r="FL33" s="2">
        <f t="shared" si="656"/>
        <v>0</v>
      </c>
      <c r="FM33" s="2">
        <f t="shared" si="656"/>
        <v>0</v>
      </c>
      <c r="FN33" s="2">
        <f t="shared" si="656"/>
        <v>0</v>
      </c>
      <c r="FO33" s="2">
        <f t="shared" si="656"/>
        <v>0</v>
      </c>
      <c r="FP33" s="2">
        <f t="shared" ref="FP33:FQ33" si="657">(CI33*$BT33+DD33*$CO33)/100</f>
        <v>0</v>
      </c>
      <c r="FQ33" s="2">
        <f t="shared" si="657"/>
        <v>0</v>
      </c>
      <c r="FR33" s="2"/>
      <c r="FS33" s="2">
        <f t="shared" si="24"/>
        <v>0</v>
      </c>
      <c r="FT33" s="2">
        <f t="shared" si="25"/>
        <v>0</v>
      </c>
      <c r="FU33" s="39">
        <f t="shared" si="26"/>
        <v>0</v>
      </c>
      <c r="FV33" s="39">
        <f t="shared" ref="FV33:FW33" si="658">FV$1*FC33/1000000</f>
        <v>0</v>
      </c>
      <c r="FW33" s="39">
        <f t="shared" si="658"/>
        <v>0</v>
      </c>
      <c r="FX33" s="39">
        <f t="shared" ref="FX33:GC33" si="659">FX$1*FE33</f>
        <v>0</v>
      </c>
      <c r="FY33" s="39">
        <f t="shared" si="659"/>
        <v>0</v>
      </c>
      <c r="FZ33" s="39">
        <f t="shared" si="659"/>
        <v>0</v>
      </c>
      <c r="GA33" s="39">
        <f t="shared" si="659"/>
        <v>0</v>
      </c>
      <c r="GB33" s="39">
        <f t="shared" si="659"/>
        <v>0</v>
      </c>
      <c r="GC33" s="39">
        <f t="shared" si="659"/>
        <v>0</v>
      </c>
      <c r="GD33" s="39">
        <f t="shared" ref="GD33:GH33" si="660">GD$1*FK33/1000000</f>
        <v>0</v>
      </c>
      <c r="GE33" s="39">
        <f t="shared" si="660"/>
        <v>0</v>
      </c>
      <c r="GF33" s="39">
        <f t="shared" si="660"/>
        <v>0</v>
      </c>
      <c r="GG33" s="39">
        <f t="shared" si="660"/>
        <v>0</v>
      </c>
      <c r="GH33" s="39">
        <f t="shared" si="660"/>
        <v>0</v>
      </c>
      <c r="GI33" s="39">
        <f t="shared" ref="GI33:GJ33" si="661">GI$1*FP33</f>
        <v>0</v>
      </c>
      <c r="GJ33" s="39">
        <f t="shared" si="661"/>
        <v>0</v>
      </c>
      <c r="GK33" s="2"/>
      <c r="GL33" s="39">
        <f t="shared" si="31"/>
        <v>0</v>
      </c>
      <c r="GM33" s="39">
        <f t="shared" si="32"/>
        <v>0</v>
      </c>
      <c r="GN33" s="2" t="s">
        <v>3</v>
      </c>
      <c r="GO33" s="19">
        <f t="shared" si="33"/>
        <v>0.696689</v>
      </c>
      <c r="GP33" s="19">
        <f t="shared" si="34"/>
        <v>3.3138918513138577E-2</v>
      </c>
      <c r="GQ33" s="15">
        <f t="shared" si="35"/>
        <v>0.2308752</v>
      </c>
      <c r="GR33" s="15">
        <f t="shared" si="36"/>
        <v>366.45636169754874</v>
      </c>
      <c r="GS33" s="15">
        <f t="shared" si="37"/>
        <v>525.99705420574855</v>
      </c>
      <c r="GT33" s="2">
        <f t="shared" si="38"/>
        <v>0</v>
      </c>
      <c r="GU33" s="2">
        <f t="shared" si="39"/>
        <v>0.18307480000000001</v>
      </c>
      <c r="GV33" s="2">
        <f t="shared" si="40"/>
        <v>4.7800400000000007E-2</v>
      </c>
      <c r="GW33" s="2">
        <f t="shared" si="41"/>
        <v>0</v>
      </c>
      <c r="GX33" s="2"/>
      <c r="GY33" s="2"/>
      <c r="GZ33" s="2"/>
      <c r="HA33" s="2"/>
      <c r="HB33" s="2">
        <f t="shared" si="42"/>
        <v>0</v>
      </c>
      <c r="HC33" s="2">
        <f t="shared" si="43"/>
        <v>0</v>
      </c>
      <c r="HD33" s="2" t="s">
        <v>3</v>
      </c>
      <c r="HE33" s="2" t="s">
        <v>183</v>
      </c>
      <c r="HF33" s="2" t="s">
        <v>449</v>
      </c>
      <c r="HG33" s="2"/>
      <c r="HH33" s="2"/>
      <c r="HI33" s="2" t="s">
        <v>81</v>
      </c>
      <c r="HJ33" s="2" t="s">
        <v>3</v>
      </c>
      <c r="HK33" s="2" t="s">
        <v>89</v>
      </c>
      <c r="HL33" s="2" t="s">
        <v>123</v>
      </c>
      <c r="HM33" s="2" t="s">
        <v>100</v>
      </c>
      <c r="HN33" s="2">
        <f t="shared" ref="HN33:HP33" si="662">SUM(GT562:GT619)</f>
        <v>0</v>
      </c>
      <c r="HO33" s="2">
        <f t="shared" si="662"/>
        <v>0</v>
      </c>
      <c r="HP33" s="3">
        <f t="shared" si="662"/>
        <v>10440.054413210139</v>
      </c>
      <c r="HQ33" s="3">
        <f>SUM(GO562:GO619)</f>
        <v>2938.4900914630198</v>
      </c>
      <c r="HR33" s="4">
        <f t="shared" si="45"/>
        <v>0.35528635755964821</v>
      </c>
      <c r="HS33" s="4">
        <f>MIN(GP562:GP619)</f>
        <v>5.8139534883720929E-2</v>
      </c>
      <c r="HT33" s="4">
        <f>MAX(GP562:GP619)</f>
        <v>2.2999999999999998</v>
      </c>
      <c r="HU33" s="3">
        <f>SUM(GQ562:GQ619)</f>
        <v>10440.054413210139</v>
      </c>
      <c r="HV33" s="15">
        <f>SUM(GR562:GR619)/SUM(GO562:GO619)</f>
        <v>91.654835513020714</v>
      </c>
      <c r="HW33" s="2">
        <f>COUNT(GQ562:GQ619)</f>
        <v>58</v>
      </c>
      <c r="HX33" s="2">
        <f t="shared" ref="HX33:HY33" si="663">SUM(HB562:HB619)</f>
        <v>0</v>
      </c>
      <c r="HY33" s="2">
        <f t="shared" si="663"/>
        <v>0.6</v>
      </c>
      <c r="HZ33" s="41">
        <f>SUM(GW562:GW619)</f>
        <v>5.9999999999999991E-2</v>
      </c>
      <c r="IA33" s="4">
        <f t="shared" si="639"/>
        <v>1.0000000000000002</v>
      </c>
      <c r="IB33" s="3">
        <f>SUM(GY562:GY619)</f>
        <v>0.6</v>
      </c>
      <c r="IC33" s="15">
        <f>SUM(GZ562:GZ619)/SUM(GW562:GW619)</f>
        <v>1000.4863654019292</v>
      </c>
      <c r="ID33" s="2">
        <f>COUNT(GY562:GY619)</f>
        <v>1</v>
      </c>
      <c r="IE33" s="2"/>
      <c r="IF33" s="15">
        <f t="shared" ref="IF33:IN33" si="664">100*SUM(EI562:EI619)/SUM($EI562:$FA619)</f>
        <v>35.651091346750057</v>
      </c>
      <c r="IG33" s="15">
        <f t="shared" si="664"/>
        <v>2.7765416104216105</v>
      </c>
      <c r="IH33" s="29">
        <f t="shared" si="664"/>
        <v>3.2689836846542804E-4</v>
      </c>
      <c r="II33" s="39">
        <f t="shared" si="664"/>
        <v>0</v>
      </c>
      <c r="IJ33" s="39">
        <f t="shared" si="664"/>
        <v>0</v>
      </c>
      <c r="IK33" s="39">
        <f t="shared" si="664"/>
        <v>0</v>
      </c>
      <c r="IL33" s="39">
        <f t="shared" si="664"/>
        <v>0</v>
      </c>
      <c r="IM33" s="15">
        <f t="shared" si="664"/>
        <v>50.83447334729356</v>
      </c>
      <c r="IN33" s="15">
        <f t="shared" si="664"/>
        <v>6.2297687732519957</v>
      </c>
      <c r="IO33" s="15">
        <f>100*SUM(ER562:EV619)/SUM($EI562:$FA619)</f>
        <v>4.5077980239142805</v>
      </c>
      <c r="IP33" s="39">
        <f t="shared" ref="IP33:IQ33" si="665">100*SUM(EW562:EW619)/SUM($EI562:$FA619)</f>
        <v>0</v>
      </c>
      <c r="IQ33" s="39">
        <f t="shared" si="665"/>
        <v>0</v>
      </c>
      <c r="IR33" s="39">
        <f t="shared" ref="IR33:IS33" si="666">100*SUM(EZ562:EZ619)/SUM($EI562:$FA619)</f>
        <v>0</v>
      </c>
      <c r="IS33" s="39">
        <f t="shared" si="666"/>
        <v>0</v>
      </c>
      <c r="IT33" s="39">
        <f t="shared" ref="IT33:JB33" si="667">100*SUM(FU562:FU619)/SUM($FU562:$GM619)</f>
        <v>0</v>
      </c>
      <c r="IU33" s="15">
        <f t="shared" si="667"/>
        <v>14.308153549341034</v>
      </c>
      <c r="IV33" s="39">
        <f t="shared" si="667"/>
        <v>0</v>
      </c>
      <c r="IW33" s="39">
        <f t="shared" si="667"/>
        <v>0</v>
      </c>
      <c r="IX33" s="39">
        <f t="shared" si="667"/>
        <v>0</v>
      </c>
      <c r="IY33" s="39">
        <f t="shared" si="667"/>
        <v>0</v>
      </c>
      <c r="IZ33" s="39">
        <f t="shared" si="667"/>
        <v>0</v>
      </c>
      <c r="JA33" s="15">
        <f t="shared" si="667"/>
        <v>13.107624904744867</v>
      </c>
      <c r="JB33" s="15">
        <f t="shared" si="667"/>
        <v>72.58422154591409</v>
      </c>
      <c r="JC33" s="39">
        <f>100*SUM(GD562:GH619)/SUM($FU562:$GM619)</f>
        <v>0</v>
      </c>
      <c r="JD33" s="39">
        <f t="shared" ref="JD33:JE33" si="668">100*SUM(GI562:GI619)/SUM($FU562:$GM619)</f>
        <v>0</v>
      </c>
      <c r="JE33" s="39">
        <f t="shared" si="668"/>
        <v>0</v>
      </c>
      <c r="JF33" s="39">
        <f t="shared" ref="JF33:JG33" si="669">100*SUM(GL562:GL619)/SUM($FU562:$GM619)</f>
        <v>0</v>
      </c>
      <c r="JG33" s="39">
        <f t="shared" si="669"/>
        <v>0</v>
      </c>
      <c r="JH33" s="2" t="s">
        <v>3</v>
      </c>
    </row>
    <row r="34" spans="1:268" ht="15.75" customHeight="1" x14ac:dyDescent="0.2">
      <c r="A34" s="21" t="s">
        <v>692</v>
      </c>
      <c r="B34" s="2" t="s">
        <v>109</v>
      </c>
      <c r="C34" s="2"/>
      <c r="D34" s="2"/>
      <c r="E34" s="2"/>
      <c r="F34" s="2" t="s">
        <v>634</v>
      </c>
      <c r="G34" s="2"/>
      <c r="H34" s="2"/>
      <c r="I34" s="2">
        <f>0.843+2.51</f>
        <v>3.3529999999999998</v>
      </c>
      <c r="J34" s="4">
        <f>(0.87*0.843+0.56*2.51)/I34</f>
        <v>0.6379391589621235</v>
      </c>
      <c r="K34" s="4">
        <f>(0.87*0.843+0.24*2.51)/I34</f>
        <v>0.39839248434237995</v>
      </c>
      <c r="L34" s="2"/>
      <c r="M34" s="2"/>
      <c r="N34" s="2"/>
      <c r="O34" s="2"/>
      <c r="P34" s="4">
        <f>(0.44*0.843+0.3*2.51)/I34</f>
        <v>0.33519832985386216</v>
      </c>
      <c r="Q34" s="4">
        <f>(0.22*0.843+0.25*2.51)/I34</f>
        <v>0.24245750074560093</v>
      </c>
      <c r="R34" s="4">
        <f>(0.19*0.843+0.14*2.51)/I34</f>
        <v>0.15257083209066508</v>
      </c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>
        <f>0.493+3.639</f>
        <v>4.1319999999999997</v>
      </c>
      <c r="AE34" s="4">
        <f>(0.35*0.493+0.34*3.639)/AD34</f>
        <v>0.34119312681510167</v>
      </c>
      <c r="AF34" s="4">
        <f>(1.11*0.493+0.36*3.639)/AD34</f>
        <v>0.44948451113262339</v>
      </c>
      <c r="AG34" s="2"/>
      <c r="AH34" s="2"/>
      <c r="AI34" s="2"/>
      <c r="AJ34" s="2"/>
      <c r="AK34" s="4">
        <f>(0.13*0.493+0.21*3.639)/AD34</f>
        <v>0.20045498547918683</v>
      </c>
      <c r="AL34" s="4">
        <f>(0.27*0.493+0.27*3.639)/AD34</f>
        <v>0.27</v>
      </c>
      <c r="AM34" s="4">
        <f>(0.13*0.493+0.11*3.639)/AD34</f>
        <v>0.1123862536302033</v>
      </c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>
        <v>0.73699999999999999</v>
      </c>
      <c r="AZ34" s="2">
        <v>0.08</v>
      </c>
      <c r="BA34" s="2">
        <v>0.02</v>
      </c>
      <c r="BB34" s="2"/>
      <c r="BC34" s="2"/>
      <c r="BD34" s="2"/>
      <c r="BE34" s="2"/>
      <c r="BF34" s="2">
        <v>0.05</v>
      </c>
      <c r="BG34" s="2">
        <v>0.42</v>
      </c>
      <c r="BH34" s="2">
        <v>0.04</v>
      </c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>
        <v>0.84299999999999997</v>
      </c>
      <c r="BU34" s="2">
        <v>0.87</v>
      </c>
      <c r="BV34" s="2">
        <v>0.87</v>
      </c>
      <c r="BW34" s="2"/>
      <c r="BX34" s="2"/>
      <c r="BY34" s="2"/>
      <c r="BZ34" s="2"/>
      <c r="CA34" s="2">
        <v>0.44</v>
      </c>
      <c r="CB34" s="2">
        <v>0.22</v>
      </c>
      <c r="CC34" s="2">
        <v>0.19</v>
      </c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>
        <v>0.49299999999999999</v>
      </c>
      <c r="CP34" s="2">
        <v>0.35</v>
      </c>
      <c r="CQ34" s="2">
        <v>1.1100000000000001</v>
      </c>
      <c r="CR34" s="2"/>
      <c r="CS34" s="2"/>
      <c r="CT34" s="2"/>
      <c r="CU34" s="2"/>
      <c r="CV34" s="2">
        <v>0.13</v>
      </c>
      <c r="CW34" s="2">
        <v>0.27</v>
      </c>
      <c r="CX34" s="2">
        <v>0.13</v>
      </c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 t="s">
        <v>81</v>
      </c>
      <c r="DK34" s="2" t="s">
        <v>81</v>
      </c>
      <c r="DL34" s="2">
        <f t="shared" si="3"/>
        <v>0.27221357333981999</v>
      </c>
      <c r="DM34" s="2">
        <f t="shared" si="4"/>
        <v>0.12228533203600099</v>
      </c>
      <c r="DN34" s="2" t="s">
        <v>95</v>
      </c>
      <c r="DO34" s="2" t="s">
        <v>3</v>
      </c>
      <c r="DP34" s="2">
        <f t="shared" si="5"/>
        <v>3.60778E-2</v>
      </c>
      <c r="DQ34" s="2">
        <f t="shared" ref="DQ34:DR34" si="670">K34*$I34+AF34*$AD34+BA34*$AY34</f>
        <v>3.2078199999999999</v>
      </c>
      <c r="DR34" s="2">
        <f t="shared" si="670"/>
        <v>0</v>
      </c>
      <c r="DS34" s="2">
        <f t="shared" ref="DS34:DX34" si="671">(M34*$I34+AH34*$AD34+BC34*$AY34)/100</f>
        <v>0</v>
      </c>
      <c r="DT34" s="2">
        <f t="shared" si="671"/>
        <v>0</v>
      </c>
      <c r="DU34" s="2">
        <f t="shared" si="671"/>
        <v>0</v>
      </c>
      <c r="DV34" s="2">
        <f t="shared" si="671"/>
        <v>1.9890499999999998E-2</v>
      </c>
      <c r="DW34" s="2">
        <f t="shared" si="671"/>
        <v>2.2381399999999999E-2</v>
      </c>
      <c r="DX34" s="2">
        <f t="shared" si="671"/>
        <v>1.00543E-2</v>
      </c>
      <c r="DY34" s="2">
        <f t="shared" ref="DY34:EC34" si="672">S34*$I34+AN34*$AD34+BI34*$AY34</f>
        <v>0</v>
      </c>
      <c r="DZ34" s="2">
        <f t="shared" si="672"/>
        <v>0</v>
      </c>
      <c r="EA34" s="2">
        <f t="shared" si="672"/>
        <v>0</v>
      </c>
      <c r="EB34" s="2">
        <f t="shared" si="672"/>
        <v>0</v>
      </c>
      <c r="EC34" s="2">
        <f t="shared" si="672"/>
        <v>0</v>
      </c>
      <c r="ED34" s="2">
        <f t="shared" ref="ED34:EE34" si="673">(X34*$I34+AS34*$AD34+BN34*$AY34)/100</f>
        <v>0</v>
      </c>
      <c r="EE34" s="2">
        <f t="shared" si="673"/>
        <v>0</v>
      </c>
      <c r="EF34" s="2"/>
      <c r="EG34" s="2">
        <f t="shared" si="10"/>
        <v>0</v>
      </c>
      <c r="EH34" s="2">
        <f t="shared" si="11"/>
        <v>0</v>
      </c>
      <c r="EI34" s="39">
        <f t="shared" si="12"/>
        <v>235.42986892479999</v>
      </c>
      <c r="EJ34" s="39">
        <f t="shared" ref="EJ34:EK34" si="674">EJ$1*DQ34/1000000</f>
        <v>131.20086945337619</v>
      </c>
      <c r="EK34" s="39">
        <f t="shared" si="674"/>
        <v>0</v>
      </c>
      <c r="EL34" s="39">
        <f t="shared" ref="EL34:EQ34" si="675">EL$1*DS34</f>
        <v>0</v>
      </c>
      <c r="EM34" s="39">
        <f t="shared" si="675"/>
        <v>0</v>
      </c>
      <c r="EN34" s="39">
        <f t="shared" si="675"/>
        <v>0</v>
      </c>
      <c r="EO34" s="39">
        <f t="shared" si="675"/>
        <v>58.189741290099995</v>
      </c>
      <c r="EP34" s="39">
        <f t="shared" si="675"/>
        <v>293.50967959999997</v>
      </c>
      <c r="EQ34" s="39">
        <f t="shared" si="675"/>
        <v>730.13848015319991</v>
      </c>
      <c r="ER34" s="39">
        <f t="shared" ref="ER34:EV34" si="676">ER$1*DY34/1000000</f>
        <v>0</v>
      </c>
      <c r="ES34" s="39">
        <f t="shared" si="676"/>
        <v>0</v>
      </c>
      <c r="ET34" s="39">
        <f t="shared" si="676"/>
        <v>0</v>
      </c>
      <c r="EU34" s="39">
        <f t="shared" si="676"/>
        <v>0</v>
      </c>
      <c r="EV34" s="39">
        <f t="shared" si="676"/>
        <v>0</v>
      </c>
      <c r="EW34" s="39">
        <f t="shared" ref="EW34:EX34" si="677">EW$1*ED34</f>
        <v>0</v>
      </c>
      <c r="EX34" s="39">
        <f t="shared" si="677"/>
        <v>0</v>
      </c>
      <c r="EY34" s="2"/>
      <c r="EZ34" s="39">
        <f t="shared" si="17"/>
        <v>0</v>
      </c>
      <c r="FA34" s="39">
        <f t="shared" si="18"/>
        <v>0</v>
      </c>
      <c r="FB34" s="2">
        <f t="shared" si="19"/>
        <v>9.0595999999999993E-3</v>
      </c>
      <c r="FC34" s="2">
        <f t="shared" ref="FC34:FD34" si="678">BV34*$BT34+CQ34*$CO34</f>
        <v>1.28064</v>
      </c>
      <c r="FD34" s="2">
        <f t="shared" si="678"/>
        <v>0</v>
      </c>
      <c r="FE34" s="2">
        <f t="shared" ref="FE34:FJ34" si="679">(BX34*$BT34+CS34*$CO34)/100</f>
        <v>0</v>
      </c>
      <c r="FF34" s="2">
        <f t="shared" si="679"/>
        <v>0</v>
      </c>
      <c r="FG34" s="2">
        <f t="shared" si="679"/>
        <v>0</v>
      </c>
      <c r="FH34" s="2">
        <f t="shared" si="679"/>
        <v>4.3501E-3</v>
      </c>
      <c r="FI34" s="2">
        <f t="shared" si="679"/>
        <v>3.1857000000000001E-3</v>
      </c>
      <c r="FJ34" s="2">
        <f t="shared" si="679"/>
        <v>2.2426E-3</v>
      </c>
      <c r="FK34" s="2">
        <f t="shared" ref="FK34:FO34" si="680">CD34*$BT34+CY34*$CO34</f>
        <v>0</v>
      </c>
      <c r="FL34" s="2">
        <f t="shared" si="680"/>
        <v>0</v>
      </c>
      <c r="FM34" s="2">
        <f t="shared" si="680"/>
        <v>0</v>
      </c>
      <c r="FN34" s="2">
        <f t="shared" si="680"/>
        <v>0</v>
      </c>
      <c r="FO34" s="2">
        <f t="shared" si="680"/>
        <v>0</v>
      </c>
      <c r="FP34" s="2">
        <f t="shared" ref="FP34:FQ34" si="681">(CI34*$BT34+DD34*$CO34)/100</f>
        <v>0</v>
      </c>
      <c r="FQ34" s="2">
        <f t="shared" si="681"/>
        <v>0</v>
      </c>
      <c r="FR34" s="2"/>
      <c r="FS34" s="2">
        <f t="shared" si="24"/>
        <v>0</v>
      </c>
      <c r="FT34" s="2">
        <f t="shared" si="25"/>
        <v>0</v>
      </c>
      <c r="FU34" s="39">
        <f t="shared" si="26"/>
        <v>59.119470713599995</v>
      </c>
      <c r="FV34" s="39">
        <f t="shared" ref="FV34:FW34" si="682">FV$1*FC34/1000000</f>
        <v>52.378587781350475</v>
      </c>
      <c r="FW34" s="39">
        <f t="shared" si="682"/>
        <v>0</v>
      </c>
      <c r="FX34" s="39">
        <f t="shared" ref="FX34:GC34" si="683">FX$1*FE34</f>
        <v>0</v>
      </c>
      <c r="FY34" s="39">
        <f t="shared" si="683"/>
        <v>0</v>
      </c>
      <c r="FZ34" s="39">
        <f t="shared" si="683"/>
        <v>0</v>
      </c>
      <c r="GA34" s="39">
        <f t="shared" si="683"/>
        <v>12.726235820419999</v>
      </c>
      <c r="GB34" s="39">
        <f t="shared" si="683"/>
        <v>41.777269799999999</v>
      </c>
      <c r="GC34" s="39">
        <f t="shared" si="683"/>
        <v>162.85654452239999</v>
      </c>
      <c r="GD34" s="39">
        <f t="shared" ref="GD34:GH34" si="684">GD$1*FK34/1000000</f>
        <v>0</v>
      </c>
      <c r="GE34" s="39">
        <f t="shared" si="684"/>
        <v>0</v>
      </c>
      <c r="GF34" s="39">
        <f t="shared" si="684"/>
        <v>0</v>
      </c>
      <c r="GG34" s="39">
        <f t="shared" si="684"/>
        <v>0</v>
      </c>
      <c r="GH34" s="39">
        <f t="shared" si="684"/>
        <v>0</v>
      </c>
      <c r="GI34" s="39">
        <f t="shared" ref="GI34:GJ34" si="685">GI$1*FP34</f>
        <v>0</v>
      </c>
      <c r="GJ34" s="39">
        <f t="shared" si="685"/>
        <v>0</v>
      </c>
      <c r="GK34" s="2"/>
      <c r="GL34" s="39">
        <f t="shared" si="31"/>
        <v>0</v>
      </c>
      <c r="GM34" s="39">
        <f t="shared" si="32"/>
        <v>0</v>
      </c>
      <c r="GN34" s="2" t="s">
        <v>3</v>
      </c>
      <c r="GO34" s="2">
        <f t="shared" si="33"/>
        <v>8.2219999999999995</v>
      </c>
      <c r="GP34" s="4">
        <f t="shared" si="34"/>
        <v>0.27221357333981999</v>
      </c>
      <c r="GQ34" s="15">
        <f t="shared" si="35"/>
        <v>22.381399999999999</v>
      </c>
      <c r="GR34" s="15">
        <f t="shared" si="36"/>
        <v>1448.4686394214759</v>
      </c>
      <c r="GS34" s="15">
        <f t="shared" si="37"/>
        <v>176.16986614223742</v>
      </c>
      <c r="GT34" s="2">
        <f t="shared" si="38"/>
        <v>8.1295999999999999</v>
      </c>
      <c r="GU34" s="2">
        <f t="shared" si="39"/>
        <v>11.156399999999998</v>
      </c>
      <c r="GV34" s="2">
        <f t="shared" si="40"/>
        <v>3.0953999999999997</v>
      </c>
      <c r="GW34" s="2">
        <f t="shared" si="41"/>
        <v>1.3359999999999999</v>
      </c>
      <c r="GX34" s="4">
        <f>(BT34*CB34+CO34*CW34)/GW34</f>
        <v>0.23845059880239525</v>
      </c>
      <c r="GY34" s="15">
        <f>1000*GW34*GX34/100</f>
        <v>3.1856999999999998</v>
      </c>
      <c r="GZ34" s="15">
        <f>SUM(FU34:GM34)</f>
        <v>328.85810863777044</v>
      </c>
      <c r="HA34" s="15">
        <f>GZ34/GW34</f>
        <v>246.15127892048687</v>
      </c>
      <c r="HB34" s="2">
        <f t="shared" si="42"/>
        <v>1.8545999999999998</v>
      </c>
      <c r="HC34" s="2">
        <f t="shared" si="43"/>
        <v>1.3311000000000002</v>
      </c>
      <c r="HD34" s="2" t="s">
        <v>3</v>
      </c>
      <c r="HE34" s="2" t="s">
        <v>183</v>
      </c>
      <c r="HF34" s="2" t="s">
        <v>567</v>
      </c>
      <c r="HG34" s="2"/>
      <c r="HH34" s="2"/>
      <c r="HI34" s="2" t="s">
        <v>81</v>
      </c>
      <c r="HJ34" s="2" t="s">
        <v>3</v>
      </c>
      <c r="HK34" s="2" t="s">
        <v>89</v>
      </c>
      <c r="HL34" s="2" t="s">
        <v>1394</v>
      </c>
      <c r="HM34" s="2" t="s">
        <v>81</v>
      </c>
      <c r="HN34" s="15">
        <f t="shared" ref="HN34:HP34" si="686">SUM(GT620:GT623)</f>
        <v>840.19990000000007</v>
      </c>
      <c r="HO34" s="3">
        <f t="shared" si="686"/>
        <v>1576.5029</v>
      </c>
      <c r="HP34" s="3">
        <f t="shared" si="686"/>
        <v>2586.2692000000002</v>
      </c>
      <c r="HQ34" s="3">
        <f>SUM(GO620:GO623)</f>
        <v>2300.5299999999997</v>
      </c>
      <c r="HR34" s="4">
        <f t="shared" si="45"/>
        <v>0.21747040899271045</v>
      </c>
      <c r="HS34" s="4">
        <f>MIN(GP620:GP623)</f>
        <v>9.1697478991596637E-2</v>
      </c>
      <c r="HT34" s="4">
        <f>MAX(GP620:GP623)</f>
        <v>0.36999999999999994</v>
      </c>
      <c r="HU34" s="3">
        <f>SUM(GQ620:GQ623)</f>
        <v>5002.9720000000007</v>
      </c>
      <c r="HV34" s="15">
        <f>SUM(GR620:GR623)/SUM(GO620:GO623)</f>
        <v>44.072165721651331</v>
      </c>
      <c r="HW34" s="2">
        <f>COUNT(GQ620:GQ623)</f>
        <v>4</v>
      </c>
      <c r="HX34" s="2">
        <f t="shared" ref="HX34:HY34" si="687">SUM(HB620:HB623)</f>
        <v>0</v>
      </c>
      <c r="HY34" s="2">
        <f t="shared" si="687"/>
        <v>0</v>
      </c>
      <c r="HZ34" s="2" t="s">
        <v>176</v>
      </c>
      <c r="IA34" s="2" t="s">
        <v>176</v>
      </c>
      <c r="IB34" s="2" t="s">
        <v>176</v>
      </c>
      <c r="IC34" s="2" t="s">
        <v>176</v>
      </c>
      <c r="ID34" s="2">
        <f>COUNT(GY620:GY623)</f>
        <v>0</v>
      </c>
      <c r="IE34" s="2"/>
      <c r="IF34" s="15">
        <f t="shared" ref="IF34:IN34" si="688">100*SUM(EI620:EI623)/SUM($EI620:$FA623)</f>
        <v>2.4617803789065356</v>
      </c>
      <c r="IG34" s="19">
        <f t="shared" si="688"/>
        <v>5.46367150878573E-2</v>
      </c>
      <c r="IH34" s="4">
        <f t="shared" si="688"/>
        <v>0.41810353757871827</v>
      </c>
      <c r="II34" s="39">
        <f t="shared" si="688"/>
        <v>0</v>
      </c>
      <c r="IJ34" s="39">
        <f t="shared" si="688"/>
        <v>0</v>
      </c>
      <c r="IK34" s="15">
        <f t="shared" si="688"/>
        <v>4.2327772561865782</v>
      </c>
      <c r="IL34" s="4">
        <f t="shared" si="688"/>
        <v>0.62241308077257917</v>
      </c>
      <c r="IM34" s="15">
        <f t="shared" si="688"/>
        <v>64.709934191623987</v>
      </c>
      <c r="IN34" s="15">
        <f t="shared" si="688"/>
        <v>27.397115477561123</v>
      </c>
      <c r="IO34" s="4">
        <f>100*SUM(ER620:EV623)/SUM($EI620:$FA623)</f>
        <v>0.10323936228263061</v>
      </c>
      <c r="IP34" s="39">
        <f t="shared" ref="IP34:IQ34" si="689">100*SUM(EW620:EW623)/SUM($EI620:$FA623)</f>
        <v>0</v>
      </c>
      <c r="IQ34" s="39">
        <f t="shared" si="689"/>
        <v>0</v>
      </c>
      <c r="IR34" s="39">
        <f t="shared" ref="IR34:IS34" si="690">100*SUM(EZ620:EZ623)/SUM($EI620:$FA623)</f>
        <v>0</v>
      </c>
      <c r="IS34" s="39">
        <f t="shared" si="690"/>
        <v>0</v>
      </c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 t="s">
        <v>3</v>
      </c>
    </row>
    <row r="35" spans="1:268" ht="15.75" customHeight="1" x14ac:dyDescent="0.2">
      <c r="A35" s="21" t="s">
        <v>967</v>
      </c>
      <c r="B35" s="2" t="s">
        <v>120</v>
      </c>
      <c r="C35" s="2"/>
      <c r="D35" s="2"/>
      <c r="E35" s="2"/>
      <c r="F35" s="2" t="s">
        <v>634</v>
      </c>
      <c r="G35" s="2"/>
      <c r="H35" s="2"/>
      <c r="I35" s="2">
        <v>1.03</v>
      </c>
      <c r="J35" s="2">
        <v>0.47</v>
      </c>
      <c r="K35" s="2"/>
      <c r="L35" s="2"/>
      <c r="M35" s="2"/>
      <c r="N35" s="2"/>
      <c r="O35" s="2"/>
      <c r="P35" s="2">
        <v>0.06</v>
      </c>
      <c r="Q35" s="2">
        <v>0.47</v>
      </c>
      <c r="R35" s="2">
        <v>0.13</v>
      </c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>
        <v>1.23</v>
      </c>
      <c r="AE35" s="4">
        <v>0.3</v>
      </c>
      <c r="AF35" s="2"/>
      <c r="AG35" s="2"/>
      <c r="AH35" s="2"/>
      <c r="AI35" s="2"/>
      <c r="AJ35" s="2"/>
      <c r="AK35" s="2">
        <v>7.0000000000000007E-2</v>
      </c>
      <c r="AL35" s="2">
        <v>0.42</v>
      </c>
      <c r="AM35" s="2">
        <v>0.11</v>
      </c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4">
        <v>0.9</v>
      </c>
      <c r="AZ35" s="4">
        <v>0.3</v>
      </c>
      <c r="BA35" s="2"/>
      <c r="BB35" s="2"/>
      <c r="BC35" s="2"/>
      <c r="BD35" s="2"/>
      <c r="BE35" s="2"/>
      <c r="BF35" s="4">
        <v>0.1</v>
      </c>
      <c r="BG35" s="4">
        <v>0.4</v>
      </c>
      <c r="BH35" s="4">
        <v>0.1</v>
      </c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>
        <v>0</v>
      </c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>
        <v>0</v>
      </c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 t="s">
        <v>81</v>
      </c>
      <c r="DK35" s="2" t="s">
        <v>81</v>
      </c>
      <c r="DL35" s="2">
        <f t="shared" si="3"/>
        <v>0.43060126582278485</v>
      </c>
      <c r="DM35" s="2">
        <f t="shared" si="4"/>
        <v>0.11367088607594938</v>
      </c>
      <c r="DN35" s="2" t="s">
        <v>675</v>
      </c>
      <c r="DO35" s="2" t="s">
        <v>3</v>
      </c>
      <c r="DP35" s="2">
        <f t="shared" si="5"/>
        <v>1.1231E-2</v>
      </c>
      <c r="DQ35" s="2">
        <f t="shared" ref="DQ35:DR35" si="691">K35*$I35+AF35*$AD35+BA35*$AY35</f>
        <v>0</v>
      </c>
      <c r="DR35" s="2">
        <f t="shared" si="691"/>
        <v>0</v>
      </c>
      <c r="DS35" s="2">
        <f t="shared" ref="DS35:DX35" si="692">(M35*$I35+AH35*$AD35+BC35*$AY35)/100</f>
        <v>0</v>
      </c>
      <c r="DT35" s="2">
        <f t="shared" si="692"/>
        <v>0</v>
      </c>
      <c r="DU35" s="2">
        <f t="shared" si="692"/>
        <v>0</v>
      </c>
      <c r="DV35" s="2">
        <f t="shared" si="692"/>
        <v>2.379E-3</v>
      </c>
      <c r="DW35" s="2">
        <f t="shared" si="692"/>
        <v>1.3607000000000001E-2</v>
      </c>
      <c r="DX35" s="2">
        <f t="shared" si="692"/>
        <v>3.5920000000000001E-3</v>
      </c>
      <c r="DY35" s="2">
        <f t="shared" ref="DY35:EC35" si="693">S35*$I35+AN35*$AD35+BI35*$AY35</f>
        <v>0</v>
      </c>
      <c r="DZ35" s="2">
        <f t="shared" si="693"/>
        <v>0</v>
      </c>
      <c r="EA35" s="2">
        <f t="shared" si="693"/>
        <v>0</v>
      </c>
      <c r="EB35" s="2">
        <f t="shared" si="693"/>
        <v>0</v>
      </c>
      <c r="EC35" s="2">
        <f t="shared" si="693"/>
        <v>0</v>
      </c>
      <c r="ED35" s="2">
        <f t="shared" ref="ED35:EE35" si="694">(X35*$I35+AS35*$AD35+BN35*$AY35)/100</f>
        <v>0</v>
      </c>
      <c r="EE35" s="2">
        <f t="shared" si="694"/>
        <v>0</v>
      </c>
      <c r="EF35" s="2"/>
      <c r="EG35" s="2">
        <f t="shared" si="10"/>
        <v>0</v>
      </c>
      <c r="EH35" s="2">
        <f t="shared" si="11"/>
        <v>0</v>
      </c>
      <c r="EI35" s="39">
        <f t="shared" si="12"/>
        <v>73.289193295999993</v>
      </c>
      <c r="EJ35" s="39">
        <f t="shared" ref="EJ35:EK35" si="695">EJ$1*DQ35/1000000</f>
        <v>0</v>
      </c>
      <c r="EK35" s="39">
        <f t="shared" si="695"/>
        <v>0</v>
      </c>
      <c r="EL35" s="39">
        <f t="shared" ref="EL35:EQ35" si="696">EL$1*DS35</f>
        <v>0</v>
      </c>
      <c r="EM35" s="39">
        <f t="shared" si="696"/>
        <v>0</v>
      </c>
      <c r="EN35" s="39">
        <f t="shared" si="696"/>
        <v>0</v>
      </c>
      <c r="EO35" s="39">
        <f t="shared" si="696"/>
        <v>6.9597744918000002</v>
      </c>
      <c r="EP35" s="39">
        <f t="shared" si="696"/>
        <v>178.44219800000002</v>
      </c>
      <c r="EQ35" s="39">
        <f t="shared" si="696"/>
        <v>260.84933020799997</v>
      </c>
      <c r="ER35" s="39">
        <f t="shared" ref="ER35:EV35" si="697">ER$1*DY35/1000000</f>
        <v>0</v>
      </c>
      <c r="ES35" s="39">
        <f t="shared" si="697"/>
        <v>0</v>
      </c>
      <c r="ET35" s="39">
        <f t="shared" si="697"/>
        <v>0</v>
      </c>
      <c r="EU35" s="39">
        <f t="shared" si="697"/>
        <v>0</v>
      </c>
      <c r="EV35" s="39">
        <f t="shared" si="697"/>
        <v>0</v>
      </c>
      <c r="EW35" s="39">
        <f t="shared" ref="EW35:EX35" si="698">EW$1*ED35</f>
        <v>0</v>
      </c>
      <c r="EX35" s="39">
        <f t="shared" si="698"/>
        <v>0</v>
      </c>
      <c r="EY35" s="2"/>
      <c r="EZ35" s="39">
        <f t="shared" si="17"/>
        <v>0</v>
      </c>
      <c r="FA35" s="39">
        <f t="shared" si="18"/>
        <v>0</v>
      </c>
      <c r="FB35" s="2">
        <f t="shared" si="19"/>
        <v>0</v>
      </c>
      <c r="FC35" s="2">
        <f t="shared" ref="FC35:FD35" si="699">BV35*$BT35+CQ35*$CO35</f>
        <v>0</v>
      </c>
      <c r="FD35" s="2">
        <f t="shared" si="699"/>
        <v>0</v>
      </c>
      <c r="FE35" s="2">
        <f t="shared" ref="FE35:FJ35" si="700">(BX35*$BT35+CS35*$CO35)/100</f>
        <v>0</v>
      </c>
      <c r="FF35" s="2">
        <f t="shared" si="700"/>
        <v>0</v>
      </c>
      <c r="FG35" s="2">
        <f t="shared" si="700"/>
        <v>0</v>
      </c>
      <c r="FH35" s="2">
        <f t="shared" si="700"/>
        <v>0</v>
      </c>
      <c r="FI35" s="2">
        <f t="shared" si="700"/>
        <v>0</v>
      </c>
      <c r="FJ35" s="2">
        <f t="shared" si="700"/>
        <v>0</v>
      </c>
      <c r="FK35" s="2">
        <f t="shared" ref="FK35:FO35" si="701">CD35*$BT35+CY35*$CO35</f>
        <v>0</v>
      </c>
      <c r="FL35" s="2">
        <f t="shared" si="701"/>
        <v>0</v>
      </c>
      <c r="FM35" s="2">
        <f t="shared" si="701"/>
        <v>0</v>
      </c>
      <c r="FN35" s="2">
        <f t="shared" si="701"/>
        <v>0</v>
      </c>
      <c r="FO35" s="2">
        <f t="shared" si="701"/>
        <v>0</v>
      </c>
      <c r="FP35" s="2">
        <f t="shared" ref="FP35:FQ35" si="702">(CI35*$BT35+DD35*$CO35)/100</f>
        <v>0</v>
      </c>
      <c r="FQ35" s="2">
        <f t="shared" si="702"/>
        <v>0</v>
      </c>
      <c r="FR35" s="2"/>
      <c r="FS35" s="2">
        <f t="shared" si="24"/>
        <v>0</v>
      </c>
      <c r="FT35" s="2">
        <f t="shared" si="25"/>
        <v>0</v>
      </c>
      <c r="FU35" s="39">
        <f t="shared" si="26"/>
        <v>0</v>
      </c>
      <c r="FV35" s="39">
        <f t="shared" ref="FV35:FW35" si="703">FV$1*FC35/1000000</f>
        <v>0</v>
      </c>
      <c r="FW35" s="39">
        <f t="shared" si="703"/>
        <v>0</v>
      </c>
      <c r="FX35" s="39">
        <f t="shared" ref="FX35:GC35" si="704">FX$1*FE35</f>
        <v>0</v>
      </c>
      <c r="FY35" s="39">
        <f t="shared" si="704"/>
        <v>0</v>
      </c>
      <c r="FZ35" s="39">
        <f t="shared" si="704"/>
        <v>0</v>
      </c>
      <c r="GA35" s="39">
        <f t="shared" si="704"/>
        <v>0</v>
      </c>
      <c r="GB35" s="39">
        <f t="shared" si="704"/>
        <v>0</v>
      </c>
      <c r="GC35" s="39">
        <f t="shared" si="704"/>
        <v>0</v>
      </c>
      <c r="GD35" s="39">
        <f t="shared" ref="GD35:GH35" si="705">GD$1*FK35/1000000</f>
        <v>0</v>
      </c>
      <c r="GE35" s="39">
        <f t="shared" si="705"/>
        <v>0</v>
      </c>
      <c r="GF35" s="39">
        <f t="shared" si="705"/>
        <v>0</v>
      </c>
      <c r="GG35" s="39">
        <f t="shared" si="705"/>
        <v>0</v>
      </c>
      <c r="GH35" s="39">
        <f t="shared" si="705"/>
        <v>0</v>
      </c>
      <c r="GI35" s="39">
        <f t="shared" ref="GI35:GJ35" si="706">GI$1*FP35</f>
        <v>0</v>
      </c>
      <c r="GJ35" s="39">
        <f t="shared" si="706"/>
        <v>0</v>
      </c>
      <c r="GK35" s="2"/>
      <c r="GL35" s="39">
        <f t="shared" si="31"/>
        <v>0</v>
      </c>
      <c r="GM35" s="39">
        <f t="shared" si="32"/>
        <v>0</v>
      </c>
      <c r="GN35" s="2" t="s">
        <v>3</v>
      </c>
      <c r="GO35" s="4">
        <f t="shared" si="33"/>
        <v>3.1599999999999997</v>
      </c>
      <c r="GP35" s="4">
        <f t="shared" si="34"/>
        <v>0.43060126582278485</v>
      </c>
      <c r="GQ35" s="15">
        <f t="shared" si="35"/>
        <v>13.607000000000001</v>
      </c>
      <c r="GR35" s="15">
        <f t="shared" si="36"/>
        <v>519.54049599580003</v>
      </c>
      <c r="GS35" s="15">
        <f t="shared" si="37"/>
        <v>164.41154936575953</v>
      </c>
      <c r="GT35" s="2">
        <f t="shared" si="38"/>
        <v>4.8409999999999993</v>
      </c>
      <c r="GU35" s="2">
        <f t="shared" si="39"/>
        <v>5.1659999999999995</v>
      </c>
      <c r="GV35" s="2">
        <f t="shared" si="40"/>
        <v>3.6000000000000005</v>
      </c>
      <c r="GW35" s="2">
        <f t="shared" si="41"/>
        <v>0</v>
      </c>
      <c r="GX35" s="2"/>
      <c r="GY35" s="2"/>
      <c r="GZ35" s="2"/>
      <c r="HA35" s="2"/>
      <c r="HB35" s="2">
        <f t="shared" si="42"/>
        <v>0</v>
      </c>
      <c r="HC35" s="2">
        <f t="shared" si="43"/>
        <v>0</v>
      </c>
      <c r="HD35" s="2" t="s">
        <v>3</v>
      </c>
      <c r="HE35" s="2" t="s">
        <v>183</v>
      </c>
      <c r="HF35" s="2" t="s">
        <v>567</v>
      </c>
      <c r="HG35" s="2"/>
      <c r="HH35" s="2"/>
      <c r="HI35" s="2" t="s">
        <v>81</v>
      </c>
      <c r="HJ35" s="2" t="s">
        <v>3</v>
      </c>
      <c r="HK35" s="2" t="s">
        <v>89</v>
      </c>
      <c r="HL35" s="2" t="s">
        <v>1394</v>
      </c>
      <c r="HM35" s="2" t="s">
        <v>100</v>
      </c>
      <c r="HN35" s="2">
        <f t="shared" ref="HN35:HP35" si="707">SUM(GT624:GT626)</f>
        <v>0</v>
      </c>
      <c r="HO35" s="2">
        <f t="shared" si="707"/>
        <v>0</v>
      </c>
      <c r="HP35" s="15">
        <f t="shared" si="707"/>
        <v>41.695967999999993</v>
      </c>
      <c r="HQ35" s="15">
        <f>SUM(GO624:GO626)</f>
        <v>16.617319999999999</v>
      </c>
      <c r="HR35" s="4">
        <f t="shared" si="45"/>
        <v>0.25091872817036676</v>
      </c>
      <c r="HS35" s="4">
        <f>MIN(GP624:GP626)</f>
        <v>0.22999999999999998</v>
      </c>
      <c r="HT35" s="4">
        <f>MAX(GP624:GP626)</f>
        <v>0.26</v>
      </c>
      <c r="HU35" s="15">
        <f>SUM(GQ624:GQ626)</f>
        <v>41.695967999999993</v>
      </c>
      <c r="HV35" s="15">
        <f>SUM(GR624:GR626)/SUM(GO624:GO626)</f>
        <v>66.925305670916771</v>
      </c>
      <c r="HW35" s="2">
        <f>COUNT(GQ624:GQ626)</f>
        <v>3</v>
      </c>
      <c r="HX35" s="2">
        <f t="shared" ref="HX35:HY35" si="708">SUM(HB624:HB626)</f>
        <v>0</v>
      </c>
      <c r="HY35" s="2">
        <f t="shared" si="708"/>
        <v>0</v>
      </c>
      <c r="HZ35" s="2" t="s">
        <v>176</v>
      </c>
      <c r="IA35" s="2" t="s">
        <v>176</v>
      </c>
      <c r="IB35" s="2" t="s">
        <v>176</v>
      </c>
      <c r="IC35" s="2" t="s">
        <v>176</v>
      </c>
      <c r="ID35" s="2">
        <f>COUNT(GY624:GY626)</f>
        <v>0</v>
      </c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 t="s">
        <v>3</v>
      </c>
    </row>
    <row r="36" spans="1:268" ht="15.75" customHeight="1" x14ac:dyDescent="0.2">
      <c r="A36" s="21" t="s">
        <v>968</v>
      </c>
      <c r="B36" s="2" t="s">
        <v>99</v>
      </c>
      <c r="C36" s="2"/>
      <c r="D36" s="2"/>
      <c r="E36" s="2"/>
      <c r="F36" s="2" t="s">
        <v>634</v>
      </c>
      <c r="G36" s="2"/>
      <c r="H36" s="2"/>
      <c r="I36" s="2">
        <v>0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>
        <v>0.14000000000000001</v>
      </c>
      <c r="AE36" s="2">
        <v>1.69</v>
      </c>
      <c r="AF36" s="2"/>
      <c r="AG36" s="2"/>
      <c r="AH36" s="2"/>
      <c r="AI36" s="2"/>
      <c r="AJ36" s="2"/>
      <c r="AK36" s="2"/>
      <c r="AL36" s="2">
        <v>0.16</v>
      </c>
      <c r="AM36" s="2">
        <v>0.04</v>
      </c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>
        <v>0.55900000000000005</v>
      </c>
      <c r="AZ36" s="2">
        <v>0.72</v>
      </c>
      <c r="BA36" s="2">
        <v>0.3</v>
      </c>
      <c r="BB36" s="2">
        <v>6</v>
      </c>
      <c r="BC36" s="2"/>
      <c r="BD36" s="2"/>
      <c r="BE36" s="2"/>
      <c r="BF36" s="2"/>
      <c r="BG36" s="2">
        <v>0.03</v>
      </c>
      <c r="BH36" s="2">
        <v>0.09</v>
      </c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>
        <v>0</v>
      </c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>
        <v>0</v>
      </c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 t="s">
        <v>81</v>
      </c>
      <c r="DK36" s="2" t="s">
        <v>81</v>
      </c>
      <c r="DL36" s="2">
        <f t="shared" si="3"/>
        <v>5.603719599427754E-2</v>
      </c>
      <c r="DM36" s="2">
        <f t="shared" si="4"/>
        <v>7.9985693848354786E-2</v>
      </c>
      <c r="DN36" s="2" t="s">
        <v>675</v>
      </c>
      <c r="DO36" s="2" t="s">
        <v>3</v>
      </c>
      <c r="DP36" s="2">
        <f t="shared" si="5"/>
        <v>6.3907999999999994E-3</v>
      </c>
      <c r="DQ36" s="2">
        <f t="shared" ref="DQ36:DR36" si="709">K36*$I36+AF36*$AD36+BA36*$AY36</f>
        <v>0.16770000000000002</v>
      </c>
      <c r="DR36" s="2">
        <f t="shared" si="709"/>
        <v>3.3540000000000001</v>
      </c>
      <c r="DS36" s="2">
        <f t="shared" ref="DS36:DX36" si="710">(M36*$I36+AH36*$AD36+BC36*$AY36)/100</f>
        <v>0</v>
      </c>
      <c r="DT36" s="2">
        <f t="shared" si="710"/>
        <v>0</v>
      </c>
      <c r="DU36" s="2">
        <f t="shared" si="710"/>
        <v>0</v>
      </c>
      <c r="DV36" s="2">
        <f t="shared" si="710"/>
        <v>0</v>
      </c>
      <c r="DW36" s="2">
        <f t="shared" si="710"/>
        <v>3.9170000000000003E-4</v>
      </c>
      <c r="DX36" s="2">
        <f t="shared" si="710"/>
        <v>5.5909999999999998E-4</v>
      </c>
      <c r="DY36" s="2">
        <f t="shared" ref="DY36:EC36" si="711">S36*$I36+AN36*$AD36+BI36*$AY36</f>
        <v>0</v>
      </c>
      <c r="DZ36" s="2">
        <f t="shared" si="711"/>
        <v>0</v>
      </c>
      <c r="EA36" s="2">
        <f t="shared" si="711"/>
        <v>0</v>
      </c>
      <c r="EB36" s="2">
        <f t="shared" si="711"/>
        <v>0</v>
      </c>
      <c r="EC36" s="2">
        <f t="shared" si="711"/>
        <v>0</v>
      </c>
      <c r="ED36" s="2">
        <f t="shared" ref="ED36:EE36" si="712">(X36*$I36+AS36*$AD36+BN36*$AY36)/100</f>
        <v>0</v>
      </c>
      <c r="EE36" s="2">
        <f t="shared" si="712"/>
        <v>0</v>
      </c>
      <c r="EF36" s="2"/>
      <c r="EG36" s="2">
        <f t="shared" si="10"/>
        <v>0</v>
      </c>
      <c r="EH36" s="2">
        <f t="shared" si="11"/>
        <v>0</v>
      </c>
      <c r="EI36" s="39">
        <f t="shared" si="12"/>
        <v>41.703906732799993</v>
      </c>
      <c r="EJ36" s="39">
        <f t="shared" ref="EJ36:EK36" si="713">EJ$1*DQ36/1000000</f>
        <v>6.8589839228295819</v>
      </c>
      <c r="EK36" s="39">
        <f t="shared" si="713"/>
        <v>1.6985691318327973</v>
      </c>
      <c r="EL36" s="39">
        <f t="shared" ref="EL36:EQ36" si="714">EL$1*DS36</f>
        <v>0</v>
      </c>
      <c r="EM36" s="39">
        <f t="shared" si="714"/>
        <v>0</v>
      </c>
      <c r="EN36" s="39">
        <f t="shared" si="714"/>
        <v>0</v>
      </c>
      <c r="EO36" s="39">
        <f t="shared" si="714"/>
        <v>0</v>
      </c>
      <c r="EP36" s="39">
        <f t="shared" si="714"/>
        <v>5.1367538000000001</v>
      </c>
      <c r="EQ36" s="39">
        <f t="shared" si="714"/>
        <v>40.601575868399991</v>
      </c>
      <c r="ER36" s="39">
        <f t="shared" ref="ER36:EV36" si="715">ER$1*DY36/1000000</f>
        <v>0</v>
      </c>
      <c r="ES36" s="39">
        <f t="shared" si="715"/>
        <v>0</v>
      </c>
      <c r="ET36" s="39">
        <f t="shared" si="715"/>
        <v>0</v>
      </c>
      <c r="EU36" s="39">
        <f t="shared" si="715"/>
        <v>0</v>
      </c>
      <c r="EV36" s="39">
        <f t="shared" si="715"/>
        <v>0</v>
      </c>
      <c r="EW36" s="39">
        <f t="shared" ref="EW36:EX36" si="716">EW$1*ED36</f>
        <v>0</v>
      </c>
      <c r="EX36" s="39">
        <f t="shared" si="716"/>
        <v>0</v>
      </c>
      <c r="EY36" s="2"/>
      <c r="EZ36" s="39">
        <f t="shared" si="17"/>
        <v>0</v>
      </c>
      <c r="FA36" s="39">
        <f t="shared" si="18"/>
        <v>0</v>
      </c>
      <c r="FB36" s="2">
        <f t="shared" si="19"/>
        <v>0</v>
      </c>
      <c r="FC36" s="2">
        <f t="shared" ref="FC36:FD36" si="717">BV36*$BT36+CQ36*$CO36</f>
        <v>0</v>
      </c>
      <c r="FD36" s="2">
        <f t="shared" si="717"/>
        <v>0</v>
      </c>
      <c r="FE36" s="2">
        <f t="shared" ref="FE36:FJ36" si="718">(BX36*$BT36+CS36*$CO36)/100</f>
        <v>0</v>
      </c>
      <c r="FF36" s="2">
        <f t="shared" si="718"/>
        <v>0</v>
      </c>
      <c r="FG36" s="2">
        <f t="shared" si="718"/>
        <v>0</v>
      </c>
      <c r="FH36" s="2">
        <f t="shared" si="718"/>
        <v>0</v>
      </c>
      <c r="FI36" s="2">
        <f t="shared" si="718"/>
        <v>0</v>
      </c>
      <c r="FJ36" s="2">
        <f t="shared" si="718"/>
        <v>0</v>
      </c>
      <c r="FK36" s="2">
        <f t="shared" ref="FK36:FO36" si="719">CD36*$BT36+CY36*$CO36</f>
        <v>0</v>
      </c>
      <c r="FL36" s="2">
        <f t="shared" si="719"/>
        <v>0</v>
      </c>
      <c r="FM36" s="2">
        <f t="shared" si="719"/>
        <v>0</v>
      </c>
      <c r="FN36" s="2">
        <f t="shared" si="719"/>
        <v>0</v>
      </c>
      <c r="FO36" s="2">
        <f t="shared" si="719"/>
        <v>0</v>
      </c>
      <c r="FP36" s="2">
        <f t="shared" ref="FP36:FQ36" si="720">(CI36*$BT36+DD36*$CO36)/100</f>
        <v>0</v>
      </c>
      <c r="FQ36" s="2">
        <f t="shared" si="720"/>
        <v>0</v>
      </c>
      <c r="FR36" s="2"/>
      <c r="FS36" s="2">
        <f t="shared" si="24"/>
        <v>0</v>
      </c>
      <c r="FT36" s="2">
        <f t="shared" si="25"/>
        <v>0</v>
      </c>
      <c r="FU36" s="39">
        <f t="shared" si="26"/>
        <v>0</v>
      </c>
      <c r="FV36" s="39">
        <f t="shared" ref="FV36:FW36" si="721">FV$1*FC36/1000000</f>
        <v>0</v>
      </c>
      <c r="FW36" s="39">
        <f t="shared" si="721"/>
        <v>0</v>
      </c>
      <c r="FX36" s="39">
        <f t="shared" ref="FX36:GC36" si="722">FX$1*FE36</f>
        <v>0</v>
      </c>
      <c r="FY36" s="39">
        <f t="shared" si="722"/>
        <v>0</v>
      </c>
      <c r="FZ36" s="39">
        <f t="shared" si="722"/>
        <v>0</v>
      </c>
      <c r="GA36" s="39">
        <f t="shared" si="722"/>
        <v>0</v>
      </c>
      <c r="GB36" s="39">
        <f t="shared" si="722"/>
        <v>0</v>
      </c>
      <c r="GC36" s="39">
        <f t="shared" si="722"/>
        <v>0</v>
      </c>
      <c r="GD36" s="39">
        <f t="shared" ref="GD36:GH36" si="723">GD$1*FK36/1000000</f>
        <v>0</v>
      </c>
      <c r="GE36" s="39">
        <f t="shared" si="723"/>
        <v>0</v>
      </c>
      <c r="GF36" s="39">
        <f t="shared" si="723"/>
        <v>0</v>
      </c>
      <c r="GG36" s="39">
        <f t="shared" si="723"/>
        <v>0</v>
      </c>
      <c r="GH36" s="39">
        <f t="shared" si="723"/>
        <v>0</v>
      </c>
      <c r="GI36" s="39">
        <f t="shared" ref="GI36:GJ36" si="724">GI$1*FP36</f>
        <v>0</v>
      </c>
      <c r="GJ36" s="39">
        <f t="shared" si="724"/>
        <v>0</v>
      </c>
      <c r="GK36" s="2"/>
      <c r="GL36" s="39">
        <f t="shared" si="31"/>
        <v>0</v>
      </c>
      <c r="GM36" s="39">
        <f t="shared" si="32"/>
        <v>0</v>
      </c>
      <c r="GN36" s="2" t="s">
        <v>3</v>
      </c>
      <c r="GO36" s="2">
        <f t="shared" si="33"/>
        <v>0.69900000000000007</v>
      </c>
      <c r="GP36" s="19">
        <f t="shared" si="34"/>
        <v>5.603719599427754E-2</v>
      </c>
      <c r="GQ36" s="15">
        <f t="shared" si="35"/>
        <v>0.3917000000000001</v>
      </c>
      <c r="GR36" s="15">
        <f t="shared" si="36"/>
        <v>95.999789455862356</v>
      </c>
      <c r="GS36" s="15">
        <f t="shared" si="37"/>
        <v>137.33875458635529</v>
      </c>
      <c r="GT36" s="2">
        <f t="shared" si="38"/>
        <v>0</v>
      </c>
      <c r="GU36" s="2">
        <f t="shared" si="39"/>
        <v>0.22400000000000003</v>
      </c>
      <c r="GV36" s="2">
        <f t="shared" si="40"/>
        <v>0.16769999999999999</v>
      </c>
      <c r="GW36" s="2">
        <f t="shared" si="41"/>
        <v>0</v>
      </c>
      <c r="GX36" s="2"/>
      <c r="GY36" s="2"/>
      <c r="GZ36" s="2"/>
      <c r="HA36" s="2"/>
      <c r="HB36" s="2">
        <f t="shared" si="42"/>
        <v>0</v>
      </c>
      <c r="HC36" s="2">
        <f t="shared" si="43"/>
        <v>0</v>
      </c>
      <c r="HD36" s="2" t="s">
        <v>3</v>
      </c>
      <c r="HE36" s="2" t="s">
        <v>183</v>
      </c>
      <c r="HF36" s="2" t="s">
        <v>567</v>
      </c>
      <c r="HG36" s="2"/>
      <c r="HH36" s="2"/>
      <c r="HI36" s="2" t="s">
        <v>81</v>
      </c>
      <c r="HJ36" s="2" t="s">
        <v>3</v>
      </c>
      <c r="HK36" s="2" t="s">
        <v>1394</v>
      </c>
      <c r="HL36" s="2"/>
      <c r="HM36" s="2" t="s">
        <v>81</v>
      </c>
      <c r="HN36" s="15">
        <f t="shared" ref="HN36:HP36" si="725">SUM(GT627:GT629)</f>
        <v>18.96</v>
      </c>
      <c r="HO36" s="2">
        <f t="shared" si="725"/>
        <v>0</v>
      </c>
      <c r="HP36" s="15">
        <f t="shared" si="725"/>
        <v>464.3703999999999</v>
      </c>
      <c r="HQ36" s="15">
        <f>SUM(GO627:GO629)</f>
        <v>164.23399999999998</v>
      </c>
      <c r="HR36" s="4">
        <f t="shared" si="45"/>
        <v>0.29429375159832921</v>
      </c>
      <c r="HS36" s="4">
        <f>MIN(GP627:GP629)</f>
        <v>0.21</v>
      </c>
      <c r="HT36" s="4">
        <f>MAX(GP627:GP629)</f>
        <v>0.45707531239446131</v>
      </c>
      <c r="HU36" s="15">
        <f>SUM(GQ627:GQ629)</f>
        <v>483.33039999999994</v>
      </c>
      <c r="HV36" s="15">
        <f>SUM(GR627:GR629)/SUM(GO627:GO629)</f>
        <v>39.890588866130038</v>
      </c>
      <c r="HW36" s="2">
        <f>COUNT(GQ627:GQ629)</f>
        <v>3</v>
      </c>
      <c r="HX36" s="2">
        <f t="shared" ref="HX36:HY36" si="726">SUM(HB627:HB629)</f>
        <v>0</v>
      </c>
      <c r="HY36" s="2">
        <f t="shared" si="726"/>
        <v>0</v>
      </c>
      <c r="HZ36" s="2" t="s">
        <v>176</v>
      </c>
      <c r="IA36" s="2" t="s">
        <v>176</v>
      </c>
      <c r="IB36" s="2" t="s">
        <v>176</v>
      </c>
      <c r="IC36" s="2" t="s">
        <v>176</v>
      </c>
      <c r="ID36" s="2">
        <f>COUNT(GY627:GY629)</f>
        <v>0</v>
      </c>
      <c r="IE36" s="2"/>
      <c r="IF36" s="15">
        <f t="shared" ref="IF36:IN36" si="727">100*SUM(EI627:EI629)/SUM($EI627:$FA629)</f>
        <v>3.2511585273345194</v>
      </c>
      <c r="IG36" s="39">
        <f t="shared" si="727"/>
        <v>0</v>
      </c>
      <c r="IH36" s="39">
        <f t="shared" si="727"/>
        <v>0</v>
      </c>
      <c r="II36" s="15">
        <f t="shared" si="727"/>
        <v>0</v>
      </c>
      <c r="IJ36" s="39">
        <f t="shared" si="727"/>
        <v>0</v>
      </c>
      <c r="IK36" s="39">
        <f t="shared" si="727"/>
        <v>0</v>
      </c>
      <c r="IL36" s="15">
        <f t="shared" si="727"/>
        <v>0</v>
      </c>
      <c r="IM36" s="15">
        <f t="shared" si="727"/>
        <v>96.748841472665475</v>
      </c>
      <c r="IN36" s="15">
        <f t="shared" si="727"/>
        <v>0</v>
      </c>
      <c r="IO36" s="39">
        <f>100*SUM(ER627:EV629)/SUM($EI627:$FA629)</f>
        <v>0</v>
      </c>
      <c r="IP36" s="39">
        <f t="shared" ref="IP36:IQ36" si="728">100*SUM(EW627:EW629)/SUM($EI627:$FA629)</f>
        <v>0</v>
      </c>
      <c r="IQ36" s="39">
        <f t="shared" si="728"/>
        <v>0</v>
      </c>
      <c r="IR36" s="15">
        <f t="shared" ref="IR36:IS36" si="729">100*SUM(EZ627:EZ629)/SUM($EI627:$FA629)</f>
        <v>0</v>
      </c>
      <c r="IS36" s="39">
        <f t="shared" si="729"/>
        <v>0</v>
      </c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 t="s">
        <v>3</v>
      </c>
    </row>
    <row r="37" spans="1:268" ht="15.75" customHeight="1" x14ac:dyDescent="0.2">
      <c r="A37" s="21" t="s">
        <v>969</v>
      </c>
      <c r="B37" s="2" t="s">
        <v>99</v>
      </c>
      <c r="C37" s="2"/>
      <c r="D37" s="2"/>
      <c r="E37" s="2"/>
      <c r="F37" s="2" t="s">
        <v>634</v>
      </c>
      <c r="G37" s="2"/>
      <c r="H37" s="2"/>
      <c r="I37" s="2">
        <v>0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>
        <v>0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>
        <v>3.4</v>
      </c>
      <c r="AZ37" s="2">
        <v>0.71</v>
      </c>
      <c r="BA37" s="2"/>
      <c r="BB37" s="2"/>
      <c r="BC37" s="2"/>
      <c r="BD37" s="2"/>
      <c r="BE37" s="2"/>
      <c r="BF37" s="2">
        <v>0.63</v>
      </c>
      <c r="BG37" s="2">
        <v>0.05</v>
      </c>
      <c r="BH37" s="2">
        <v>0.09</v>
      </c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>
        <v>0</v>
      </c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>
        <v>0</v>
      </c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 t="s">
        <v>81</v>
      </c>
      <c r="DK37" s="2" t="s">
        <v>81</v>
      </c>
      <c r="DL37" s="2">
        <f t="shared" si="3"/>
        <v>0.05</v>
      </c>
      <c r="DM37" s="2">
        <f t="shared" si="4"/>
        <v>0.09</v>
      </c>
      <c r="DN37" s="2" t="s">
        <v>675</v>
      </c>
      <c r="DO37" s="2" t="s">
        <v>3</v>
      </c>
      <c r="DP37" s="2">
        <f t="shared" si="5"/>
        <v>2.4139999999999998E-2</v>
      </c>
      <c r="DQ37" s="2">
        <f t="shared" ref="DQ37:DR37" si="730">K37*$I37+AF37*$AD37+BA37*$AY37</f>
        <v>0</v>
      </c>
      <c r="DR37" s="2">
        <f t="shared" si="730"/>
        <v>0</v>
      </c>
      <c r="DS37" s="2">
        <f t="shared" ref="DS37:DX37" si="731">(M37*$I37+AH37*$AD37+BC37*$AY37)/100</f>
        <v>0</v>
      </c>
      <c r="DT37" s="2">
        <f t="shared" si="731"/>
        <v>0</v>
      </c>
      <c r="DU37" s="2">
        <f t="shared" si="731"/>
        <v>0</v>
      </c>
      <c r="DV37" s="2">
        <f t="shared" si="731"/>
        <v>2.1419999999999998E-2</v>
      </c>
      <c r="DW37" s="2">
        <f t="shared" si="731"/>
        <v>1.7000000000000001E-3</v>
      </c>
      <c r="DX37" s="2">
        <f t="shared" si="731"/>
        <v>3.0599999999999998E-3</v>
      </c>
      <c r="DY37" s="2">
        <f t="shared" ref="DY37:EC37" si="732">S37*$I37+AN37*$AD37+BI37*$AY37</f>
        <v>0</v>
      </c>
      <c r="DZ37" s="2">
        <f t="shared" si="732"/>
        <v>0</v>
      </c>
      <c r="EA37" s="2">
        <f t="shared" si="732"/>
        <v>0</v>
      </c>
      <c r="EB37" s="2">
        <f t="shared" si="732"/>
        <v>0</v>
      </c>
      <c r="EC37" s="2">
        <f t="shared" si="732"/>
        <v>0</v>
      </c>
      <c r="ED37" s="2">
        <f t="shared" ref="ED37:EE37" si="733">(X37*$I37+AS37*$AD37+BN37*$AY37)/100</f>
        <v>0</v>
      </c>
      <c r="EE37" s="2">
        <f t="shared" si="733"/>
        <v>0</v>
      </c>
      <c r="EF37" s="2"/>
      <c r="EG37" s="2">
        <f t="shared" si="10"/>
        <v>0</v>
      </c>
      <c r="EH37" s="2">
        <f t="shared" si="11"/>
        <v>0</v>
      </c>
      <c r="EI37" s="39">
        <f t="shared" si="12"/>
        <v>157.52837023999999</v>
      </c>
      <c r="EJ37" s="39">
        <f t="shared" ref="EJ37:EK37" si="734">EJ$1*DQ37/1000000</f>
        <v>0</v>
      </c>
      <c r="EK37" s="39">
        <f t="shared" si="734"/>
        <v>0</v>
      </c>
      <c r="EL37" s="39">
        <f t="shared" ref="EL37:EQ37" si="735">EL$1*DS37</f>
        <v>0</v>
      </c>
      <c r="EM37" s="39">
        <f t="shared" si="735"/>
        <v>0</v>
      </c>
      <c r="EN37" s="39">
        <f t="shared" si="735"/>
        <v>0</v>
      </c>
      <c r="EO37" s="39">
        <f t="shared" si="735"/>
        <v>62.664299963999994</v>
      </c>
      <c r="EP37" s="39">
        <f t="shared" si="735"/>
        <v>22.293800000000001</v>
      </c>
      <c r="EQ37" s="39">
        <f t="shared" si="735"/>
        <v>222.21574343999995</v>
      </c>
      <c r="ER37" s="39">
        <f t="shared" ref="ER37:EV37" si="736">ER$1*DY37/1000000</f>
        <v>0</v>
      </c>
      <c r="ES37" s="39">
        <f t="shared" si="736"/>
        <v>0</v>
      </c>
      <c r="ET37" s="39">
        <f t="shared" si="736"/>
        <v>0</v>
      </c>
      <c r="EU37" s="39">
        <f t="shared" si="736"/>
        <v>0</v>
      </c>
      <c r="EV37" s="39">
        <f t="shared" si="736"/>
        <v>0</v>
      </c>
      <c r="EW37" s="39">
        <f t="shared" ref="EW37:EX37" si="737">EW$1*ED37</f>
        <v>0</v>
      </c>
      <c r="EX37" s="39">
        <f t="shared" si="737"/>
        <v>0</v>
      </c>
      <c r="EY37" s="2"/>
      <c r="EZ37" s="39">
        <f t="shared" si="17"/>
        <v>0</v>
      </c>
      <c r="FA37" s="39">
        <f t="shared" si="18"/>
        <v>0</v>
      </c>
      <c r="FB37" s="2">
        <f t="shared" si="19"/>
        <v>0</v>
      </c>
      <c r="FC37" s="2">
        <f t="shared" ref="FC37:FD37" si="738">BV37*$BT37+CQ37*$CO37</f>
        <v>0</v>
      </c>
      <c r="FD37" s="2">
        <f t="shared" si="738"/>
        <v>0</v>
      </c>
      <c r="FE37" s="2">
        <f t="shared" ref="FE37:FJ37" si="739">(BX37*$BT37+CS37*$CO37)/100</f>
        <v>0</v>
      </c>
      <c r="FF37" s="2">
        <f t="shared" si="739"/>
        <v>0</v>
      </c>
      <c r="FG37" s="2">
        <f t="shared" si="739"/>
        <v>0</v>
      </c>
      <c r="FH37" s="2">
        <f t="shared" si="739"/>
        <v>0</v>
      </c>
      <c r="FI37" s="2">
        <f t="shared" si="739"/>
        <v>0</v>
      </c>
      <c r="FJ37" s="2">
        <f t="shared" si="739"/>
        <v>0</v>
      </c>
      <c r="FK37" s="2">
        <f t="shared" ref="FK37:FO37" si="740">CD37*$BT37+CY37*$CO37</f>
        <v>0</v>
      </c>
      <c r="FL37" s="2">
        <f t="shared" si="740"/>
        <v>0</v>
      </c>
      <c r="FM37" s="2">
        <f t="shared" si="740"/>
        <v>0</v>
      </c>
      <c r="FN37" s="2">
        <f t="shared" si="740"/>
        <v>0</v>
      </c>
      <c r="FO37" s="2">
        <f t="shared" si="740"/>
        <v>0</v>
      </c>
      <c r="FP37" s="2">
        <f t="shared" ref="FP37:FQ37" si="741">(CI37*$BT37+DD37*$CO37)/100</f>
        <v>0</v>
      </c>
      <c r="FQ37" s="2">
        <f t="shared" si="741"/>
        <v>0</v>
      </c>
      <c r="FR37" s="2"/>
      <c r="FS37" s="2">
        <f t="shared" si="24"/>
        <v>0</v>
      </c>
      <c r="FT37" s="2">
        <f t="shared" si="25"/>
        <v>0</v>
      </c>
      <c r="FU37" s="39">
        <f t="shared" si="26"/>
        <v>0</v>
      </c>
      <c r="FV37" s="39">
        <f t="shared" ref="FV37:FW37" si="742">FV$1*FC37/1000000</f>
        <v>0</v>
      </c>
      <c r="FW37" s="39">
        <f t="shared" si="742"/>
        <v>0</v>
      </c>
      <c r="FX37" s="39">
        <f t="shared" ref="FX37:GC37" si="743">FX$1*FE37</f>
        <v>0</v>
      </c>
      <c r="FY37" s="39">
        <f t="shared" si="743"/>
        <v>0</v>
      </c>
      <c r="FZ37" s="39">
        <f t="shared" si="743"/>
        <v>0</v>
      </c>
      <c r="GA37" s="39">
        <f t="shared" si="743"/>
        <v>0</v>
      </c>
      <c r="GB37" s="39">
        <f t="shared" si="743"/>
        <v>0</v>
      </c>
      <c r="GC37" s="39">
        <f t="shared" si="743"/>
        <v>0</v>
      </c>
      <c r="GD37" s="39">
        <f t="shared" ref="GD37:GH37" si="744">GD$1*FK37/1000000</f>
        <v>0</v>
      </c>
      <c r="GE37" s="39">
        <f t="shared" si="744"/>
        <v>0</v>
      </c>
      <c r="GF37" s="39">
        <f t="shared" si="744"/>
        <v>0</v>
      </c>
      <c r="GG37" s="39">
        <f t="shared" si="744"/>
        <v>0</v>
      </c>
      <c r="GH37" s="39">
        <f t="shared" si="744"/>
        <v>0</v>
      </c>
      <c r="GI37" s="39">
        <f t="shared" ref="GI37:GJ37" si="745">GI$1*FP37</f>
        <v>0</v>
      </c>
      <c r="GJ37" s="39">
        <f t="shared" si="745"/>
        <v>0</v>
      </c>
      <c r="GK37" s="2"/>
      <c r="GL37" s="39">
        <f t="shared" si="31"/>
        <v>0</v>
      </c>
      <c r="GM37" s="39">
        <f t="shared" si="32"/>
        <v>0</v>
      </c>
      <c r="GN37" s="2" t="s">
        <v>3</v>
      </c>
      <c r="GO37" s="2">
        <f t="shared" si="33"/>
        <v>3.4</v>
      </c>
      <c r="GP37" s="2">
        <f t="shared" si="34"/>
        <v>0.05</v>
      </c>
      <c r="GQ37" s="15">
        <f t="shared" si="35"/>
        <v>1.7</v>
      </c>
      <c r="GR37" s="15">
        <f t="shared" si="36"/>
        <v>464.70221364399993</v>
      </c>
      <c r="GS37" s="15">
        <f t="shared" si="37"/>
        <v>136.67712165999998</v>
      </c>
      <c r="GT37" s="2">
        <f t="shared" si="38"/>
        <v>0</v>
      </c>
      <c r="GU37" s="2">
        <f t="shared" si="39"/>
        <v>0</v>
      </c>
      <c r="GV37" s="2">
        <f t="shared" si="40"/>
        <v>1.7</v>
      </c>
      <c r="GW37" s="2">
        <f t="shared" si="41"/>
        <v>0</v>
      </c>
      <c r="GX37" s="2"/>
      <c r="GY37" s="2"/>
      <c r="GZ37" s="2"/>
      <c r="HA37" s="2"/>
      <c r="HB37" s="2">
        <f t="shared" si="42"/>
        <v>0</v>
      </c>
      <c r="HC37" s="2">
        <f t="shared" si="43"/>
        <v>0</v>
      </c>
      <c r="HD37" s="2" t="s">
        <v>3</v>
      </c>
      <c r="HE37" s="2" t="s">
        <v>183</v>
      </c>
      <c r="HF37" s="2" t="s">
        <v>567</v>
      </c>
      <c r="HG37" s="2"/>
      <c r="HH37" s="2"/>
      <c r="HI37" s="2" t="s">
        <v>81</v>
      </c>
      <c r="HJ37" s="2" t="s">
        <v>3</v>
      </c>
      <c r="HK37" s="2" t="s">
        <v>1394</v>
      </c>
      <c r="HL37" s="2"/>
      <c r="HM37" s="2" t="s">
        <v>100</v>
      </c>
      <c r="HN37" s="2">
        <f t="shared" ref="HN37:HP37" si="746">SUM(GT630:GT631)</f>
        <v>0</v>
      </c>
      <c r="HO37" s="2">
        <f t="shared" si="746"/>
        <v>0</v>
      </c>
      <c r="HP37" s="15">
        <f t="shared" si="746"/>
        <v>2.680736</v>
      </c>
      <c r="HQ37" s="4">
        <f>SUM(GO630:GO631)</f>
        <v>1.2791440000000001</v>
      </c>
      <c r="HR37" s="4">
        <f t="shared" si="45"/>
        <v>0.20957265171083161</v>
      </c>
      <c r="HS37" s="4">
        <f>MIN(GP630:GP631)</f>
        <v>0.05</v>
      </c>
      <c r="HT37" s="4">
        <f>MAX(GP630:GP631)</f>
        <v>0.5</v>
      </c>
      <c r="HU37" s="15">
        <f>SUM(GQ630:GQ631)</f>
        <v>2.680736</v>
      </c>
      <c r="HV37" s="15">
        <f>SUM(GR630:GR631)/SUM(GO630:GO631)</f>
        <v>163.66340875557768</v>
      </c>
      <c r="HW37" s="2">
        <f>COUNT(GQ630:GQ631)</f>
        <v>2</v>
      </c>
      <c r="HX37" s="2">
        <f t="shared" ref="HX37:HY37" si="747">SUM(HB631)</f>
        <v>0</v>
      </c>
      <c r="HY37" s="2">
        <f t="shared" si="747"/>
        <v>0</v>
      </c>
      <c r="HZ37" s="2" t="s">
        <v>176</v>
      </c>
      <c r="IA37" s="2" t="s">
        <v>176</v>
      </c>
      <c r="IB37" s="2" t="s">
        <v>176</v>
      </c>
      <c r="IC37" s="2" t="s">
        <v>176</v>
      </c>
      <c r="ID37" s="2">
        <f>COUNT(GY631)</f>
        <v>0</v>
      </c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 t="s">
        <v>3</v>
      </c>
    </row>
    <row r="38" spans="1:268" ht="15.75" customHeight="1" x14ac:dyDescent="0.2">
      <c r="A38" s="21" t="s">
        <v>970</v>
      </c>
      <c r="B38" s="2" t="s">
        <v>99</v>
      </c>
      <c r="C38" s="2"/>
      <c r="D38" s="2"/>
      <c r="E38" s="2"/>
      <c r="F38" s="2" t="s">
        <v>634</v>
      </c>
      <c r="G38" s="2"/>
      <c r="H38" s="2"/>
      <c r="I38" s="2">
        <v>0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>
        <v>0</v>
      </c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>
        <v>0.19</v>
      </c>
      <c r="AZ38" s="2">
        <v>0.33</v>
      </c>
      <c r="BA38" s="2"/>
      <c r="BB38" s="2"/>
      <c r="BC38" s="2"/>
      <c r="BD38" s="2"/>
      <c r="BE38" s="2"/>
      <c r="BF38" s="2"/>
      <c r="BG38" s="2">
        <v>1.02</v>
      </c>
      <c r="BH38" s="2">
        <v>2.7E-2</v>
      </c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>
        <v>0</v>
      </c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>
        <v>0</v>
      </c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 t="s">
        <v>81</v>
      </c>
      <c r="DK38" s="2" t="s">
        <v>81</v>
      </c>
      <c r="DL38" s="2">
        <f t="shared" si="3"/>
        <v>1.02</v>
      </c>
      <c r="DM38" s="2">
        <f t="shared" si="4"/>
        <v>2.7E-2</v>
      </c>
      <c r="DN38" s="2" t="s">
        <v>675</v>
      </c>
      <c r="DO38" s="2" t="s">
        <v>3</v>
      </c>
      <c r="DP38" s="2">
        <f t="shared" si="5"/>
        <v>6.2700000000000006E-4</v>
      </c>
      <c r="DQ38" s="2">
        <f t="shared" ref="DQ38:DR38" si="748">K38*$I38+AF38*$AD38+BA38*$AY38</f>
        <v>0</v>
      </c>
      <c r="DR38" s="2">
        <f t="shared" si="748"/>
        <v>0</v>
      </c>
      <c r="DS38" s="2">
        <f t="shared" ref="DS38:DX38" si="749">(M38*$I38+AH38*$AD38+BC38*$AY38)/100</f>
        <v>0</v>
      </c>
      <c r="DT38" s="2">
        <f t="shared" si="749"/>
        <v>0</v>
      </c>
      <c r="DU38" s="2">
        <f t="shared" si="749"/>
        <v>0</v>
      </c>
      <c r="DV38" s="2">
        <f t="shared" si="749"/>
        <v>0</v>
      </c>
      <c r="DW38" s="2">
        <f t="shared" si="749"/>
        <v>1.9380000000000001E-3</v>
      </c>
      <c r="DX38" s="2">
        <f t="shared" si="749"/>
        <v>5.13E-5</v>
      </c>
      <c r="DY38" s="2">
        <f t="shared" ref="DY38:EC38" si="750">S38*$I38+AN38*$AD38+BI38*$AY38</f>
        <v>0</v>
      </c>
      <c r="DZ38" s="2">
        <f t="shared" si="750"/>
        <v>0</v>
      </c>
      <c r="EA38" s="2">
        <f t="shared" si="750"/>
        <v>0</v>
      </c>
      <c r="EB38" s="2">
        <f t="shared" si="750"/>
        <v>0</v>
      </c>
      <c r="EC38" s="2">
        <f t="shared" si="750"/>
        <v>0</v>
      </c>
      <c r="ED38" s="2">
        <f t="shared" ref="ED38:EE38" si="751">(X38*$I38+AS38*$AD38+BN38*$AY38)/100</f>
        <v>0</v>
      </c>
      <c r="EE38" s="2">
        <f t="shared" si="751"/>
        <v>0</v>
      </c>
      <c r="EF38" s="2"/>
      <c r="EG38" s="2">
        <f t="shared" si="10"/>
        <v>0</v>
      </c>
      <c r="EH38" s="2">
        <f t="shared" si="11"/>
        <v>0</v>
      </c>
      <c r="EI38" s="39">
        <f t="shared" si="12"/>
        <v>4.0915612320000001</v>
      </c>
      <c r="EJ38" s="39">
        <f t="shared" ref="EJ38:EK38" si="752">EJ$1*DQ38/1000000</f>
        <v>0</v>
      </c>
      <c r="EK38" s="39">
        <f t="shared" si="752"/>
        <v>0</v>
      </c>
      <c r="EL38" s="39">
        <f t="shared" ref="EL38:EQ38" si="753">EL$1*DS38</f>
        <v>0</v>
      </c>
      <c r="EM38" s="39">
        <f t="shared" si="753"/>
        <v>0</v>
      </c>
      <c r="EN38" s="39">
        <f t="shared" si="753"/>
        <v>0</v>
      </c>
      <c r="EO38" s="39">
        <f t="shared" si="753"/>
        <v>0</v>
      </c>
      <c r="EP38" s="39">
        <f t="shared" si="753"/>
        <v>25.414932</v>
      </c>
      <c r="EQ38" s="39">
        <f t="shared" si="753"/>
        <v>3.7253815811999993</v>
      </c>
      <c r="ER38" s="39">
        <f t="shared" ref="ER38:EV38" si="754">ER$1*DY38/1000000</f>
        <v>0</v>
      </c>
      <c r="ES38" s="39">
        <f t="shared" si="754"/>
        <v>0</v>
      </c>
      <c r="ET38" s="39">
        <f t="shared" si="754"/>
        <v>0</v>
      </c>
      <c r="EU38" s="39">
        <f t="shared" si="754"/>
        <v>0</v>
      </c>
      <c r="EV38" s="39">
        <f t="shared" si="754"/>
        <v>0</v>
      </c>
      <c r="EW38" s="39">
        <f t="shared" ref="EW38:EX38" si="755">EW$1*ED38</f>
        <v>0</v>
      </c>
      <c r="EX38" s="39">
        <f t="shared" si="755"/>
        <v>0</v>
      </c>
      <c r="EY38" s="2"/>
      <c r="EZ38" s="39">
        <f t="shared" si="17"/>
        <v>0</v>
      </c>
      <c r="FA38" s="39">
        <f t="shared" si="18"/>
        <v>0</v>
      </c>
      <c r="FB38" s="2">
        <f t="shared" si="19"/>
        <v>0</v>
      </c>
      <c r="FC38" s="2">
        <f t="shared" ref="FC38:FD38" si="756">BV38*$BT38+CQ38*$CO38</f>
        <v>0</v>
      </c>
      <c r="FD38" s="2">
        <f t="shared" si="756"/>
        <v>0</v>
      </c>
      <c r="FE38" s="2">
        <f t="shared" ref="FE38:FJ38" si="757">(BX38*$BT38+CS38*$CO38)/100</f>
        <v>0</v>
      </c>
      <c r="FF38" s="2">
        <f t="shared" si="757"/>
        <v>0</v>
      </c>
      <c r="FG38" s="2">
        <f t="shared" si="757"/>
        <v>0</v>
      </c>
      <c r="FH38" s="2">
        <f t="shared" si="757"/>
        <v>0</v>
      </c>
      <c r="FI38" s="2">
        <f t="shared" si="757"/>
        <v>0</v>
      </c>
      <c r="FJ38" s="2">
        <f t="shared" si="757"/>
        <v>0</v>
      </c>
      <c r="FK38" s="2">
        <f t="shared" ref="FK38:FO38" si="758">CD38*$BT38+CY38*$CO38</f>
        <v>0</v>
      </c>
      <c r="FL38" s="2">
        <f t="shared" si="758"/>
        <v>0</v>
      </c>
      <c r="FM38" s="2">
        <f t="shared" si="758"/>
        <v>0</v>
      </c>
      <c r="FN38" s="2">
        <f t="shared" si="758"/>
        <v>0</v>
      </c>
      <c r="FO38" s="2">
        <f t="shared" si="758"/>
        <v>0</v>
      </c>
      <c r="FP38" s="2">
        <f t="shared" ref="FP38:FQ38" si="759">(CI38*$BT38+DD38*$CO38)/100</f>
        <v>0</v>
      </c>
      <c r="FQ38" s="2">
        <f t="shared" si="759"/>
        <v>0</v>
      </c>
      <c r="FR38" s="2"/>
      <c r="FS38" s="2">
        <f t="shared" si="24"/>
        <v>0</v>
      </c>
      <c r="FT38" s="2">
        <f t="shared" si="25"/>
        <v>0</v>
      </c>
      <c r="FU38" s="39">
        <f t="shared" si="26"/>
        <v>0</v>
      </c>
      <c r="FV38" s="39">
        <f t="shared" ref="FV38:FW38" si="760">FV$1*FC38/1000000</f>
        <v>0</v>
      </c>
      <c r="FW38" s="39">
        <f t="shared" si="760"/>
        <v>0</v>
      </c>
      <c r="FX38" s="39">
        <f t="shared" ref="FX38:GC38" si="761">FX$1*FE38</f>
        <v>0</v>
      </c>
      <c r="FY38" s="39">
        <f t="shared" si="761"/>
        <v>0</v>
      </c>
      <c r="FZ38" s="39">
        <f t="shared" si="761"/>
        <v>0</v>
      </c>
      <c r="GA38" s="39">
        <f t="shared" si="761"/>
        <v>0</v>
      </c>
      <c r="GB38" s="39">
        <f t="shared" si="761"/>
        <v>0</v>
      </c>
      <c r="GC38" s="39">
        <f t="shared" si="761"/>
        <v>0</v>
      </c>
      <c r="GD38" s="39">
        <f t="shared" ref="GD38:GH38" si="762">GD$1*FK38/1000000</f>
        <v>0</v>
      </c>
      <c r="GE38" s="39">
        <f t="shared" si="762"/>
        <v>0</v>
      </c>
      <c r="GF38" s="39">
        <f t="shared" si="762"/>
        <v>0</v>
      </c>
      <c r="GG38" s="39">
        <f t="shared" si="762"/>
        <v>0</v>
      </c>
      <c r="GH38" s="39">
        <f t="shared" si="762"/>
        <v>0</v>
      </c>
      <c r="GI38" s="39">
        <f t="shared" ref="GI38:GJ38" si="763">GI$1*FP38</f>
        <v>0</v>
      </c>
      <c r="GJ38" s="39">
        <f t="shared" si="763"/>
        <v>0</v>
      </c>
      <c r="GK38" s="2"/>
      <c r="GL38" s="39">
        <f t="shared" si="31"/>
        <v>0</v>
      </c>
      <c r="GM38" s="39">
        <f t="shared" si="32"/>
        <v>0</v>
      </c>
      <c r="GN38" s="2" t="s">
        <v>3</v>
      </c>
      <c r="GO38" s="2">
        <f t="shared" si="33"/>
        <v>0.19</v>
      </c>
      <c r="GP38" s="2">
        <f t="shared" si="34"/>
        <v>1.02</v>
      </c>
      <c r="GQ38" s="15">
        <f t="shared" si="35"/>
        <v>1.9380000000000002</v>
      </c>
      <c r="GR38" s="15">
        <f t="shared" si="36"/>
        <v>33.231874813200001</v>
      </c>
      <c r="GS38" s="15">
        <f t="shared" si="37"/>
        <v>174.90460428</v>
      </c>
      <c r="GT38" s="2">
        <f t="shared" si="38"/>
        <v>0</v>
      </c>
      <c r="GU38" s="2">
        <f t="shared" si="39"/>
        <v>0</v>
      </c>
      <c r="GV38" s="2">
        <f t="shared" si="40"/>
        <v>1.9380000000000002</v>
      </c>
      <c r="GW38" s="2">
        <f t="shared" si="41"/>
        <v>0</v>
      </c>
      <c r="GX38" s="2"/>
      <c r="GY38" s="2"/>
      <c r="GZ38" s="2"/>
      <c r="HA38" s="2"/>
      <c r="HB38" s="2">
        <f t="shared" si="42"/>
        <v>0</v>
      </c>
      <c r="HC38" s="2">
        <f t="shared" si="43"/>
        <v>0</v>
      </c>
      <c r="HD38" s="2" t="s">
        <v>3</v>
      </c>
      <c r="HE38" s="2" t="s">
        <v>183</v>
      </c>
      <c r="HF38" s="2" t="s">
        <v>567</v>
      </c>
      <c r="HG38" s="2"/>
      <c r="HH38" s="2"/>
      <c r="HI38" s="2" t="s">
        <v>81</v>
      </c>
      <c r="HJ38" s="2" t="s">
        <v>3</v>
      </c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 t="s">
        <v>3</v>
      </c>
    </row>
    <row r="39" spans="1:268" ht="15.75" customHeight="1" x14ac:dyDescent="0.2">
      <c r="A39" s="21" t="s">
        <v>971</v>
      </c>
      <c r="B39" s="2" t="s">
        <v>99</v>
      </c>
      <c r="C39" s="2"/>
      <c r="D39" s="2"/>
      <c r="E39" s="2"/>
      <c r="F39" s="2" t="s">
        <v>634</v>
      </c>
      <c r="G39" s="2"/>
      <c r="H39" s="2"/>
      <c r="I39" s="2">
        <v>0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>
        <v>0.1</v>
      </c>
      <c r="AE39" s="2">
        <v>0.35</v>
      </c>
      <c r="AF39" s="2"/>
      <c r="AG39" s="2"/>
      <c r="AH39" s="2"/>
      <c r="AI39" s="2"/>
      <c r="AJ39" s="2"/>
      <c r="AK39" s="2"/>
      <c r="AL39" s="2">
        <v>0.7</v>
      </c>
      <c r="AM39" s="2">
        <v>0.05</v>
      </c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>
        <v>0</v>
      </c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>
        <v>0</v>
      </c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>
        <v>0</v>
      </c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 t="s">
        <v>81</v>
      </c>
      <c r="DK39" s="2" t="s">
        <v>81</v>
      </c>
      <c r="DL39" s="2">
        <f t="shared" si="3"/>
        <v>0.69999999999999984</v>
      </c>
      <c r="DM39" s="2">
        <f t="shared" si="4"/>
        <v>5.000000000000001E-2</v>
      </c>
      <c r="DN39" s="2" t="s">
        <v>675</v>
      </c>
      <c r="DO39" s="2" t="s">
        <v>3</v>
      </c>
      <c r="DP39" s="2">
        <f t="shared" si="5"/>
        <v>3.4999999999999994E-4</v>
      </c>
      <c r="DQ39" s="2">
        <f t="shared" ref="DQ39:DR39" si="764">K39*$I39+AF39*$AD39+BA39*$AY39</f>
        <v>0</v>
      </c>
      <c r="DR39" s="2">
        <f t="shared" si="764"/>
        <v>0</v>
      </c>
      <c r="DS39" s="2">
        <f t="shared" ref="DS39:DX39" si="765">(M39*$I39+AH39*$AD39+BC39*$AY39)/100</f>
        <v>0</v>
      </c>
      <c r="DT39" s="2">
        <f t="shared" si="765"/>
        <v>0</v>
      </c>
      <c r="DU39" s="2">
        <f t="shared" si="765"/>
        <v>0</v>
      </c>
      <c r="DV39" s="2">
        <f t="shared" si="765"/>
        <v>0</v>
      </c>
      <c r="DW39" s="2">
        <f t="shared" si="765"/>
        <v>6.9999999999999988E-4</v>
      </c>
      <c r="DX39" s="2">
        <f t="shared" si="765"/>
        <v>5.0000000000000009E-5</v>
      </c>
      <c r="DY39" s="2">
        <f t="shared" ref="DY39:EC39" si="766">S39*$I39+AN39*$AD39+BI39*$AY39</f>
        <v>0</v>
      </c>
      <c r="DZ39" s="2">
        <f t="shared" si="766"/>
        <v>0</v>
      </c>
      <c r="EA39" s="2">
        <f t="shared" si="766"/>
        <v>0</v>
      </c>
      <c r="EB39" s="2">
        <f t="shared" si="766"/>
        <v>0</v>
      </c>
      <c r="EC39" s="2">
        <f t="shared" si="766"/>
        <v>0</v>
      </c>
      <c r="ED39" s="2">
        <f t="shared" ref="ED39:EE39" si="767">(X39*$I39+AS39*$AD39+BN39*$AY39)/100</f>
        <v>0</v>
      </c>
      <c r="EE39" s="2">
        <f t="shared" si="767"/>
        <v>0</v>
      </c>
      <c r="EF39" s="2"/>
      <c r="EG39" s="2">
        <f t="shared" si="10"/>
        <v>0</v>
      </c>
      <c r="EH39" s="2">
        <f t="shared" si="11"/>
        <v>0</v>
      </c>
      <c r="EI39" s="39">
        <f t="shared" si="12"/>
        <v>2.2839655999999997</v>
      </c>
      <c r="EJ39" s="39">
        <f t="shared" ref="EJ39:EK39" si="768">EJ$1*DQ39/1000000</f>
        <v>0</v>
      </c>
      <c r="EK39" s="39">
        <f t="shared" si="768"/>
        <v>0</v>
      </c>
      <c r="EL39" s="39">
        <f t="shared" ref="EL39:EQ39" si="769">EL$1*DS39</f>
        <v>0</v>
      </c>
      <c r="EM39" s="39">
        <f t="shared" si="769"/>
        <v>0</v>
      </c>
      <c r="EN39" s="39">
        <f t="shared" si="769"/>
        <v>0</v>
      </c>
      <c r="EO39" s="39">
        <f t="shared" si="769"/>
        <v>0</v>
      </c>
      <c r="EP39" s="39">
        <f t="shared" si="769"/>
        <v>9.1797999999999984</v>
      </c>
      <c r="EQ39" s="39">
        <f t="shared" si="769"/>
        <v>3.6309762000000001</v>
      </c>
      <c r="ER39" s="39">
        <f t="shared" ref="ER39:EV39" si="770">ER$1*DY39/1000000</f>
        <v>0</v>
      </c>
      <c r="ES39" s="39">
        <f t="shared" si="770"/>
        <v>0</v>
      </c>
      <c r="ET39" s="39">
        <f t="shared" si="770"/>
        <v>0</v>
      </c>
      <c r="EU39" s="39">
        <f t="shared" si="770"/>
        <v>0</v>
      </c>
      <c r="EV39" s="39">
        <f t="shared" si="770"/>
        <v>0</v>
      </c>
      <c r="EW39" s="39">
        <f t="shared" ref="EW39:EX39" si="771">EW$1*ED39</f>
        <v>0</v>
      </c>
      <c r="EX39" s="39">
        <f t="shared" si="771"/>
        <v>0</v>
      </c>
      <c r="EY39" s="2"/>
      <c r="EZ39" s="39">
        <f t="shared" si="17"/>
        <v>0</v>
      </c>
      <c r="FA39" s="39">
        <f t="shared" si="18"/>
        <v>0</v>
      </c>
      <c r="FB39" s="2">
        <f t="shared" si="19"/>
        <v>0</v>
      </c>
      <c r="FC39" s="2">
        <f t="shared" ref="FC39:FD39" si="772">BV39*$BT39+CQ39*$CO39</f>
        <v>0</v>
      </c>
      <c r="FD39" s="2">
        <f t="shared" si="772"/>
        <v>0</v>
      </c>
      <c r="FE39" s="2">
        <f t="shared" ref="FE39:FJ39" si="773">(BX39*$BT39+CS39*$CO39)/100</f>
        <v>0</v>
      </c>
      <c r="FF39" s="2">
        <f t="shared" si="773"/>
        <v>0</v>
      </c>
      <c r="FG39" s="2">
        <f t="shared" si="773"/>
        <v>0</v>
      </c>
      <c r="FH39" s="2">
        <f t="shared" si="773"/>
        <v>0</v>
      </c>
      <c r="FI39" s="2">
        <f t="shared" si="773"/>
        <v>0</v>
      </c>
      <c r="FJ39" s="2">
        <f t="shared" si="773"/>
        <v>0</v>
      </c>
      <c r="FK39" s="2">
        <f t="shared" ref="FK39:FO39" si="774">CD39*$BT39+CY39*$CO39</f>
        <v>0</v>
      </c>
      <c r="FL39" s="2">
        <f t="shared" si="774"/>
        <v>0</v>
      </c>
      <c r="FM39" s="2">
        <f t="shared" si="774"/>
        <v>0</v>
      </c>
      <c r="FN39" s="2">
        <f t="shared" si="774"/>
        <v>0</v>
      </c>
      <c r="FO39" s="2">
        <f t="shared" si="774"/>
        <v>0</v>
      </c>
      <c r="FP39" s="2">
        <f t="shared" ref="FP39:FQ39" si="775">(CI39*$BT39+DD39*$CO39)/100</f>
        <v>0</v>
      </c>
      <c r="FQ39" s="2">
        <f t="shared" si="775"/>
        <v>0</v>
      </c>
      <c r="FR39" s="2"/>
      <c r="FS39" s="2">
        <f t="shared" si="24"/>
        <v>0</v>
      </c>
      <c r="FT39" s="2">
        <f t="shared" si="25"/>
        <v>0</v>
      </c>
      <c r="FU39" s="39">
        <f t="shared" si="26"/>
        <v>0</v>
      </c>
      <c r="FV39" s="39">
        <f t="shared" ref="FV39:FW39" si="776">FV$1*FC39/1000000</f>
        <v>0</v>
      </c>
      <c r="FW39" s="39">
        <f t="shared" si="776"/>
        <v>0</v>
      </c>
      <c r="FX39" s="39">
        <f t="shared" ref="FX39:GC39" si="777">FX$1*FE39</f>
        <v>0</v>
      </c>
      <c r="FY39" s="39">
        <f t="shared" si="777"/>
        <v>0</v>
      </c>
      <c r="FZ39" s="39">
        <f t="shared" si="777"/>
        <v>0</v>
      </c>
      <c r="GA39" s="39">
        <f t="shared" si="777"/>
        <v>0</v>
      </c>
      <c r="GB39" s="39">
        <f t="shared" si="777"/>
        <v>0</v>
      </c>
      <c r="GC39" s="39">
        <f t="shared" si="777"/>
        <v>0</v>
      </c>
      <c r="GD39" s="39">
        <f t="shared" ref="GD39:GH39" si="778">GD$1*FK39/1000000</f>
        <v>0</v>
      </c>
      <c r="GE39" s="39">
        <f t="shared" si="778"/>
        <v>0</v>
      </c>
      <c r="GF39" s="39">
        <f t="shared" si="778"/>
        <v>0</v>
      </c>
      <c r="GG39" s="39">
        <f t="shared" si="778"/>
        <v>0</v>
      </c>
      <c r="GH39" s="39">
        <f t="shared" si="778"/>
        <v>0</v>
      </c>
      <c r="GI39" s="39">
        <f t="shared" ref="GI39:GJ39" si="779">GI$1*FP39</f>
        <v>0</v>
      </c>
      <c r="GJ39" s="39">
        <f t="shared" si="779"/>
        <v>0</v>
      </c>
      <c r="GK39" s="2"/>
      <c r="GL39" s="39">
        <f t="shared" si="31"/>
        <v>0</v>
      </c>
      <c r="GM39" s="39">
        <f t="shared" si="32"/>
        <v>0</v>
      </c>
      <c r="GN39" s="2" t="s">
        <v>3</v>
      </c>
      <c r="GO39" s="2">
        <f t="shared" si="33"/>
        <v>0.1</v>
      </c>
      <c r="GP39" s="2">
        <f t="shared" si="34"/>
        <v>0.69999999999999984</v>
      </c>
      <c r="GQ39" s="15">
        <f t="shared" si="35"/>
        <v>0.69999999999999984</v>
      </c>
      <c r="GR39" s="15">
        <f t="shared" si="36"/>
        <v>15.094741799999998</v>
      </c>
      <c r="GS39" s="15">
        <f t="shared" si="37"/>
        <v>150.94741799999997</v>
      </c>
      <c r="GT39" s="2">
        <f t="shared" si="38"/>
        <v>0</v>
      </c>
      <c r="GU39" s="2">
        <f t="shared" si="39"/>
        <v>0.69999999999999984</v>
      </c>
      <c r="GV39" s="2">
        <f t="shared" si="40"/>
        <v>0</v>
      </c>
      <c r="GW39" s="2">
        <f t="shared" si="41"/>
        <v>0</v>
      </c>
      <c r="GX39" s="2"/>
      <c r="GY39" s="2"/>
      <c r="GZ39" s="2"/>
      <c r="HA39" s="2"/>
      <c r="HB39" s="2">
        <f t="shared" si="42"/>
        <v>0</v>
      </c>
      <c r="HC39" s="2">
        <f t="shared" si="43"/>
        <v>0</v>
      </c>
      <c r="HD39" s="2" t="s">
        <v>3</v>
      </c>
      <c r="HE39" s="2" t="s">
        <v>183</v>
      </c>
      <c r="HF39" s="2" t="s">
        <v>567</v>
      </c>
      <c r="HG39" s="2"/>
      <c r="HH39" s="2"/>
      <c r="HI39" s="2" t="s">
        <v>81</v>
      </c>
      <c r="HJ39" s="2" t="s">
        <v>3</v>
      </c>
      <c r="HK39" s="2"/>
      <c r="HL39" s="2" t="s">
        <v>37</v>
      </c>
      <c r="HM39" s="2" t="s">
        <v>81</v>
      </c>
      <c r="HN39" s="3">
        <f t="shared" ref="HN39:HQ39" si="780">HN18+HN20+HN22</f>
        <v>24163.682860800007</v>
      </c>
      <c r="HO39" s="3">
        <f t="shared" si="780"/>
        <v>45136.10292070001</v>
      </c>
      <c r="HP39" s="3">
        <f t="shared" si="780"/>
        <v>53948.306088800004</v>
      </c>
      <c r="HQ39" s="3">
        <f t="shared" si="780"/>
        <v>11263.926039000005</v>
      </c>
      <c r="HR39" s="4">
        <f t="shared" ref="HR39:HR44" si="781">100*(HU39/1000)/HQ39</f>
        <v>1.0941841365396763</v>
      </c>
      <c r="HS39" s="4"/>
      <c r="HT39" s="4"/>
      <c r="HU39" s="3">
        <f t="shared" ref="HU39:HU40" si="782">HU18+HU20+HU22</f>
        <v>123248.09187029998</v>
      </c>
      <c r="HV39" s="15">
        <f t="shared" ref="HV39:HV40" si="783">(HV18*HQ18+HV20*HQ20+HV22*HQ22)/HQ39</f>
        <v>187.69279491018091</v>
      </c>
      <c r="HW39" s="2">
        <f t="shared" ref="HW39:HZ39" si="784">HW18+HW20+HW22</f>
        <v>148</v>
      </c>
      <c r="HX39" s="3">
        <f t="shared" si="784"/>
        <v>10228.932755099999</v>
      </c>
      <c r="HY39" s="3">
        <f t="shared" si="784"/>
        <v>15742.327011200001</v>
      </c>
      <c r="HZ39" s="3">
        <f t="shared" si="784"/>
        <v>2201.0826710000001</v>
      </c>
      <c r="IA39" s="4">
        <f>100*(IB39/1000)/HZ39</f>
        <v>1.1799311360940701</v>
      </c>
      <c r="IB39" s="3">
        <f>IB18+IB20+IB22</f>
        <v>25971.259766300005</v>
      </c>
      <c r="IC39" s="15">
        <f>(IC18*HZ18+IC20*HZ20+IC22*HZ22)/HZ39</f>
        <v>208.43085021091076</v>
      </c>
      <c r="ID39" s="2">
        <f>ID18+ID20+ID22</f>
        <v>38</v>
      </c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 t="s">
        <v>3</v>
      </c>
    </row>
    <row r="40" spans="1:268" ht="15.75" customHeight="1" x14ac:dyDescent="0.2">
      <c r="A40" s="21" t="s">
        <v>972</v>
      </c>
      <c r="B40" s="2" t="s">
        <v>99</v>
      </c>
      <c r="C40" s="2"/>
      <c r="D40" s="2"/>
      <c r="E40" s="2"/>
      <c r="F40" s="2" t="s">
        <v>634</v>
      </c>
      <c r="G40" s="2"/>
      <c r="H40" s="2"/>
      <c r="I40" s="2">
        <v>0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>
        <v>1.54</v>
      </c>
      <c r="AE40" s="2">
        <v>0.28999999999999998</v>
      </c>
      <c r="AF40" s="2"/>
      <c r="AG40" s="2"/>
      <c r="AH40" s="2"/>
      <c r="AI40" s="2"/>
      <c r="AJ40" s="2"/>
      <c r="AK40" s="2"/>
      <c r="AL40" s="2">
        <v>0.71</v>
      </c>
      <c r="AM40" s="2">
        <v>0.03</v>
      </c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>
        <v>0</v>
      </c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>
        <v>0</v>
      </c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>
        <v>0</v>
      </c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 t="s">
        <v>81</v>
      </c>
      <c r="DK40" s="2" t="s">
        <v>81</v>
      </c>
      <c r="DL40" s="2">
        <f t="shared" si="3"/>
        <v>0.71</v>
      </c>
      <c r="DM40" s="2">
        <f t="shared" si="4"/>
        <v>0.03</v>
      </c>
      <c r="DN40" s="2" t="s">
        <v>675</v>
      </c>
      <c r="DO40" s="2" t="s">
        <v>3</v>
      </c>
      <c r="DP40" s="2">
        <f t="shared" si="5"/>
        <v>4.4660000000000004E-3</v>
      </c>
      <c r="DQ40" s="2">
        <f t="shared" ref="DQ40:DR40" si="785">K40*$I40+AF40*$AD40+BA40*$AY40</f>
        <v>0</v>
      </c>
      <c r="DR40" s="2">
        <f t="shared" si="785"/>
        <v>0</v>
      </c>
      <c r="DS40" s="2">
        <f t="shared" ref="DS40:DX40" si="786">(M40*$I40+AH40*$AD40+BC40*$AY40)/100</f>
        <v>0</v>
      </c>
      <c r="DT40" s="2">
        <f t="shared" si="786"/>
        <v>0</v>
      </c>
      <c r="DU40" s="2">
        <f t="shared" si="786"/>
        <v>0</v>
      </c>
      <c r="DV40" s="2">
        <f t="shared" si="786"/>
        <v>0</v>
      </c>
      <c r="DW40" s="2">
        <f t="shared" si="786"/>
        <v>1.0933999999999999E-2</v>
      </c>
      <c r="DX40" s="2">
        <f t="shared" si="786"/>
        <v>4.6199999999999995E-4</v>
      </c>
      <c r="DY40" s="2">
        <f t="shared" ref="DY40:EC40" si="787">S40*$I40+AN40*$AD40+BI40*$AY40</f>
        <v>0</v>
      </c>
      <c r="DZ40" s="2">
        <f t="shared" si="787"/>
        <v>0</v>
      </c>
      <c r="EA40" s="2">
        <f t="shared" si="787"/>
        <v>0</v>
      </c>
      <c r="EB40" s="2">
        <f t="shared" si="787"/>
        <v>0</v>
      </c>
      <c r="EC40" s="2">
        <f t="shared" si="787"/>
        <v>0</v>
      </c>
      <c r="ED40" s="2">
        <f t="shared" ref="ED40:EE40" si="788">(X40*$I40+AS40*$AD40+BN40*$AY40)/100</f>
        <v>0</v>
      </c>
      <c r="EE40" s="2">
        <f t="shared" si="788"/>
        <v>0</v>
      </c>
      <c r="EF40" s="2"/>
      <c r="EG40" s="2">
        <f t="shared" si="10"/>
        <v>0</v>
      </c>
      <c r="EH40" s="2">
        <f t="shared" si="11"/>
        <v>0</v>
      </c>
      <c r="EI40" s="39">
        <f t="shared" si="12"/>
        <v>29.143401056000002</v>
      </c>
      <c r="EJ40" s="39">
        <f t="shared" ref="EJ40:EK40" si="789">EJ$1*DQ40/1000000</f>
        <v>0</v>
      </c>
      <c r="EK40" s="39">
        <f t="shared" si="789"/>
        <v>0</v>
      </c>
      <c r="EL40" s="39">
        <f t="shared" ref="EL40:EQ40" si="790">EL$1*DS40</f>
        <v>0</v>
      </c>
      <c r="EM40" s="39">
        <f t="shared" si="790"/>
        <v>0</v>
      </c>
      <c r="EN40" s="39">
        <f t="shared" si="790"/>
        <v>0</v>
      </c>
      <c r="EO40" s="39">
        <f t="shared" si="790"/>
        <v>0</v>
      </c>
      <c r="EP40" s="39">
        <f t="shared" si="790"/>
        <v>143.388476</v>
      </c>
      <c r="EQ40" s="39">
        <f t="shared" si="790"/>
        <v>33.550220087999989</v>
      </c>
      <c r="ER40" s="39">
        <f t="shared" ref="ER40:EV40" si="791">ER$1*DY40/1000000</f>
        <v>0</v>
      </c>
      <c r="ES40" s="39">
        <f t="shared" si="791"/>
        <v>0</v>
      </c>
      <c r="ET40" s="39">
        <f t="shared" si="791"/>
        <v>0</v>
      </c>
      <c r="EU40" s="39">
        <f t="shared" si="791"/>
        <v>0</v>
      </c>
      <c r="EV40" s="39">
        <f t="shared" si="791"/>
        <v>0</v>
      </c>
      <c r="EW40" s="39">
        <f t="shared" ref="EW40:EX40" si="792">EW$1*ED40</f>
        <v>0</v>
      </c>
      <c r="EX40" s="39">
        <f t="shared" si="792"/>
        <v>0</v>
      </c>
      <c r="EY40" s="2"/>
      <c r="EZ40" s="39">
        <f t="shared" si="17"/>
        <v>0</v>
      </c>
      <c r="FA40" s="39">
        <f t="shared" si="18"/>
        <v>0</v>
      </c>
      <c r="FB40" s="2">
        <f t="shared" si="19"/>
        <v>0</v>
      </c>
      <c r="FC40" s="2">
        <f t="shared" ref="FC40:FD40" si="793">BV40*$BT40+CQ40*$CO40</f>
        <v>0</v>
      </c>
      <c r="FD40" s="2">
        <f t="shared" si="793"/>
        <v>0</v>
      </c>
      <c r="FE40" s="2">
        <f t="shared" ref="FE40:FJ40" si="794">(BX40*$BT40+CS40*$CO40)/100</f>
        <v>0</v>
      </c>
      <c r="FF40" s="2">
        <f t="shared" si="794"/>
        <v>0</v>
      </c>
      <c r="FG40" s="2">
        <f t="shared" si="794"/>
        <v>0</v>
      </c>
      <c r="FH40" s="2">
        <f t="shared" si="794"/>
        <v>0</v>
      </c>
      <c r="FI40" s="2">
        <f t="shared" si="794"/>
        <v>0</v>
      </c>
      <c r="FJ40" s="2">
        <f t="shared" si="794"/>
        <v>0</v>
      </c>
      <c r="FK40" s="2">
        <f t="shared" ref="FK40:FO40" si="795">CD40*$BT40+CY40*$CO40</f>
        <v>0</v>
      </c>
      <c r="FL40" s="2">
        <f t="shared" si="795"/>
        <v>0</v>
      </c>
      <c r="FM40" s="2">
        <f t="shared" si="795"/>
        <v>0</v>
      </c>
      <c r="FN40" s="2">
        <f t="shared" si="795"/>
        <v>0</v>
      </c>
      <c r="FO40" s="2">
        <f t="shared" si="795"/>
        <v>0</v>
      </c>
      <c r="FP40" s="2">
        <f t="shared" ref="FP40:FQ40" si="796">(CI40*$BT40+DD40*$CO40)/100</f>
        <v>0</v>
      </c>
      <c r="FQ40" s="2">
        <f t="shared" si="796"/>
        <v>0</v>
      </c>
      <c r="FR40" s="2"/>
      <c r="FS40" s="2">
        <f t="shared" si="24"/>
        <v>0</v>
      </c>
      <c r="FT40" s="2">
        <f t="shared" si="25"/>
        <v>0</v>
      </c>
      <c r="FU40" s="39">
        <f t="shared" si="26"/>
        <v>0</v>
      </c>
      <c r="FV40" s="39">
        <f t="shared" ref="FV40:FW40" si="797">FV$1*FC40/1000000</f>
        <v>0</v>
      </c>
      <c r="FW40" s="39">
        <f t="shared" si="797"/>
        <v>0</v>
      </c>
      <c r="FX40" s="39">
        <f t="shared" ref="FX40:GC40" si="798">FX$1*FE40</f>
        <v>0</v>
      </c>
      <c r="FY40" s="39">
        <f t="shared" si="798"/>
        <v>0</v>
      </c>
      <c r="FZ40" s="39">
        <f t="shared" si="798"/>
        <v>0</v>
      </c>
      <c r="GA40" s="39">
        <f t="shared" si="798"/>
        <v>0</v>
      </c>
      <c r="GB40" s="39">
        <f t="shared" si="798"/>
        <v>0</v>
      </c>
      <c r="GC40" s="39">
        <f t="shared" si="798"/>
        <v>0</v>
      </c>
      <c r="GD40" s="39">
        <f t="shared" ref="GD40:GH40" si="799">GD$1*FK40/1000000</f>
        <v>0</v>
      </c>
      <c r="GE40" s="39">
        <f t="shared" si="799"/>
        <v>0</v>
      </c>
      <c r="GF40" s="39">
        <f t="shared" si="799"/>
        <v>0</v>
      </c>
      <c r="GG40" s="39">
        <f t="shared" si="799"/>
        <v>0</v>
      </c>
      <c r="GH40" s="39">
        <f t="shared" si="799"/>
        <v>0</v>
      </c>
      <c r="GI40" s="39">
        <f t="shared" ref="GI40:GJ40" si="800">GI$1*FP40</f>
        <v>0</v>
      </c>
      <c r="GJ40" s="39">
        <f t="shared" si="800"/>
        <v>0</v>
      </c>
      <c r="GK40" s="2"/>
      <c r="GL40" s="39">
        <f t="shared" si="31"/>
        <v>0</v>
      </c>
      <c r="GM40" s="39">
        <f t="shared" si="32"/>
        <v>0</v>
      </c>
      <c r="GN40" s="2" t="s">
        <v>3</v>
      </c>
      <c r="GO40" s="2">
        <f t="shared" si="33"/>
        <v>1.54</v>
      </c>
      <c r="GP40" s="2">
        <f t="shared" si="34"/>
        <v>0.71</v>
      </c>
      <c r="GQ40" s="15">
        <f t="shared" si="35"/>
        <v>10.933999999999999</v>
      </c>
      <c r="GR40" s="15">
        <f t="shared" si="36"/>
        <v>206.08209714399999</v>
      </c>
      <c r="GS40" s="15">
        <f t="shared" si="37"/>
        <v>133.8195436</v>
      </c>
      <c r="GT40" s="2">
        <f t="shared" si="38"/>
        <v>0</v>
      </c>
      <c r="GU40" s="2">
        <f t="shared" si="39"/>
        <v>10.933999999999999</v>
      </c>
      <c r="GV40" s="2">
        <f t="shared" si="40"/>
        <v>0</v>
      </c>
      <c r="GW40" s="2">
        <f t="shared" si="41"/>
        <v>0</v>
      </c>
      <c r="GX40" s="2"/>
      <c r="GY40" s="2"/>
      <c r="GZ40" s="2"/>
      <c r="HA40" s="2"/>
      <c r="HB40" s="2">
        <f t="shared" si="42"/>
        <v>0</v>
      </c>
      <c r="HC40" s="2">
        <f t="shared" si="43"/>
        <v>0</v>
      </c>
      <c r="HD40" s="2" t="s">
        <v>3</v>
      </c>
      <c r="HE40" s="2" t="s">
        <v>183</v>
      </c>
      <c r="HF40" s="2" t="s">
        <v>567</v>
      </c>
      <c r="HG40" s="2"/>
      <c r="HH40" s="2"/>
      <c r="HI40" s="2" t="s">
        <v>81</v>
      </c>
      <c r="HJ40" s="2" t="s">
        <v>3</v>
      </c>
      <c r="HK40" s="2"/>
      <c r="HL40" s="2" t="s">
        <v>37</v>
      </c>
      <c r="HM40" s="2" t="s">
        <v>100</v>
      </c>
      <c r="HN40" s="2">
        <f t="shared" ref="HN40:HQ40" si="801">HN19+HN21+HN23</f>
        <v>0</v>
      </c>
      <c r="HO40" s="2">
        <f t="shared" si="801"/>
        <v>0</v>
      </c>
      <c r="HP40" s="3">
        <f t="shared" si="801"/>
        <v>66976.675321939983</v>
      </c>
      <c r="HQ40" s="3">
        <f t="shared" si="801"/>
        <v>6142.2269997333333</v>
      </c>
      <c r="HR40" s="4">
        <f t="shared" si="781"/>
        <v>1.0904298282178075</v>
      </c>
      <c r="HS40" s="4"/>
      <c r="HT40" s="4"/>
      <c r="HU40" s="3">
        <f t="shared" si="782"/>
        <v>66976.675321939983</v>
      </c>
      <c r="HV40" s="15">
        <f t="shared" si="783"/>
        <v>190.95689463388661</v>
      </c>
      <c r="HW40" s="2">
        <f>HW19+HW21+HW23</f>
        <v>86</v>
      </c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 t="s">
        <v>3</v>
      </c>
    </row>
    <row r="41" spans="1:268" ht="15.75" customHeight="1" x14ac:dyDescent="0.2">
      <c r="A41" s="21" t="s">
        <v>973</v>
      </c>
      <c r="B41" s="2" t="s">
        <v>99</v>
      </c>
      <c r="C41" s="2"/>
      <c r="D41" s="2"/>
      <c r="E41" s="2"/>
      <c r="F41" s="2" t="s">
        <v>634</v>
      </c>
      <c r="G41" s="2"/>
      <c r="H41" s="2"/>
      <c r="I41" s="2">
        <v>0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>
        <v>0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>
        <v>0.76</v>
      </c>
      <c r="AZ41" s="2">
        <v>1.76</v>
      </c>
      <c r="BA41" s="2">
        <v>0.1</v>
      </c>
      <c r="BB41" s="2">
        <v>11</v>
      </c>
      <c r="BC41" s="2"/>
      <c r="BD41" s="2"/>
      <c r="BE41" s="2"/>
      <c r="BF41" s="2">
        <v>1.33</v>
      </c>
      <c r="BG41" s="2">
        <v>0.13</v>
      </c>
      <c r="BH41" s="2">
        <v>0.14000000000000001</v>
      </c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>
        <v>0</v>
      </c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>
        <v>0</v>
      </c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 t="s">
        <v>81</v>
      </c>
      <c r="DK41" s="2" t="s">
        <v>81</v>
      </c>
      <c r="DL41" s="2">
        <f t="shared" si="3"/>
        <v>0.13</v>
      </c>
      <c r="DM41" s="2">
        <f t="shared" si="4"/>
        <v>0.14000000000000001</v>
      </c>
      <c r="DN41" s="2" t="s">
        <v>675</v>
      </c>
      <c r="DO41" s="2" t="s">
        <v>3</v>
      </c>
      <c r="DP41" s="2">
        <f t="shared" si="5"/>
        <v>1.3376000000000001E-2</v>
      </c>
      <c r="DQ41" s="2">
        <f t="shared" ref="DQ41:DR41" si="802">K41*$I41+AF41*$AD41+BA41*$AY41</f>
        <v>7.6000000000000012E-2</v>
      </c>
      <c r="DR41" s="2">
        <f t="shared" si="802"/>
        <v>8.36</v>
      </c>
      <c r="DS41" s="2">
        <f t="shared" ref="DS41:DX41" si="803">(M41*$I41+AH41*$AD41+BC41*$AY41)/100</f>
        <v>0</v>
      </c>
      <c r="DT41" s="2">
        <f t="shared" si="803"/>
        <v>0</v>
      </c>
      <c r="DU41" s="2">
        <f t="shared" si="803"/>
        <v>0</v>
      </c>
      <c r="DV41" s="2">
        <f t="shared" si="803"/>
        <v>1.0108000000000001E-2</v>
      </c>
      <c r="DW41" s="2">
        <f t="shared" si="803"/>
        <v>9.8799999999999995E-4</v>
      </c>
      <c r="DX41" s="2">
        <f t="shared" si="803"/>
        <v>1.0640000000000001E-3</v>
      </c>
      <c r="DY41" s="2">
        <f t="shared" ref="DY41:EC41" si="804">S41*$I41+AN41*$AD41+BI41*$AY41</f>
        <v>0</v>
      </c>
      <c r="DZ41" s="2">
        <f t="shared" si="804"/>
        <v>0</v>
      </c>
      <c r="EA41" s="2">
        <f t="shared" si="804"/>
        <v>0</v>
      </c>
      <c r="EB41" s="2">
        <f t="shared" si="804"/>
        <v>0</v>
      </c>
      <c r="EC41" s="2">
        <f t="shared" si="804"/>
        <v>0</v>
      </c>
      <c r="ED41" s="2">
        <f t="shared" ref="ED41:EE41" si="805">(X41*$I41+AS41*$AD41+BN41*$AY41)/100</f>
        <v>0</v>
      </c>
      <c r="EE41" s="2">
        <f t="shared" si="805"/>
        <v>0</v>
      </c>
      <c r="EF41" s="2"/>
      <c r="EG41" s="2">
        <f t="shared" si="10"/>
        <v>0</v>
      </c>
      <c r="EH41" s="2">
        <f t="shared" si="11"/>
        <v>0</v>
      </c>
      <c r="EI41" s="39">
        <f t="shared" si="12"/>
        <v>87.286639616000002</v>
      </c>
      <c r="EJ41" s="39">
        <f t="shared" ref="EJ41:EK41" si="806">EJ$1*DQ41/1000000</f>
        <v>3.1084244372990355</v>
      </c>
      <c r="EK41" s="39">
        <f t="shared" si="806"/>
        <v>4.2337620578778123</v>
      </c>
      <c r="EL41" s="39">
        <f t="shared" ref="EL41:EQ41" si="807">EL$1*DS41</f>
        <v>0</v>
      </c>
      <c r="EM41" s="39">
        <f t="shared" si="807"/>
        <v>0</v>
      </c>
      <c r="EN41" s="39">
        <f t="shared" si="807"/>
        <v>0</v>
      </c>
      <c r="EO41" s="39">
        <f t="shared" si="807"/>
        <v>29.570996453599999</v>
      </c>
      <c r="EP41" s="39">
        <f t="shared" si="807"/>
        <v>12.956631999999999</v>
      </c>
      <c r="EQ41" s="39">
        <f t="shared" si="807"/>
        <v>77.267173535999987</v>
      </c>
      <c r="ER41" s="39">
        <f t="shared" ref="ER41:EV41" si="808">ER$1*DY41/1000000</f>
        <v>0</v>
      </c>
      <c r="ES41" s="39">
        <f t="shared" si="808"/>
        <v>0</v>
      </c>
      <c r="ET41" s="39">
        <f t="shared" si="808"/>
        <v>0</v>
      </c>
      <c r="EU41" s="39">
        <f t="shared" si="808"/>
        <v>0</v>
      </c>
      <c r="EV41" s="39">
        <f t="shared" si="808"/>
        <v>0</v>
      </c>
      <c r="EW41" s="39">
        <f t="shared" ref="EW41:EX41" si="809">EW$1*ED41</f>
        <v>0</v>
      </c>
      <c r="EX41" s="39">
        <f t="shared" si="809"/>
        <v>0</v>
      </c>
      <c r="EY41" s="2"/>
      <c r="EZ41" s="39">
        <f t="shared" si="17"/>
        <v>0</v>
      </c>
      <c r="FA41" s="39">
        <f t="shared" si="18"/>
        <v>0</v>
      </c>
      <c r="FB41" s="2">
        <f t="shared" si="19"/>
        <v>0</v>
      </c>
      <c r="FC41" s="2">
        <f t="shared" ref="FC41:FD41" si="810">BV41*$BT41+CQ41*$CO41</f>
        <v>0</v>
      </c>
      <c r="FD41" s="2">
        <f t="shared" si="810"/>
        <v>0</v>
      </c>
      <c r="FE41" s="2">
        <f t="shared" ref="FE41:FJ41" si="811">(BX41*$BT41+CS41*$CO41)/100</f>
        <v>0</v>
      </c>
      <c r="FF41" s="2">
        <f t="shared" si="811"/>
        <v>0</v>
      </c>
      <c r="FG41" s="2">
        <f t="shared" si="811"/>
        <v>0</v>
      </c>
      <c r="FH41" s="2">
        <f t="shared" si="811"/>
        <v>0</v>
      </c>
      <c r="FI41" s="2">
        <f t="shared" si="811"/>
        <v>0</v>
      </c>
      <c r="FJ41" s="2">
        <f t="shared" si="811"/>
        <v>0</v>
      </c>
      <c r="FK41" s="2">
        <f t="shared" ref="FK41:FO41" si="812">CD41*$BT41+CY41*$CO41</f>
        <v>0</v>
      </c>
      <c r="FL41" s="2">
        <f t="shared" si="812"/>
        <v>0</v>
      </c>
      <c r="FM41" s="2">
        <f t="shared" si="812"/>
        <v>0</v>
      </c>
      <c r="FN41" s="2">
        <f t="shared" si="812"/>
        <v>0</v>
      </c>
      <c r="FO41" s="2">
        <f t="shared" si="812"/>
        <v>0</v>
      </c>
      <c r="FP41" s="2">
        <f t="shared" ref="FP41:FQ41" si="813">(CI41*$BT41+DD41*$CO41)/100</f>
        <v>0</v>
      </c>
      <c r="FQ41" s="2">
        <f t="shared" si="813"/>
        <v>0</v>
      </c>
      <c r="FR41" s="2"/>
      <c r="FS41" s="2">
        <f t="shared" si="24"/>
        <v>0</v>
      </c>
      <c r="FT41" s="2">
        <f t="shared" si="25"/>
        <v>0</v>
      </c>
      <c r="FU41" s="39">
        <f t="shared" si="26"/>
        <v>0</v>
      </c>
      <c r="FV41" s="39">
        <f t="shared" ref="FV41:FW41" si="814">FV$1*FC41/1000000</f>
        <v>0</v>
      </c>
      <c r="FW41" s="39">
        <f t="shared" si="814"/>
        <v>0</v>
      </c>
      <c r="FX41" s="39">
        <f t="shared" ref="FX41:GC41" si="815">FX$1*FE41</f>
        <v>0</v>
      </c>
      <c r="FY41" s="39">
        <f t="shared" si="815"/>
        <v>0</v>
      </c>
      <c r="FZ41" s="39">
        <f t="shared" si="815"/>
        <v>0</v>
      </c>
      <c r="GA41" s="39">
        <f t="shared" si="815"/>
        <v>0</v>
      </c>
      <c r="GB41" s="39">
        <f t="shared" si="815"/>
        <v>0</v>
      </c>
      <c r="GC41" s="39">
        <f t="shared" si="815"/>
        <v>0</v>
      </c>
      <c r="GD41" s="39">
        <f t="shared" ref="GD41:GH41" si="816">GD$1*FK41/1000000</f>
        <v>0</v>
      </c>
      <c r="GE41" s="39">
        <f t="shared" si="816"/>
        <v>0</v>
      </c>
      <c r="GF41" s="39">
        <f t="shared" si="816"/>
        <v>0</v>
      </c>
      <c r="GG41" s="39">
        <f t="shared" si="816"/>
        <v>0</v>
      </c>
      <c r="GH41" s="39">
        <f t="shared" si="816"/>
        <v>0</v>
      </c>
      <c r="GI41" s="39">
        <f t="shared" ref="GI41:GJ41" si="817">GI$1*FP41</f>
        <v>0</v>
      </c>
      <c r="GJ41" s="39">
        <f t="shared" si="817"/>
        <v>0</v>
      </c>
      <c r="GK41" s="2"/>
      <c r="GL41" s="39">
        <f t="shared" si="31"/>
        <v>0</v>
      </c>
      <c r="GM41" s="39">
        <f t="shared" si="32"/>
        <v>0</v>
      </c>
      <c r="GN41" s="2" t="s">
        <v>3</v>
      </c>
      <c r="GO41" s="2">
        <f t="shared" si="33"/>
        <v>0.76</v>
      </c>
      <c r="GP41" s="2">
        <f t="shared" si="34"/>
        <v>0.13</v>
      </c>
      <c r="GQ41" s="15">
        <f t="shared" si="35"/>
        <v>0.98799999999999999</v>
      </c>
      <c r="GR41" s="15">
        <f t="shared" si="36"/>
        <v>214.42362810077685</v>
      </c>
      <c r="GS41" s="15">
        <f t="shared" si="37"/>
        <v>282.13635276418006</v>
      </c>
      <c r="GT41" s="2">
        <f t="shared" si="38"/>
        <v>0</v>
      </c>
      <c r="GU41" s="2">
        <f t="shared" si="39"/>
        <v>0</v>
      </c>
      <c r="GV41" s="2">
        <f t="shared" si="40"/>
        <v>0.98799999999999999</v>
      </c>
      <c r="GW41" s="2">
        <f t="shared" si="41"/>
        <v>0</v>
      </c>
      <c r="GX41" s="2"/>
      <c r="GY41" s="2"/>
      <c r="GZ41" s="2"/>
      <c r="HA41" s="2"/>
      <c r="HB41" s="2">
        <f t="shared" si="42"/>
        <v>0</v>
      </c>
      <c r="HC41" s="2">
        <f t="shared" si="43"/>
        <v>0</v>
      </c>
      <c r="HD41" s="2" t="s">
        <v>3</v>
      </c>
      <c r="HE41" s="2" t="s">
        <v>183</v>
      </c>
      <c r="HF41" s="2" t="s">
        <v>567</v>
      </c>
      <c r="HG41" s="2"/>
      <c r="HH41" s="2"/>
      <c r="HI41" s="2" t="s">
        <v>81</v>
      </c>
      <c r="HJ41" s="2" t="s">
        <v>3</v>
      </c>
      <c r="HK41" s="2"/>
      <c r="HL41" s="2" t="s">
        <v>89</v>
      </c>
      <c r="HM41" s="2" t="s">
        <v>81</v>
      </c>
      <c r="HN41" s="3">
        <f t="shared" ref="HN41:HQ41" si="818">HN24+HN26+HN28+HN30+HN32+HN34</f>
        <v>15948.425715648975</v>
      </c>
      <c r="HO41" s="3">
        <f t="shared" si="818"/>
        <v>47680.386863517204</v>
      </c>
      <c r="HP41" s="3">
        <f t="shared" si="818"/>
        <v>34754.613118194269</v>
      </c>
      <c r="HQ41" s="3">
        <f t="shared" si="818"/>
        <v>37624.148229969345</v>
      </c>
      <c r="HR41" s="4">
        <f t="shared" si="781"/>
        <v>0.26149010761921659</v>
      </c>
      <c r="HS41" s="4"/>
      <c r="HT41" s="4"/>
      <c r="HU41" s="3">
        <f t="shared" ref="HU41:HU42" si="819">HU24+HU26+HU28+HU30+HU32+HU34</f>
        <v>98383.425697360421</v>
      </c>
      <c r="HV41" s="15">
        <f t="shared" ref="HV41:HV42" si="820">(HV24*HQ24+HV26*HQ26+HV28*HQ28+HV30*HQ30+HV32*HQ32+HV34*HQ34)/HQ41</f>
        <v>140.91899288301585</v>
      </c>
      <c r="HW41" s="2">
        <f t="shared" ref="HW41:HY41" si="821">HW24+HW26+HW28+HW30+HW32+HW34</f>
        <v>248</v>
      </c>
      <c r="HX41" s="3">
        <f t="shared" si="821"/>
        <v>7905.6853098730107</v>
      </c>
      <c r="HY41" s="3">
        <f t="shared" si="821"/>
        <v>12235.041913598063</v>
      </c>
      <c r="HZ41" s="3">
        <f t="shared" ref="HZ41:HZ42" si="822">SUM(HZ24,HZ26,HZ28,HZ30,HZ32,HZ34)</f>
        <v>5974.2286342451953</v>
      </c>
      <c r="IA41" s="4">
        <f t="shared" ref="IA41:IA43" si="823">100*(IB41/1000)/HZ41</f>
        <v>0.33712682350356216</v>
      </c>
      <c r="IB41" s="3">
        <f t="shared" ref="IB41:IB42" si="824">SUM(IB24,IB26,IB28,IB30,IB32,IB34)</f>
        <v>20140.727223471073</v>
      </c>
      <c r="IC41" s="15">
        <f>(IC24*HZ24+IC26*HZ26+IC28*HZ28+IC30*HZ30+IC32*HZ32)/HZ41</f>
        <v>166.74046803555476</v>
      </c>
      <c r="ID41" s="2">
        <f t="shared" ref="ID41:ID42" si="825">ID24+ID26+ID28+ID30+ID32+ID34</f>
        <v>70</v>
      </c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 t="s">
        <v>3</v>
      </c>
    </row>
    <row r="42" spans="1:268" ht="15.75" customHeight="1" x14ac:dyDescent="0.2">
      <c r="A42" s="21" t="s">
        <v>760</v>
      </c>
      <c r="B42" s="2" t="s">
        <v>99</v>
      </c>
      <c r="C42" s="2"/>
      <c r="D42" s="2"/>
      <c r="E42" s="2"/>
      <c r="F42" s="2" t="s">
        <v>79</v>
      </c>
      <c r="G42" s="2"/>
      <c r="H42" s="2"/>
      <c r="I42" s="2">
        <v>0</v>
      </c>
      <c r="J42" s="4"/>
      <c r="K42" s="2"/>
      <c r="L42" s="2"/>
      <c r="M42" s="2"/>
      <c r="N42" s="2"/>
      <c r="O42" s="2"/>
      <c r="P42" s="2"/>
      <c r="Q42" s="4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>
        <v>0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>
        <v>0.2</v>
      </c>
      <c r="AZ42" s="2">
        <v>0.5</v>
      </c>
      <c r="BA42" s="2"/>
      <c r="BB42" s="2"/>
      <c r="BC42" s="2"/>
      <c r="BD42" s="2"/>
      <c r="BE42" s="2"/>
      <c r="BF42" s="2"/>
      <c r="BG42" s="2">
        <v>0.15</v>
      </c>
      <c r="BH42" s="2">
        <v>0.04</v>
      </c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>
        <v>0</v>
      </c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>
        <v>0</v>
      </c>
      <c r="CP42" s="4"/>
      <c r="CQ42" s="2"/>
      <c r="CR42" s="2"/>
      <c r="CS42" s="2"/>
      <c r="CT42" s="2"/>
      <c r="CU42" s="2"/>
      <c r="CV42" s="2"/>
      <c r="CW42" s="4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 t="s">
        <v>100</v>
      </c>
      <c r="DK42" s="2" t="s">
        <v>100</v>
      </c>
      <c r="DL42" s="2">
        <f t="shared" si="3"/>
        <v>0.15</v>
      </c>
      <c r="DM42" s="2">
        <f t="shared" si="4"/>
        <v>0.04</v>
      </c>
      <c r="DN42" s="2" t="s">
        <v>126</v>
      </c>
      <c r="DO42" s="2" t="s">
        <v>3</v>
      </c>
      <c r="DP42" s="2">
        <f t="shared" si="5"/>
        <v>1E-3</v>
      </c>
      <c r="DQ42" s="2">
        <f t="shared" ref="DQ42:DR42" si="826">K42*$I42+AF42*$AD42+BA42*$AY42</f>
        <v>0</v>
      </c>
      <c r="DR42" s="2">
        <f t="shared" si="826"/>
        <v>0</v>
      </c>
      <c r="DS42" s="2">
        <f t="shared" ref="DS42:DX42" si="827">(M42*$I42+AH42*$AD42+BC42*$AY42)/100</f>
        <v>0</v>
      </c>
      <c r="DT42" s="2">
        <f t="shared" si="827"/>
        <v>0</v>
      </c>
      <c r="DU42" s="2">
        <f t="shared" si="827"/>
        <v>0</v>
      </c>
      <c r="DV42" s="2">
        <f t="shared" si="827"/>
        <v>0</v>
      </c>
      <c r="DW42" s="2">
        <f t="shared" si="827"/>
        <v>2.9999999999999997E-4</v>
      </c>
      <c r="DX42" s="2">
        <f t="shared" si="827"/>
        <v>8.0000000000000007E-5</v>
      </c>
      <c r="DY42" s="2">
        <f t="shared" ref="DY42:EC42" si="828">S42*$I42+AN42*$AD42+BI42*$AY42</f>
        <v>0</v>
      </c>
      <c r="DZ42" s="2">
        <f t="shared" si="828"/>
        <v>0</v>
      </c>
      <c r="EA42" s="2">
        <f t="shared" si="828"/>
        <v>0</v>
      </c>
      <c r="EB42" s="2">
        <f t="shared" si="828"/>
        <v>0</v>
      </c>
      <c r="EC42" s="2">
        <f t="shared" si="828"/>
        <v>0</v>
      </c>
      <c r="ED42" s="2">
        <f t="shared" ref="ED42:EE42" si="829">(X42*$I42+AS42*$AD42+BN42*$AY42)/100</f>
        <v>0</v>
      </c>
      <c r="EE42" s="2">
        <f t="shared" si="829"/>
        <v>0</v>
      </c>
      <c r="EF42" s="2"/>
      <c r="EG42" s="2">
        <f t="shared" si="10"/>
        <v>0</v>
      </c>
      <c r="EH42" s="2">
        <f t="shared" si="11"/>
        <v>0</v>
      </c>
      <c r="EI42" s="39">
        <f t="shared" si="12"/>
        <v>6.5256160000000003</v>
      </c>
      <c r="EJ42" s="39">
        <f t="shared" ref="EJ42:EK42" si="830">EJ$1*DQ42/1000000</f>
        <v>0</v>
      </c>
      <c r="EK42" s="39">
        <f t="shared" si="830"/>
        <v>0</v>
      </c>
      <c r="EL42" s="39">
        <f t="shared" ref="EL42:EQ42" si="831">EL$1*DS42</f>
        <v>0</v>
      </c>
      <c r="EM42" s="39">
        <f t="shared" si="831"/>
        <v>0</v>
      </c>
      <c r="EN42" s="39">
        <f t="shared" si="831"/>
        <v>0</v>
      </c>
      <c r="EO42" s="39">
        <f t="shared" si="831"/>
        <v>0</v>
      </c>
      <c r="EP42" s="39">
        <f t="shared" si="831"/>
        <v>3.9341999999999997</v>
      </c>
      <c r="EQ42" s="39">
        <f t="shared" si="831"/>
        <v>5.8095619199999993</v>
      </c>
      <c r="ER42" s="39">
        <f t="shared" ref="ER42:EV42" si="832">ER$1*DY42/1000000</f>
        <v>0</v>
      </c>
      <c r="ES42" s="39">
        <f t="shared" si="832"/>
        <v>0</v>
      </c>
      <c r="ET42" s="39">
        <f t="shared" si="832"/>
        <v>0</v>
      </c>
      <c r="EU42" s="39">
        <f t="shared" si="832"/>
        <v>0</v>
      </c>
      <c r="EV42" s="39">
        <f t="shared" si="832"/>
        <v>0</v>
      </c>
      <c r="EW42" s="39">
        <f t="shared" ref="EW42:EX42" si="833">EW$1*ED42</f>
        <v>0</v>
      </c>
      <c r="EX42" s="39">
        <f t="shared" si="833"/>
        <v>0</v>
      </c>
      <c r="EY42" s="2"/>
      <c r="EZ42" s="39">
        <f t="shared" si="17"/>
        <v>0</v>
      </c>
      <c r="FA42" s="39">
        <f t="shared" si="18"/>
        <v>0</v>
      </c>
      <c r="FB42" s="2">
        <f t="shared" si="19"/>
        <v>0</v>
      </c>
      <c r="FC42" s="2">
        <f t="shared" ref="FC42:FD42" si="834">BV42*$BT42+CQ42*$CO42</f>
        <v>0</v>
      </c>
      <c r="FD42" s="2">
        <f t="shared" si="834"/>
        <v>0</v>
      </c>
      <c r="FE42" s="2">
        <f t="shared" ref="FE42:FJ42" si="835">(BX42*$BT42+CS42*$CO42)/100</f>
        <v>0</v>
      </c>
      <c r="FF42" s="2">
        <f t="shared" si="835"/>
        <v>0</v>
      </c>
      <c r="FG42" s="2">
        <f t="shared" si="835"/>
        <v>0</v>
      </c>
      <c r="FH42" s="2">
        <f t="shared" si="835"/>
        <v>0</v>
      </c>
      <c r="FI42" s="2">
        <f t="shared" si="835"/>
        <v>0</v>
      </c>
      <c r="FJ42" s="2">
        <f t="shared" si="835"/>
        <v>0</v>
      </c>
      <c r="FK42" s="2">
        <f t="shared" ref="FK42:FO42" si="836">CD42*$BT42+CY42*$CO42</f>
        <v>0</v>
      </c>
      <c r="FL42" s="2">
        <f t="shared" si="836"/>
        <v>0</v>
      </c>
      <c r="FM42" s="2">
        <f t="shared" si="836"/>
        <v>0</v>
      </c>
      <c r="FN42" s="2">
        <f t="shared" si="836"/>
        <v>0</v>
      </c>
      <c r="FO42" s="2">
        <f t="shared" si="836"/>
        <v>0</v>
      </c>
      <c r="FP42" s="2">
        <f t="shared" ref="FP42:FQ42" si="837">(CI42*$BT42+DD42*$CO42)/100</f>
        <v>0</v>
      </c>
      <c r="FQ42" s="2">
        <f t="shared" si="837"/>
        <v>0</v>
      </c>
      <c r="FR42" s="2"/>
      <c r="FS42" s="2">
        <f t="shared" si="24"/>
        <v>0</v>
      </c>
      <c r="FT42" s="2">
        <f t="shared" si="25"/>
        <v>0</v>
      </c>
      <c r="FU42" s="39">
        <f t="shared" si="26"/>
        <v>0</v>
      </c>
      <c r="FV42" s="39">
        <f t="shared" ref="FV42:FW42" si="838">FV$1*FC42/1000000</f>
        <v>0</v>
      </c>
      <c r="FW42" s="39">
        <f t="shared" si="838"/>
        <v>0</v>
      </c>
      <c r="FX42" s="39">
        <f t="shared" ref="FX42:GC42" si="839">FX$1*FE42</f>
        <v>0</v>
      </c>
      <c r="FY42" s="39">
        <f t="shared" si="839"/>
        <v>0</v>
      </c>
      <c r="FZ42" s="39">
        <f t="shared" si="839"/>
        <v>0</v>
      </c>
      <c r="GA42" s="39">
        <f t="shared" si="839"/>
        <v>0</v>
      </c>
      <c r="GB42" s="39">
        <f t="shared" si="839"/>
        <v>0</v>
      </c>
      <c r="GC42" s="39">
        <f t="shared" si="839"/>
        <v>0</v>
      </c>
      <c r="GD42" s="39">
        <f t="shared" ref="GD42:GH42" si="840">GD$1*FK42/1000000</f>
        <v>0</v>
      </c>
      <c r="GE42" s="39">
        <f t="shared" si="840"/>
        <v>0</v>
      </c>
      <c r="GF42" s="39">
        <f t="shared" si="840"/>
        <v>0</v>
      </c>
      <c r="GG42" s="39">
        <f t="shared" si="840"/>
        <v>0</v>
      </c>
      <c r="GH42" s="39">
        <f t="shared" si="840"/>
        <v>0</v>
      </c>
      <c r="GI42" s="39">
        <f t="shared" ref="GI42:GJ42" si="841">GI$1*FP42</f>
        <v>0</v>
      </c>
      <c r="GJ42" s="39">
        <f t="shared" si="841"/>
        <v>0</v>
      </c>
      <c r="GK42" s="2"/>
      <c r="GL42" s="39">
        <f t="shared" si="31"/>
        <v>0</v>
      </c>
      <c r="GM42" s="39">
        <f t="shared" si="32"/>
        <v>0</v>
      </c>
      <c r="GN42" s="2" t="s">
        <v>3</v>
      </c>
      <c r="GO42" s="2">
        <f t="shared" si="33"/>
        <v>0.2</v>
      </c>
      <c r="GP42" s="2">
        <f t="shared" si="34"/>
        <v>0.15</v>
      </c>
      <c r="GQ42" s="15">
        <f t="shared" si="35"/>
        <v>0.3</v>
      </c>
      <c r="GR42" s="15">
        <f t="shared" si="36"/>
        <v>16.26937792</v>
      </c>
      <c r="GS42" s="15">
        <f t="shared" si="37"/>
        <v>81.346889599999997</v>
      </c>
      <c r="GT42" s="2">
        <f t="shared" si="38"/>
        <v>0</v>
      </c>
      <c r="GU42" s="2">
        <f t="shared" si="39"/>
        <v>0</v>
      </c>
      <c r="GV42" s="2">
        <f t="shared" si="40"/>
        <v>0.3</v>
      </c>
      <c r="GW42" s="2">
        <f t="shared" si="41"/>
        <v>0</v>
      </c>
      <c r="GX42" s="2"/>
      <c r="GY42" s="2"/>
      <c r="GZ42" s="2"/>
      <c r="HA42" s="2"/>
      <c r="HB42" s="2">
        <f t="shared" si="42"/>
        <v>0</v>
      </c>
      <c r="HC42" s="2">
        <f t="shared" si="43"/>
        <v>0</v>
      </c>
      <c r="HD42" s="2" t="s">
        <v>3</v>
      </c>
      <c r="HE42" s="2" t="s">
        <v>183</v>
      </c>
      <c r="HF42" s="2" t="s">
        <v>567</v>
      </c>
      <c r="HG42" s="2"/>
      <c r="HH42" s="2"/>
      <c r="HI42" s="2" t="s">
        <v>100</v>
      </c>
      <c r="HJ42" s="2" t="s">
        <v>3</v>
      </c>
      <c r="HK42" s="2"/>
      <c r="HL42" s="2" t="s">
        <v>89</v>
      </c>
      <c r="HM42" s="2" t="s">
        <v>100</v>
      </c>
      <c r="HN42" s="2">
        <f t="shared" ref="HN42:HQ42" si="842">HN25+HN27+HN29+HN31+HN33+HN35</f>
        <v>0</v>
      </c>
      <c r="HO42" s="2">
        <f t="shared" si="842"/>
        <v>0</v>
      </c>
      <c r="HP42" s="3">
        <f t="shared" si="842"/>
        <v>25718.839695899223</v>
      </c>
      <c r="HQ42" s="3">
        <f t="shared" si="842"/>
        <v>7606.4801174630193</v>
      </c>
      <c r="HR42" s="4">
        <f t="shared" si="781"/>
        <v>0.33811749059665192</v>
      </c>
      <c r="HS42" s="4"/>
      <c r="HT42" s="4"/>
      <c r="HU42" s="3">
        <f t="shared" si="819"/>
        <v>25718.839695899223</v>
      </c>
      <c r="HV42" s="15">
        <f t="shared" si="820"/>
        <v>65.075651648208776</v>
      </c>
      <c r="HW42" s="2">
        <f t="shared" ref="HW42:HY42" si="843">HW25+HW27+HW29+HW31+HW33+HW35</f>
        <v>93</v>
      </c>
      <c r="HX42" s="2">
        <f t="shared" si="843"/>
        <v>0</v>
      </c>
      <c r="HY42" s="2">
        <f t="shared" si="843"/>
        <v>0.6</v>
      </c>
      <c r="HZ42" s="2">
        <f t="shared" si="822"/>
        <v>5.9999999999999991E-2</v>
      </c>
      <c r="IA42" s="4">
        <f t="shared" si="823"/>
        <v>1.0000000000000002</v>
      </c>
      <c r="IB42" s="2">
        <f t="shared" si="824"/>
        <v>0.6</v>
      </c>
      <c r="IC42" s="15">
        <f>IC33</f>
        <v>1000.4863654019292</v>
      </c>
      <c r="ID42" s="2">
        <f t="shared" si="825"/>
        <v>1</v>
      </c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 t="s">
        <v>3</v>
      </c>
    </row>
    <row r="43" spans="1:268" ht="15.75" customHeight="1" x14ac:dyDescent="0.2">
      <c r="A43" s="21" t="s">
        <v>995</v>
      </c>
      <c r="B43" s="2" t="s">
        <v>99</v>
      </c>
      <c r="C43" s="2"/>
      <c r="D43" s="2"/>
      <c r="E43" s="2"/>
      <c r="F43" s="2" t="s">
        <v>79</v>
      </c>
      <c r="G43" s="2"/>
      <c r="H43" s="2"/>
      <c r="I43" s="2">
        <v>0</v>
      </c>
      <c r="J43" s="4"/>
      <c r="K43" s="2"/>
      <c r="L43" s="2"/>
      <c r="M43" s="2"/>
      <c r="N43" s="2"/>
      <c r="O43" s="2"/>
      <c r="P43" s="2"/>
      <c r="Q43" s="4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>
        <v>0</v>
      </c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>
        <v>1.3240000000000001</v>
      </c>
      <c r="AZ43" s="2">
        <v>2.15</v>
      </c>
      <c r="BA43" s="2"/>
      <c r="BB43" s="2"/>
      <c r="BC43" s="2"/>
      <c r="BD43" s="2"/>
      <c r="BE43" s="2"/>
      <c r="BF43" s="2">
        <v>1.89</v>
      </c>
      <c r="BG43" s="2">
        <v>0.14000000000000001</v>
      </c>
      <c r="BH43" s="2">
        <v>0.15</v>
      </c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>
        <v>0</v>
      </c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>
        <v>0</v>
      </c>
      <c r="CP43" s="4"/>
      <c r="CQ43" s="2"/>
      <c r="CR43" s="2"/>
      <c r="CS43" s="2"/>
      <c r="CT43" s="2"/>
      <c r="CU43" s="2"/>
      <c r="CV43" s="2"/>
      <c r="CW43" s="4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 t="s">
        <v>100</v>
      </c>
      <c r="DK43" s="2" t="s">
        <v>100</v>
      </c>
      <c r="DL43" s="2">
        <f t="shared" si="3"/>
        <v>0.14000000000000001</v>
      </c>
      <c r="DM43" s="2">
        <f t="shared" si="4"/>
        <v>0.15</v>
      </c>
      <c r="DN43" s="2" t="s">
        <v>126</v>
      </c>
      <c r="DO43" s="2" t="s">
        <v>3</v>
      </c>
      <c r="DP43" s="2">
        <f t="shared" si="5"/>
        <v>2.8466000000000002E-2</v>
      </c>
      <c r="DQ43" s="2">
        <f t="shared" ref="DQ43:DR43" si="844">K43*$I43+AF43*$AD43+BA43*$AY43</f>
        <v>0</v>
      </c>
      <c r="DR43" s="2">
        <f t="shared" si="844"/>
        <v>0</v>
      </c>
      <c r="DS43" s="2">
        <f t="shared" ref="DS43:DX43" si="845">(M43*$I43+AH43*$AD43+BC43*$AY43)/100</f>
        <v>0</v>
      </c>
      <c r="DT43" s="2">
        <f t="shared" si="845"/>
        <v>0</v>
      </c>
      <c r="DU43" s="2">
        <f t="shared" si="845"/>
        <v>0</v>
      </c>
      <c r="DV43" s="2">
        <f t="shared" si="845"/>
        <v>2.50236E-2</v>
      </c>
      <c r="DW43" s="2">
        <f t="shared" si="845"/>
        <v>1.8536000000000002E-3</v>
      </c>
      <c r="DX43" s="2">
        <f t="shared" si="845"/>
        <v>1.9859999999999999E-3</v>
      </c>
      <c r="DY43" s="2">
        <f t="shared" ref="DY43:EC43" si="846">S43*$I43+AN43*$AD43+BI43*$AY43</f>
        <v>0</v>
      </c>
      <c r="DZ43" s="2">
        <f t="shared" si="846"/>
        <v>0</v>
      </c>
      <c r="EA43" s="2">
        <f t="shared" si="846"/>
        <v>0</v>
      </c>
      <c r="EB43" s="2">
        <f t="shared" si="846"/>
        <v>0</v>
      </c>
      <c r="EC43" s="2">
        <f t="shared" si="846"/>
        <v>0</v>
      </c>
      <c r="ED43" s="2">
        <f t="shared" ref="ED43:EE43" si="847">(X43*$I43+AS43*$AD43+BN43*$AY43)/100</f>
        <v>0</v>
      </c>
      <c r="EE43" s="2">
        <f t="shared" si="847"/>
        <v>0</v>
      </c>
      <c r="EF43" s="2"/>
      <c r="EG43" s="2">
        <f t="shared" si="10"/>
        <v>0</v>
      </c>
      <c r="EH43" s="2">
        <f t="shared" si="11"/>
        <v>0</v>
      </c>
      <c r="EI43" s="39">
        <f t="shared" si="12"/>
        <v>185.758185056</v>
      </c>
      <c r="EJ43" s="39">
        <f t="shared" ref="EJ43:EK43" si="848">EJ$1*DQ43/1000000</f>
        <v>0</v>
      </c>
      <c r="EK43" s="39">
        <f t="shared" si="848"/>
        <v>0</v>
      </c>
      <c r="EL43" s="39">
        <f t="shared" ref="EL43:EQ43" si="849">EL$1*DS43</f>
        <v>0</v>
      </c>
      <c r="EM43" s="39">
        <f t="shared" si="849"/>
        <v>0</v>
      </c>
      <c r="EN43" s="39">
        <f t="shared" si="849"/>
        <v>0</v>
      </c>
      <c r="EO43" s="39">
        <f t="shared" si="849"/>
        <v>73.206646899120003</v>
      </c>
      <c r="EP43" s="39">
        <f t="shared" si="849"/>
        <v>24.308110400000004</v>
      </c>
      <c r="EQ43" s="39">
        <f t="shared" si="849"/>
        <v>144.22237466399997</v>
      </c>
      <c r="ER43" s="39">
        <f t="shared" ref="ER43:EV43" si="850">ER$1*DY43/1000000</f>
        <v>0</v>
      </c>
      <c r="ES43" s="39">
        <f t="shared" si="850"/>
        <v>0</v>
      </c>
      <c r="ET43" s="39">
        <f t="shared" si="850"/>
        <v>0</v>
      </c>
      <c r="EU43" s="39">
        <f t="shared" si="850"/>
        <v>0</v>
      </c>
      <c r="EV43" s="39">
        <f t="shared" si="850"/>
        <v>0</v>
      </c>
      <c r="EW43" s="39">
        <f t="shared" ref="EW43:EX43" si="851">EW$1*ED43</f>
        <v>0</v>
      </c>
      <c r="EX43" s="39">
        <f t="shared" si="851"/>
        <v>0</v>
      </c>
      <c r="EY43" s="2"/>
      <c r="EZ43" s="39">
        <f t="shared" si="17"/>
        <v>0</v>
      </c>
      <c r="FA43" s="39">
        <f t="shared" si="18"/>
        <v>0</v>
      </c>
      <c r="FB43" s="2">
        <f t="shared" si="19"/>
        <v>0</v>
      </c>
      <c r="FC43" s="2">
        <f t="shared" ref="FC43:FD43" si="852">BV43*$BT43+CQ43*$CO43</f>
        <v>0</v>
      </c>
      <c r="FD43" s="2">
        <f t="shared" si="852"/>
        <v>0</v>
      </c>
      <c r="FE43" s="2">
        <f t="shared" ref="FE43:FJ43" si="853">(BX43*$BT43+CS43*$CO43)/100</f>
        <v>0</v>
      </c>
      <c r="FF43" s="2">
        <f t="shared" si="853"/>
        <v>0</v>
      </c>
      <c r="FG43" s="2">
        <f t="shared" si="853"/>
        <v>0</v>
      </c>
      <c r="FH43" s="2">
        <f t="shared" si="853"/>
        <v>0</v>
      </c>
      <c r="FI43" s="2">
        <f t="shared" si="853"/>
        <v>0</v>
      </c>
      <c r="FJ43" s="2">
        <f t="shared" si="853"/>
        <v>0</v>
      </c>
      <c r="FK43" s="2">
        <f t="shared" ref="FK43:FO43" si="854">CD43*$BT43+CY43*$CO43</f>
        <v>0</v>
      </c>
      <c r="FL43" s="2">
        <f t="shared" si="854"/>
        <v>0</v>
      </c>
      <c r="FM43" s="2">
        <f t="shared" si="854"/>
        <v>0</v>
      </c>
      <c r="FN43" s="2">
        <f t="shared" si="854"/>
        <v>0</v>
      </c>
      <c r="FO43" s="2">
        <f t="shared" si="854"/>
        <v>0</v>
      </c>
      <c r="FP43" s="2">
        <f t="shared" ref="FP43:FQ43" si="855">(CI43*$BT43+DD43*$CO43)/100</f>
        <v>0</v>
      </c>
      <c r="FQ43" s="2">
        <f t="shared" si="855"/>
        <v>0</v>
      </c>
      <c r="FR43" s="2"/>
      <c r="FS43" s="2">
        <f t="shared" si="24"/>
        <v>0</v>
      </c>
      <c r="FT43" s="2">
        <f t="shared" si="25"/>
        <v>0</v>
      </c>
      <c r="FU43" s="39">
        <f t="shared" si="26"/>
        <v>0</v>
      </c>
      <c r="FV43" s="39">
        <f t="shared" ref="FV43:FW43" si="856">FV$1*FC43/1000000</f>
        <v>0</v>
      </c>
      <c r="FW43" s="39">
        <f t="shared" si="856"/>
        <v>0</v>
      </c>
      <c r="FX43" s="39">
        <f t="shared" ref="FX43:GC43" si="857">FX$1*FE43</f>
        <v>0</v>
      </c>
      <c r="FY43" s="39">
        <f t="shared" si="857"/>
        <v>0</v>
      </c>
      <c r="FZ43" s="39">
        <f t="shared" si="857"/>
        <v>0</v>
      </c>
      <c r="GA43" s="39">
        <f t="shared" si="857"/>
        <v>0</v>
      </c>
      <c r="GB43" s="39">
        <f t="shared" si="857"/>
        <v>0</v>
      </c>
      <c r="GC43" s="39">
        <f t="shared" si="857"/>
        <v>0</v>
      </c>
      <c r="GD43" s="39">
        <f t="shared" ref="GD43:GH43" si="858">GD$1*FK43/1000000</f>
        <v>0</v>
      </c>
      <c r="GE43" s="39">
        <f t="shared" si="858"/>
        <v>0</v>
      </c>
      <c r="GF43" s="39">
        <f t="shared" si="858"/>
        <v>0</v>
      </c>
      <c r="GG43" s="39">
        <f t="shared" si="858"/>
        <v>0</v>
      </c>
      <c r="GH43" s="39">
        <f t="shared" si="858"/>
        <v>0</v>
      </c>
      <c r="GI43" s="39">
        <f t="shared" ref="GI43:GJ43" si="859">GI$1*FP43</f>
        <v>0</v>
      </c>
      <c r="GJ43" s="39">
        <f t="shared" si="859"/>
        <v>0</v>
      </c>
      <c r="GK43" s="2"/>
      <c r="GL43" s="39">
        <f t="shared" si="31"/>
        <v>0</v>
      </c>
      <c r="GM43" s="39">
        <f t="shared" si="32"/>
        <v>0</v>
      </c>
      <c r="GN43" s="2" t="s">
        <v>3</v>
      </c>
      <c r="GO43" s="2">
        <f t="shared" si="33"/>
        <v>1.3240000000000001</v>
      </c>
      <c r="GP43" s="2">
        <f t="shared" si="34"/>
        <v>0.14000000000000001</v>
      </c>
      <c r="GQ43" s="15">
        <f t="shared" si="35"/>
        <v>1.8536000000000001</v>
      </c>
      <c r="GR43" s="15">
        <f t="shared" si="36"/>
        <v>427.49531701911997</v>
      </c>
      <c r="GS43" s="15">
        <f t="shared" si="37"/>
        <v>322.88165937999997</v>
      </c>
      <c r="GT43" s="2">
        <f t="shared" si="38"/>
        <v>0</v>
      </c>
      <c r="GU43" s="2">
        <f t="shared" si="39"/>
        <v>0</v>
      </c>
      <c r="GV43" s="2">
        <f t="shared" si="40"/>
        <v>1.8536000000000001</v>
      </c>
      <c r="GW43" s="2">
        <f t="shared" si="41"/>
        <v>0</v>
      </c>
      <c r="GX43" s="2"/>
      <c r="GY43" s="2"/>
      <c r="GZ43" s="2"/>
      <c r="HA43" s="2"/>
      <c r="HB43" s="2">
        <f t="shared" si="42"/>
        <v>0</v>
      </c>
      <c r="HC43" s="2">
        <f t="shared" si="43"/>
        <v>0</v>
      </c>
      <c r="HD43" s="2" t="s">
        <v>3</v>
      </c>
      <c r="HE43" s="2" t="s">
        <v>183</v>
      </c>
      <c r="HF43" s="2" t="s">
        <v>567</v>
      </c>
      <c r="HG43" s="2"/>
      <c r="HH43" s="2"/>
      <c r="HI43" s="2" t="s">
        <v>100</v>
      </c>
      <c r="HJ43" s="2" t="s">
        <v>3</v>
      </c>
      <c r="HK43" s="2"/>
      <c r="HL43" s="2" t="s">
        <v>183</v>
      </c>
      <c r="HM43" s="2" t="s">
        <v>81</v>
      </c>
      <c r="HN43" s="15">
        <f t="shared" ref="HN43:HQ43" si="860">HN5+HN6+HN8+HN10+HN12+HN13+HN14+HN16</f>
        <v>325.5154</v>
      </c>
      <c r="HO43" s="3">
        <f t="shared" si="860"/>
        <v>4563.485509600001</v>
      </c>
      <c r="HP43" s="3">
        <f t="shared" si="860"/>
        <v>21269.091973230003</v>
      </c>
      <c r="HQ43" s="3">
        <f t="shared" si="860"/>
        <v>16552.564834999997</v>
      </c>
      <c r="HR43" s="4">
        <f t="shared" si="781"/>
        <v>0.15803045113298303</v>
      </c>
      <c r="HS43" s="4"/>
      <c r="HT43" s="4"/>
      <c r="HU43" s="3">
        <f>HU5+HU6+HU8+HU10+HU12+HU13+HU14+HU16</f>
        <v>26158.092882830006</v>
      </c>
      <c r="HV43" s="15">
        <f>(HV5*HQ5+HV6*HQ6+HV8*HQ8+HV10*HQ10+HV12*HQ12+HV13*HQ13+HV14*HQ14+HV16*HQ16)/HQ43</f>
        <v>80.125246034772175</v>
      </c>
      <c r="HW43" s="2">
        <f t="shared" ref="HW43:HY43" si="861">HW5+HW6+HW8+HW10+HW12+HW13+HW14+HW16</f>
        <v>33</v>
      </c>
      <c r="HX43" s="15">
        <f t="shared" si="861"/>
        <v>77.644600000000011</v>
      </c>
      <c r="HY43" s="15">
        <f t="shared" si="861"/>
        <v>934.04110000000003</v>
      </c>
      <c r="HZ43" s="15">
        <f>SUM(HZ5,HZ6,HZ8,HZ10,HZ12,HZ13,HZ14,HZ16)</f>
        <v>125.73599999999999</v>
      </c>
      <c r="IA43" s="4">
        <f t="shared" si="823"/>
        <v>0.80461101037093608</v>
      </c>
      <c r="IB43" s="3">
        <f>SUM(IB5,IB6,IB8,IB10,IB12,IB13,IB14,IB16)</f>
        <v>1011.6857000000001</v>
      </c>
      <c r="IC43" s="15">
        <f>(IC10*HZ10+IC14*HZ14+IC16*HZ16)/HZ43</f>
        <v>130.77174451594459</v>
      </c>
      <c r="ID43" s="2">
        <f>ID5+ID6+ID8+ID10+ID12+ID13+ID14+ID16</f>
        <v>3</v>
      </c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 t="s">
        <v>3</v>
      </c>
    </row>
    <row r="44" spans="1:268" ht="15.75" customHeight="1" x14ac:dyDescent="0.2">
      <c r="A44" s="21" t="s">
        <v>1049</v>
      </c>
      <c r="B44" s="2" t="s">
        <v>99</v>
      </c>
      <c r="C44" s="2"/>
      <c r="D44" s="2"/>
      <c r="E44" s="2"/>
      <c r="F44" s="2" t="s">
        <v>79</v>
      </c>
      <c r="G44" s="2"/>
      <c r="H44" s="2"/>
      <c r="I44" s="2">
        <v>0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>
        <v>0</v>
      </c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>
        <v>0.7</v>
      </c>
      <c r="AZ44" s="2">
        <v>0.72</v>
      </c>
      <c r="BA44" s="2">
        <v>0.3</v>
      </c>
      <c r="BB44" s="2">
        <v>6</v>
      </c>
      <c r="BC44" s="2"/>
      <c r="BD44" s="2"/>
      <c r="BE44" s="2"/>
      <c r="BF44" s="2">
        <v>0.09</v>
      </c>
      <c r="BG44" s="2">
        <v>0.03</v>
      </c>
      <c r="BH44" s="2">
        <v>0.09</v>
      </c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>
        <v>0</v>
      </c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>
        <v>0</v>
      </c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 t="s">
        <v>100</v>
      </c>
      <c r="DK44" s="2" t="s">
        <v>100</v>
      </c>
      <c r="DL44" s="2">
        <f t="shared" si="3"/>
        <v>0.03</v>
      </c>
      <c r="DM44" s="2">
        <f t="shared" si="4"/>
        <v>9.0000000000000011E-2</v>
      </c>
      <c r="DN44" s="2" t="s">
        <v>126</v>
      </c>
      <c r="DO44" s="2" t="s">
        <v>3</v>
      </c>
      <c r="DP44" s="2">
        <f t="shared" si="5"/>
        <v>5.0400000000000002E-3</v>
      </c>
      <c r="DQ44" s="2">
        <f t="shared" ref="DQ44:DR44" si="862">K44*$I44+AF44*$AD44+BA44*$AY44</f>
        <v>0.21</v>
      </c>
      <c r="DR44" s="2">
        <f t="shared" si="862"/>
        <v>4.1999999999999993</v>
      </c>
      <c r="DS44" s="2">
        <f t="shared" ref="DS44:DX44" si="863">(M44*$I44+AH44*$AD44+BC44*$AY44)/100</f>
        <v>0</v>
      </c>
      <c r="DT44" s="2">
        <f t="shared" si="863"/>
        <v>0</v>
      </c>
      <c r="DU44" s="2">
        <f t="shared" si="863"/>
        <v>0</v>
      </c>
      <c r="DV44" s="2">
        <f t="shared" si="863"/>
        <v>6.3000000000000003E-4</v>
      </c>
      <c r="DW44" s="2">
        <f t="shared" si="863"/>
        <v>2.0999999999999998E-4</v>
      </c>
      <c r="DX44" s="2">
        <f t="shared" si="863"/>
        <v>6.3000000000000003E-4</v>
      </c>
      <c r="DY44" s="2">
        <f t="shared" ref="DY44:EC44" si="864">S44*$I44+AN44*$AD44+BI44*$AY44</f>
        <v>0</v>
      </c>
      <c r="DZ44" s="2">
        <f t="shared" si="864"/>
        <v>0</v>
      </c>
      <c r="EA44" s="2">
        <f t="shared" si="864"/>
        <v>0</v>
      </c>
      <c r="EB44" s="2">
        <f t="shared" si="864"/>
        <v>0</v>
      </c>
      <c r="EC44" s="2">
        <f t="shared" si="864"/>
        <v>0</v>
      </c>
      <c r="ED44" s="2">
        <f t="shared" ref="ED44:EE44" si="865">(X44*$I44+AS44*$AD44+BN44*$AY44)/100</f>
        <v>0</v>
      </c>
      <c r="EE44" s="2">
        <f t="shared" si="865"/>
        <v>0</v>
      </c>
      <c r="EF44" s="2"/>
      <c r="EG44" s="2">
        <f t="shared" si="10"/>
        <v>0</v>
      </c>
      <c r="EH44" s="2">
        <f t="shared" si="11"/>
        <v>0</v>
      </c>
      <c r="EI44" s="39">
        <f t="shared" si="12"/>
        <v>32.889104639999999</v>
      </c>
      <c r="EJ44" s="39">
        <f t="shared" ref="EJ44:EK44" si="866">EJ$1*DQ44/1000000</f>
        <v>8.5890675241157535</v>
      </c>
      <c r="EK44" s="39">
        <f t="shared" si="866"/>
        <v>2.1270096463022501</v>
      </c>
      <c r="EL44" s="39">
        <f t="shared" ref="EL44:EQ44" si="867">EL$1*DS44</f>
        <v>0</v>
      </c>
      <c r="EM44" s="39">
        <f t="shared" si="867"/>
        <v>0</v>
      </c>
      <c r="EN44" s="39">
        <f t="shared" si="867"/>
        <v>0</v>
      </c>
      <c r="EO44" s="39">
        <f t="shared" si="867"/>
        <v>1.8430676459999999</v>
      </c>
      <c r="EP44" s="39">
        <f t="shared" si="867"/>
        <v>2.7539399999999996</v>
      </c>
      <c r="EQ44" s="39">
        <f t="shared" si="867"/>
        <v>45.750300119999999</v>
      </c>
      <c r="ER44" s="39">
        <f t="shared" ref="ER44:EV44" si="868">ER$1*DY44/1000000</f>
        <v>0</v>
      </c>
      <c r="ES44" s="39">
        <f t="shared" si="868"/>
        <v>0</v>
      </c>
      <c r="ET44" s="39">
        <f t="shared" si="868"/>
        <v>0</v>
      </c>
      <c r="EU44" s="39">
        <f t="shared" si="868"/>
        <v>0</v>
      </c>
      <c r="EV44" s="39">
        <f t="shared" si="868"/>
        <v>0</v>
      </c>
      <c r="EW44" s="39">
        <f t="shared" ref="EW44:EX44" si="869">EW$1*ED44</f>
        <v>0</v>
      </c>
      <c r="EX44" s="39">
        <f t="shared" si="869"/>
        <v>0</v>
      </c>
      <c r="EY44" s="2"/>
      <c r="EZ44" s="39">
        <f t="shared" si="17"/>
        <v>0</v>
      </c>
      <c r="FA44" s="39">
        <f t="shared" si="18"/>
        <v>0</v>
      </c>
      <c r="FB44" s="2">
        <f t="shared" si="19"/>
        <v>0</v>
      </c>
      <c r="FC44" s="2">
        <f t="shared" ref="FC44:FD44" si="870">BV44*$BT44+CQ44*$CO44</f>
        <v>0</v>
      </c>
      <c r="FD44" s="2">
        <f t="shared" si="870"/>
        <v>0</v>
      </c>
      <c r="FE44" s="2">
        <f t="shared" ref="FE44:FJ44" si="871">(BX44*$BT44+CS44*$CO44)/100</f>
        <v>0</v>
      </c>
      <c r="FF44" s="2">
        <f t="shared" si="871"/>
        <v>0</v>
      </c>
      <c r="FG44" s="2">
        <f t="shared" si="871"/>
        <v>0</v>
      </c>
      <c r="FH44" s="2">
        <f t="shared" si="871"/>
        <v>0</v>
      </c>
      <c r="FI44" s="2">
        <f t="shared" si="871"/>
        <v>0</v>
      </c>
      <c r="FJ44" s="2">
        <f t="shared" si="871"/>
        <v>0</v>
      </c>
      <c r="FK44" s="2">
        <f t="shared" ref="FK44:FO44" si="872">CD44*$BT44+CY44*$CO44</f>
        <v>0</v>
      </c>
      <c r="FL44" s="2">
        <f t="shared" si="872"/>
        <v>0</v>
      </c>
      <c r="FM44" s="2">
        <f t="shared" si="872"/>
        <v>0</v>
      </c>
      <c r="FN44" s="2">
        <f t="shared" si="872"/>
        <v>0</v>
      </c>
      <c r="FO44" s="2">
        <f t="shared" si="872"/>
        <v>0</v>
      </c>
      <c r="FP44" s="2">
        <f t="shared" ref="FP44:FQ44" si="873">(CI44*$BT44+DD44*$CO44)/100</f>
        <v>0</v>
      </c>
      <c r="FQ44" s="2">
        <f t="shared" si="873"/>
        <v>0</v>
      </c>
      <c r="FR44" s="2"/>
      <c r="FS44" s="2">
        <f t="shared" si="24"/>
        <v>0</v>
      </c>
      <c r="FT44" s="2">
        <f t="shared" si="25"/>
        <v>0</v>
      </c>
      <c r="FU44" s="39">
        <f t="shared" si="26"/>
        <v>0</v>
      </c>
      <c r="FV44" s="39">
        <f t="shared" ref="FV44:FW44" si="874">FV$1*FC44/1000000</f>
        <v>0</v>
      </c>
      <c r="FW44" s="39">
        <f t="shared" si="874"/>
        <v>0</v>
      </c>
      <c r="FX44" s="39">
        <f t="shared" ref="FX44:GC44" si="875">FX$1*FE44</f>
        <v>0</v>
      </c>
      <c r="FY44" s="39">
        <f t="shared" si="875"/>
        <v>0</v>
      </c>
      <c r="FZ44" s="39">
        <f t="shared" si="875"/>
        <v>0</v>
      </c>
      <c r="GA44" s="39">
        <f t="shared" si="875"/>
        <v>0</v>
      </c>
      <c r="GB44" s="39">
        <f t="shared" si="875"/>
        <v>0</v>
      </c>
      <c r="GC44" s="39">
        <f t="shared" si="875"/>
        <v>0</v>
      </c>
      <c r="GD44" s="39">
        <f t="shared" ref="GD44:GH44" si="876">GD$1*FK44/1000000</f>
        <v>0</v>
      </c>
      <c r="GE44" s="39">
        <f t="shared" si="876"/>
        <v>0</v>
      </c>
      <c r="GF44" s="39">
        <f t="shared" si="876"/>
        <v>0</v>
      </c>
      <c r="GG44" s="39">
        <f t="shared" si="876"/>
        <v>0</v>
      </c>
      <c r="GH44" s="39">
        <f t="shared" si="876"/>
        <v>0</v>
      </c>
      <c r="GI44" s="39">
        <f t="shared" ref="GI44:GJ44" si="877">GI$1*FP44</f>
        <v>0</v>
      </c>
      <c r="GJ44" s="39">
        <f t="shared" si="877"/>
        <v>0</v>
      </c>
      <c r="GK44" s="2"/>
      <c r="GL44" s="39">
        <f t="shared" si="31"/>
        <v>0</v>
      </c>
      <c r="GM44" s="39">
        <f t="shared" si="32"/>
        <v>0</v>
      </c>
      <c r="GN44" s="2" t="s">
        <v>3</v>
      </c>
      <c r="GO44" s="2">
        <f t="shared" si="33"/>
        <v>0.7</v>
      </c>
      <c r="GP44" s="2">
        <f t="shared" si="34"/>
        <v>0.03</v>
      </c>
      <c r="GQ44" s="15">
        <f t="shared" si="35"/>
        <v>0.21</v>
      </c>
      <c r="GR44" s="15">
        <f t="shared" si="36"/>
        <v>93.952489576418003</v>
      </c>
      <c r="GS44" s="15">
        <f t="shared" si="37"/>
        <v>134.21784225202572</v>
      </c>
      <c r="GT44" s="2">
        <f t="shared" si="38"/>
        <v>0</v>
      </c>
      <c r="GU44" s="2">
        <f t="shared" si="39"/>
        <v>0</v>
      </c>
      <c r="GV44" s="2">
        <f t="shared" si="40"/>
        <v>0.20999999999999996</v>
      </c>
      <c r="GW44" s="2">
        <f t="shared" si="41"/>
        <v>0</v>
      </c>
      <c r="GX44" s="2"/>
      <c r="GY44" s="2"/>
      <c r="GZ44" s="2"/>
      <c r="HA44" s="2"/>
      <c r="HB44" s="2">
        <f t="shared" si="42"/>
        <v>0</v>
      </c>
      <c r="HC44" s="2">
        <f t="shared" si="43"/>
        <v>0</v>
      </c>
      <c r="HD44" s="2" t="s">
        <v>3</v>
      </c>
      <c r="HE44" s="2" t="s">
        <v>183</v>
      </c>
      <c r="HF44" s="2" t="s">
        <v>567</v>
      </c>
      <c r="HG44" s="2"/>
      <c r="HH44" s="2"/>
      <c r="HI44" s="2" t="s">
        <v>100</v>
      </c>
      <c r="HJ44" s="2" t="s">
        <v>3</v>
      </c>
      <c r="HK44" s="2"/>
      <c r="HL44" s="2" t="s">
        <v>183</v>
      </c>
      <c r="HM44" s="2" t="s">
        <v>100</v>
      </c>
      <c r="HN44" s="15">
        <f t="shared" ref="HN44:HQ44" si="878">+HN7+HN9+HN11+HN15+HN17</f>
        <v>150.10000000000002</v>
      </c>
      <c r="HO44" s="15">
        <f t="shared" si="878"/>
        <v>165.24039999999997</v>
      </c>
      <c r="HP44" s="3">
        <f t="shared" si="878"/>
        <v>8932.7840400000005</v>
      </c>
      <c r="HQ44" s="15">
        <f t="shared" si="878"/>
        <v>722.44440000000009</v>
      </c>
      <c r="HR44" s="4">
        <f t="shared" si="781"/>
        <v>1.2801157348579351</v>
      </c>
      <c r="HS44" s="4"/>
      <c r="HT44" s="4"/>
      <c r="HU44" s="3">
        <f>+HU7+HU9+HU11+HU15+HU17</f>
        <v>9248.1244399999996</v>
      </c>
      <c r="HV44" s="15">
        <f>(HV7*HQ7+HV9*HQ9+HV11*HQ11+HV15*HQ15+HV17*HQ17)/HQ44</f>
        <v>826.67196321563995</v>
      </c>
      <c r="HW44" s="2">
        <f>+HW7+HW9+HW11+HW15+HW17</f>
        <v>14</v>
      </c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 t="s">
        <v>3</v>
      </c>
    </row>
    <row r="45" spans="1:268" ht="15.75" customHeight="1" x14ac:dyDescent="0.2">
      <c r="A45" s="21" t="s">
        <v>1270</v>
      </c>
      <c r="B45" s="2" t="s">
        <v>99</v>
      </c>
      <c r="C45" s="2"/>
      <c r="D45" s="2"/>
      <c r="E45" s="2"/>
      <c r="F45" s="2" t="s">
        <v>79</v>
      </c>
      <c r="G45" s="2"/>
      <c r="H45" s="2"/>
      <c r="I45" s="2">
        <v>0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>
        <v>0</v>
      </c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>
        <v>1.8</v>
      </c>
      <c r="AZ45" s="2">
        <v>0.35</v>
      </c>
      <c r="BA45" s="2"/>
      <c r="BB45" s="2"/>
      <c r="BC45" s="2"/>
      <c r="BD45" s="2"/>
      <c r="BE45" s="2"/>
      <c r="BF45" s="2"/>
      <c r="BG45" s="2">
        <v>0.02</v>
      </c>
      <c r="BH45" s="2">
        <v>0.01</v>
      </c>
      <c r="BI45" s="2"/>
      <c r="BJ45" s="2"/>
      <c r="BK45" s="2"/>
      <c r="BL45" s="2"/>
      <c r="BM45" s="2"/>
      <c r="BN45" s="2"/>
      <c r="BO45" s="2">
        <v>12</v>
      </c>
      <c r="BP45" s="2"/>
      <c r="BQ45" s="2"/>
      <c r="BR45" s="2"/>
      <c r="BS45" s="2"/>
      <c r="BT45" s="2">
        <v>0</v>
      </c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>
        <v>0</v>
      </c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 t="s">
        <v>100</v>
      </c>
      <c r="DK45" s="2" t="s">
        <v>100</v>
      </c>
      <c r="DL45" s="2">
        <f t="shared" si="3"/>
        <v>0.02</v>
      </c>
      <c r="DM45" s="2">
        <f t="shared" si="4"/>
        <v>0.01</v>
      </c>
      <c r="DN45" s="2" t="s">
        <v>126</v>
      </c>
      <c r="DO45" s="2" t="s">
        <v>3</v>
      </c>
      <c r="DP45" s="2">
        <f t="shared" si="5"/>
        <v>6.3E-3</v>
      </c>
      <c r="DQ45" s="2">
        <f t="shared" ref="DQ45:DR45" si="879">K45*$I45+AF45*$AD45+BA45*$AY45</f>
        <v>0</v>
      </c>
      <c r="DR45" s="2">
        <f t="shared" si="879"/>
        <v>0</v>
      </c>
      <c r="DS45" s="2">
        <f t="shared" ref="DS45:DX45" si="880">(M45*$I45+AH45*$AD45+BC45*$AY45)/100</f>
        <v>0</v>
      </c>
      <c r="DT45" s="2">
        <f t="shared" si="880"/>
        <v>0</v>
      </c>
      <c r="DU45" s="2">
        <f t="shared" si="880"/>
        <v>0</v>
      </c>
      <c r="DV45" s="2">
        <f t="shared" si="880"/>
        <v>0</v>
      </c>
      <c r="DW45" s="2">
        <f t="shared" si="880"/>
        <v>3.6000000000000002E-4</v>
      </c>
      <c r="DX45" s="2">
        <f t="shared" si="880"/>
        <v>1.8000000000000001E-4</v>
      </c>
      <c r="DY45" s="2">
        <f t="shared" ref="DY45:EC45" si="881">S45*$I45+AN45*$AD45+BI45*$AY45</f>
        <v>0</v>
      </c>
      <c r="DZ45" s="2">
        <f t="shared" si="881"/>
        <v>0</v>
      </c>
      <c r="EA45" s="2">
        <f t="shared" si="881"/>
        <v>0</v>
      </c>
      <c r="EB45" s="2">
        <f t="shared" si="881"/>
        <v>0</v>
      </c>
      <c r="EC45" s="2">
        <f t="shared" si="881"/>
        <v>0</v>
      </c>
      <c r="ED45" s="2">
        <f t="shared" ref="ED45:EE45" si="882">(X45*$I45+AS45*$AD45+BN45*$AY45)/100</f>
        <v>0</v>
      </c>
      <c r="EE45" s="2">
        <f t="shared" si="882"/>
        <v>0.21600000000000003</v>
      </c>
      <c r="EF45" s="2"/>
      <c r="EG45" s="2">
        <f t="shared" si="10"/>
        <v>0</v>
      </c>
      <c r="EH45" s="2">
        <f t="shared" si="11"/>
        <v>0</v>
      </c>
      <c r="EI45" s="39">
        <f t="shared" si="12"/>
        <v>41.111380799999999</v>
      </c>
      <c r="EJ45" s="39">
        <f t="shared" ref="EJ45:EK45" si="883">EJ$1*DQ45/1000000</f>
        <v>0</v>
      </c>
      <c r="EK45" s="39">
        <f t="shared" si="883"/>
        <v>0</v>
      </c>
      <c r="EL45" s="39">
        <f t="shared" ref="EL45:EQ45" si="884">EL$1*DS45</f>
        <v>0</v>
      </c>
      <c r="EM45" s="39">
        <f t="shared" si="884"/>
        <v>0</v>
      </c>
      <c r="EN45" s="39">
        <f t="shared" si="884"/>
        <v>0</v>
      </c>
      <c r="EO45" s="39">
        <f t="shared" si="884"/>
        <v>0</v>
      </c>
      <c r="EP45" s="39">
        <f t="shared" si="884"/>
        <v>4.7210400000000003</v>
      </c>
      <c r="EQ45" s="39">
        <f t="shared" si="884"/>
        <v>13.071514319999999</v>
      </c>
      <c r="ER45" s="39">
        <f t="shared" ref="ER45:EV45" si="885">ER$1*DY45/1000000</f>
        <v>0</v>
      </c>
      <c r="ES45" s="39">
        <f t="shared" si="885"/>
        <v>0</v>
      </c>
      <c r="ET45" s="39">
        <f t="shared" si="885"/>
        <v>0</v>
      </c>
      <c r="EU45" s="39">
        <f t="shared" si="885"/>
        <v>0</v>
      </c>
      <c r="EV45" s="39">
        <f t="shared" si="885"/>
        <v>0</v>
      </c>
      <c r="EW45" s="39">
        <f t="shared" ref="EW45:EX45" si="886">EW$1*ED45</f>
        <v>0</v>
      </c>
      <c r="EX45" s="39">
        <f t="shared" si="886"/>
        <v>20.088000000000001</v>
      </c>
      <c r="EY45" s="2"/>
      <c r="EZ45" s="39">
        <f t="shared" si="17"/>
        <v>0</v>
      </c>
      <c r="FA45" s="39">
        <f t="shared" si="18"/>
        <v>0</v>
      </c>
      <c r="FB45" s="2">
        <f t="shared" si="19"/>
        <v>0</v>
      </c>
      <c r="FC45" s="2">
        <f t="shared" ref="FC45:FD45" si="887">BV45*$BT45+CQ45*$CO45</f>
        <v>0</v>
      </c>
      <c r="FD45" s="2">
        <f t="shared" si="887"/>
        <v>0</v>
      </c>
      <c r="FE45" s="2">
        <f t="shared" ref="FE45:FJ45" si="888">(BX45*$BT45+CS45*$CO45)/100</f>
        <v>0</v>
      </c>
      <c r="FF45" s="2">
        <f t="shared" si="888"/>
        <v>0</v>
      </c>
      <c r="FG45" s="2">
        <f t="shared" si="888"/>
        <v>0</v>
      </c>
      <c r="FH45" s="2">
        <f t="shared" si="888"/>
        <v>0</v>
      </c>
      <c r="FI45" s="2">
        <f t="shared" si="888"/>
        <v>0</v>
      </c>
      <c r="FJ45" s="2">
        <f t="shared" si="888"/>
        <v>0</v>
      </c>
      <c r="FK45" s="2">
        <f t="shared" ref="FK45:FO45" si="889">CD45*$BT45+CY45*$CO45</f>
        <v>0</v>
      </c>
      <c r="FL45" s="2">
        <f t="shared" si="889"/>
        <v>0</v>
      </c>
      <c r="FM45" s="2">
        <f t="shared" si="889"/>
        <v>0</v>
      </c>
      <c r="FN45" s="2">
        <f t="shared" si="889"/>
        <v>0</v>
      </c>
      <c r="FO45" s="2">
        <f t="shared" si="889"/>
        <v>0</v>
      </c>
      <c r="FP45" s="2">
        <f t="shared" ref="FP45:FQ45" si="890">(CI45*$BT45+DD45*$CO45)/100</f>
        <v>0</v>
      </c>
      <c r="FQ45" s="2">
        <f t="shared" si="890"/>
        <v>0</v>
      </c>
      <c r="FR45" s="2"/>
      <c r="FS45" s="2">
        <f t="shared" si="24"/>
        <v>0</v>
      </c>
      <c r="FT45" s="2">
        <f t="shared" si="25"/>
        <v>0</v>
      </c>
      <c r="FU45" s="39">
        <f t="shared" si="26"/>
        <v>0</v>
      </c>
      <c r="FV45" s="39">
        <f t="shared" ref="FV45:FW45" si="891">FV$1*FC45/1000000</f>
        <v>0</v>
      </c>
      <c r="FW45" s="39">
        <f t="shared" si="891"/>
        <v>0</v>
      </c>
      <c r="FX45" s="39">
        <f t="shared" ref="FX45:GC45" si="892">FX$1*FE45</f>
        <v>0</v>
      </c>
      <c r="FY45" s="39">
        <f t="shared" si="892"/>
        <v>0</v>
      </c>
      <c r="FZ45" s="39">
        <f t="shared" si="892"/>
        <v>0</v>
      </c>
      <c r="GA45" s="39">
        <f t="shared" si="892"/>
        <v>0</v>
      </c>
      <c r="GB45" s="39">
        <f t="shared" si="892"/>
        <v>0</v>
      </c>
      <c r="GC45" s="39">
        <f t="shared" si="892"/>
        <v>0</v>
      </c>
      <c r="GD45" s="39">
        <f t="shared" ref="GD45:GH45" si="893">GD$1*FK45/1000000</f>
        <v>0</v>
      </c>
      <c r="GE45" s="39">
        <f t="shared" si="893"/>
        <v>0</v>
      </c>
      <c r="GF45" s="39">
        <f t="shared" si="893"/>
        <v>0</v>
      </c>
      <c r="GG45" s="39">
        <f t="shared" si="893"/>
        <v>0</v>
      </c>
      <c r="GH45" s="39">
        <f t="shared" si="893"/>
        <v>0</v>
      </c>
      <c r="GI45" s="39">
        <f t="shared" ref="GI45:GJ45" si="894">GI$1*FP45</f>
        <v>0</v>
      </c>
      <c r="GJ45" s="39">
        <f t="shared" si="894"/>
        <v>0</v>
      </c>
      <c r="GK45" s="2"/>
      <c r="GL45" s="39">
        <f t="shared" si="31"/>
        <v>0</v>
      </c>
      <c r="GM45" s="39">
        <f t="shared" si="32"/>
        <v>0</v>
      </c>
      <c r="GN45" s="2" t="s">
        <v>3</v>
      </c>
      <c r="GO45" s="2">
        <f t="shared" si="33"/>
        <v>1.8</v>
      </c>
      <c r="GP45" s="2">
        <f t="shared" si="34"/>
        <v>0.02</v>
      </c>
      <c r="GQ45" s="15">
        <f t="shared" si="35"/>
        <v>0.36</v>
      </c>
      <c r="GR45" s="15">
        <f t="shared" si="36"/>
        <v>78.991935119999994</v>
      </c>
      <c r="GS45" s="15">
        <f t="shared" si="37"/>
        <v>43.884408399999998</v>
      </c>
      <c r="GT45" s="2">
        <f t="shared" si="38"/>
        <v>0</v>
      </c>
      <c r="GU45" s="2">
        <f t="shared" si="39"/>
        <v>0</v>
      </c>
      <c r="GV45" s="2">
        <f t="shared" si="40"/>
        <v>0.3600000000000001</v>
      </c>
      <c r="GW45" s="2">
        <f t="shared" si="41"/>
        <v>0</v>
      </c>
      <c r="GX45" s="2"/>
      <c r="GY45" s="2"/>
      <c r="GZ45" s="2"/>
      <c r="HA45" s="2"/>
      <c r="HB45" s="2">
        <f t="shared" si="42"/>
        <v>0</v>
      </c>
      <c r="HC45" s="2">
        <f t="shared" si="43"/>
        <v>0</v>
      </c>
      <c r="HD45" s="2" t="s">
        <v>3</v>
      </c>
      <c r="HE45" s="2" t="s">
        <v>183</v>
      </c>
      <c r="HF45" s="2" t="s">
        <v>567</v>
      </c>
      <c r="HG45" s="2"/>
      <c r="HH45" s="2"/>
      <c r="HI45" s="2" t="s">
        <v>100</v>
      </c>
      <c r="HJ45" s="2" t="s">
        <v>3</v>
      </c>
      <c r="HK45" s="2"/>
      <c r="HL45" s="2" t="s">
        <v>1394</v>
      </c>
      <c r="HM45" s="2" t="s">
        <v>81</v>
      </c>
      <c r="HN45" s="15">
        <f t="shared" ref="HN45:HQ45" si="895">HN36</f>
        <v>18.96</v>
      </c>
      <c r="HO45" s="2">
        <f t="shared" si="895"/>
        <v>0</v>
      </c>
      <c r="HP45" s="15">
        <f t="shared" si="895"/>
        <v>464.3703999999999</v>
      </c>
      <c r="HQ45" s="15">
        <f t="shared" si="895"/>
        <v>164.23399999999998</v>
      </c>
      <c r="HR45" s="4">
        <v>0.25202609037803808</v>
      </c>
      <c r="HS45" s="4"/>
      <c r="HT45" s="4"/>
      <c r="HU45" s="15">
        <f t="shared" ref="HU45:HW45" si="896">HU36</f>
        <v>483.33039999999994</v>
      </c>
      <c r="HV45" s="15">
        <f t="shared" si="896"/>
        <v>39.890588866130038</v>
      </c>
      <c r="HW45" s="2">
        <f t="shared" si="896"/>
        <v>3</v>
      </c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 t="s">
        <v>3</v>
      </c>
    </row>
    <row r="46" spans="1:268" ht="15.75" customHeight="1" x14ac:dyDescent="0.2">
      <c r="A46" s="21" t="s">
        <v>565</v>
      </c>
      <c r="B46" s="2" t="s">
        <v>99</v>
      </c>
      <c r="C46" s="2"/>
      <c r="D46" s="2"/>
      <c r="E46" s="2"/>
      <c r="F46" s="2" t="s">
        <v>79</v>
      </c>
      <c r="G46" s="2"/>
      <c r="H46" s="2"/>
      <c r="I46" s="2">
        <v>0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>
        <v>0</v>
      </c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>
        <v>1</v>
      </c>
      <c r="AZ46" s="2">
        <v>6.4</v>
      </c>
      <c r="BA46" s="2">
        <v>1.4</v>
      </c>
      <c r="BB46" s="2">
        <v>5.0999999999999996</v>
      </c>
      <c r="BC46" s="2"/>
      <c r="BD46" s="2"/>
      <c r="BE46" s="2"/>
      <c r="BF46" s="2"/>
      <c r="BG46" s="2">
        <v>0.3</v>
      </c>
      <c r="BH46" s="2">
        <v>0.2</v>
      </c>
      <c r="BI46" s="2">
        <v>1</v>
      </c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>
        <v>0</v>
      </c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>
        <v>0</v>
      </c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 t="s">
        <v>100</v>
      </c>
      <c r="DK46" s="2" t="s">
        <v>100</v>
      </c>
      <c r="DL46" s="2">
        <f t="shared" si="3"/>
        <v>0.3</v>
      </c>
      <c r="DM46" s="2">
        <f t="shared" si="4"/>
        <v>0.2</v>
      </c>
      <c r="DN46" s="2" t="s">
        <v>566</v>
      </c>
      <c r="DO46" s="2" t="s">
        <v>3</v>
      </c>
      <c r="DP46" s="2">
        <f t="shared" si="5"/>
        <v>6.4000000000000001E-2</v>
      </c>
      <c r="DQ46" s="2">
        <f t="shared" ref="DQ46:DR46" si="897">K46*$I46+AF46*$AD46+BA46*$AY46</f>
        <v>1.4</v>
      </c>
      <c r="DR46" s="2">
        <f t="shared" si="897"/>
        <v>5.0999999999999996</v>
      </c>
      <c r="DS46" s="2">
        <f t="shared" ref="DS46:DX46" si="898">(M46*$I46+AH46*$AD46+BC46*$AY46)/100</f>
        <v>0</v>
      </c>
      <c r="DT46" s="2">
        <f t="shared" si="898"/>
        <v>0</v>
      </c>
      <c r="DU46" s="2">
        <f t="shared" si="898"/>
        <v>0</v>
      </c>
      <c r="DV46" s="2">
        <f t="shared" si="898"/>
        <v>0</v>
      </c>
      <c r="DW46" s="2">
        <f t="shared" si="898"/>
        <v>3.0000000000000001E-3</v>
      </c>
      <c r="DX46" s="2">
        <f t="shared" si="898"/>
        <v>2E-3</v>
      </c>
      <c r="DY46" s="2">
        <f t="shared" ref="DY46:EC46" si="899">S46*$I46+AN46*$AD46+BI46*$AY46</f>
        <v>1</v>
      </c>
      <c r="DZ46" s="2">
        <f t="shared" si="899"/>
        <v>0</v>
      </c>
      <c r="EA46" s="2">
        <f t="shared" si="899"/>
        <v>0</v>
      </c>
      <c r="EB46" s="2">
        <f t="shared" si="899"/>
        <v>0</v>
      </c>
      <c r="EC46" s="2">
        <f t="shared" si="899"/>
        <v>0</v>
      </c>
      <c r="ED46" s="2">
        <f t="shared" ref="ED46:EE46" si="900">(X46*$I46+AS46*$AD46+BN46*$AY46)/100</f>
        <v>0</v>
      </c>
      <c r="EE46" s="2">
        <f t="shared" si="900"/>
        <v>0</v>
      </c>
      <c r="EF46" s="2"/>
      <c r="EG46" s="2">
        <f t="shared" si="10"/>
        <v>0</v>
      </c>
      <c r="EH46" s="2">
        <f t="shared" si="11"/>
        <v>0</v>
      </c>
      <c r="EI46" s="39">
        <f t="shared" si="12"/>
        <v>417.63942400000002</v>
      </c>
      <c r="EJ46" s="39">
        <f t="shared" ref="EJ46:EK46" si="901">EJ$1*DQ46/1000000</f>
        <v>57.260450160771697</v>
      </c>
      <c r="EK46" s="39">
        <f t="shared" si="901"/>
        <v>2.5827974276527326</v>
      </c>
      <c r="EL46" s="39">
        <f t="shared" ref="EL46:EQ46" si="902">EL$1*DS46</f>
        <v>0</v>
      </c>
      <c r="EM46" s="39">
        <f t="shared" si="902"/>
        <v>0</v>
      </c>
      <c r="EN46" s="39">
        <f t="shared" si="902"/>
        <v>0</v>
      </c>
      <c r="EO46" s="39">
        <f t="shared" si="902"/>
        <v>0</v>
      </c>
      <c r="EP46" s="39">
        <f t="shared" si="902"/>
        <v>39.341999999999999</v>
      </c>
      <c r="EQ46" s="39">
        <f t="shared" si="902"/>
        <v>145.239048</v>
      </c>
      <c r="ER46" s="39">
        <f t="shared" ref="ER46:EV46" si="903">ER$1*DY46/1000000</f>
        <v>28.38135048231511</v>
      </c>
      <c r="ES46" s="39">
        <f t="shared" si="903"/>
        <v>0</v>
      </c>
      <c r="ET46" s="39">
        <f t="shared" si="903"/>
        <v>0</v>
      </c>
      <c r="EU46" s="39">
        <f t="shared" si="903"/>
        <v>0</v>
      </c>
      <c r="EV46" s="39">
        <f t="shared" si="903"/>
        <v>0</v>
      </c>
      <c r="EW46" s="39">
        <f t="shared" ref="EW46:EX46" si="904">EW$1*ED46</f>
        <v>0</v>
      </c>
      <c r="EX46" s="39">
        <f t="shared" si="904"/>
        <v>0</v>
      </c>
      <c r="EY46" s="2"/>
      <c r="EZ46" s="39">
        <f t="shared" si="17"/>
        <v>0</v>
      </c>
      <c r="FA46" s="39">
        <f t="shared" si="18"/>
        <v>0</v>
      </c>
      <c r="FB46" s="2">
        <f t="shared" si="19"/>
        <v>0</v>
      </c>
      <c r="FC46" s="2">
        <f t="shared" ref="FC46:FD46" si="905">BV46*$BT46+CQ46*$CO46</f>
        <v>0</v>
      </c>
      <c r="FD46" s="2">
        <f t="shared" si="905"/>
        <v>0</v>
      </c>
      <c r="FE46" s="2">
        <f t="shared" ref="FE46:FJ46" si="906">(BX46*$BT46+CS46*$CO46)/100</f>
        <v>0</v>
      </c>
      <c r="FF46" s="2">
        <f t="shared" si="906"/>
        <v>0</v>
      </c>
      <c r="FG46" s="2">
        <f t="shared" si="906"/>
        <v>0</v>
      </c>
      <c r="FH46" s="2">
        <f t="shared" si="906"/>
        <v>0</v>
      </c>
      <c r="FI46" s="2">
        <f t="shared" si="906"/>
        <v>0</v>
      </c>
      <c r="FJ46" s="2">
        <f t="shared" si="906"/>
        <v>0</v>
      </c>
      <c r="FK46" s="2">
        <f t="shared" ref="FK46:FO46" si="907">CD46*$BT46+CY46*$CO46</f>
        <v>0</v>
      </c>
      <c r="FL46" s="2">
        <f t="shared" si="907"/>
        <v>0</v>
      </c>
      <c r="FM46" s="2">
        <f t="shared" si="907"/>
        <v>0</v>
      </c>
      <c r="FN46" s="2">
        <f t="shared" si="907"/>
        <v>0</v>
      </c>
      <c r="FO46" s="2">
        <f t="shared" si="907"/>
        <v>0</v>
      </c>
      <c r="FP46" s="2">
        <f t="shared" ref="FP46:FQ46" si="908">(CI46*$BT46+DD46*$CO46)/100</f>
        <v>0</v>
      </c>
      <c r="FQ46" s="2">
        <f t="shared" si="908"/>
        <v>0</v>
      </c>
      <c r="FR46" s="2"/>
      <c r="FS46" s="2">
        <f t="shared" si="24"/>
        <v>0</v>
      </c>
      <c r="FT46" s="2">
        <f t="shared" si="25"/>
        <v>0</v>
      </c>
      <c r="FU46" s="39">
        <f t="shared" si="26"/>
        <v>0</v>
      </c>
      <c r="FV46" s="39">
        <f t="shared" ref="FV46:FW46" si="909">FV$1*FC46/1000000</f>
        <v>0</v>
      </c>
      <c r="FW46" s="39">
        <f t="shared" si="909"/>
        <v>0</v>
      </c>
      <c r="FX46" s="39">
        <f t="shared" ref="FX46:GC46" si="910">FX$1*FE46</f>
        <v>0</v>
      </c>
      <c r="FY46" s="39">
        <f t="shared" si="910"/>
        <v>0</v>
      </c>
      <c r="FZ46" s="39">
        <f t="shared" si="910"/>
        <v>0</v>
      </c>
      <c r="GA46" s="39">
        <f t="shared" si="910"/>
        <v>0</v>
      </c>
      <c r="GB46" s="39">
        <f t="shared" si="910"/>
        <v>0</v>
      </c>
      <c r="GC46" s="39">
        <f t="shared" si="910"/>
        <v>0</v>
      </c>
      <c r="GD46" s="39">
        <f t="shared" ref="GD46:GH46" si="911">GD$1*FK46/1000000</f>
        <v>0</v>
      </c>
      <c r="GE46" s="39">
        <f t="shared" si="911"/>
        <v>0</v>
      </c>
      <c r="GF46" s="39">
        <f t="shared" si="911"/>
        <v>0</v>
      </c>
      <c r="GG46" s="39">
        <f t="shared" si="911"/>
        <v>0</v>
      </c>
      <c r="GH46" s="39">
        <f t="shared" si="911"/>
        <v>0</v>
      </c>
      <c r="GI46" s="39">
        <f t="shared" ref="GI46:GJ46" si="912">GI$1*FP46</f>
        <v>0</v>
      </c>
      <c r="GJ46" s="39">
        <f t="shared" si="912"/>
        <v>0</v>
      </c>
      <c r="GK46" s="2"/>
      <c r="GL46" s="39">
        <f t="shared" si="31"/>
        <v>0</v>
      </c>
      <c r="GM46" s="39">
        <f t="shared" si="32"/>
        <v>0</v>
      </c>
      <c r="GN46" s="2" t="s">
        <v>3</v>
      </c>
      <c r="GO46" s="2">
        <f t="shared" si="33"/>
        <v>1</v>
      </c>
      <c r="GP46" s="2">
        <f t="shared" si="34"/>
        <v>0.3</v>
      </c>
      <c r="GQ46" s="15">
        <f t="shared" si="35"/>
        <v>3</v>
      </c>
      <c r="GR46" s="15">
        <f t="shared" si="36"/>
        <v>690.44507007073969</v>
      </c>
      <c r="GS46" s="15">
        <f t="shared" si="37"/>
        <v>690.44507007073969</v>
      </c>
      <c r="GT46" s="2">
        <f t="shared" si="38"/>
        <v>0</v>
      </c>
      <c r="GU46" s="2">
        <f t="shared" si="39"/>
        <v>0</v>
      </c>
      <c r="GV46" s="2">
        <f t="shared" si="40"/>
        <v>3</v>
      </c>
      <c r="GW46" s="2">
        <f t="shared" si="41"/>
        <v>0</v>
      </c>
      <c r="GX46" s="2"/>
      <c r="GY46" s="2"/>
      <c r="GZ46" s="2"/>
      <c r="HA46" s="2"/>
      <c r="HB46" s="2">
        <f t="shared" si="42"/>
        <v>0</v>
      </c>
      <c r="HC46" s="2">
        <f t="shared" si="43"/>
        <v>0</v>
      </c>
      <c r="HD46" s="2" t="s">
        <v>3</v>
      </c>
      <c r="HE46" s="2" t="s">
        <v>183</v>
      </c>
      <c r="HF46" s="2" t="s">
        <v>567</v>
      </c>
      <c r="HG46" s="2"/>
      <c r="HH46" s="2"/>
      <c r="HI46" s="2" t="s">
        <v>100</v>
      </c>
      <c r="HJ46" s="2" t="s">
        <v>3</v>
      </c>
      <c r="HK46" s="2"/>
      <c r="HL46" s="2" t="s">
        <v>1394</v>
      </c>
      <c r="HM46" s="2" t="s">
        <v>100</v>
      </c>
      <c r="HN46" s="2">
        <f t="shared" ref="HN46:HQ46" si="913">HN37</f>
        <v>0</v>
      </c>
      <c r="HO46" s="2">
        <f t="shared" si="913"/>
        <v>0</v>
      </c>
      <c r="HP46" s="15">
        <f t="shared" si="913"/>
        <v>2.680736</v>
      </c>
      <c r="HQ46" s="4">
        <f t="shared" si="913"/>
        <v>1.2791440000000001</v>
      </c>
      <c r="HR46" s="4">
        <v>0.20957265171083161</v>
      </c>
      <c r="HS46" s="4"/>
      <c r="HT46" s="4"/>
      <c r="HU46" s="15">
        <f>HU37</f>
        <v>2.680736</v>
      </c>
      <c r="HV46" s="15">
        <v>163.66340875557768</v>
      </c>
      <c r="HW46" s="2">
        <v>2</v>
      </c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 t="s">
        <v>3</v>
      </c>
    </row>
    <row r="47" spans="1:268" ht="15.75" customHeight="1" x14ac:dyDescent="0.2">
      <c r="A47" s="21" t="s">
        <v>757</v>
      </c>
      <c r="B47" s="2" t="s">
        <v>99</v>
      </c>
      <c r="C47" s="2"/>
      <c r="D47" s="2"/>
      <c r="E47" s="2"/>
      <c r="F47" s="2" t="s">
        <v>79</v>
      </c>
      <c r="G47" s="2"/>
      <c r="H47" s="2"/>
      <c r="I47" s="2">
        <v>0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>
        <v>0</v>
      </c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>
        <v>0.114</v>
      </c>
      <c r="AZ47" s="2"/>
      <c r="BA47" s="2">
        <v>0.5</v>
      </c>
      <c r="BB47" s="2"/>
      <c r="BC47" s="2"/>
      <c r="BD47" s="2"/>
      <c r="BE47" s="2"/>
      <c r="BF47" s="2"/>
      <c r="BG47" s="2">
        <v>0.45</v>
      </c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>
        <v>0</v>
      </c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>
        <v>0</v>
      </c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 t="s">
        <v>100</v>
      </c>
      <c r="DK47" s="2"/>
      <c r="DL47" s="2">
        <f t="shared" si="3"/>
        <v>0.45</v>
      </c>
      <c r="DM47" s="2">
        <f t="shared" si="4"/>
        <v>0</v>
      </c>
      <c r="DN47" s="2" t="s">
        <v>126</v>
      </c>
      <c r="DO47" s="2" t="s">
        <v>3</v>
      </c>
      <c r="DP47" s="2">
        <f t="shared" si="5"/>
        <v>0</v>
      </c>
      <c r="DQ47" s="2">
        <f t="shared" ref="DQ47:DR47" si="914">K47*$I47+AF47*$AD47+BA47*$AY47</f>
        <v>5.7000000000000002E-2</v>
      </c>
      <c r="DR47" s="2">
        <f t="shared" si="914"/>
        <v>0</v>
      </c>
      <c r="DS47" s="2">
        <f t="shared" ref="DS47:DX47" si="915">(M47*$I47+AH47*$AD47+BC47*$AY47)/100</f>
        <v>0</v>
      </c>
      <c r="DT47" s="2">
        <f t="shared" si="915"/>
        <v>0</v>
      </c>
      <c r="DU47" s="2">
        <f t="shared" si="915"/>
        <v>0</v>
      </c>
      <c r="DV47" s="2">
        <f t="shared" si="915"/>
        <v>0</v>
      </c>
      <c r="DW47" s="2">
        <f t="shared" si="915"/>
        <v>5.13E-4</v>
      </c>
      <c r="DX47" s="2">
        <f t="shared" si="915"/>
        <v>0</v>
      </c>
      <c r="DY47" s="2">
        <f t="shared" ref="DY47:EC47" si="916">S47*$I47+AN47*$AD47+BI47*$AY47</f>
        <v>0</v>
      </c>
      <c r="DZ47" s="2">
        <f t="shared" si="916"/>
        <v>0</v>
      </c>
      <c r="EA47" s="2">
        <f t="shared" si="916"/>
        <v>0</v>
      </c>
      <c r="EB47" s="2">
        <f t="shared" si="916"/>
        <v>0</v>
      </c>
      <c r="EC47" s="2">
        <f t="shared" si="916"/>
        <v>0</v>
      </c>
      <c r="ED47" s="2">
        <f t="shared" ref="ED47:EE47" si="917">(X47*$I47+AS47*$AD47+BN47*$AY47)/100</f>
        <v>0</v>
      </c>
      <c r="EE47" s="2">
        <f t="shared" si="917"/>
        <v>0</v>
      </c>
      <c r="EF47" s="2"/>
      <c r="EG47" s="2">
        <f t="shared" si="10"/>
        <v>0</v>
      </c>
      <c r="EH47" s="2">
        <f t="shared" si="11"/>
        <v>0</v>
      </c>
      <c r="EI47" s="39">
        <f t="shared" si="12"/>
        <v>0</v>
      </c>
      <c r="EJ47" s="39">
        <f t="shared" ref="EJ47:EK47" si="918">EJ$1*DQ47/1000000</f>
        <v>2.3313183279742766</v>
      </c>
      <c r="EK47" s="39">
        <f t="shared" si="918"/>
        <v>0</v>
      </c>
      <c r="EL47" s="39">
        <f t="shared" ref="EL47:EQ47" si="919">EL$1*DS47</f>
        <v>0</v>
      </c>
      <c r="EM47" s="39">
        <f t="shared" si="919"/>
        <v>0</v>
      </c>
      <c r="EN47" s="39">
        <f t="shared" si="919"/>
        <v>0</v>
      </c>
      <c r="EO47" s="39">
        <f t="shared" si="919"/>
        <v>0</v>
      </c>
      <c r="EP47" s="39">
        <f t="shared" si="919"/>
        <v>6.7274820000000002</v>
      </c>
      <c r="EQ47" s="39">
        <f t="shared" si="919"/>
        <v>0</v>
      </c>
      <c r="ER47" s="39">
        <f t="shared" ref="ER47:EV47" si="920">ER$1*DY47/1000000</f>
        <v>0</v>
      </c>
      <c r="ES47" s="39">
        <f t="shared" si="920"/>
        <v>0</v>
      </c>
      <c r="ET47" s="39">
        <f t="shared" si="920"/>
        <v>0</v>
      </c>
      <c r="EU47" s="39">
        <f t="shared" si="920"/>
        <v>0</v>
      </c>
      <c r="EV47" s="39">
        <f t="shared" si="920"/>
        <v>0</v>
      </c>
      <c r="EW47" s="39">
        <f t="shared" ref="EW47:EX47" si="921">EW$1*ED47</f>
        <v>0</v>
      </c>
      <c r="EX47" s="39">
        <f t="shared" si="921"/>
        <v>0</v>
      </c>
      <c r="EY47" s="2"/>
      <c r="EZ47" s="39">
        <f t="shared" si="17"/>
        <v>0</v>
      </c>
      <c r="FA47" s="39">
        <f t="shared" si="18"/>
        <v>0</v>
      </c>
      <c r="FB47" s="2">
        <f t="shared" si="19"/>
        <v>0</v>
      </c>
      <c r="FC47" s="2">
        <f t="shared" ref="FC47:FD47" si="922">BV47*$BT47+CQ47*$CO47</f>
        <v>0</v>
      </c>
      <c r="FD47" s="2">
        <f t="shared" si="922"/>
        <v>0</v>
      </c>
      <c r="FE47" s="2">
        <f t="shared" ref="FE47:FJ47" si="923">(BX47*$BT47+CS47*$CO47)/100</f>
        <v>0</v>
      </c>
      <c r="FF47" s="2">
        <f t="shared" si="923"/>
        <v>0</v>
      </c>
      <c r="FG47" s="2">
        <f t="shared" si="923"/>
        <v>0</v>
      </c>
      <c r="FH47" s="2">
        <f t="shared" si="923"/>
        <v>0</v>
      </c>
      <c r="FI47" s="2">
        <f t="shared" si="923"/>
        <v>0</v>
      </c>
      <c r="FJ47" s="2">
        <f t="shared" si="923"/>
        <v>0</v>
      </c>
      <c r="FK47" s="2">
        <f t="shared" ref="FK47:FO47" si="924">CD47*$BT47+CY47*$CO47</f>
        <v>0</v>
      </c>
      <c r="FL47" s="2">
        <f t="shared" si="924"/>
        <v>0</v>
      </c>
      <c r="FM47" s="2">
        <f t="shared" si="924"/>
        <v>0</v>
      </c>
      <c r="FN47" s="2">
        <f t="shared" si="924"/>
        <v>0</v>
      </c>
      <c r="FO47" s="2">
        <f t="shared" si="924"/>
        <v>0</v>
      </c>
      <c r="FP47" s="2">
        <f t="shared" ref="FP47:FQ47" si="925">(CI47*$BT47+DD47*$CO47)/100</f>
        <v>0</v>
      </c>
      <c r="FQ47" s="2">
        <f t="shared" si="925"/>
        <v>0</v>
      </c>
      <c r="FR47" s="2"/>
      <c r="FS47" s="2">
        <f t="shared" si="24"/>
        <v>0</v>
      </c>
      <c r="FT47" s="2">
        <f t="shared" si="25"/>
        <v>0</v>
      </c>
      <c r="FU47" s="39">
        <f t="shared" si="26"/>
        <v>0</v>
      </c>
      <c r="FV47" s="39">
        <f t="shared" ref="FV47:FW47" si="926">FV$1*FC47/1000000</f>
        <v>0</v>
      </c>
      <c r="FW47" s="39">
        <f t="shared" si="926"/>
        <v>0</v>
      </c>
      <c r="FX47" s="39">
        <f t="shared" ref="FX47:GC47" si="927">FX$1*FE47</f>
        <v>0</v>
      </c>
      <c r="FY47" s="39">
        <f t="shared" si="927"/>
        <v>0</v>
      </c>
      <c r="FZ47" s="39">
        <f t="shared" si="927"/>
        <v>0</v>
      </c>
      <c r="GA47" s="39">
        <f t="shared" si="927"/>
        <v>0</v>
      </c>
      <c r="GB47" s="39">
        <f t="shared" si="927"/>
        <v>0</v>
      </c>
      <c r="GC47" s="39">
        <f t="shared" si="927"/>
        <v>0</v>
      </c>
      <c r="GD47" s="39">
        <f t="shared" ref="GD47:GH47" si="928">GD$1*FK47/1000000</f>
        <v>0</v>
      </c>
      <c r="GE47" s="39">
        <f t="shared" si="928"/>
        <v>0</v>
      </c>
      <c r="GF47" s="39">
        <f t="shared" si="928"/>
        <v>0</v>
      </c>
      <c r="GG47" s="39">
        <f t="shared" si="928"/>
        <v>0</v>
      </c>
      <c r="GH47" s="39">
        <f t="shared" si="928"/>
        <v>0</v>
      </c>
      <c r="GI47" s="39">
        <f t="shared" ref="GI47:GJ47" si="929">GI$1*FP47</f>
        <v>0</v>
      </c>
      <c r="GJ47" s="39">
        <f t="shared" si="929"/>
        <v>0</v>
      </c>
      <c r="GK47" s="2"/>
      <c r="GL47" s="39">
        <f t="shared" si="31"/>
        <v>0</v>
      </c>
      <c r="GM47" s="39">
        <f t="shared" si="32"/>
        <v>0</v>
      </c>
      <c r="GN47" s="2" t="s">
        <v>3</v>
      </c>
      <c r="GO47" s="2">
        <f t="shared" si="33"/>
        <v>0.114</v>
      </c>
      <c r="GP47" s="2">
        <f t="shared" si="34"/>
        <v>0.45</v>
      </c>
      <c r="GQ47" s="15">
        <f t="shared" si="35"/>
        <v>0.51300000000000001</v>
      </c>
      <c r="GR47" s="15">
        <f t="shared" si="36"/>
        <v>9.0588003279742768</v>
      </c>
      <c r="GS47" s="15">
        <f t="shared" si="37"/>
        <v>79.463160771704182</v>
      </c>
      <c r="GT47" s="2">
        <f t="shared" si="38"/>
        <v>0</v>
      </c>
      <c r="GU47" s="2">
        <f t="shared" si="39"/>
        <v>0</v>
      </c>
      <c r="GV47" s="2">
        <f t="shared" si="40"/>
        <v>0.51300000000000001</v>
      </c>
      <c r="GW47" s="2">
        <f t="shared" si="41"/>
        <v>0</v>
      </c>
      <c r="GX47" s="2"/>
      <c r="GY47" s="2"/>
      <c r="GZ47" s="2"/>
      <c r="HA47" s="2"/>
      <c r="HB47" s="2">
        <f t="shared" si="42"/>
        <v>0</v>
      </c>
      <c r="HC47" s="2">
        <f t="shared" si="43"/>
        <v>0</v>
      </c>
      <c r="HD47" s="2" t="s">
        <v>3</v>
      </c>
      <c r="HE47" s="2" t="s">
        <v>183</v>
      </c>
      <c r="HF47" s="2" t="s">
        <v>758</v>
      </c>
      <c r="HG47" s="2"/>
      <c r="HH47" s="2"/>
      <c r="HI47" s="2" t="s">
        <v>100</v>
      </c>
      <c r="HJ47" s="2" t="s">
        <v>3</v>
      </c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 t="s">
        <v>3</v>
      </c>
    </row>
    <row r="48" spans="1:268" ht="15.75" customHeight="1" x14ac:dyDescent="0.2">
      <c r="A48" s="21" t="s">
        <v>684</v>
      </c>
      <c r="B48" s="2" t="s">
        <v>99</v>
      </c>
      <c r="C48" s="2"/>
      <c r="D48" s="2"/>
      <c r="E48" s="2"/>
      <c r="F48" s="2" t="s">
        <v>685</v>
      </c>
      <c r="G48" s="2"/>
      <c r="H48" s="2"/>
      <c r="I48" s="2">
        <v>11.2</v>
      </c>
      <c r="J48" s="2">
        <v>0.18</v>
      </c>
      <c r="K48" s="2"/>
      <c r="L48" s="2"/>
      <c r="M48" s="2"/>
      <c r="N48" s="2"/>
      <c r="O48" s="2"/>
      <c r="P48" s="2"/>
      <c r="Q48" s="2">
        <v>0.71</v>
      </c>
      <c r="R48" s="2">
        <v>1.0999999999999999E-2</v>
      </c>
      <c r="S48" s="2">
        <v>0.23</v>
      </c>
      <c r="T48" s="2">
        <v>0.26</v>
      </c>
      <c r="U48" s="2"/>
      <c r="V48" s="2"/>
      <c r="W48" s="2"/>
      <c r="X48" s="2"/>
      <c r="Y48" s="2"/>
      <c r="Z48" s="2"/>
      <c r="AA48" s="2"/>
      <c r="AB48" s="2"/>
      <c r="AC48" s="2"/>
      <c r="AD48" s="15">
        <v>107</v>
      </c>
      <c r="AE48" s="4">
        <v>0.2</v>
      </c>
      <c r="AF48" s="2"/>
      <c r="AG48" s="2"/>
      <c r="AH48" s="2"/>
      <c r="AI48" s="2"/>
      <c r="AJ48" s="2"/>
      <c r="AK48" s="2"/>
      <c r="AL48" s="2">
        <v>0.74</v>
      </c>
      <c r="AM48" s="2">
        <v>1.4999999999999999E-2</v>
      </c>
      <c r="AN48" s="2">
        <v>0.15</v>
      </c>
      <c r="AO48" s="2">
        <v>0.15</v>
      </c>
      <c r="AP48" s="2"/>
      <c r="AQ48" s="2"/>
      <c r="AR48" s="2"/>
      <c r="AS48" s="2"/>
      <c r="AT48" s="2"/>
      <c r="AU48" s="2"/>
      <c r="AV48" s="2"/>
      <c r="AW48" s="2"/>
      <c r="AX48" s="2"/>
      <c r="AY48" s="15">
        <v>37</v>
      </c>
      <c r="AZ48" s="2">
        <v>0.22</v>
      </c>
      <c r="BA48" s="2"/>
      <c r="BB48" s="2"/>
      <c r="BC48" s="2"/>
      <c r="BD48" s="2"/>
      <c r="BE48" s="2"/>
      <c r="BF48" s="2"/>
      <c r="BG48" s="2">
        <v>0.79</v>
      </c>
      <c r="BH48" s="2">
        <v>1.7000000000000001E-2</v>
      </c>
      <c r="BI48" s="2">
        <v>0.17</v>
      </c>
      <c r="BJ48" s="2">
        <v>0.18</v>
      </c>
      <c r="BK48" s="2"/>
      <c r="BL48" s="2"/>
      <c r="BM48" s="2"/>
      <c r="BN48" s="2"/>
      <c r="BO48" s="2"/>
      <c r="BP48" s="2"/>
      <c r="BQ48" s="2"/>
      <c r="BR48" s="2"/>
      <c r="BS48" s="2"/>
      <c r="BT48" s="2">
        <v>0</v>
      </c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15">
        <f>44.5+31.7+12.8</f>
        <v>89</v>
      </c>
      <c r="CP48" s="4">
        <f>(0.19*44.5+0.19*31.7+0.18*12.8)/CO48</f>
        <v>0.18856179775280899</v>
      </c>
      <c r="CQ48" s="2"/>
      <c r="CR48" s="2"/>
      <c r="CS48" s="2"/>
      <c r="CT48" s="2"/>
      <c r="CU48" s="2"/>
      <c r="CV48" s="2"/>
      <c r="CW48" s="4">
        <f>(0.75*44.5+0.79*31.7+0.63*12.8)/CO48</f>
        <v>0.74698876404494385</v>
      </c>
      <c r="CX48" s="2">
        <v>1.4999999999999999E-2</v>
      </c>
      <c r="CY48" s="2">
        <v>0.15</v>
      </c>
      <c r="CZ48" s="2">
        <v>0.15</v>
      </c>
      <c r="DA48" s="2"/>
      <c r="DB48" s="2"/>
      <c r="DC48" s="2"/>
      <c r="DD48" s="2"/>
      <c r="DE48" s="2"/>
      <c r="DF48" s="2"/>
      <c r="DG48" s="2"/>
      <c r="DH48" s="2"/>
      <c r="DI48" s="2"/>
      <c r="DJ48" s="2" t="s">
        <v>81</v>
      </c>
      <c r="DK48" s="2" t="s">
        <v>81</v>
      </c>
      <c r="DL48" s="2">
        <f t="shared" si="3"/>
        <v>0.7497551546391753</v>
      </c>
      <c r="DM48" s="2">
        <f t="shared" si="4"/>
        <v>1.5188144329896907E-2</v>
      </c>
      <c r="DN48" s="2" t="s">
        <v>211</v>
      </c>
      <c r="DO48" s="2" t="s">
        <v>3</v>
      </c>
      <c r="DP48" s="2">
        <f t="shared" si="5"/>
        <v>0.31556000000000006</v>
      </c>
      <c r="DQ48" s="2">
        <f t="shared" ref="DQ48:DR48" si="930">K48*$I48+AF48*$AD48+BA48*$AY48</f>
        <v>0</v>
      </c>
      <c r="DR48" s="2">
        <f t="shared" si="930"/>
        <v>0</v>
      </c>
      <c r="DS48" s="2">
        <f t="shared" ref="DS48:DX48" si="931">(M48*$I48+AH48*$AD48+BC48*$AY48)/100</f>
        <v>0</v>
      </c>
      <c r="DT48" s="2">
        <f t="shared" si="931"/>
        <v>0</v>
      </c>
      <c r="DU48" s="2">
        <f t="shared" si="931"/>
        <v>0</v>
      </c>
      <c r="DV48" s="2">
        <f t="shared" si="931"/>
        <v>0</v>
      </c>
      <c r="DW48" s="2">
        <f t="shared" si="931"/>
        <v>1.1636199999999999</v>
      </c>
      <c r="DX48" s="2">
        <f t="shared" si="931"/>
        <v>2.3571999999999996E-2</v>
      </c>
      <c r="DY48" s="2">
        <f t="shared" ref="DY48:EC48" si="932">S48*$I48+AN48*$AD48+BI48*$AY48</f>
        <v>24.916</v>
      </c>
      <c r="DZ48" s="2">
        <f t="shared" si="932"/>
        <v>25.622</v>
      </c>
      <c r="EA48" s="2">
        <f t="shared" si="932"/>
        <v>0</v>
      </c>
      <c r="EB48" s="2">
        <f t="shared" si="932"/>
        <v>0</v>
      </c>
      <c r="EC48" s="2">
        <f t="shared" si="932"/>
        <v>0</v>
      </c>
      <c r="ED48" s="2">
        <f t="shared" ref="ED48:EE48" si="933">(X48*$I48+AS48*$AD48+BN48*$AY48)/100</f>
        <v>0</v>
      </c>
      <c r="EE48" s="2">
        <f t="shared" si="933"/>
        <v>0</v>
      </c>
      <c r="EF48" s="2"/>
      <c r="EG48" s="2">
        <f t="shared" si="10"/>
        <v>0</v>
      </c>
      <c r="EH48" s="2">
        <f t="shared" si="11"/>
        <v>0</v>
      </c>
      <c r="EI48" s="39">
        <f t="shared" si="12"/>
        <v>2059.2233849600002</v>
      </c>
      <c r="EJ48" s="39">
        <f t="shared" ref="EJ48:EK48" si="934">EJ$1*DQ48/1000000</f>
        <v>0</v>
      </c>
      <c r="EK48" s="39">
        <f t="shared" si="934"/>
        <v>0</v>
      </c>
      <c r="EL48" s="39">
        <f t="shared" ref="EL48:EQ48" si="935">EL$1*DS48</f>
        <v>0</v>
      </c>
      <c r="EM48" s="39">
        <f t="shared" si="935"/>
        <v>0</v>
      </c>
      <c r="EN48" s="39">
        <f t="shared" si="935"/>
        <v>0</v>
      </c>
      <c r="EO48" s="39">
        <f t="shared" si="935"/>
        <v>0</v>
      </c>
      <c r="EP48" s="39">
        <f t="shared" si="935"/>
        <v>15259.712679999999</v>
      </c>
      <c r="EQ48" s="39">
        <f t="shared" si="935"/>
        <v>1711.7874197279993</v>
      </c>
      <c r="ER48" s="39">
        <f t="shared" ref="ER48:EV48" si="936">ER$1*DY48/1000000</f>
        <v>707.14972861736317</v>
      </c>
      <c r="ES48" s="39">
        <f t="shared" si="936"/>
        <v>853.87168681672028</v>
      </c>
      <c r="ET48" s="39">
        <f t="shared" si="936"/>
        <v>0</v>
      </c>
      <c r="EU48" s="39">
        <f t="shared" si="936"/>
        <v>0</v>
      </c>
      <c r="EV48" s="39">
        <f t="shared" si="936"/>
        <v>0</v>
      </c>
      <c r="EW48" s="39">
        <f t="shared" ref="EW48:EX48" si="937">EW$1*ED48</f>
        <v>0</v>
      </c>
      <c r="EX48" s="39">
        <f t="shared" si="937"/>
        <v>0</v>
      </c>
      <c r="EY48" s="2"/>
      <c r="EZ48" s="39">
        <f t="shared" si="17"/>
        <v>0</v>
      </c>
      <c r="FA48" s="39">
        <f t="shared" si="18"/>
        <v>0</v>
      </c>
      <c r="FB48" s="2">
        <f t="shared" si="19"/>
        <v>0.16782</v>
      </c>
      <c r="FC48" s="2">
        <f t="shared" ref="FC48:FD48" si="938">BV48*$BT48+CQ48*$CO48</f>
        <v>0</v>
      </c>
      <c r="FD48" s="2">
        <f t="shared" si="938"/>
        <v>0</v>
      </c>
      <c r="FE48" s="2">
        <f t="shared" ref="FE48:FJ48" si="939">(BX48*$BT48+CS48*$CO48)/100</f>
        <v>0</v>
      </c>
      <c r="FF48" s="2">
        <f t="shared" si="939"/>
        <v>0</v>
      </c>
      <c r="FG48" s="2">
        <f t="shared" si="939"/>
        <v>0</v>
      </c>
      <c r="FH48" s="2">
        <f t="shared" si="939"/>
        <v>0</v>
      </c>
      <c r="FI48" s="2">
        <f t="shared" si="939"/>
        <v>0.66481999999999997</v>
      </c>
      <c r="FJ48" s="2">
        <f t="shared" si="939"/>
        <v>1.3349999999999999E-2</v>
      </c>
      <c r="FK48" s="2">
        <f t="shared" ref="FK48:FO48" si="940">CD48*$BT48+CY48*$CO48</f>
        <v>13.35</v>
      </c>
      <c r="FL48" s="2">
        <f t="shared" si="940"/>
        <v>13.35</v>
      </c>
      <c r="FM48" s="2">
        <f t="shared" si="940"/>
        <v>0</v>
      </c>
      <c r="FN48" s="2">
        <f t="shared" si="940"/>
        <v>0</v>
      </c>
      <c r="FO48" s="2">
        <f t="shared" si="940"/>
        <v>0</v>
      </c>
      <c r="FP48" s="2">
        <f t="shared" ref="FP48:FQ48" si="941">(CI48*$BT48+DD48*$CO48)/100</f>
        <v>0</v>
      </c>
      <c r="FQ48" s="2">
        <f t="shared" si="941"/>
        <v>0</v>
      </c>
      <c r="FR48" s="2"/>
      <c r="FS48" s="2">
        <f t="shared" si="24"/>
        <v>0</v>
      </c>
      <c r="FT48" s="2">
        <f t="shared" si="25"/>
        <v>0</v>
      </c>
      <c r="FU48" s="39">
        <f t="shared" si="26"/>
        <v>1095.12887712</v>
      </c>
      <c r="FV48" s="39">
        <f t="shared" ref="FV48:FW48" si="942">FV$1*FC48/1000000</f>
        <v>0</v>
      </c>
      <c r="FW48" s="39">
        <f t="shared" si="942"/>
        <v>0</v>
      </c>
      <c r="FX48" s="39">
        <f t="shared" ref="FX48:GC48" si="943">FX$1*FE48</f>
        <v>0</v>
      </c>
      <c r="FY48" s="39">
        <f t="shared" si="943"/>
        <v>0</v>
      </c>
      <c r="FZ48" s="39">
        <f t="shared" si="943"/>
        <v>0</v>
      </c>
      <c r="GA48" s="39">
        <f t="shared" si="943"/>
        <v>0</v>
      </c>
      <c r="GB48" s="39">
        <f t="shared" si="943"/>
        <v>8718.4494799999993</v>
      </c>
      <c r="GC48" s="39">
        <f t="shared" si="943"/>
        <v>969.47064539999985</v>
      </c>
      <c r="GD48" s="39">
        <f t="shared" ref="GD48:GH48" si="944">GD$1*FK48/1000000</f>
        <v>378.89102893890669</v>
      </c>
      <c r="GE48" s="39">
        <f t="shared" si="944"/>
        <v>444.89840836012866</v>
      </c>
      <c r="GF48" s="39">
        <f t="shared" si="944"/>
        <v>0</v>
      </c>
      <c r="GG48" s="39">
        <f t="shared" si="944"/>
        <v>0</v>
      </c>
      <c r="GH48" s="39">
        <f t="shared" si="944"/>
        <v>0</v>
      </c>
      <c r="GI48" s="39">
        <f t="shared" ref="GI48:GJ48" si="945">GI$1*FP48</f>
        <v>0</v>
      </c>
      <c r="GJ48" s="39">
        <f t="shared" si="945"/>
        <v>0</v>
      </c>
      <c r="GK48" s="2"/>
      <c r="GL48" s="39">
        <f t="shared" si="31"/>
        <v>0</v>
      </c>
      <c r="GM48" s="39">
        <f t="shared" si="32"/>
        <v>0</v>
      </c>
      <c r="GN48" s="2" t="s">
        <v>3</v>
      </c>
      <c r="GO48" s="15">
        <f t="shared" si="33"/>
        <v>155.19999999999999</v>
      </c>
      <c r="GP48" s="4">
        <f t="shared" si="34"/>
        <v>0.7497551546391753</v>
      </c>
      <c r="GQ48" s="18">
        <f t="shared" si="35"/>
        <v>1163.6199999999999</v>
      </c>
      <c r="GR48" s="15">
        <f t="shared" si="36"/>
        <v>20591.744900122081</v>
      </c>
      <c r="GS48" s="15">
        <f t="shared" si="37"/>
        <v>132.67876868635364</v>
      </c>
      <c r="GT48" s="2">
        <f t="shared" si="38"/>
        <v>79.52</v>
      </c>
      <c r="GU48" s="2">
        <f t="shared" si="39"/>
        <v>791.79999999999984</v>
      </c>
      <c r="GV48" s="2">
        <f t="shared" si="40"/>
        <v>292.3</v>
      </c>
      <c r="GW48" s="15">
        <f t="shared" si="41"/>
        <v>89</v>
      </c>
      <c r="GX48" s="4">
        <f>(BT48*CB48+CO48*CW48)/GW48</f>
        <v>0.74698876404494385</v>
      </c>
      <c r="GY48" s="15">
        <f>1000*GW48*GX48/100</f>
        <v>664.82</v>
      </c>
      <c r="GZ48" s="15">
        <f>SUM(FU48:GM48)</f>
        <v>11606.838439819034</v>
      </c>
      <c r="HA48" s="15">
        <f>GZ48/GW48</f>
        <v>130.41391505414646</v>
      </c>
      <c r="HB48" s="2">
        <f t="shared" si="42"/>
        <v>0</v>
      </c>
      <c r="HC48" s="2">
        <f t="shared" si="43"/>
        <v>664.82</v>
      </c>
      <c r="HD48" s="2" t="s">
        <v>3</v>
      </c>
      <c r="HE48" s="2" t="s">
        <v>183</v>
      </c>
      <c r="HF48" s="2" t="s">
        <v>686</v>
      </c>
      <c r="HG48" s="2"/>
      <c r="HH48" s="2"/>
      <c r="HI48" s="2" t="s">
        <v>81</v>
      </c>
      <c r="HJ48" s="2" t="s">
        <v>3</v>
      </c>
      <c r="HK48" s="2"/>
      <c r="HL48" s="57" t="s">
        <v>1398</v>
      </c>
      <c r="HM48" s="2" t="s">
        <v>81</v>
      </c>
      <c r="HN48" s="3">
        <f t="shared" ref="HN48:HQ48" si="946">HN39+HN41+HN43+HN45</f>
        <v>40456.583976448979</v>
      </c>
      <c r="HO48" s="3">
        <f t="shared" si="946"/>
        <v>97379.975293817202</v>
      </c>
      <c r="HP48" s="3">
        <f t="shared" si="946"/>
        <v>110436.38158022428</v>
      </c>
      <c r="HQ48" s="3">
        <f t="shared" si="946"/>
        <v>65604.873103969352</v>
      </c>
      <c r="HR48" s="4">
        <f t="shared" ref="HR48:HR50" si="947">100*(HU48/1000)/HQ48</f>
        <v>0.37843673663849969</v>
      </c>
      <c r="HS48" s="4"/>
      <c r="HT48" s="4"/>
      <c r="HU48" s="3">
        <f t="shared" ref="HU48:HU49" si="948">HU39+HU41+HU43+HU45</f>
        <v>248272.94085049041</v>
      </c>
      <c r="HV48" s="15">
        <f t="shared" ref="HV48:HV49" si="949">(HV39*HQ39+HV41*HQ41+HV43*HQ43+HV45*HQ45)/HQ48</f>
        <v>133.35815075181426</v>
      </c>
      <c r="HW48" s="2">
        <f t="shared" ref="HW48:HW49" si="950">HW39+HW41+HW43+HW45</f>
        <v>432</v>
      </c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 t="s">
        <v>3</v>
      </c>
    </row>
    <row r="49" spans="1:268" ht="15.75" customHeight="1" x14ac:dyDescent="0.2">
      <c r="A49" s="21" t="s">
        <v>178</v>
      </c>
      <c r="B49" s="2" t="s">
        <v>120</v>
      </c>
      <c r="C49" s="2"/>
      <c r="D49" s="2"/>
      <c r="E49" s="2" t="s">
        <v>179</v>
      </c>
      <c r="F49" s="2" t="s">
        <v>180</v>
      </c>
      <c r="G49" s="2"/>
      <c r="H49" s="2" t="s">
        <v>181</v>
      </c>
      <c r="I49" s="2">
        <v>3.8</v>
      </c>
      <c r="J49" s="2"/>
      <c r="K49" s="2"/>
      <c r="L49" s="2"/>
      <c r="M49" s="2"/>
      <c r="N49" s="2"/>
      <c r="O49" s="2"/>
      <c r="P49" s="2"/>
      <c r="Q49" s="2">
        <v>1.1000000000000001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>
        <v>4.9000000000000004</v>
      </c>
      <c r="AE49" s="2"/>
      <c r="AF49" s="2"/>
      <c r="AG49" s="2"/>
      <c r="AH49" s="2"/>
      <c r="AI49" s="2"/>
      <c r="AJ49" s="2"/>
      <c r="AK49" s="2"/>
      <c r="AL49" s="2">
        <v>0.9</v>
      </c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>
        <v>20.7</v>
      </c>
      <c r="AZ49" s="2"/>
      <c r="BA49" s="2"/>
      <c r="BB49" s="2"/>
      <c r="BC49" s="2"/>
      <c r="BD49" s="2"/>
      <c r="BE49" s="2"/>
      <c r="BF49" s="2"/>
      <c r="BG49" s="2">
        <v>0.8</v>
      </c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>
        <v>0</v>
      </c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>
        <v>0</v>
      </c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 t="s">
        <v>81</v>
      </c>
      <c r="DK49" s="2"/>
      <c r="DL49" s="2">
        <f t="shared" si="3"/>
        <v>0.85544217687074831</v>
      </c>
      <c r="DM49" s="2">
        <f t="shared" si="4"/>
        <v>0</v>
      </c>
      <c r="DN49" s="2" t="s">
        <v>161</v>
      </c>
      <c r="DO49" s="2" t="s">
        <v>3</v>
      </c>
      <c r="DP49" s="2">
        <f t="shared" si="5"/>
        <v>0</v>
      </c>
      <c r="DQ49" s="2">
        <f t="shared" ref="DQ49:DR49" si="951">K49*$I49+AF49*$AD49+BA49*$AY49</f>
        <v>0</v>
      </c>
      <c r="DR49" s="2">
        <f t="shared" si="951"/>
        <v>0</v>
      </c>
      <c r="DS49" s="2">
        <f t="shared" ref="DS49:DX49" si="952">(M49*$I49+AH49*$AD49+BC49*$AY49)/100</f>
        <v>0</v>
      </c>
      <c r="DT49" s="2">
        <f t="shared" si="952"/>
        <v>0</v>
      </c>
      <c r="DU49" s="2">
        <f t="shared" si="952"/>
        <v>0</v>
      </c>
      <c r="DV49" s="2">
        <f t="shared" si="952"/>
        <v>0</v>
      </c>
      <c r="DW49" s="2">
        <f t="shared" si="952"/>
        <v>0.2515</v>
      </c>
      <c r="DX49" s="2">
        <f t="shared" si="952"/>
        <v>0</v>
      </c>
      <c r="DY49" s="2">
        <f t="shared" ref="DY49:EC49" si="953">S49*$I49+AN49*$AD49+BI49*$AY49</f>
        <v>0</v>
      </c>
      <c r="DZ49" s="2">
        <f t="shared" si="953"/>
        <v>0</v>
      </c>
      <c r="EA49" s="2">
        <f t="shared" si="953"/>
        <v>0</v>
      </c>
      <c r="EB49" s="2">
        <f t="shared" si="953"/>
        <v>0</v>
      </c>
      <c r="EC49" s="2">
        <f t="shared" si="953"/>
        <v>0</v>
      </c>
      <c r="ED49" s="2">
        <f t="shared" ref="ED49:EE49" si="954">(X49*$I49+AS49*$AD49+BN49*$AY49)/100</f>
        <v>0</v>
      </c>
      <c r="EE49" s="2">
        <f t="shared" si="954"/>
        <v>0</v>
      </c>
      <c r="EF49" s="2"/>
      <c r="EG49" s="2">
        <f t="shared" si="10"/>
        <v>0</v>
      </c>
      <c r="EH49" s="2">
        <f t="shared" si="11"/>
        <v>0</v>
      </c>
      <c r="EI49" s="39">
        <f t="shared" si="12"/>
        <v>0</v>
      </c>
      <c r="EJ49" s="39">
        <f t="shared" ref="EJ49:EK49" si="955">EJ$1*DQ49/1000000</f>
        <v>0</v>
      </c>
      <c r="EK49" s="39">
        <f t="shared" si="955"/>
        <v>0</v>
      </c>
      <c r="EL49" s="39">
        <f t="shared" ref="EL49:EQ49" si="956">EL$1*DS49</f>
        <v>0</v>
      </c>
      <c r="EM49" s="39">
        <f t="shared" si="956"/>
        <v>0</v>
      </c>
      <c r="EN49" s="39">
        <f t="shared" si="956"/>
        <v>0</v>
      </c>
      <c r="EO49" s="39">
        <f t="shared" si="956"/>
        <v>0</v>
      </c>
      <c r="EP49" s="39">
        <f t="shared" si="956"/>
        <v>3298.1709999999998</v>
      </c>
      <c r="EQ49" s="39">
        <f t="shared" si="956"/>
        <v>0</v>
      </c>
      <c r="ER49" s="39">
        <f t="shared" ref="ER49:EV49" si="957">ER$1*DY49/1000000</f>
        <v>0</v>
      </c>
      <c r="ES49" s="39">
        <f t="shared" si="957"/>
        <v>0</v>
      </c>
      <c r="ET49" s="39">
        <f t="shared" si="957"/>
        <v>0</v>
      </c>
      <c r="EU49" s="39">
        <f t="shared" si="957"/>
        <v>0</v>
      </c>
      <c r="EV49" s="39">
        <f t="shared" si="957"/>
        <v>0</v>
      </c>
      <c r="EW49" s="39">
        <f t="shared" ref="EW49:EX49" si="958">EW$1*ED49</f>
        <v>0</v>
      </c>
      <c r="EX49" s="39">
        <f t="shared" si="958"/>
        <v>0</v>
      </c>
      <c r="EY49" s="2"/>
      <c r="EZ49" s="39">
        <f t="shared" si="17"/>
        <v>0</v>
      </c>
      <c r="FA49" s="39">
        <f t="shared" si="18"/>
        <v>0</v>
      </c>
      <c r="FB49" s="2">
        <f t="shared" si="19"/>
        <v>0</v>
      </c>
      <c r="FC49" s="2">
        <f t="shared" ref="FC49:FD49" si="959">BV49*$BT49+CQ49*$CO49</f>
        <v>0</v>
      </c>
      <c r="FD49" s="2">
        <f t="shared" si="959"/>
        <v>0</v>
      </c>
      <c r="FE49" s="2">
        <f t="shared" ref="FE49:FJ49" si="960">(BX49*$BT49+CS49*$CO49)/100</f>
        <v>0</v>
      </c>
      <c r="FF49" s="2">
        <f t="shared" si="960"/>
        <v>0</v>
      </c>
      <c r="FG49" s="2">
        <f t="shared" si="960"/>
        <v>0</v>
      </c>
      <c r="FH49" s="2">
        <f t="shared" si="960"/>
        <v>0</v>
      </c>
      <c r="FI49" s="2">
        <f t="shared" si="960"/>
        <v>0</v>
      </c>
      <c r="FJ49" s="2">
        <f t="shared" si="960"/>
        <v>0</v>
      </c>
      <c r="FK49" s="2">
        <f t="shared" ref="FK49:FO49" si="961">CD49*$BT49+CY49*$CO49</f>
        <v>0</v>
      </c>
      <c r="FL49" s="2">
        <f t="shared" si="961"/>
        <v>0</v>
      </c>
      <c r="FM49" s="2">
        <f t="shared" si="961"/>
        <v>0</v>
      </c>
      <c r="FN49" s="2">
        <f t="shared" si="961"/>
        <v>0</v>
      </c>
      <c r="FO49" s="2">
        <f t="shared" si="961"/>
        <v>0</v>
      </c>
      <c r="FP49" s="2">
        <f t="shared" ref="FP49:FQ49" si="962">(CI49*$BT49+DD49*$CO49)/100</f>
        <v>0</v>
      </c>
      <c r="FQ49" s="2">
        <f t="shared" si="962"/>
        <v>0</v>
      </c>
      <c r="FR49" s="2"/>
      <c r="FS49" s="2">
        <f t="shared" si="24"/>
        <v>0</v>
      </c>
      <c r="FT49" s="2">
        <f t="shared" si="25"/>
        <v>0</v>
      </c>
      <c r="FU49" s="39">
        <f t="shared" si="26"/>
        <v>0</v>
      </c>
      <c r="FV49" s="39">
        <f t="shared" ref="FV49:FW49" si="963">FV$1*FC49/1000000</f>
        <v>0</v>
      </c>
      <c r="FW49" s="39">
        <f t="shared" si="963"/>
        <v>0</v>
      </c>
      <c r="FX49" s="39">
        <f t="shared" ref="FX49:GC49" si="964">FX$1*FE49</f>
        <v>0</v>
      </c>
      <c r="FY49" s="39">
        <f t="shared" si="964"/>
        <v>0</v>
      </c>
      <c r="FZ49" s="39">
        <f t="shared" si="964"/>
        <v>0</v>
      </c>
      <c r="GA49" s="39">
        <f t="shared" si="964"/>
        <v>0</v>
      </c>
      <c r="GB49" s="39">
        <f t="shared" si="964"/>
        <v>0</v>
      </c>
      <c r="GC49" s="39">
        <f t="shared" si="964"/>
        <v>0</v>
      </c>
      <c r="GD49" s="39">
        <f t="shared" ref="GD49:GH49" si="965">GD$1*FK49/1000000</f>
        <v>0</v>
      </c>
      <c r="GE49" s="39">
        <f t="shared" si="965"/>
        <v>0</v>
      </c>
      <c r="GF49" s="39">
        <f t="shared" si="965"/>
        <v>0</v>
      </c>
      <c r="GG49" s="39">
        <f t="shared" si="965"/>
        <v>0</v>
      </c>
      <c r="GH49" s="39">
        <f t="shared" si="965"/>
        <v>0</v>
      </c>
      <c r="GI49" s="39">
        <f t="shared" ref="GI49:GJ49" si="966">GI$1*FP49</f>
        <v>0</v>
      </c>
      <c r="GJ49" s="39">
        <f t="shared" si="966"/>
        <v>0</v>
      </c>
      <c r="GK49" s="2"/>
      <c r="GL49" s="39">
        <f t="shared" si="31"/>
        <v>0</v>
      </c>
      <c r="GM49" s="39">
        <f t="shared" si="32"/>
        <v>0</v>
      </c>
      <c r="GN49" s="2" t="s">
        <v>3</v>
      </c>
      <c r="GO49" s="2">
        <f t="shared" si="33"/>
        <v>29.4</v>
      </c>
      <c r="GP49" s="4">
        <f t="shared" si="34"/>
        <v>0.85544217687074831</v>
      </c>
      <c r="GQ49" s="15">
        <f t="shared" si="35"/>
        <v>251.5</v>
      </c>
      <c r="GR49" s="15">
        <f t="shared" si="36"/>
        <v>3298.1709999999998</v>
      </c>
      <c r="GS49" s="15">
        <f t="shared" si="37"/>
        <v>112.18268707482993</v>
      </c>
      <c r="GT49" s="2">
        <f t="shared" si="38"/>
        <v>41.8</v>
      </c>
      <c r="GU49" s="2">
        <f t="shared" si="39"/>
        <v>44.1</v>
      </c>
      <c r="GV49" s="2">
        <f t="shared" si="40"/>
        <v>165.6</v>
      </c>
      <c r="GW49" s="2">
        <f t="shared" si="41"/>
        <v>0</v>
      </c>
      <c r="GX49" s="2"/>
      <c r="GY49" s="2"/>
      <c r="GZ49" s="2"/>
      <c r="HA49" s="2"/>
      <c r="HB49" s="2">
        <f t="shared" si="42"/>
        <v>0</v>
      </c>
      <c r="HC49" s="2">
        <f t="shared" si="43"/>
        <v>0</v>
      </c>
      <c r="HD49" s="2" t="s">
        <v>3</v>
      </c>
      <c r="HE49" s="2" t="s">
        <v>183</v>
      </c>
      <c r="HF49" s="2" t="s">
        <v>184</v>
      </c>
      <c r="HG49" s="2"/>
      <c r="HH49" s="2"/>
      <c r="HI49" s="2" t="s">
        <v>81</v>
      </c>
      <c r="HJ49" s="2" t="s">
        <v>3</v>
      </c>
      <c r="HK49" s="2"/>
      <c r="HL49" s="54"/>
      <c r="HM49" s="2" t="s">
        <v>100</v>
      </c>
      <c r="HN49" s="15">
        <f t="shared" ref="HN49:HQ49" si="967">HN40+HN42+HN44+HN46</f>
        <v>150.10000000000002</v>
      </c>
      <c r="HO49" s="15">
        <f t="shared" si="967"/>
        <v>165.24039999999997</v>
      </c>
      <c r="HP49" s="3">
        <f t="shared" si="967"/>
        <v>101630.9797938392</v>
      </c>
      <c r="HQ49" s="3">
        <f t="shared" si="967"/>
        <v>14472.430661196353</v>
      </c>
      <c r="HR49" s="4">
        <f t="shared" si="947"/>
        <v>0.7044174028567215</v>
      </c>
      <c r="HS49" s="4"/>
      <c r="HT49" s="4"/>
      <c r="HU49" s="3">
        <f t="shared" si="948"/>
        <v>101946.3201938392</v>
      </c>
      <c r="HV49" s="15">
        <f t="shared" si="949"/>
        <v>156.52734339932599</v>
      </c>
      <c r="HW49" s="2">
        <f t="shared" si="950"/>
        <v>195</v>
      </c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 t="s">
        <v>3</v>
      </c>
    </row>
    <row r="50" spans="1:268" ht="15.75" customHeight="1" x14ac:dyDescent="0.2">
      <c r="A50" s="21" t="s">
        <v>1139</v>
      </c>
      <c r="B50" s="2" t="s">
        <v>99</v>
      </c>
      <c r="C50" s="2"/>
      <c r="D50" s="2"/>
      <c r="E50" s="2" t="s">
        <v>78</v>
      </c>
      <c r="F50" s="2" t="s">
        <v>1140</v>
      </c>
      <c r="G50" s="2"/>
      <c r="H50" s="2" t="s">
        <v>181</v>
      </c>
      <c r="I50" s="2">
        <v>12.5</v>
      </c>
      <c r="J50" s="2">
        <v>0.11</v>
      </c>
      <c r="K50" s="2"/>
      <c r="L50" s="2"/>
      <c r="M50" s="2"/>
      <c r="N50" s="2"/>
      <c r="O50" s="2"/>
      <c r="P50" s="2"/>
      <c r="Q50" s="2">
        <v>0.38</v>
      </c>
      <c r="R50" s="2">
        <v>2.5000000000000001E-2</v>
      </c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>
        <v>6.1</v>
      </c>
      <c r="AE50" s="2">
        <v>0.08</v>
      </c>
      <c r="AF50" s="2"/>
      <c r="AG50" s="2"/>
      <c r="AH50" s="2"/>
      <c r="AI50" s="2"/>
      <c r="AJ50" s="2"/>
      <c r="AK50" s="2"/>
      <c r="AL50" s="2">
        <v>0.59</v>
      </c>
      <c r="AM50" s="2">
        <v>2.1999999999999999E-2</v>
      </c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>
        <v>6.1</v>
      </c>
      <c r="AZ50" s="2">
        <v>0.06</v>
      </c>
      <c r="BA50" s="2"/>
      <c r="BB50" s="2"/>
      <c r="BC50" s="2"/>
      <c r="BD50" s="2"/>
      <c r="BE50" s="2"/>
      <c r="BF50" s="2"/>
      <c r="BG50" s="2">
        <v>0.27</v>
      </c>
      <c r="BH50" s="2">
        <v>1.6E-2</v>
      </c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>
        <v>0</v>
      </c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>
        <v>0</v>
      </c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 t="s">
        <v>81</v>
      </c>
      <c r="DK50" s="2" t="s">
        <v>81</v>
      </c>
      <c r="DL50" s="2">
        <f t="shared" si="3"/>
        <v>0.40469635627530359</v>
      </c>
      <c r="DM50" s="2">
        <f t="shared" si="4"/>
        <v>2.203643724696356E-2</v>
      </c>
      <c r="DN50" s="2" t="s">
        <v>211</v>
      </c>
      <c r="DO50" s="2" t="s">
        <v>3</v>
      </c>
      <c r="DP50" s="2">
        <f t="shared" si="5"/>
        <v>2.2290000000000001E-2</v>
      </c>
      <c r="DQ50" s="2">
        <f t="shared" ref="DQ50:DR50" si="968">K50*$I50+AF50*$AD50+BA50*$AY50</f>
        <v>0</v>
      </c>
      <c r="DR50" s="2">
        <f t="shared" si="968"/>
        <v>0</v>
      </c>
      <c r="DS50" s="2">
        <f t="shared" ref="DS50:DX50" si="969">(M50*$I50+AH50*$AD50+BC50*$AY50)/100</f>
        <v>0</v>
      </c>
      <c r="DT50" s="2">
        <f t="shared" si="969"/>
        <v>0</v>
      </c>
      <c r="DU50" s="2">
        <f t="shared" si="969"/>
        <v>0</v>
      </c>
      <c r="DV50" s="2">
        <f t="shared" si="969"/>
        <v>0</v>
      </c>
      <c r="DW50" s="2">
        <f t="shared" si="969"/>
        <v>9.9960000000000007E-2</v>
      </c>
      <c r="DX50" s="2">
        <f t="shared" si="969"/>
        <v>5.4429999999999999E-3</v>
      </c>
      <c r="DY50" s="2">
        <f t="shared" ref="DY50:EC50" si="970">S50*$I50+AN50*$AD50+BI50*$AY50</f>
        <v>0</v>
      </c>
      <c r="DZ50" s="2">
        <f t="shared" si="970"/>
        <v>0</v>
      </c>
      <c r="EA50" s="2">
        <f t="shared" si="970"/>
        <v>0</v>
      </c>
      <c r="EB50" s="2">
        <f t="shared" si="970"/>
        <v>0</v>
      </c>
      <c r="EC50" s="2">
        <f t="shared" si="970"/>
        <v>0</v>
      </c>
      <c r="ED50" s="2">
        <f t="shared" ref="ED50:EE50" si="971">(X50*$I50+AS50*$AD50+BN50*$AY50)/100</f>
        <v>0</v>
      </c>
      <c r="EE50" s="2">
        <f t="shared" si="971"/>
        <v>0</v>
      </c>
      <c r="EF50" s="2"/>
      <c r="EG50" s="2">
        <f t="shared" si="10"/>
        <v>0</v>
      </c>
      <c r="EH50" s="2">
        <f t="shared" si="11"/>
        <v>0</v>
      </c>
      <c r="EI50" s="39">
        <f t="shared" si="12"/>
        <v>145.45598064000001</v>
      </c>
      <c r="EJ50" s="39">
        <f t="shared" ref="EJ50:EK50" si="972">EJ$1*DQ50/1000000</f>
        <v>0</v>
      </c>
      <c r="EK50" s="39">
        <f t="shared" si="972"/>
        <v>0</v>
      </c>
      <c r="EL50" s="39">
        <f t="shared" ref="EL50:EQ50" si="973">EL$1*DS50</f>
        <v>0</v>
      </c>
      <c r="EM50" s="39">
        <f t="shared" si="973"/>
        <v>0</v>
      </c>
      <c r="EN50" s="39">
        <f t="shared" si="973"/>
        <v>0</v>
      </c>
      <c r="EO50" s="39">
        <f t="shared" si="973"/>
        <v>0</v>
      </c>
      <c r="EP50" s="39">
        <f t="shared" si="973"/>
        <v>1310.87544</v>
      </c>
      <c r="EQ50" s="39">
        <f t="shared" si="973"/>
        <v>395.26806913199994</v>
      </c>
      <c r="ER50" s="39">
        <f t="shared" ref="ER50:EV50" si="974">ER$1*DY50/1000000</f>
        <v>0</v>
      </c>
      <c r="ES50" s="39">
        <f t="shared" si="974"/>
        <v>0</v>
      </c>
      <c r="ET50" s="39">
        <f t="shared" si="974"/>
        <v>0</v>
      </c>
      <c r="EU50" s="39">
        <f t="shared" si="974"/>
        <v>0</v>
      </c>
      <c r="EV50" s="39">
        <f t="shared" si="974"/>
        <v>0</v>
      </c>
      <c r="EW50" s="39">
        <f t="shared" ref="EW50:EX50" si="975">EW$1*ED50</f>
        <v>0</v>
      </c>
      <c r="EX50" s="39">
        <f t="shared" si="975"/>
        <v>0</v>
      </c>
      <c r="EY50" s="2"/>
      <c r="EZ50" s="39">
        <f t="shared" si="17"/>
        <v>0</v>
      </c>
      <c r="FA50" s="39">
        <f t="shared" si="18"/>
        <v>0</v>
      </c>
      <c r="FB50" s="2">
        <f t="shared" si="19"/>
        <v>0</v>
      </c>
      <c r="FC50" s="2">
        <f t="shared" ref="FC50:FD50" si="976">BV50*$BT50+CQ50*$CO50</f>
        <v>0</v>
      </c>
      <c r="FD50" s="2">
        <f t="shared" si="976"/>
        <v>0</v>
      </c>
      <c r="FE50" s="2">
        <f t="shared" ref="FE50:FJ50" si="977">(BX50*$BT50+CS50*$CO50)/100</f>
        <v>0</v>
      </c>
      <c r="FF50" s="2">
        <f t="shared" si="977"/>
        <v>0</v>
      </c>
      <c r="FG50" s="2">
        <f t="shared" si="977"/>
        <v>0</v>
      </c>
      <c r="FH50" s="2">
        <f t="shared" si="977"/>
        <v>0</v>
      </c>
      <c r="FI50" s="2">
        <f t="shared" si="977"/>
        <v>0</v>
      </c>
      <c r="FJ50" s="2">
        <f t="shared" si="977"/>
        <v>0</v>
      </c>
      <c r="FK50" s="2">
        <f t="shared" ref="FK50:FO50" si="978">CD50*$BT50+CY50*$CO50</f>
        <v>0</v>
      </c>
      <c r="FL50" s="2">
        <f t="shared" si="978"/>
        <v>0</v>
      </c>
      <c r="FM50" s="2">
        <f t="shared" si="978"/>
        <v>0</v>
      </c>
      <c r="FN50" s="2">
        <f t="shared" si="978"/>
        <v>0</v>
      </c>
      <c r="FO50" s="2">
        <f t="shared" si="978"/>
        <v>0</v>
      </c>
      <c r="FP50" s="2">
        <f t="shared" ref="FP50:FQ50" si="979">(CI50*$BT50+DD50*$CO50)/100</f>
        <v>0</v>
      </c>
      <c r="FQ50" s="2">
        <f t="shared" si="979"/>
        <v>0</v>
      </c>
      <c r="FR50" s="2"/>
      <c r="FS50" s="2">
        <f t="shared" si="24"/>
        <v>0</v>
      </c>
      <c r="FT50" s="2">
        <f t="shared" si="25"/>
        <v>0</v>
      </c>
      <c r="FU50" s="39">
        <f t="shared" si="26"/>
        <v>0</v>
      </c>
      <c r="FV50" s="39">
        <f t="shared" ref="FV50:FW50" si="980">FV$1*FC50/1000000</f>
        <v>0</v>
      </c>
      <c r="FW50" s="39">
        <f t="shared" si="980"/>
        <v>0</v>
      </c>
      <c r="FX50" s="39">
        <f t="shared" ref="FX50:GC50" si="981">FX$1*FE50</f>
        <v>0</v>
      </c>
      <c r="FY50" s="39">
        <f t="shared" si="981"/>
        <v>0</v>
      </c>
      <c r="FZ50" s="39">
        <f t="shared" si="981"/>
        <v>0</v>
      </c>
      <c r="GA50" s="39">
        <f t="shared" si="981"/>
        <v>0</v>
      </c>
      <c r="GB50" s="39">
        <f t="shared" si="981"/>
        <v>0</v>
      </c>
      <c r="GC50" s="39">
        <f t="shared" si="981"/>
        <v>0</v>
      </c>
      <c r="GD50" s="39">
        <f t="shared" ref="GD50:GH50" si="982">GD$1*FK50/1000000</f>
        <v>0</v>
      </c>
      <c r="GE50" s="39">
        <f t="shared" si="982"/>
        <v>0</v>
      </c>
      <c r="GF50" s="39">
        <f t="shared" si="982"/>
        <v>0</v>
      </c>
      <c r="GG50" s="39">
        <f t="shared" si="982"/>
        <v>0</v>
      </c>
      <c r="GH50" s="39">
        <f t="shared" si="982"/>
        <v>0</v>
      </c>
      <c r="GI50" s="39">
        <f t="shared" ref="GI50:GJ50" si="983">GI$1*FP50</f>
        <v>0</v>
      </c>
      <c r="GJ50" s="39">
        <f t="shared" si="983"/>
        <v>0</v>
      </c>
      <c r="GK50" s="2"/>
      <c r="GL50" s="39">
        <f t="shared" si="31"/>
        <v>0</v>
      </c>
      <c r="GM50" s="39">
        <f t="shared" si="32"/>
        <v>0</v>
      </c>
      <c r="GN50" s="2" t="s">
        <v>3</v>
      </c>
      <c r="GO50" s="2">
        <f t="shared" si="33"/>
        <v>24.700000000000003</v>
      </c>
      <c r="GP50" s="4">
        <f t="shared" si="34"/>
        <v>0.40469635627530359</v>
      </c>
      <c r="GQ50" s="15">
        <f t="shared" si="35"/>
        <v>99.96</v>
      </c>
      <c r="GR50" s="15">
        <f t="shared" si="36"/>
        <v>1851.599489772</v>
      </c>
      <c r="GS50" s="15">
        <f t="shared" si="37"/>
        <v>74.963542096032384</v>
      </c>
      <c r="GT50" s="2">
        <f t="shared" si="38"/>
        <v>47.5</v>
      </c>
      <c r="GU50" s="2">
        <f t="shared" si="39"/>
        <v>35.989999999999995</v>
      </c>
      <c r="GV50" s="2">
        <f t="shared" si="40"/>
        <v>16.47</v>
      </c>
      <c r="GW50" s="2">
        <f t="shared" si="41"/>
        <v>0</v>
      </c>
      <c r="GX50" s="2"/>
      <c r="GY50" s="2"/>
      <c r="GZ50" s="2"/>
      <c r="HA50" s="2"/>
      <c r="HB50" s="2">
        <f t="shared" si="42"/>
        <v>0</v>
      </c>
      <c r="HC50" s="2">
        <f t="shared" si="43"/>
        <v>0</v>
      </c>
      <c r="HD50" s="2" t="s">
        <v>3</v>
      </c>
      <c r="HE50" s="2" t="s">
        <v>183</v>
      </c>
      <c r="HF50" s="2"/>
      <c r="HG50" s="2"/>
      <c r="HH50" s="2"/>
      <c r="HI50" s="2" t="s">
        <v>81</v>
      </c>
      <c r="HJ50" s="2" t="s">
        <v>3</v>
      </c>
      <c r="HK50" s="2"/>
      <c r="HL50" s="54"/>
      <c r="HM50" s="2" t="s">
        <v>1399</v>
      </c>
      <c r="HN50" s="3">
        <f t="shared" ref="HN50:HQ50" si="984">HN48+HN49</f>
        <v>40606.683976448978</v>
      </c>
      <c r="HO50" s="3">
        <f t="shared" si="984"/>
        <v>97545.215693817197</v>
      </c>
      <c r="HP50" s="3">
        <f t="shared" si="984"/>
        <v>212067.36137406348</v>
      </c>
      <c r="HQ50" s="3">
        <f t="shared" si="984"/>
        <v>80077.303765165707</v>
      </c>
      <c r="HR50" s="4">
        <f t="shared" si="947"/>
        <v>0.43735146486872339</v>
      </c>
      <c r="HS50" s="4"/>
      <c r="HT50" s="4"/>
      <c r="HU50" s="3">
        <f>HU48+HU49</f>
        <v>350219.26104432961</v>
      </c>
      <c r="HV50" s="15">
        <f>(HV48*HQ48+HV49*HQ49)/HQ50</f>
        <v>137.54553616941467</v>
      </c>
      <c r="HW50" s="2">
        <f>HW48+HW49</f>
        <v>627</v>
      </c>
      <c r="HX50" s="3">
        <f t="shared" ref="HX50:HZ50" si="985">SUM(HX39:HX43)</f>
        <v>18212.262664973008</v>
      </c>
      <c r="HY50" s="3">
        <f t="shared" si="985"/>
        <v>28912.010024798063</v>
      </c>
      <c r="HZ50" s="3">
        <f t="shared" si="985"/>
        <v>8301.1073052451957</v>
      </c>
      <c r="IA50" s="4">
        <f>100*(IB50/1000)/HZ50</f>
        <v>0.56768658634246072</v>
      </c>
      <c r="IB50" s="3">
        <f>SUM(IB39:IB43)</f>
        <v>47124.272689771075</v>
      </c>
      <c r="IC50" s="2"/>
      <c r="ID50" s="2">
        <f>SUM(ID39:ID43)</f>
        <v>112</v>
      </c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 t="s">
        <v>3</v>
      </c>
    </row>
    <row r="51" spans="1:268" ht="15.75" customHeight="1" x14ac:dyDescent="0.2">
      <c r="A51" s="21" t="s">
        <v>212</v>
      </c>
      <c r="B51" s="2" t="s">
        <v>99</v>
      </c>
      <c r="C51" s="2"/>
      <c r="D51" s="2"/>
      <c r="E51" s="2" t="s">
        <v>179</v>
      </c>
      <c r="F51" s="2" t="s">
        <v>213</v>
      </c>
      <c r="G51" s="2"/>
      <c r="H51" s="2" t="s">
        <v>181</v>
      </c>
      <c r="I51" s="2">
        <v>0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>
        <v>0</v>
      </c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>
        <v>1.0249999999999999</v>
      </c>
      <c r="AZ51" s="2"/>
      <c r="BA51" s="2"/>
      <c r="BB51" s="2"/>
      <c r="BC51" s="2"/>
      <c r="BD51" s="2"/>
      <c r="BE51" s="2"/>
      <c r="BF51" s="2"/>
      <c r="BG51" s="2">
        <v>0.8</v>
      </c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>
        <v>0</v>
      </c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>
        <v>0</v>
      </c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 t="s">
        <v>81</v>
      </c>
      <c r="DK51" s="2"/>
      <c r="DL51" s="2">
        <f t="shared" si="3"/>
        <v>0.8</v>
      </c>
      <c r="DM51" s="2">
        <f t="shared" si="4"/>
        <v>0</v>
      </c>
      <c r="DN51" s="2" t="s">
        <v>175</v>
      </c>
      <c r="DO51" s="2" t="s">
        <v>3</v>
      </c>
      <c r="DP51" s="2">
        <f t="shared" si="5"/>
        <v>0</v>
      </c>
      <c r="DQ51" s="2">
        <f t="shared" ref="DQ51:DR51" si="986">K51*$I51+AF51*$AD51+BA51*$AY51</f>
        <v>0</v>
      </c>
      <c r="DR51" s="2">
        <f t="shared" si="986"/>
        <v>0</v>
      </c>
      <c r="DS51" s="2">
        <f t="shared" ref="DS51:DX51" si="987">(M51*$I51+AH51*$AD51+BC51*$AY51)/100</f>
        <v>0</v>
      </c>
      <c r="DT51" s="2">
        <f t="shared" si="987"/>
        <v>0</v>
      </c>
      <c r="DU51" s="2">
        <f t="shared" si="987"/>
        <v>0</v>
      </c>
      <c r="DV51" s="2">
        <f t="shared" si="987"/>
        <v>0</v>
      </c>
      <c r="DW51" s="2">
        <f t="shared" si="987"/>
        <v>8.199999999999999E-3</v>
      </c>
      <c r="DX51" s="2">
        <f t="shared" si="987"/>
        <v>0</v>
      </c>
      <c r="DY51" s="2">
        <f t="shared" ref="DY51:EC51" si="988">S51*$I51+AN51*$AD51+BI51*$AY51</f>
        <v>0</v>
      </c>
      <c r="DZ51" s="2">
        <f t="shared" si="988"/>
        <v>0</v>
      </c>
      <c r="EA51" s="2">
        <f t="shared" si="988"/>
        <v>0</v>
      </c>
      <c r="EB51" s="2">
        <f t="shared" si="988"/>
        <v>0</v>
      </c>
      <c r="EC51" s="2">
        <f t="shared" si="988"/>
        <v>0</v>
      </c>
      <c r="ED51" s="2">
        <f t="shared" ref="ED51:EE51" si="989">(X51*$I51+AS51*$AD51+BN51*$AY51)/100</f>
        <v>0</v>
      </c>
      <c r="EE51" s="2">
        <f t="shared" si="989"/>
        <v>0</v>
      </c>
      <c r="EF51" s="2"/>
      <c r="EG51" s="2">
        <f t="shared" si="10"/>
        <v>0</v>
      </c>
      <c r="EH51" s="2">
        <f t="shared" si="11"/>
        <v>0</v>
      </c>
      <c r="EI51" s="39">
        <f t="shared" si="12"/>
        <v>0</v>
      </c>
      <c r="EJ51" s="39">
        <f t="shared" ref="EJ51:EK51" si="990">EJ$1*DQ51/1000000</f>
        <v>0</v>
      </c>
      <c r="EK51" s="39">
        <f t="shared" si="990"/>
        <v>0</v>
      </c>
      <c r="EL51" s="39">
        <f t="shared" ref="EL51:EQ51" si="991">EL$1*DS51</f>
        <v>0</v>
      </c>
      <c r="EM51" s="39">
        <f t="shared" si="991"/>
        <v>0</v>
      </c>
      <c r="EN51" s="39">
        <f t="shared" si="991"/>
        <v>0</v>
      </c>
      <c r="EO51" s="39">
        <f t="shared" si="991"/>
        <v>0</v>
      </c>
      <c r="EP51" s="39">
        <f t="shared" si="991"/>
        <v>107.53479999999999</v>
      </c>
      <c r="EQ51" s="39">
        <f t="shared" si="991"/>
        <v>0</v>
      </c>
      <c r="ER51" s="39">
        <f t="shared" ref="ER51:EV51" si="992">ER$1*DY51/1000000</f>
        <v>0</v>
      </c>
      <c r="ES51" s="39">
        <f t="shared" si="992"/>
        <v>0</v>
      </c>
      <c r="ET51" s="39">
        <f t="shared" si="992"/>
        <v>0</v>
      </c>
      <c r="EU51" s="39">
        <f t="shared" si="992"/>
        <v>0</v>
      </c>
      <c r="EV51" s="39">
        <f t="shared" si="992"/>
        <v>0</v>
      </c>
      <c r="EW51" s="39">
        <f t="shared" ref="EW51:EX51" si="993">EW$1*ED51</f>
        <v>0</v>
      </c>
      <c r="EX51" s="39">
        <f t="shared" si="993"/>
        <v>0</v>
      </c>
      <c r="EY51" s="2"/>
      <c r="EZ51" s="39">
        <f t="shared" si="17"/>
        <v>0</v>
      </c>
      <c r="FA51" s="39">
        <f t="shared" si="18"/>
        <v>0</v>
      </c>
      <c r="FB51" s="2">
        <f t="shared" si="19"/>
        <v>0</v>
      </c>
      <c r="FC51" s="2">
        <f t="shared" ref="FC51:FD51" si="994">BV51*$BT51+CQ51*$CO51</f>
        <v>0</v>
      </c>
      <c r="FD51" s="2">
        <f t="shared" si="994"/>
        <v>0</v>
      </c>
      <c r="FE51" s="2">
        <f t="shared" ref="FE51:FJ51" si="995">(BX51*$BT51+CS51*$CO51)/100</f>
        <v>0</v>
      </c>
      <c r="FF51" s="2">
        <f t="shared" si="995"/>
        <v>0</v>
      </c>
      <c r="FG51" s="2">
        <f t="shared" si="995"/>
        <v>0</v>
      </c>
      <c r="FH51" s="2">
        <f t="shared" si="995"/>
        <v>0</v>
      </c>
      <c r="FI51" s="2">
        <f t="shared" si="995"/>
        <v>0</v>
      </c>
      <c r="FJ51" s="2">
        <f t="shared" si="995"/>
        <v>0</v>
      </c>
      <c r="FK51" s="2">
        <f t="shared" ref="FK51:FO51" si="996">CD51*$BT51+CY51*$CO51</f>
        <v>0</v>
      </c>
      <c r="FL51" s="2">
        <f t="shared" si="996"/>
        <v>0</v>
      </c>
      <c r="FM51" s="2">
        <f t="shared" si="996"/>
        <v>0</v>
      </c>
      <c r="FN51" s="2">
        <f t="shared" si="996"/>
        <v>0</v>
      </c>
      <c r="FO51" s="2">
        <f t="shared" si="996"/>
        <v>0</v>
      </c>
      <c r="FP51" s="2">
        <f t="shared" ref="FP51:FQ51" si="997">(CI51*$BT51+DD51*$CO51)/100</f>
        <v>0</v>
      </c>
      <c r="FQ51" s="2">
        <f t="shared" si="997"/>
        <v>0</v>
      </c>
      <c r="FR51" s="2"/>
      <c r="FS51" s="2">
        <f t="shared" si="24"/>
        <v>0</v>
      </c>
      <c r="FT51" s="2">
        <f t="shared" si="25"/>
        <v>0</v>
      </c>
      <c r="FU51" s="39">
        <f t="shared" si="26"/>
        <v>0</v>
      </c>
      <c r="FV51" s="39">
        <f t="shared" ref="FV51:FW51" si="998">FV$1*FC51/1000000</f>
        <v>0</v>
      </c>
      <c r="FW51" s="39">
        <f t="shared" si="998"/>
        <v>0</v>
      </c>
      <c r="FX51" s="39">
        <f t="shared" ref="FX51:GC51" si="999">FX$1*FE51</f>
        <v>0</v>
      </c>
      <c r="FY51" s="39">
        <f t="shared" si="999"/>
        <v>0</v>
      </c>
      <c r="FZ51" s="39">
        <f t="shared" si="999"/>
        <v>0</v>
      </c>
      <c r="GA51" s="39">
        <f t="shared" si="999"/>
        <v>0</v>
      </c>
      <c r="GB51" s="39">
        <f t="shared" si="999"/>
        <v>0</v>
      </c>
      <c r="GC51" s="39">
        <f t="shared" si="999"/>
        <v>0</v>
      </c>
      <c r="GD51" s="39">
        <f t="shared" ref="GD51:GH51" si="1000">GD$1*FK51/1000000</f>
        <v>0</v>
      </c>
      <c r="GE51" s="39">
        <f t="shared" si="1000"/>
        <v>0</v>
      </c>
      <c r="GF51" s="39">
        <f t="shared" si="1000"/>
        <v>0</v>
      </c>
      <c r="GG51" s="39">
        <f t="shared" si="1000"/>
        <v>0</v>
      </c>
      <c r="GH51" s="39">
        <f t="shared" si="1000"/>
        <v>0</v>
      </c>
      <c r="GI51" s="39">
        <f t="shared" ref="GI51:GJ51" si="1001">GI$1*FP51</f>
        <v>0</v>
      </c>
      <c r="GJ51" s="39">
        <f t="shared" si="1001"/>
        <v>0</v>
      </c>
      <c r="GK51" s="2"/>
      <c r="GL51" s="39">
        <f t="shared" si="31"/>
        <v>0</v>
      </c>
      <c r="GM51" s="39">
        <f t="shared" si="32"/>
        <v>0</v>
      </c>
      <c r="GN51" s="2" t="s">
        <v>3</v>
      </c>
      <c r="GO51" s="2">
        <f t="shared" si="33"/>
        <v>1.0249999999999999</v>
      </c>
      <c r="GP51" s="2">
        <f t="shared" si="34"/>
        <v>0.8</v>
      </c>
      <c r="GQ51" s="15">
        <f t="shared" si="35"/>
        <v>8.1999999999999993</v>
      </c>
      <c r="GR51" s="15">
        <f t="shared" si="36"/>
        <v>107.53479999999999</v>
      </c>
      <c r="GS51" s="15">
        <f t="shared" si="37"/>
        <v>104.91200000000001</v>
      </c>
      <c r="GT51" s="2">
        <f t="shared" si="38"/>
        <v>0</v>
      </c>
      <c r="GU51" s="2">
        <f t="shared" si="39"/>
        <v>0</v>
      </c>
      <c r="GV51" s="2">
        <f t="shared" si="40"/>
        <v>8.1999999999999993</v>
      </c>
      <c r="GW51" s="2">
        <f t="shared" si="41"/>
        <v>0</v>
      </c>
      <c r="GX51" s="2"/>
      <c r="GY51" s="2"/>
      <c r="GZ51" s="2"/>
      <c r="HA51" s="2"/>
      <c r="HB51" s="2">
        <f t="shared" si="42"/>
        <v>0</v>
      </c>
      <c r="HC51" s="2">
        <f t="shared" si="43"/>
        <v>0</v>
      </c>
      <c r="HD51" s="2" t="s">
        <v>3</v>
      </c>
      <c r="HE51" s="2" t="s">
        <v>183</v>
      </c>
      <c r="HF51" s="2"/>
      <c r="HG51" s="2"/>
      <c r="HH51" s="2"/>
      <c r="HI51" s="2" t="s">
        <v>81</v>
      </c>
      <c r="HJ51" s="2" t="s">
        <v>3</v>
      </c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>
        <f t="shared" ref="HX51:HY51" si="1002">HX50/2250</f>
        <v>8.0943389622102266</v>
      </c>
      <c r="HY51" s="2">
        <f t="shared" si="1002"/>
        <v>12.849782233243584</v>
      </c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 t="s">
        <v>3</v>
      </c>
    </row>
    <row r="52" spans="1:268" ht="15.75" customHeight="1" x14ac:dyDescent="0.2">
      <c r="A52" s="13" t="s">
        <v>1025</v>
      </c>
      <c r="B52" s="2" t="s">
        <v>99</v>
      </c>
      <c r="C52" s="2"/>
      <c r="D52" s="2"/>
      <c r="E52" s="2" t="s">
        <v>78</v>
      </c>
      <c r="F52" s="2" t="s">
        <v>1026</v>
      </c>
      <c r="G52" s="2"/>
      <c r="H52" s="2" t="s">
        <v>80</v>
      </c>
      <c r="I52" s="2">
        <v>4.2</v>
      </c>
      <c r="J52" s="2"/>
      <c r="K52" s="2"/>
      <c r="L52" s="2"/>
      <c r="M52" s="2"/>
      <c r="N52" s="2"/>
      <c r="O52" s="2"/>
      <c r="P52" s="2"/>
      <c r="Q52" s="4">
        <v>1</v>
      </c>
      <c r="R52" s="2">
        <v>0.08</v>
      </c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>
        <v>6.3</v>
      </c>
      <c r="AE52" s="2"/>
      <c r="AF52" s="2"/>
      <c r="AG52" s="2"/>
      <c r="AH52" s="2"/>
      <c r="AI52" s="2"/>
      <c r="AJ52" s="2"/>
      <c r="AK52" s="2"/>
      <c r="AL52" s="2">
        <v>0.98</v>
      </c>
      <c r="AM52" s="2">
        <v>0.09</v>
      </c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>
        <v>0</v>
      </c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>
        <v>0</v>
      </c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>
        <v>0</v>
      </c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 t="s">
        <v>81</v>
      </c>
      <c r="DK52" s="2" t="s">
        <v>81</v>
      </c>
      <c r="DL52" s="2">
        <f t="shared" si="3"/>
        <v>0.98799999999999988</v>
      </c>
      <c r="DM52" s="2">
        <f t="shared" si="4"/>
        <v>8.6000000000000007E-2</v>
      </c>
      <c r="DN52" s="2" t="s">
        <v>211</v>
      </c>
      <c r="DO52" s="2" t="s">
        <v>3</v>
      </c>
      <c r="DP52" s="2">
        <f t="shared" si="5"/>
        <v>0</v>
      </c>
      <c r="DQ52" s="2">
        <f t="shared" ref="DQ52:DR52" si="1003">K52*$I52+AF52*$AD52+BA52*$AY52</f>
        <v>0</v>
      </c>
      <c r="DR52" s="2">
        <f t="shared" si="1003"/>
        <v>0</v>
      </c>
      <c r="DS52" s="2">
        <f t="shared" ref="DS52:DX52" si="1004">(M52*$I52+AH52*$AD52+BC52*$AY52)/100</f>
        <v>0</v>
      </c>
      <c r="DT52" s="2">
        <f t="shared" si="1004"/>
        <v>0</v>
      </c>
      <c r="DU52" s="2">
        <f t="shared" si="1004"/>
        <v>0</v>
      </c>
      <c r="DV52" s="2">
        <f t="shared" si="1004"/>
        <v>0</v>
      </c>
      <c r="DW52" s="2">
        <f t="shared" si="1004"/>
        <v>0.10373999999999999</v>
      </c>
      <c r="DX52" s="2">
        <f t="shared" si="1004"/>
        <v>9.0299999999999998E-3</v>
      </c>
      <c r="DY52" s="2">
        <f t="shared" ref="DY52:EC52" si="1005">S52*$I52+AN52*$AD52+BI52*$AY52</f>
        <v>0</v>
      </c>
      <c r="DZ52" s="2">
        <f t="shared" si="1005"/>
        <v>0</v>
      </c>
      <c r="EA52" s="2">
        <f t="shared" si="1005"/>
        <v>0</v>
      </c>
      <c r="EB52" s="2">
        <f t="shared" si="1005"/>
        <v>0</v>
      </c>
      <c r="EC52" s="2">
        <f t="shared" si="1005"/>
        <v>0</v>
      </c>
      <c r="ED52" s="2">
        <f t="shared" ref="ED52:EE52" si="1006">(X52*$I52+AS52*$AD52+BN52*$AY52)/100</f>
        <v>0</v>
      </c>
      <c r="EE52" s="2">
        <f t="shared" si="1006"/>
        <v>0</v>
      </c>
      <c r="EF52" s="2"/>
      <c r="EG52" s="2">
        <f t="shared" si="10"/>
        <v>0</v>
      </c>
      <c r="EH52" s="2">
        <f t="shared" si="11"/>
        <v>0</v>
      </c>
      <c r="EI52" s="39">
        <f t="shared" si="12"/>
        <v>0</v>
      </c>
      <c r="EJ52" s="39">
        <f t="shared" ref="EJ52:EK52" si="1007">EJ$1*DQ52/1000000</f>
        <v>0</v>
      </c>
      <c r="EK52" s="39">
        <f t="shared" si="1007"/>
        <v>0</v>
      </c>
      <c r="EL52" s="39">
        <f t="shared" ref="EL52:EQ52" si="1008">EL$1*DS52</f>
        <v>0</v>
      </c>
      <c r="EM52" s="39">
        <f t="shared" si="1008"/>
        <v>0</v>
      </c>
      <c r="EN52" s="39">
        <f t="shared" si="1008"/>
        <v>0</v>
      </c>
      <c r="EO52" s="39">
        <f t="shared" si="1008"/>
        <v>0</v>
      </c>
      <c r="EP52" s="39">
        <f t="shared" si="1008"/>
        <v>1360.4463599999999</v>
      </c>
      <c r="EQ52" s="39">
        <f t="shared" si="1008"/>
        <v>655.75430171999994</v>
      </c>
      <c r="ER52" s="39">
        <f t="shared" ref="ER52:EV52" si="1009">ER$1*DY52/1000000</f>
        <v>0</v>
      </c>
      <c r="ES52" s="39">
        <f t="shared" si="1009"/>
        <v>0</v>
      </c>
      <c r="ET52" s="39">
        <f t="shared" si="1009"/>
        <v>0</v>
      </c>
      <c r="EU52" s="39">
        <f t="shared" si="1009"/>
        <v>0</v>
      </c>
      <c r="EV52" s="39">
        <f t="shared" si="1009"/>
        <v>0</v>
      </c>
      <c r="EW52" s="39">
        <f t="shared" ref="EW52:EX52" si="1010">EW$1*ED52</f>
        <v>0</v>
      </c>
      <c r="EX52" s="39">
        <f t="shared" si="1010"/>
        <v>0</v>
      </c>
      <c r="EY52" s="2"/>
      <c r="EZ52" s="39">
        <f t="shared" si="17"/>
        <v>0</v>
      </c>
      <c r="FA52" s="39">
        <f t="shared" si="18"/>
        <v>0</v>
      </c>
      <c r="FB52" s="2">
        <f t="shared" si="19"/>
        <v>0</v>
      </c>
      <c r="FC52" s="2">
        <f t="shared" ref="FC52:FD52" si="1011">BV52*$BT52+CQ52*$CO52</f>
        <v>0</v>
      </c>
      <c r="FD52" s="2">
        <f t="shared" si="1011"/>
        <v>0</v>
      </c>
      <c r="FE52" s="2">
        <f t="shared" ref="FE52:FJ52" si="1012">(BX52*$BT52+CS52*$CO52)/100</f>
        <v>0</v>
      </c>
      <c r="FF52" s="2">
        <f t="shared" si="1012"/>
        <v>0</v>
      </c>
      <c r="FG52" s="2">
        <f t="shared" si="1012"/>
        <v>0</v>
      </c>
      <c r="FH52" s="2">
        <f t="shared" si="1012"/>
        <v>0</v>
      </c>
      <c r="FI52" s="2">
        <f t="shared" si="1012"/>
        <v>0</v>
      </c>
      <c r="FJ52" s="2">
        <f t="shared" si="1012"/>
        <v>0</v>
      </c>
      <c r="FK52" s="2">
        <f t="shared" ref="FK52:FO52" si="1013">CD52*$BT52+CY52*$CO52</f>
        <v>0</v>
      </c>
      <c r="FL52" s="2">
        <f t="shared" si="1013"/>
        <v>0</v>
      </c>
      <c r="FM52" s="2">
        <f t="shared" si="1013"/>
        <v>0</v>
      </c>
      <c r="FN52" s="2">
        <f t="shared" si="1013"/>
        <v>0</v>
      </c>
      <c r="FO52" s="2">
        <f t="shared" si="1013"/>
        <v>0</v>
      </c>
      <c r="FP52" s="2">
        <f t="shared" ref="FP52:FQ52" si="1014">(CI52*$BT52+DD52*$CO52)/100</f>
        <v>0</v>
      </c>
      <c r="FQ52" s="2">
        <f t="shared" si="1014"/>
        <v>0</v>
      </c>
      <c r="FR52" s="2"/>
      <c r="FS52" s="2">
        <f t="shared" si="24"/>
        <v>0</v>
      </c>
      <c r="FT52" s="2">
        <f t="shared" si="25"/>
        <v>0</v>
      </c>
      <c r="FU52" s="39">
        <f t="shared" si="26"/>
        <v>0</v>
      </c>
      <c r="FV52" s="39">
        <f t="shared" ref="FV52:FW52" si="1015">FV$1*FC52/1000000</f>
        <v>0</v>
      </c>
      <c r="FW52" s="39">
        <f t="shared" si="1015"/>
        <v>0</v>
      </c>
      <c r="FX52" s="39">
        <f t="shared" ref="FX52:GC52" si="1016">FX$1*FE52</f>
        <v>0</v>
      </c>
      <c r="FY52" s="39">
        <f t="shared" si="1016"/>
        <v>0</v>
      </c>
      <c r="FZ52" s="39">
        <f t="shared" si="1016"/>
        <v>0</v>
      </c>
      <c r="GA52" s="39">
        <f t="shared" si="1016"/>
        <v>0</v>
      </c>
      <c r="GB52" s="39">
        <f t="shared" si="1016"/>
        <v>0</v>
      </c>
      <c r="GC52" s="39">
        <f t="shared" si="1016"/>
        <v>0</v>
      </c>
      <c r="GD52" s="39">
        <f t="shared" ref="GD52:GH52" si="1017">GD$1*FK52/1000000</f>
        <v>0</v>
      </c>
      <c r="GE52" s="39">
        <f t="shared" si="1017"/>
        <v>0</v>
      </c>
      <c r="GF52" s="39">
        <f t="shared" si="1017"/>
        <v>0</v>
      </c>
      <c r="GG52" s="39">
        <f t="shared" si="1017"/>
        <v>0</v>
      </c>
      <c r="GH52" s="39">
        <f t="shared" si="1017"/>
        <v>0</v>
      </c>
      <c r="GI52" s="39">
        <f t="shared" ref="GI52:GJ52" si="1018">GI$1*FP52</f>
        <v>0</v>
      </c>
      <c r="GJ52" s="39">
        <f t="shared" si="1018"/>
        <v>0</v>
      </c>
      <c r="GK52" s="2"/>
      <c r="GL52" s="39">
        <f t="shared" si="31"/>
        <v>0</v>
      </c>
      <c r="GM52" s="39">
        <f t="shared" si="32"/>
        <v>0</v>
      </c>
      <c r="GN52" s="2" t="s">
        <v>3</v>
      </c>
      <c r="GO52" s="2">
        <f t="shared" si="33"/>
        <v>10.5</v>
      </c>
      <c r="GP52" s="4">
        <f t="shared" si="34"/>
        <v>0.98799999999999988</v>
      </c>
      <c r="GQ52" s="15">
        <f t="shared" si="35"/>
        <v>103.73999999999998</v>
      </c>
      <c r="GR52" s="15">
        <f t="shared" si="36"/>
        <v>2016.20066172</v>
      </c>
      <c r="GS52" s="15">
        <f t="shared" si="37"/>
        <v>192.01911064000001</v>
      </c>
      <c r="GT52" s="2">
        <f t="shared" si="38"/>
        <v>42</v>
      </c>
      <c r="GU52" s="2">
        <f t="shared" si="39"/>
        <v>61.739999999999988</v>
      </c>
      <c r="GV52" s="2">
        <f t="shared" si="40"/>
        <v>0</v>
      </c>
      <c r="GW52" s="2">
        <f t="shared" si="41"/>
        <v>0</v>
      </c>
      <c r="GX52" s="2"/>
      <c r="GY52" s="2"/>
      <c r="GZ52" s="2"/>
      <c r="HA52" s="2"/>
      <c r="HB52" s="2">
        <f t="shared" si="42"/>
        <v>0</v>
      </c>
      <c r="HC52" s="2">
        <f t="shared" si="43"/>
        <v>0</v>
      </c>
      <c r="HD52" s="2" t="s">
        <v>3</v>
      </c>
      <c r="HE52" s="2" t="s">
        <v>37</v>
      </c>
      <c r="HF52" s="2" t="s">
        <v>383</v>
      </c>
      <c r="HG52" s="2" t="s">
        <v>1400</v>
      </c>
      <c r="HH52" s="2"/>
      <c r="HI52" s="2" t="s">
        <v>81</v>
      </c>
      <c r="HJ52" s="2" t="s">
        <v>3</v>
      </c>
      <c r="HK52" s="2"/>
      <c r="HL52" s="2" t="s">
        <v>37</v>
      </c>
      <c r="HM52" s="2"/>
      <c r="HN52" s="2"/>
      <c r="HO52" s="2"/>
      <c r="HP52" s="2"/>
      <c r="HQ52" s="2"/>
      <c r="HR52" s="2"/>
      <c r="HS52" s="2"/>
      <c r="HT52" s="2"/>
      <c r="HU52" s="4">
        <f>100*(HU39+HU40)/HU$50</f>
        <v>54.315906733685303</v>
      </c>
      <c r="HV52" s="2"/>
      <c r="HW52" s="2"/>
      <c r="HX52" s="2"/>
      <c r="HY52" s="2"/>
      <c r="HZ52" s="2"/>
      <c r="IA52" s="2"/>
      <c r="IB52" s="4">
        <f>100*(IB39+IB40)/IB$50</f>
        <v>55.112277142767233</v>
      </c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 t="s">
        <v>3</v>
      </c>
    </row>
    <row r="53" spans="1:268" ht="15.75" customHeight="1" x14ac:dyDescent="0.2">
      <c r="A53" s="13" t="s">
        <v>894</v>
      </c>
      <c r="B53" s="2" t="s">
        <v>109</v>
      </c>
      <c r="C53" s="2"/>
      <c r="D53" s="2"/>
      <c r="E53" s="2" t="s">
        <v>78</v>
      </c>
      <c r="F53" s="2" t="s">
        <v>309</v>
      </c>
      <c r="G53" s="2"/>
      <c r="H53" s="2" t="s">
        <v>80</v>
      </c>
      <c r="I53" s="2">
        <v>138.4</v>
      </c>
      <c r="J53" s="2"/>
      <c r="K53" s="2"/>
      <c r="L53" s="2"/>
      <c r="M53" s="2"/>
      <c r="N53" s="2"/>
      <c r="O53" s="2"/>
      <c r="P53" s="2"/>
      <c r="Q53" s="2">
        <v>1.01</v>
      </c>
      <c r="R53" s="2">
        <v>7.4999999999999997E-2</v>
      </c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>
        <v>75.5</v>
      </c>
      <c r="AE53" s="2"/>
      <c r="AF53" s="2"/>
      <c r="AG53" s="2"/>
      <c r="AH53" s="2"/>
      <c r="AI53" s="2"/>
      <c r="AJ53" s="2"/>
      <c r="AK53" s="2"/>
      <c r="AL53" s="2">
        <v>0.99</v>
      </c>
      <c r="AM53" s="2">
        <v>8.4000000000000005E-2</v>
      </c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>
        <v>17</v>
      </c>
      <c r="AZ53" s="2"/>
      <c r="BA53" s="2"/>
      <c r="BB53" s="2"/>
      <c r="BC53" s="2"/>
      <c r="BD53" s="2"/>
      <c r="BE53" s="2"/>
      <c r="BF53" s="2"/>
      <c r="BG53" s="2">
        <v>0.9</v>
      </c>
      <c r="BH53" s="2">
        <v>7.0000000000000007E-2</v>
      </c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>
        <v>83.1</v>
      </c>
      <c r="BU53" s="2"/>
      <c r="BV53" s="2"/>
      <c r="BW53" s="2"/>
      <c r="BX53" s="2"/>
      <c r="BY53" s="2"/>
      <c r="BZ53" s="2"/>
      <c r="CA53" s="2"/>
      <c r="CB53" s="2">
        <v>1.05</v>
      </c>
      <c r="CC53" s="2">
        <v>8.2000000000000003E-2</v>
      </c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>
        <v>18.5</v>
      </c>
      <c r="CP53" s="2"/>
      <c r="CQ53" s="2"/>
      <c r="CR53" s="2"/>
      <c r="CS53" s="2"/>
      <c r="CT53" s="2"/>
      <c r="CU53" s="2"/>
      <c r="CV53" s="2"/>
      <c r="CW53" s="2">
        <v>1.05</v>
      </c>
      <c r="CX53" s="2">
        <v>7.8E-2</v>
      </c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 t="s">
        <v>81</v>
      </c>
      <c r="DK53" s="2" t="s">
        <v>81</v>
      </c>
      <c r="DL53" s="2">
        <f t="shared" si="3"/>
        <v>0.99536162841056752</v>
      </c>
      <c r="DM53" s="2">
        <f t="shared" si="4"/>
        <v>7.7574707665656134E-2</v>
      </c>
      <c r="DN53" s="2" t="s">
        <v>211</v>
      </c>
      <c r="DO53" s="2" t="s">
        <v>3</v>
      </c>
      <c r="DP53" s="2">
        <f t="shared" si="5"/>
        <v>0</v>
      </c>
      <c r="DQ53" s="2">
        <f t="shared" ref="DQ53:DR53" si="1019">K53*$I53+AF53*$AD53+BA53*$AY53</f>
        <v>0</v>
      </c>
      <c r="DR53" s="2">
        <f t="shared" si="1019"/>
        <v>0</v>
      </c>
      <c r="DS53" s="2">
        <f t="shared" ref="DS53:DX53" si="1020">(M53*$I53+AH53*$AD53+BC53*$AY53)/100</f>
        <v>0</v>
      </c>
      <c r="DT53" s="2">
        <f t="shared" si="1020"/>
        <v>0</v>
      </c>
      <c r="DU53" s="2">
        <f t="shared" si="1020"/>
        <v>0</v>
      </c>
      <c r="DV53" s="2">
        <f t="shared" si="1020"/>
        <v>0</v>
      </c>
      <c r="DW53" s="2">
        <f t="shared" si="1020"/>
        <v>2.2982900000000002</v>
      </c>
      <c r="DX53" s="2">
        <f t="shared" si="1020"/>
        <v>0.17912000000000003</v>
      </c>
      <c r="DY53" s="2">
        <f t="shared" ref="DY53:EC53" si="1021">S53*$I53+AN53*$AD53+BI53*$AY53</f>
        <v>0</v>
      </c>
      <c r="DZ53" s="2">
        <f t="shared" si="1021"/>
        <v>0</v>
      </c>
      <c r="EA53" s="2">
        <f t="shared" si="1021"/>
        <v>0</v>
      </c>
      <c r="EB53" s="2">
        <f t="shared" si="1021"/>
        <v>0</v>
      </c>
      <c r="EC53" s="2">
        <f t="shared" si="1021"/>
        <v>0</v>
      </c>
      <c r="ED53" s="2">
        <f t="shared" ref="ED53:EE53" si="1022">(X53*$I53+AS53*$AD53+BN53*$AY53)/100</f>
        <v>0</v>
      </c>
      <c r="EE53" s="2">
        <f t="shared" si="1022"/>
        <v>0</v>
      </c>
      <c r="EF53" s="2"/>
      <c r="EG53" s="2">
        <f t="shared" si="10"/>
        <v>0</v>
      </c>
      <c r="EH53" s="2">
        <f t="shared" si="11"/>
        <v>0</v>
      </c>
      <c r="EI53" s="39">
        <f t="shared" si="12"/>
        <v>0</v>
      </c>
      <c r="EJ53" s="39">
        <f t="shared" ref="EJ53:EK53" si="1023">EJ$1*DQ53/1000000</f>
        <v>0</v>
      </c>
      <c r="EK53" s="39">
        <f t="shared" si="1023"/>
        <v>0</v>
      </c>
      <c r="EL53" s="39">
        <f t="shared" ref="EL53:EQ53" si="1024">EL$1*DS53</f>
        <v>0</v>
      </c>
      <c r="EM53" s="39">
        <f t="shared" si="1024"/>
        <v>0</v>
      </c>
      <c r="EN53" s="39">
        <f t="shared" si="1024"/>
        <v>0</v>
      </c>
      <c r="EO53" s="39">
        <f t="shared" si="1024"/>
        <v>0</v>
      </c>
      <c r="EP53" s="39">
        <f t="shared" si="1024"/>
        <v>30139.775060000004</v>
      </c>
      <c r="EQ53" s="39">
        <f t="shared" si="1024"/>
        <v>13007.60913888</v>
      </c>
      <c r="ER53" s="39">
        <f t="shared" ref="ER53:EV53" si="1025">ER$1*DY53/1000000</f>
        <v>0</v>
      </c>
      <c r="ES53" s="39">
        <f t="shared" si="1025"/>
        <v>0</v>
      </c>
      <c r="ET53" s="39">
        <f t="shared" si="1025"/>
        <v>0</v>
      </c>
      <c r="EU53" s="39">
        <f t="shared" si="1025"/>
        <v>0</v>
      </c>
      <c r="EV53" s="39">
        <f t="shared" si="1025"/>
        <v>0</v>
      </c>
      <c r="EW53" s="39">
        <f t="shared" ref="EW53:EX53" si="1026">EW$1*ED53</f>
        <v>0</v>
      </c>
      <c r="EX53" s="39">
        <f t="shared" si="1026"/>
        <v>0</v>
      </c>
      <c r="EY53" s="2"/>
      <c r="EZ53" s="39">
        <f t="shared" si="17"/>
        <v>0</v>
      </c>
      <c r="FA53" s="39">
        <f t="shared" si="18"/>
        <v>0</v>
      </c>
      <c r="FB53" s="2">
        <f t="shared" si="19"/>
        <v>0</v>
      </c>
      <c r="FC53" s="2">
        <f t="shared" ref="FC53:FD53" si="1027">BV53*$BT53+CQ53*$CO53</f>
        <v>0</v>
      </c>
      <c r="FD53" s="2">
        <f t="shared" si="1027"/>
        <v>0</v>
      </c>
      <c r="FE53" s="2">
        <f t="shared" ref="FE53:FJ53" si="1028">(BX53*$BT53+CS53*$CO53)/100</f>
        <v>0</v>
      </c>
      <c r="FF53" s="2">
        <f t="shared" si="1028"/>
        <v>0</v>
      </c>
      <c r="FG53" s="2">
        <f t="shared" si="1028"/>
        <v>0</v>
      </c>
      <c r="FH53" s="2">
        <f t="shared" si="1028"/>
        <v>0</v>
      </c>
      <c r="FI53" s="2">
        <f t="shared" si="1028"/>
        <v>1.0668</v>
      </c>
      <c r="FJ53" s="2">
        <f t="shared" si="1028"/>
        <v>8.2571999999999993E-2</v>
      </c>
      <c r="FK53" s="2">
        <f t="shared" ref="FK53:FO53" si="1029">CD53*$BT53+CY53*$CO53</f>
        <v>0</v>
      </c>
      <c r="FL53" s="2">
        <f t="shared" si="1029"/>
        <v>0</v>
      </c>
      <c r="FM53" s="2">
        <f t="shared" si="1029"/>
        <v>0</v>
      </c>
      <c r="FN53" s="2">
        <f t="shared" si="1029"/>
        <v>0</v>
      </c>
      <c r="FO53" s="2">
        <f t="shared" si="1029"/>
        <v>0</v>
      </c>
      <c r="FP53" s="2">
        <f t="shared" ref="FP53:FQ53" si="1030">(CI53*$BT53+DD53*$CO53)/100</f>
        <v>0</v>
      </c>
      <c r="FQ53" s="2">
        <f t="shared" si="1030"/>
        <v>0</v>
      </c>
      <c r="FR53" s="2"/>
      <c r="FS53" s="2">
        <f t="shared" si="24"/>
        <v>0</v>
      </c>
      <c r="FT53" s="2">
        <f t="shared" si="25"/>
        <v>0</v>
      </c>
      <c r="FU53" s="39">
        <f t="shared" si="26"/>
        <v>0</v>
      </c>
      <c r="FV53" s="39">
        <f t="shared" ref="FV53:FW53" si="1031">FV$1*FC53/1000000</f>
        <v>0</v>
      </c>
      <c r="FW53" s="39">
        <f t="shared" si="1031"/>
        <v>0</v>
      </c>
      <c r="FX53" s="39">
        <f t="shared" ref="FX53:GC53" si="1032">FX$1*FE53</f>
        <v>0</v>
      </c>
      <c r="FY53" s="39">
        <f t="shared" si="1032"/>
        <v>0</v>
      </c>
      <c r="FZ53" s="39">
        <f t="shared" si="1032"/>
        <v>0</v>
      </c>
      <c r="GA53" s="39">
        <f t="shared" si="1032"/>
        <v>0</v>
      </c>
      <c r="GB53" s="39">
        <f t="shared" si="1032"/>
        <v>13990.0152</v>
      </c>
      <c r="GC53" s="39">
        <f t="shared" si="1032"/>
        <v>5996.3393357279983</v>
      </c>
      <c r="GD53" s="39">
        <f t="shared" ref="GD53:GH53" si="1033">GD$1*FK53/1000000</f>
        <v>0</v>
      </c>
      <c r="GE53" s="39">
        <f t="shared" si="1033"/>
        <v>0</v>
      </c>
      <c r="GF53" s="39">
        <f t="shared" si="1033"/>
        <v>0</v>
      </c>
      <c r="GG53" s="39">
        <f t="shared" si="1033"/>
        <v>0</v>
      </c>
      <c r="GH53" s="39">
        <f t="shared" si="1033"/>
        <v>0</v>
      </c>
      <c r="GI53" s="39">
        <f t="shared" ref="GI53:GJ53" si="1034">GI$1*FP53</f>
        <v>0</v>
      </c>
      <c r="GJ53" s="39">
        <f t="shared" si="1034"/>
        <v>0</v>
      </c>
      <c r="GK53" s="2"/>
      <c r="GL53" s="39">
        <f t="shared" si="31"/>
        <v>0</v>
      </c>
      <c r="GM53" s="39">
        <f t="shared" si="32"/>
        <v>0</v>
      </c>
      <c r="GN53" s="2" t="s">
        <v>3</v>
      </c>
      <c r="GO53" s="2">
        <f t="shared" si="33"/>
        <v>230.9</v>
      </c>
      <c r="GP53" s="4">
        <f t="shared" si="34"/>
        <v>0.99536162841056752</v>
      </c>
      <c r="GQ53" s="18">
        <f t="shared" si="35"/>
        <v>2298.2900000000004</v>
      </c>
      <c r="GR53" s="15">
        <f t="shared" si="36"/>
        <v>43147.384198880005</v>
      </c>
      <c r="GS53" s="15">
        <f t="shared" si="37"/>
        <v>186.86610740095281</v>
      </c>
      <c r="GT53" s="2">
        <f t="shared" si="38"/>
        <v>1397.8400000000004</v>
      </c>
      <c r="GU53" s="2">
        <f t="shared" si="39"/>
        <v>747.45</v>
      </c>
      <c r="GV53" s="2">
        <f t="shared" si="40"/>
        <v>153</v>
      </c>
      <c r="GW53" s="2">
        <f t="shared" si="41"/>
        <v>101.6</v>
      </c>
      <c r="GX53" s="4">
        <f>(BT53*CB53+CO53*CW53)/GW53</f>
        <v>1.05</v>
      </c>
      <c r="GY53" s="18">
        <f>1000*GW53*GX53/100</f>
        <v>1066.8</v>
      </c>
      <c r="GZ53" s="18">
        <f>SUM(FU53:GM53)</f>
        <v>19986.354535727998</v>
      </c>
      <c r="HA53" s="15">
        <f>GZ53/GW53</f>
        <v>196.71608795007873</v>
      </c>
      <c r="HB53" s="2">
        <f t="shared" si="42"/>
        <v>872.55</v>
      </c>
      <c r="HC53" s="2">
        <f t="shared" si="43"/>
        <v>194.25</v>
      </c>
      <c r="HD53" s="2" t="s">
        <v>3</v>
      </c>
      <c r="HE53" s="2" t="s">
        <v>37</v>
      </c>
      <c r="HF53" s="2" t="s">
        <v>383</v>
      </c>
      <c r="HG53" s="2" t="s">
        <v>383</v>
      </c>
      <c r="HH53" s="2"/>
      <c r="HI53" s="2" t="s">
        <v>81</v>
      </c>
      <c r="HJ53" s="2" t="s">
        <v>3</v>
      </c>
      <c r="HK53" s="2"/>
      <c r="HL53" s="2" t="s">
        <v>89</v>
      </c>
      <c r="HM53" s="2"/>
      <c r="HN53" s="2"/>
      <c r="HO53" s="2"/>
      <c r="HP53" s="2"/>
      <c r="HQ53" s="2"/>
      <c r="HR53" s="2"/>
      <c r="HS53" s="2"/>
      <c r="HT53" s="2"/>
      <c r="HU53" s="4">
        <f>100*(HU41+HU42)/HU$50</f>
        <v>35.43559112745406</v>
      </c>
      <c r="HV53" s="2"/>
      <c r="HW53" s="2"/>
      <c r="HX53" s="2"/>
      <c r="HY53" s="2"/>
      <c r="HZ53" s="2"/>
      <c r="IA53" s="2"/>
      <c r="IB53" s="4">
        <f>100*(IB41+IB42)/IB$50</f>
        <v>42.740876567083873</v>
      </c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 t="s">
        <v>3</v>
      </c>
    </row>
    <row r="54" spans="1:268" ht="15.75" customHeight="1" x14ac:dyDescent="0.2">
      <c r="A54" s="13" t="s">
        <v>646</v>
      </c>
      <c r="B54" s="2" t="s">
        <v>99</v>
      </c>
      <c r="C54" s="2"/>
      <c r="D54" s="2"/>
      <c r="E54" s="2" t="s">
        <v>78</v>
      </c>
      <c r="F54" s="2" t="s">
        <v>497</v>
      </c>
      <c r="G54" s="2"/>
      <c r="H54" s="2" t="s">
        <v>80</v>
      </c>
      <c r="I54" s="2">
        <v>0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>
        <v>0</v>
      </c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>
        <v>14.2</v>
      </c>
      <c r="AZ54" s="2"/>
      <c r="BA54" s="2"/>
      <c r="BB54" s="2"/>
      <c r="BC54" s="2"/>
      <c r="BD54" s="2"/>
      <c r="BE54" s="2"/>
      <c r="BF54" s="2"/>
      <c r="BG54" s="2">
        <v>0.84</v>
      </c>
      <c r="BH54" s="2">
        <v>0.05</v>
      </c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>
        <v>0</v>
      </c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>
        <v>0</v>
      </c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 t="s">
        <v>81</v>
      </c>
      <c r="DK54" s="2" t="s">
        <v>81</v>
      </c>
      <c r="DL54" s="2">
        <f t="shared" si="3"/>
        <v>0.84</v>
      </c>
      <c r="DM54" s="2">
        <f t="shared" si="4"/>
        <v>0.05</v>
      </c>
      <c r="DN54" s="2" t="s">
        <v>211</v>
      </c>
      <c r="DO54" s="2" t="s">
        <v>3</v>
      </c>
      <c r="DP54" s="2">
        <f t="shared" si="5"/>
        <v>0</v>
      </c>
      <c r="DQ54" s="2">
        <f t="shared" ref="DQ54:DR54" si="1035">K54*$I54+AF54*$AD54+BA54*$AY54</f>
        <v>0</v>
      </c>
      <c r="DR54" s="2">
        <f t="shared" si="1035"/>
        <v>0</v>
      </c>
      <c r="DS54" s="2">
        <f t="shared" ref="DS54:DX54" si="1036">(M54*$I54+AH54*$AD54+BC54*$AY54)/100</f>
        <v>0</v>
      </c>
      <c r="DT54" s="2">
        <f t="shared" si="1036"/>
        <v>0</v>
      </c>
      <c r="DU54" s="2">
        <f t="shared" si="1036"/>
        <v>0</v>
      </c>
      <c r="DV54" s="2">
        <f t="shared" si="1036"/>
        <v>0</v>
      </c>
      <c r="DW54" s="2">
        <f t="shared" si="1036"/>
        <v>0.11928</v>
      </c>
      <c r="DX54" s="2">
        <f t="shared" si="1036"/>
        <v>7.0999999999999995E-3</v>
      </c>
      <c r="DY54" s="2">
        <f t="shared" ref="DY54:EC54" si="1037">S54*$I54+AN54*$AD54+BI54*$AY54</f>
        <v>0</v>
      </c>
      <c r="DZ54" s="2">
        <f t="shared" si="1037"/>
        <v>0</v>
      </c>
      <c r="EA54" s="2">
        <f t="shared" si="1037"/>
        <v>0</v>
      </c>
      <c r="EB54" s="2">
        <f t="shared" si="1037"/>
        <v>0</v>
      </c>
      <c r="EC54" s="2">
        <f t="shared" si="1037"/>
        <v>0</v>
      </c>
      <c r="ED54" s="2">
        <f t="shared" ref="ED54:EE54" si="1038">(X54*$I54+AS54*$AD54+BN54*$AY54)/100</f>
        <v>0</v>
      </c>
      <c r="EE54" s="2">
        <f t="shared" si="1038"/>
        <v>0</v>
      </c>
      <c r="EF54" s="2"/>
      <c r="EG54" s="2">
        <f t="shared" si="10"/>
        <v>0</v>
      </c>
      <c r="EH54" s="2">
        <f t="shared" si="11"/>
        <v>0</v>
      </c>
      <c r="EI54" s="39">
        <f t="shared" si="12"/>
        <v>0</v>
      </c>
      <c r="EJ54" s="39">
        <f t="shared" ref="EJ54:EK54" si="1039">EJ$1*DQ54/1000000</f>
        <v>0</v>
      </c>
      <c r="EK54" s="39">
        <f t="shared" si="1039"/>
        <v>0</v>
      </c>
      <c r="EL54" s="39">
        <f t="shared" ref="EL54:EQ54" si="1040">EL$1*DS54</f>
        <v>0</v>
      </c>
      <c r="EM54" s="39">
        <f t="shared" si="1040"/>
        <v>0</v>
      </c>
      <c r="EN54" s="39">
        <f t="shared" si="1040"/>
        <v>0</v>
      </c>
      <c r="EO54" s="39">
        <f t="shared" si="1040"/>
        <v>0</v>
      </c>
      <c r="EP54" s="39">
        <f t="shared" si="1040"/>
        <v>1564.23792</v>
      </c>
      <c r="EQ54" s="39">
        <f t="shared" si="1040"/>
        <v>515.59862039999985</v>
      </c>
      <c r="ER54" s="39">
        <f t="shared" ref="ER54:EV54" si="1041">ER$1*DY54/1000000</f>
        <v>0</v>
      </c>
      <c r="ES54" s="39">
        <f t="shared" si="1041"/>
        <v>0</v>
      </c>
      <c r="ET54" s="39">
        <f t="shared" si="1041"/>
        <v>0</v>
      </c>
      <c r="EU54" s="39">
        <f t="shared" si="1041"/>
        <v>0</v>
      </c>
      <c r="EV54" s="39">
        <f t="shared" si="1041"/>
        <v>0</v>
      </c>
      <c r="EW54" s="39">
        <f t="shared" ref="EW54:EX54" si="1042">EW$1*ED54</f>
        <v>0</v>
      </c>
      <c r="EX54" s="39">
        <f t="shared" si="1042"/>
        <v>0</v>
      </c>
      <c r="EY54" s="2"/>
      <c r="EZ54" s="39">
        <f t="shared" si="17"/>
        <v>0</v>
      </c>
      <c r="FA54" s="39">
        <f t="shared" si="18"/>
        <v>0</v>
      </c>
      <c r="FB54" s="2">
        <f t="shared" si="19"/>
        <v>0</v>
      </c>
      <c r="FC54" s="2">
        <f t="shared" ref="FC54:FD54" si="1043">BV54*$BT54+CQ54*$CO54</f>
        <v>0</v>
      </c>
      <c r="FD54" s="2">
        <f t="shared" si="1043"/>
        <v>0</v>
      </c>
      <c r="FE54" s="2">
        <f t="shared" ref="FE54:FJ54" si="1044">(BX54*$BT54+CS54*$CO54)/100</f>
        <v>0</v>
      </c>
      <c r="FF54" s="2">
        <f t="shared" si="1044"/>
        <v>0</v>
      </c>
      <c r="FG54" s="2">
        <f t="shared" si="1044"/>
        <v>0</v>
      </c>
      <c r="FH54" s="2">
        <f t="shared" si="1044"/>
        <v>0</v>
      </c>
      <c r="FI54" s="2">
        <f t="shared" si="1044"/>
        <v>0</v>
      </c>
      <c r="FJ54" s="2">
        <f t="shared" si="1044"/>
        <v>0</v>
      </c>
      <c r="FK54" s="2">
        <f t="shared" ref="FK54:FO54" si="1045">CD54*$BT54+CY54*$CO54</f>
        <v>0</v>
      </c>
      <c r="FL54" s="2">
        <f t="shared" si="1045"/>
        <v>0</v>
      </c>
      <c r="FM54" s="2">
        <f t="shared" si="1045"/>
        <v>0</v>
      </c>
      <c r="FN54" s="2">
        <f t="shared" si="1045"/>
        <v>0</v>
      </c>
      <c r="FO54" s="2">
        <f t="shared" si="1045"/>
        <v>0</v>
      </c>
      <c r="FP54" s="2">
        <f t="shared" ref="FP54:FQ54" si="1046">(CI54*$BT54+DD54*$CO54)/100</f>
        <v>0</v>
      </c>
      <c r="FQ54" s="2">
        <f t="shared" si="1046"/>
        <v>0</v>
      </c>
      <c r="FR54" s="2"/>
      <c r="FS54" s="2">
        <f t="shared" si="24"/>
        <v>0</v>
      </c>
      <c r="FT54" s="2">
        <f t="shared" si="25"/>
        <v>0</v>
      </c>
      <c r="FU54" s="39">
        <f t="shared" si="26"/>
        <v>0</v>
      </c>
      <c r="FV54" s="39">
        <f t="shared" ref="FV54:FW54" si="1047">FV$1*FC54/1000000</f>
        <v>0</v>
      </c>
      <c r="FW54" s="39">
        <f t="shared" si="1047"/>
        <v>0</v>
      </c>
      <c r="FX54" s="39">
        <f t="shared" ref="FX54:GC54" si="1048">FX$1*FE54</f>
        <v>0</v>
      </c>
      <c r="FY54" s="39">
        <f t="shared" si="1048"/>
        <v>0</v>
      </c>
      <c r="FZ54" s="39">
        <f t="shared" si="1048"/>
        <v>0</v>
      </c>
      <c r="GA54" s="39">
        <f t="shared" si="1048"/>
        <v>0</v>
      </c>
      <c r="GB54" s="39">
        <f t="shared" si="1048"/>
        <v>0</v>
      </c>
      <c r="GC54" s="39">
        <f t="shared" si="1048"/>
        <v>0</v>
      </c>
      <c r="GD54" s="39">
        <f t="shared" ref="GD54:GH54" si="1049">GD$1*FK54/1000000</f>
        <v>0</v>
      </c>
      <c r="GE54" s="39">
        <f t="shared" si="1049"/>
        <v>0</v>
      </c>
      <c r="GF54" s="39">
        <f t="shared" si="1049"/>
        <v>0</v>
      </c>
      <c r="GG54" s="39">
        <f t="shared" si="1049"/>
        <v>0</v>
      </c>
      <c r="GH54" s="39">
        <f t="shared" si="1049"/>
        <v>0</v>
      </c>
      <c r="GI54" s="39">
        <f t="shared" ref="GI54:GJ54" si="1050">GI$1*FP54</f>
        <v>0</v>
      </c>
      <c r="GJ54" s="39">
        <f t="shared" si="1050"/>
        <v>0</v>
      </c>
      <c r="GK54" s="2"/>
      <c r="GL54" s="39">
        <f t="shared" si="31"/>
        <v>0</v>
      </c>
      <c r="GM54" s="39">
        <f t="shared" si="32"/>
        <v>0</v>
      </c>
      <c r="GN54" s="2" t="s">
        <v>3</v>
      </c>
      <c r="GO54" s="2">
        <f t="shared" si="33"/>
        <v>14.2</v>
      </c>
      <c r="GP54" s="2">
        <f t="shared" si="34"/>
        <v>0.84</v>
      </c>
      <c r="GQ54" s="15">
        <f t="shared" si="35"/>
        <v>119.28</v>
      </c>
      <c r="GR54" s="15">
        <f t="shared" si="36"/>
        <v>2079.8365403999996</v>
      </c>
      <c r="GS54" s="15">
        <f t="shared" si="37"/>
        <v>146.46736199999998</v>
      </c>
      <c r="GT54" s="2">
        <f t="shared" si="38"/>
        <v>0</v>
      </c>
      <c r="GU54" s="2">
        <f t="shared" si="39"/>
        <v>0</v>
      </c>
      <c r="GV54" s="2">
        <f t="shared" si="40"/>
        <v>119.27999999999999</v>
      </c>
      <c r="GW54" s="2">
        <f t="shared" si="41"/>
        <v>0</v>
      </c>
      <c r="GX54" s="2"/>
      <c r="GY54" s="2"/>
      <c r="GZ54" s="2"/>
      <c r="HA54" s="2"/>
      <c r="HB54" s="2">
        <f t="shared" si="42"/>
        <v>0</v>
      </c>
      <c r="HC54" s="2">
        <f t="shared" si="43"/>
        <v>0</v>
      </c>
      <c r="HD54" s="2" t="s">
        <v>3</v>
      </c>
      <c r="HE54" s="2" t="s">
        <v>37</v>
      </c>
      <c r="HF54" s="2" t="s">
        <v>383</v>
      </c>
      <c r="HG54" s="2" t="s">
        <v>383</v>
      </c>
      <c r="HH54" s="2"/>
      <c r="HI54" s="2" t="s">
        <v>81</v>
      </c>
      <c r="HJ54" s="2" t="s">
        <v>3</v>
      </c>
      <c r="HK54" s="2"/>
      <c r="HL54" s="2" t="s">
        <v>183</v>
      </c>
      <c r="HM54" s="2"/>
      <c r="HN54" s="2"/>
      <c r="HO54" s="2"/>
      <c r="HP54" s="2"/>
      <c r="HQ54" s="2"/>
      <c r="HR54" s="2"/>
      <c r="HS54" s="2"/>
      <c r="HT54" s="2"/>
      <c r="HU54" s="4">
        <f>100*(HU43+HU44)/HU$50</f>
        <v>10.109728750283784</v>
      </c>
      <c r="HV54" s="2"/>
      <c r="HW54" s="2"/>
      <c r="HX54" s="2"/>
      <c r="HY54" s="2"/>
      <c r="HZ54" s="2"/>
      <c r="IA54" s="2"/>
      <c r="IB54" s="4">
        <f>100*(IB43+IB44)/IB$50</f>
        <v>2.1468462901488969</v>
      </c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 t="s">
        <v>3</v>
      </c>
    </row>
    <row r="55" spans="1:268" ht="15.75" customHeight="1" x14ac:dyDescent="0.2">
      <c r="A55" s="13" t="s">
        <v>645</v>
      </c>
      <c r="B55" s="2" t="s">
        <v>99</v>
      </c>
      <c r="C55" s="2"/>
      <c r="D55" s="2"/>
      <c r="E55" s="2" t="s">
        <v>78</v>
      </c>
      <c r="F55" s="2" t="s">
        <v>497</v>
      </c>
      <c r="G55" s="2"/>
      <c r="H55" s="2" t="s">
        <v>80</v>
      </c>
      <c r="I55" s="2">
        <v>0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>
        <v>15.9</v>
      </c>
      <c r="AE55" s="2"/>
      <c r="AF55" s="2"/>
      <c r="AG55" s="2"/>
      <c r="AH55" s="2"/>
      <c r="AI55" s="2"/>
      <c r="AJ55" s="2"/>
      <c r="AK55" s="2"/>
      <c r="AL55" s="2">
        <v>1.06</v>
      </c>
      <c r="AM55" s="2">
        <v>0.06</v>
      </c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15">
        <v>24</v>
      </c>
      <c r="AZ55" s="2"/>
      <c r="BA55" s="2"/>
      <c r="BB55" s="2"/>
      <c r="BC55" s="2"/>
      <c r="BD55" s="2"/>
      <c r="BE55" s="2"/>
      <c r="BF55" s="2"/>
      <c r="BG55" s="2">
        <v>0.79</v>
      </c>
      <c r="BH55" s="2">
        <v>0.05</v>
      </c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>
        <v>0</v>
      </c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>
        <v>0</v>
      </c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 t="s">
        <v>81</v>
      </c>
      <c r="DK55" s="2" t="s">
        <v>81</v>
      </c>
      <c r="DL55" s="2">
        <f t="shared" si="3"/>
        <v>0.89759398496240628</v>
      </c>
      <c r="DM55" s="2">
        <f t="shared" si="4"/>
        <v>5.3984962406015038E-2</v>
      </c>
      <c r="DN55" s="2" t="s">
        <v>211</v>
      </c>
      <c r="DO55" s="2" t="s">
        <v>3</v>
      </c>
      <c r="DP55" s="2">
        <f t="shared" si="5"/>
        <v>0</v>
      </c>
      <c r="DQ55" s="2">
        <f t="shared" ref="DQ55:DR55" si="1051">K55*$I55+AF55*$AD55+BA55*$AY55</f>
        <v>0</v>
      </c>
      <c r="DR55" s="2">
        <f t="shared" si="1051"/>
        <v>0</v>
      </c>
      <c r="DS55" s="2">
        <f t="shared" ref="DS55:DX55" si="1052">(M55*$I55+AH55*$AD55+BC55*$AY55)/100</f>
        <v>0</v>
      </c>
      <c r="DT55" s="2">
        <f t="shared" si="1052"/>
        <v>0</v>
      </c>
      <c r="DU55" s="2">
        <f t="shared" si="1052"/>
        <v>0</v>
      </c>
      <c r="DV55" s="2">
        <f t="shared" si="1052"/>
        <v>0</v>
      </c>
      <c r="DW55" s="2">
        <f t="shared" si="1052"/>
        <v>0.35814000000000007</v>
      </c>
      <c r="DX55" s="2">
        <f t="shared" si="1052"/>
        <v>2.154E-2</v>
      </c>
      <c r="DY55" s="2">
        <f t="shared" ref="DY55:EC55" si="1053">S55*$I55+AN55*$AD55+BI55*$AY55</f>
        <v>0</v>
      </c>
      <c r="DZ55" s="2">
        <f t="shared" si="1053"/>
        <v>0</v>
      </c>
      <c r="EA55" s="2">
        <f t="shared" si="1053"/>
        <v>0</v>
      </c>
      <c r="EB55" s="2">
        <f t="shared" si="1053"/>
        <v>0</v>
      </c>
      <c r="EC55" s="2">
        <f t="shared" si="1053"/>
        <v>0</v>
      </c>
      <c r="ED55" s="2">
        <f t="shared" ref="ED55:EE55" si="1054">(X55*$I55+AS55*$AD55+BN55*$AY55)/100</f>
        <v>0</v>
      </c>
      <c r="EE55" s="2">
        <f t="shared" si="1054"/>
        <v>0</v>
      </c>
      <c r="EF55" s="2"/>
      <c r="EG55" s="2">
        <f t="shared" si="10"/>
        <v>0</v>
      </c>
      <c r="EH55" s="2">
        <f t="shared" si="11"/>
        <v>0</v>
      </c>
      <c r="EI55" s="39">
        <f t="shared" si="12"/>
        <v>0</v>
      </c>
      <c r="EJ55" s="39">
        <f t="shared" ref="EJ55:EK55" si="1055">EJ$1*DQ55/1000000</f>
        <v>0</v>
      </c>
      <c r="EK55" s="39">
        <f t="shared" si="1055"/>
        <v>0</v>
      </c>
      <c r="EL55" s="39">
        <f t="shared" ref="EL55:EQ55" si="1056">EL$1*DS55</f>
        <v>0</v>
      </c>
      <c r="EM55" s="39">
        <f t="shared" si="1056"/>
        <v>0</v>
      </c>
      <c r="EN55" s="39">
        <f t="shared" si="1056"/>
        <v>0</v>
      </c>
      <c r="EO55" s="39">
        <f t="shared" si="1056"/>
        <v>0</v>
      </c>
      <c r="EP55" s="39">
        <f t="shared" si="1056"/>
        <v>4696.6479600000011</v>
      </c>
      <c r="EQ55" s="39">
        <f t="shared" si="1056"/>
        <v>1564.2245469599998</v>
      </c>
      <c r="ER55" s="39">
        <f t="shared" ref="ER55:EV55" si="1057">ER$1*DY55/1000000</f>
        <v>0</v>
      </c>
      <c r="ES55" s="39">
        <f t="shared" si="1057"/>
        <v>0</v>
      </c>
      <c r="ET55" s="39">
        <f t="shared" si="1057"/>
        <v>0</v>
      </c>
      <c r="EU55" s="39">
        <f t="shared" si="1057"/>
        <v>0</v>
      </c>
      <c r="EV55" s="39">
        <f t="shared" si="1057"/>
        <v>0</v>
      </c>
      <c r="EW55" s="39">
        <f t="shared" ref="EW55:EX55" si="1058">EW$1*ED55</f>
        <v>0</v>
      </c>
      <c r="EX55" s="39">
        <f t="shared" si="1058"/>
        <v>0</v>
      </c>
      <c r="EY55" s="2"/>
      <c r="EZ55" s="39">
        <f t="shared" si="17"/>
        <v>0</v>
      </c>
      <c r="FA55" s="39">
        <f t="shared" si="18"/>
        <v>0</v>
      </c>
      <c r="FB55" s="2">
        <f t="shared" si="19"/>
        <v>0</v>
      </c>
      <c r="FC55" s="2">
        <f t="shared" ref="FC55:FD55" si="1059">BV55*$BT55+CQ55*$CO55</f>
        <v>0</v>
      </c>
      <c r="FD55" s="2">
        <f t="shared" si="1059"/>
        <v>0</v>
      </c>
      <c r="FE55" s="2">
        <f t="shared" ref="FE55:FJ55" si="1060">(BX55*$BT55+CS55*$CO55)/100</f>
        <v>0</v>
      </c>
      <c r="FF55" s="2">
        <f t="shared" si="1060"/>
        <v>0</v>
      </c>
      <c r="FG55" s="2">
        <f t="shared" si="1060"/>
        <v>0</v>
      </c>
      <c r="FH55" s="2">
        <f t="shared" si="1060"/>
        <v>0</v>
      </c>
      <c r="FI55" s="2">
        <f t="shared" si="1060"/>
        <v>0</v>
      </c>
      <c r="FJ55" s="2">
        <f t="shared" si="1060"/>
        <v>0</v>
      </c>
      <c r="FK55" s="2">
        <f t="shared" ref="FK55:FO55" si="1061">CD55*$BT55+CY55*$CO55</f>
        <v>0</v>
      </c>
      <c r="FL55" s="2">
        <f t="shared" si="1061"/>
        <v>0</v>
      </c>
      <c r="FM55" s="2">
        <f t="shared" si="1061"/>
        <v>0</v>
      </c>
      <c r="FN55" s="2">
        <f t="shared" si="1061"/>
        <v>0</v>
      </c>
      <c r="FO55" s="2">
        <f t="shared" si="1061"/>
        <v>0</v>
      </c>
      <c r="FP55" s="2">
        <f t="shared" ref="FP55:FQ55" si="1062">(CI55*$BT55+DD55*$CO55)/100</f>
        <v>0</v>
      </c>
      <c r="FQ55" s="2">
        <f t="shared" si="1062"/>
        <v>0</v>
      </c>
      <c r="FR55" s="2"/>
      <c r="FS55" s="2">
        <f t="shared" si="24"/>
        <v>0</v>
      </c>
      <c r="FT55" s="2">
        <f t="shared" si="25"/>
        <v>0</v>
      </c>
      <c r="FU55" s="39">
        <f t="shared" si="26"/>
        <v>0</v>
      </c>
      <c r="FV55" s="39">
        <f t="shared" ref="FV55:FW55" si="1063">FV$1*FC55/1000000</f>
        <v>0</v>
      </c>
      <c r="FW55" s="39">
        <f t="shared" si="1063"/>
        <v>0</v>
      </c>
      <c r="FX55" s="39">
        <f t="shared" ref="FX55:GC55" si="1064">FX$1*FE55</f>
        <v>0</v>
      </c>
      <c r="FY55" s="39">
        <f t="shared" si="1064"/>
        <v>0</v>
      </c>
      <c r="FZ55" s="39">
        <f t="shared" si="1064"/>
        <v>0</v>
      </c>
      <c r="GA55" s="39">
        <f t="shared" si="1064"/>
        <v>0</v>
      </c>
      <c r="GB55" s="39">
        <f t="shared" si="1064"/>
        <v>0</v>
      </c>
      <c r="GC55" s="39">
        <f t="shared" si="1064"/>
        <v>0</v>
      </c>
      <c r="GD55" s="39">
        <f t="shared" ref="GD55:GH55" si="1065">GD$1*FK55/1000000</f>
        <v>0</v>
      </c>
      <c r="GE55" s="39">
        <f t="shared" si="1065"/>
        <v>0</v>
      </c>
      <c r="GF55" s="39">
        <f t="shared" si="1065"/>
        <v>0</v>
      </c>
      <c r="GG55" s="39">
        <f t="shared" si="1065"/>
        <v>0</v>
      </c>
      <c r="GH55" s="39">
        <f t="shared" si="1065"/>
        <v>0</v>
      </c>
      <c r="GI55" s="39">
        <f t="shared" ref="GI55:GJ55" si="1066">GI$1*FP55</f>
        <v>0</v>
      </c>
      <c r="GJ55" s="39">
        <f t="shared" si="1066"/>
        <v>0</v>
      </c>
      <c r="GK55" s="2"/>
      <c r="GL55" s="39">
        <f t="shared" si="31"/>
        <v>0</v>
      </c>
      <c r="GM55" s="39">
        <f t="shared" si="32"/>
        <v>0</v>
      </c>
      <c r="GN55" s="2" t="s">
        <v>3</v>
      </c>
      <c r="GO55" s="15">
        <f t="shared" si="33"/>
        <v>39.9</v>
      </c>
      <c r="GP55" s="4">
        <f t="shared" si="34"/>
        <v>0.89759398496240628</v>
      </c>
      <c r="GQ55" s="15">
        <f t="shared" si="35"/>
        <v>358.1400000000001</v>
      </c>
      <c r="GR55" s="15">
        <f t="shared" si="36"/>
        <v>6260.8725069600005</v>
      </c>
      <c r="GS55" s="15">
        <f t="shared" si="37"/>
        <v>156.91409791879701</v>
      </c>
      <c r="GT55" s="2">
        <f t="shared" si="38"/>
        <v>0</v>
      </c>
      <c r="GU55" s="2">
        <f t="shared" si="39"/>
        <v>168.54000000000005</v>
      </c>
      <c r="GV55" s="2">
        <f t="shared" si="40"/>
        <v>189.6</v>
      </c>
      <c r="GW55" s="2">
        <f t="shared" si="41"/>
        <v>0</v>
      </c>
      <c r="GX55" s="2"/>
      <c r="GY55" s="2"/>
      <c r="GZ55" s="2"/>
      <c r="HA55" s="2"/>
      <c r="HB55" s="2">
        <f t="shared" si="42"/>
        <v>0</v>
      </c>
      <c r="HC55" s="2">
        <f t="shared" si="43"/>
        <v>0</v>
      </c>
      <c r="HD55" s="2" t="s">
        <v>3</v>
      </c>
      <c r="HE55" s="2" t="s">
        <v>37</v>
      </c>
      <c r="HF55" s="2" t="s">
        <v>383</v>
      </c>
      <c r="HG55" s="2" t="s">
        <v>383</v>
      </c>
      <c r="HH55" s="2"/>
      <c r="HI55" s="2" t="s">
        <v>81</v>
      </c>
      <c r="HJ55" s="2" t="s">
        <v>3</v>
      </c>
      <c r="HK55" s="2"/>
      <c r="HL55" s="2" t="s">
        <v>1394</v>
      </c>
      <c r="HM55" s="2"/>
      <c r="HN55" s="2"/>
      <c r="HO55" s="2"/>
      <c r="HP55" s="2"/>
      <c r="HQ55" s="2"/>
      <c r="HR55" s="2"/>
      <c r="HS55" s="2"/>
      <c r="HT55" s="2"/>
      <c r="HU55" s="4">
        <f>100*(HU45+HU46)/HU$50</f>
        <v>0.13877338857684424</v>
      </c>
      <c r="HV55" s="2"/>
      <c r="HW55" s="2"/>
      <c r="HX55" s="2"/>
      <c r="HY55" s="2"/>
      <c r="HZ55" s="2"/>
      <c r="IA55" s="2"/>
      <c r="IB55" s="4">
        <f>100*(IB45+IB46)/IB$50</f>
        <v>0</v>
      </c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 t="s">
        <v>3</v>
      </c>
    </row>
    <row r="56" spans="1:268" ht="15.75" customHeight="1" x14ac:dyDescent="0.2">
      <c r="A56" s="13" t="s">
        <v>927</v>
      </c>
      <c r="B56" s="2" t="s">
        <v>99</v>
      </c>
      <c r="C56" s="2"/>
      <c r="D56" s="2"/>
      <c r="E56" s="2" t="s">
        <v>78</v>
      </c>
      <c r="F56" s="2" t="s">
        <v>926</v>
      </c>
      <c r="G56" s="2"/>
      <c r="H56" s="2" t="s">
        <v>781</v>
      </c>
      <c r="I56" s="2">
        <v>1.6</v>
      </c>
      <c r="J56" s="2"/>
      <c r="K56" s="2"/>
      <c r="L56" s="2"/>
      <c r="M56" s="2"/>
      <c r="N56" s="2"/>
      <c r="O56" s="2"/>
      <c r="P56" s="2"/>
      <c r="Q56" s="4">
        <v>1.2</v>
      </c>
      <c r="R56" s="2">
        <v>7.8E-2</v>
      </c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>
        <v>1.5</v>
      </c>
      <c r="AE56" s="2"/>
      <c r="AF56" s="2"/>
      <c r="AG56" s="2"/>
      <c r="AH56" s="2"/>
      <c r="AI56" s="2"/>
      <c r="AJ56" s="2"/>
      <c r="AK56" s="2"/>
      <c r="AL56" s="2">
        <v>1.01</v>
      </c>
      <c r="AM56" s="2">
        <v>7.2999999999999995E-2</v>
      </c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>
        <v>1.4</v>
      </c>
      <c r="AZ56" s="2"/>
      <c r="BA56" s="2"/>
      <c r="BB56" s="2"/>
      <c r="BC56" s="2"/>
      <c r="BD56" s="2"/>
      <c r="BE56" s="2"/>
      <c r="BF56" s="2"/>
      <c r="BG56" s="2">
        <v>0.95</v>
      </c>
      <c r="BH56" s="2">
        <v>7.3999999999999996E-2</v>
      </c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>
        <v>0</v>
      </c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>
        <v>4.7</v>
      </c>
      <c r="CP56" s="2"/>
      <c r="CQ56" s="2"/>
      <c r="CR56" s="2"/>
      <c r="CS56" s="2"/>
      <c r="CT56" s="2"/>
      <c r="CU56" s="2"/>
      <c r="CV56" s="2"/>
      <c r="CW56" s="2">
        <v>0.91</v>
      </c>
      <c r="CX56" s="2">
        <v>0.06</v>
      </c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 t="s">
        <v>81</v>
      </c>
      <c r="DK56" s="2" t="s">
        <v>81</v>
      </c>
      <c r="DL56" s="2">
        <f t="shared" si="3"/>
        <v>1.0588888888888888</v>
      </c>
      <c r="DM56" s="2">
        <f t="shared" si="4"/>
        <v>7.5088888888888886E-2</v>
      </c>
      <c r="DN56" s="2" t="s">
        <v>211</v>
      </c>
      <c r="DO56" s="2" t="s">
        <v>3</v>
      </c>
      <c r="DP56" s="2">
        <f t="shared" si="5"/>
        <v>0</v>
      </c>
      <c r="DQ56" s="2">
        <f t="shared" ref="DQ56:DR56" si="1067">K56*$I56+AF56*$AD56+BA56*$AY56</f>
        <v>0</v>
      </c>
      <c r="DR56" s="2">
        <f t="shared" si="1067"/>
        <v>0</v>
      </c>
      <c r="DS56" s="2">
        <f t="shared" ref="DS56:DX56" si="1068">(M56*$I56+AH56*$AD56+BC56*$AY56)/100</f>
        <v>0</v>
      </c>
      <c r="DT56" s="2">
        <f t="shared" si="1068"/>
        <v>0</v>
      </c>
      <c r="DU56" s="2">
        <f t="shared" si="1068"/>
        <v>0</v>
      </c>
      <c r="DV56" s="2">
        <f t="shared" si="1068"/>
        <v>0</v>
      </c>
      <c r="DW56" s="2">
        <f t="shared" si="1068"/>
        <v>4.7649999999999998E-2</v>
      </c>
      <c r="DX56" s="2">
        <f t="shared" si="1068"/>
        <v>3.3789999999999996E-3</v>
      </c>
      <c r="DY56" s="2">
        <f t="shared" ref="DY56:EC56" si="1069">S56*$I56+AN56*$AD56+BI56*$AY56</f>
        <v>0</v>
      </c>
      <c r="DZ56" s="2">
        <f t="shared" si="1069"/>
        <v>0</v>
      </c>
      <c r="EA56" s="2">
        <f t="shared" si="1069"/>
        <v>0</v>
      </c>
      <c r="EB56" s="2">
        <f t="shared" si="1069"/>
        <v>0</v>
      </c>
      <c r="EC56" s="2">
        <f t="shared" si="1069"/>
        <v>0</v>
      </c>
      <c r="ED56" s="2">
        <f t="shared" ref="ED56:EE56" si="1070">(X56*$I56+AS56*$AD56+BN56*$AY56)/100</f>
        <v>0</v>
      </c>
      <c r="EE56" s="2">
        <f t="shared" si="1070"/>
        <v>0</v>
      </c>
      <c r="EF56" s="2"/>
      <c r="EG56" s="2">
        <f t="shared" si="10"/>
        <v>0</v>
      </c>
      <c r="EH56" s="2">
        <f t="shared" si="11"/>
        <v>0</v>
      </c>
      <c r="EI56" s="39">
        <f t="shared" si="12"/>
        <v>0</v>
      </c>
      <c r="EJ56" s="39">
        <f t="shared" ref="EJ56:EK56" si="1071">EJ$1*DQ56/1000000</f>
        <v>0</v>
      </c>
      <c r="EK56" s="39">
        <f t="shared" si="1071"/>
        <v>0</v>
      </c>
      <c r="EL56" s="39">
        <f t="shared" ref="EL56:EQ56" si="1072">EL$1*DS56</f>
        <v>0</v>
      </c>
      <c r="EM56" s="39">
        <f t="shared" si="1072"/>
        <v>0</v>
      </c>
      <c r="EN56" s="39">
        <f t="shared" si="1072"/>
        <v>0</v>
      </c>
      <c r="EO56" s="39">
        <f t="shared" si="1072"/>
        <v>0</v>
      </c>
      <c r="EP56" s="39">
        <f t="shared" si="1072"/>
        <v>624.88209999999992</v>
      </c>
      <c r="EQ56" s="39">
        <f t="shared" si="1072"/>
        <v>245.38137159599995</v>
      </c>
      <c r="ER56" s="39">
        <f t="shared" ref="ER56:EV56" si="1073">ER$1*DY56/1000000</f>
        <v>0</v>
      </c>
      <c r="ES56" s="39">
        <f t="shared" si="1073"/>
        <v>0</v>
      </c>
      <c r="ET56" s="39">
        <f t="shared" si="1073"/>
        <v>0</v>
      </c>
      <c r="EU56" s="39">
        <f t="shared" si="1073"/>
        <v>0</v>
      </c>
      <c r="EV56" s="39">
        <f t="shared" si="1073"/>
        <v>0</v>
      </c>
      <c r="EW56" s="39">
        <f t="shared" ref="EW56:EX56" si="1074">EW$1*ED56</f>
        <v>0</v>
      </c>
      <c r="EX56" s="39">
        <f t="shared" si="1074"/>
        <v>0</v>
      </c>
      <c r="EY56" s="2"/>
      <c r="EZ56" s="39">
        <f t="shared" si="17"/>
        <v>0</v>
      </c>
      <c r="FA56" s="39">
        <f t="shared" si="18"/>
        <v>0</v>
      </c>
      <c r="FB56" s="2">
        <f t="shared" si="19"/>
        <v>0</v>
      </c>
      <c r="FC56" s="2">
        <f t="shared" ref="FC56:FD56" si="1075">BV56*$BT56+CQ56*$CO56</f>
        <v>0</v>
      </c>
      <c r="FD56" s="2">
        <f t="shared" si="1075"/>
        <v>0</v>
      </c>
      <c r="FE56" s="2">
        <f t="shared" ref="FE56:FJ56" si="1076">(BX56*$BT56+CS56*$CO56)/100</f>
        <v>0</v>
      </c>
      <c r="FF56" s="2">
        <f t="shared" si="1076"/>
        <v>0</v>
      </c>
      <c r="FG56" s="2">
        <f t="shared" si="1076"/>
        <v>0</v>
      </c>
      <c r="FH56" s="2">
        <f t="shared" si="1076"/>
        <v>0</v>
      </c>
      <c r="FI56" s="2">
        <f t="shared" si="1076"/>
        <v>4.2770000000000002E-2</v>
      </c>
      <c r="FJ56" s="2">
        <f t="shared" si="1076"/>
        <v>2.8199999999999996E-3</v>
      </c>
      <c r="FK56" s="2">
        <f t="shared" ref="FK56:FO56" si="1077">CD56*$BT56+CY56*$CO56</f>
        <v>0</v>
      </c>
      <c r="FL56" s="2">
        <f t="shared" si="1077"/>
        <v>0</v>
      </c>
      <c r="FM56" s="2">
        <f t="shared" si="1077"/>
        <v>0</v>
      </c>
      <c r="FN56" s="2">
        <f t="shared" si="1077"/>
        <v>0</v>
      </c>
      <c r="FO56" s="2">
        <f t="shared" si="1077"/>
        <v>0</v>
      </c>
      <c r="FP56" s="2">
        <f t="shared" ref="FP56:FQ56" si="1078">(CI56*$BT56+DD56*$CO56)/100</f>
        <v>0</v>
      </c>
      <c r="FQ56" s="2">
        <f t="shared" si="1078"/>
        <v>0</v>
      </c>
      <c r="FR56" s="2"/>
      <c r="FS56" s="2">
        <f t="shared" si="24"/>
        <v>0</v>
      </c>
      <c r="FT56" s="2">
        <f t="shared" si="25"/>
        <v>0</v>
      </c>
      <c r="FU56" s="39">
        <f t="shared" si="26"/>
        <v>0</v>
      </c>
      <c r="FV56" s="39">
        <f t="shared" ref="FV56:FW56" si="1079">FV$1*FC56/1000000</f>
        <v>0</v>
      </c>
      <c r="FW56" s="39">
        <f t="shared" si="1079"/>
        <v>0</v>
      </c>
      <c r="FX56" s="39">
        <f t="shared" ref="FX56:GC56" si="1080">FX$1*FE56</f>
        <v>0</v>
      </c>
      <c r="FY56" s="39">
        <f t="shared" si="1080"/>
        <v>0</v>
      </c>
      <c r="FZ56" s="39">
        <f t="shared" si="1080"/>
        <v>0</v>
      </c>
      <c r="GA56" s="39">
        <f t="shared" si="1080"/>
        <v>0</v>
      </c>
      <c r="GB56" s="39">
        <f t="shared" si="1080"/>
        <v>560.88578000000007</v>
      </c>
      <c r="GC56" s="39">
        <f t="shared" si="1080"/>
        <v>204.78705767999995</v>
      </c>
      <c r="GD56" s="39">
        <f t="shared" ref="GD56:GH56" si="1081">GD$1*FK56/1000000</f>
        <v>0</v>
      </c>
      <c r="GE56" s="39">
        <f t="shared" si="1081"/>
        <v>0</v>
      </c>
      <c r="GF56" s="39">
        <f t="shared" si="1081"/>
        <v>0</v>
      </c>
      <c r="GG56" s="39">
        <f t="shared" si="1081"/>
        <v>0</v>
      </c>
      <c r="GH56" s="39">
        <f t="shared" si="1081"/>
        <v>0</v>
      </c>
      <c r="GI56" s="39">
        <f t="shared" ref="GI56:GJ56" si="1082">GI$1*FP56</f>
        <v>0</v>
      </c>
      <c r="GJ56" s="39">
        <f t="shared" si="1082"/>
        <v>0</v>
      </c>
      <c r="GK56" s="2"/>
      <c r="GL56" s="39">
        <f t="shared" si="31"/>
        <v>0</v>
      </c>
      <c r="GM56" s="39">
        <f t="shared" si="32"/>
        <v>0</v>
      </c>
      <c r="GN56" s="2" t="s">
        <v>3</v>
      </c>
      <c r="GO56" s="2">
        <f t="shared" si="33"/>
        <v>4.5</v>
      </c>
      <c r="GP56" s="4">
        <f t="shared" si="34"/>
        <v>1.0588888888888888</v>
      </c>
      <c r="GQ56" s="15">
        <f t="shared" si="35"/>
        <v>47.649999999999991</v>
      </c>
      <c r="GR56" s="15">
        <f t="shared" si="36"/>
        <v>870.26347159599982</v>
      </c>
      <c r="GS56" s="15">
        <f t="shared" si="37"/>
        <v>193.39188257688886</v>
      </c>
      <c r="GT56" s="2">
        <f t="shared" si="38"/>
        <v>19.2</v>
      </c>
      <c r="GU56" s="2">
        <f t="shared" si="39"/>
        <v>15.150000000000002</v>
      </c>
      <c r="GV56" s="2">
        <f t="shared" si="40"/>
        <v>13.299999999999997</v>
      </c>
      <c r="GW56" s="2">
        <f t="shared" si="41"/>
        <v>4.7</v>
      </c>
      <c r="GX56" s="4">
        <f t="shared" ref="GX56:GX58" si="1083">(BT56*CB56+CO56*CW56)/GW56</f>
        <v>0.91</v>
      </c>
      <c r="GY56" s="15">
        <f t="shared" ref="GY56:GY58" si="1084">1000*GW56*GX56/100</f>
        <v>42.77</v>
      </c>
      <c r="GZ56" s="18">
        <f t="shared" ref="GZ56:GZ58" si="1085">SUM(FU56:GM56)</f>
        <v>765.67283768000004</v>
      </c>
      <c r="HA56" s="15">
        <f t="shared" ref="HA56:HA58" si="1086">GZ56/GW56</f>
        <v>162.90911439999999</v>
      </c>
      <c r="HB56" s="2">
        <f t="shared" si="42"/>
        <v>0</v>
      </c>
      <c r="HC56" s="2">
        <f t="shared" si="43"/>
        <v>42.77</v>
      </c>
      <c r="HD56" s="2" t="s">
        <v>3</v>
      </c>
      <c r="HE56" s="2" t="s">
        <v>37</v>
      </c>
      <c r="HF56" s="2" t="s">
        <v>383</v>
      </c>
      <c r="HG56" s="2" t="s">
        <v>383</v>
      </c>
      <c r="HH56" s="2"/>
      <c r="HI56" s="2" t="s">
        <v>81</v>
      </c>
      <c r="HJ56" s="2" t="s">
        <v>3</v>
      </c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 t="s">
        <v>3</v>
      </c>
    </row>
    <row r="57" spans="1:268" ht="15.75" customHeight="1" x14ac:dyDescent="0.2">
      <c r="A57" s="13" t="s">
        <v>931</v>
      </c>
      <c r="B57" s="2" t="s">
        <v>99</v>
      </c>
      <c r="C57" s="2"/>
      <c r="D57" s="2"/>
      <c r="E57" s="2" t="s">
        <v>78</v>
      </c>
      <c r="F57" s="2" t="s">
        <v>926</v>
      </c>
      <c r="G57" s="2"/>
      <c r="H57" s="2" t="s">
        <v>781</v>
      </c>
      <c r="I57" s="2">
        <v>8.8000000000000007</v>
      </c>
      <c r="J57" s="2"/>
      <c r="K57" s="2"/>
      <c r="L57" s="2"/>
      <c r="M57" s="2"/>
      <c r="N57" s="2"/>
      <c r="O57" s="2"/>
      <c r="P57" s="2"/>
      <c r="Q57" s="2">
        <v>1.1000000000000001</v>
      </c>
      <c r="R57" s="2">
        <v>6.3E-2</v>
      </c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>
        <v>12.7</v>
      </c>
      <c r="AE57" s="2"/>
      <c r="AF57" s="2"/>
      <c r="AG57" s="2"/>
      <c r="AH57" s="2"/>
      <c r="AI57" s="2"/>
      <c r="AJ57" s="2"/>
      <c r="AK57" s="2"/>
      <c r="AL57" s="2">
        <v>1.0900000000000001</v>
      </c>
      <c r="AM57" s="2">
        <v>7.9000000000000001E-2</v>
      </c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>
        <v>4.5</v>
      </c>
      <c r="AZ57" s="2"/>
      <c r="BA57" s="2"/>
      <c r="BB57" s="2"/>
      <c r="BC57" s="2"/>
      <c r="BD57" s="2"/>
      <c r="BE57" s="2"/>
      <c r="BF57" s="2"/>
      <c r="BG57" s="2">
        <v>0.98</v>
      </c>
      <c r="BH57" s="2">
        <v>5.0999999999999997E-2</v>
      </c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>
        <v>0</v>
      </c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>
        <v>27.9</v>
      </c>
      <c r="CP57" s="2"/>
      <c r="CQ57" s="2"/>
      <c r="CR57" s="2"/>
      <c r="CS57" s="2"/>
      <c r="CT57" s="2"/>
      <c r="CU57" s="2"/>
      <c r="CV57" s="2"/>
      <c r="CW57" s="2">
        <v>0.96</v>
      </c>
      <c r="CX57" s="2">
        <v>0.06</v>
      </c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 t="s">
        <v>81</v>
      </c>
      <c r="DK57" s="2" t="s">
        <v>81</v>
      </c>
      <c r="DL57" s="2">
        <f t="shared" si="3"/>
        <v>1.0743461538461541</v>
      </c>
      <c r="DM57" s="2">
        <f t="shared" si="4"/>
        <v>6.873846153846154E-2</v>
      </c>
      <c r="DN57" s="2" t="s">
        <v>211</v>
      </c>
      <c r="DO57" s="2" t="s">
        <v>3</v>
      </c>
      <c r="DP57" s="2">
        <f t="shared" si="5"/>
        <v>0</v>
      </c>
      <c r="DQ57" s="2">
        <f t="shared" ref="DQ57:DR57" si="1087">K57*$I57+AF57*$AD57+BA57*$AY57</f>
        <v>0</v>
      </c>
      <c r="DR57" s="2">
        <f t="shared" si="1087"/>
        <v>0</v>
      </c>
      <c r="DS57" s="2">
        <f t="shared" ref="DS57:DX57" si="1088">(M57*$I57+AH57*$AD57+BC57*$AY57)/100</f>
        <v>0</v>
      </c>
      <c r="DT57" s="2">
        <f t="shared" si="1088"/>
        <v>0</v>
      </c>
      <c r="DU57" s="2">
        <f t="shared" si="1088"/>
        <v>0</v>
      </c>
      <c r="DV57" s="2">
        <f t="shared" si="1088"/>
        <v>0</v>
      </c>
      <c r="DW57" s="2">
        <f t="shared" si="1088"/>
        <v>0.27933000000000002</v>
      </c>
      <c r="DX57" s="2">
        <f t="shared" si="1088"/>
        <v>1.7871999999999999E-2</v>
      </c>
      <c r="DY57" s="2">
        <f t="shared" ref="DY57:EC57" si="1089">S57*$I57+AN57*$AD57+BI57*$AY57</f>
        <v>0</v>
      </c>
      <c r="DZ57" s="2">
        <f t="shared" si="1089"/>
        <v>0</v>
      </c>
      <c r="EA57" s="2">
        <f t="shared" si="1089"/>
        <v>0</v>
      </c>
      <c r="EB57" s="2">
        <f t="shared" si="1089"/>
        <v>0</v>
      </c>
      <c r="EC57" s="2">
        <f t="shared" si="1089"/>
        <v>0</v>
      </c>
      <c r="ED57" s="2">
        <f t="shared" ref="ED57:EE57" si="1090">(X57*$I57+AS57*$AD57+BN57*$AY57)/100</f>
        <v>0</v>
      </c>
      <c r="EE57" s="2">
        <f t="shared" si="1090"/>
        <v>0</v>
      </c>
      <c r="EF57" s="2"/>
      <c r="EG57" s="2">
        <f t="shared" si="10"/>
        <v>0</v>
      </c>
      <c r="EH57" s="2">
        <f t="shared" si="11"/>
        <v>0</v>
      </c>
      <c r="EI57" s="39">
        <f t="shared" si="12"/>
        <v>0</v>
      </c>
      <c r="EJ57" s="39">
        <f t="shared" ref="EJ57:EK57" si="1091">EJ$1*DQ57/1000000</f>
        <v>0</v>
      </c>
      <c r="EK57" s="39">
        <f t="shared" si="1091"/>
        <v>0</v>
      </c>
      <c r="EL57" s="39">
        <f t="shared" ref="EL57:EQ57" si="1092">EL$1*DS57</f>
        <v>0</v>
      </c>
      <c r="EM57" s="39">
        <f t="shared" si="1092"/>
        <v>0</v>
      </c>
      <c r="EN57" s="39">
        <f t="shared" si="1092"/>
        <v>0</v>
      </c>
      <c r="EO57" s="39">
        <f t="shared" si="1092"/>
        <v>0</v>
      </c>
      <c r="EP57" s="39">
        <f t="shared" si="1092"/>
        <v>3663.1336200000005</v>
      </c>
      <c r="EQ57" s="39">
        <f t="shared" si="1092"/>
        <v>1297.8561329279999</v>
      </c>
      <c r="ER57" s="39">
        <f t="shared" ref="ER57:EV57" si="1093">ER$1*DY57/1000000</f>
        <v>0</v>
      </c>
      <c r="ES57" s="39">
        <f t="shared" si="1093"/>
        <v>0</v>
      </c>
      <c r="ET57" s="39">
        <f t="shared" si="1093"/>
        <v>0</v>
      </c>
      <c r="EU57" s="39">
        <f t="shared" si="1093"/>
        <v>0</v>
      </c>
      <c r="EV57" s="39">
        <f t="shared" si="1093"/>
        <v>0</v>
      </c>
      <c r="EW57" s="39">
        <f t="shared" ref="EW57:EX57" si="1094">EW$1*ED57</f>
        <v>0</v>
      </c>
      <c r="EX57" s="39">
        <f t="shared" si="1094"/>
        <v>0</v>
      </c>
      <c r="EY57" s="2"/>
      <c r="EZ57" s="39">
        <f t="shared" si="17"/>
        <v>0</v>
      </c>
      <c r="FA57" s="39">
        <f t="shared" si="18"/>
        <v>0</v>
      </c>
      <c r="FB57" s="2">
        <f t="shared" si="19"/>
        <v>0</v>
      </c>
      <c r="FC57" s="2">
        <f t="shared" ref="FC57:FD57" si="1095">BV57*$BT57+CQ57*$CO57</f>
        <v>0</v>
      </c>
      <c r="FD57" s="2">
        <f t="shared" si="1095"/>
        <v>0</v>
      </c>
      <c r="FE57" s="2">
        <f t="shared" ref="FE57:FJ57" si="1096">(BX57*$BT57+CS57*$CO57)/100</f>
        <v>0</v>
      </c>
      <c r="FF57" s="2">
        <f t="shared" si="1096"/>
        <v>0</v>
      </c>
      <c r="FG57" s="2">
        <f t="shared" si="1096"/>
        <v>0</v>
      </c>
      <c r="FH57" s="2">
        <f t="shared" si="1096"/>
        <v>0</v>
      </c>
      <c r="FI57" s="2">
        <f t="shared" si="1096"/>
        <v>0.26783999999999997</v>
      </c>
      <c r="FJ57" s="2">
        <f t="shared" si="1096"/>
        <v>1.6739999999999998E-2</v>
      </c>
      <c r="FK57" s="2">
        <f t="shared" ref="FK57:FO57" si="1097">CD57*$BT57+CY57*$CO57</f>
        <v>0</v>
      </c>
      <c r="FL57" s="2">
        <f t="shared" si="1097"/>
        <v>0</v>
      </c>
      <c r="FM57" s="2">
        <f t="shared" si="1097"/>
        <v>0</v>
      </c>
      <c r="FN57" s="2">
        <f t="shared" si="1097"/>
        <v>0</v>
      </c>
      <c r="FO57" s="2">
        <f t="shared" si="1097"/>
        <v>0</v>
      </c>
      <c r="FP57" s="2">
        <f t="shared" ref="FP57:FQ57" si="1098">(CI57*$BT57+DD57*$CO57)/100</f>
        <v>0</v>
      </c>
      <c r="FQ57" s="2">
        <f t="shared" si="1098"/>
        <v>0</v>
      </c>
      <c r="FR57" s="2"/>
      <c r="FS57" s="2">
        <f t="shared" si="24"/>
        <v>0</v>
      </c>
      <c r="FT57" s="2">
        <f t="shared" si="25"/>
        <v>0</v>
      </c>
      <c r="FU57" s="39">
        <f t="shared" si="26"/>
        <v>0</v>
      </c>
      <c r="FV57" s="39">
        <f t="shared" ref="FV57:FW57" si="1099">FV$1*FC57/1000000</f>
        <v>0</v>
      </c>
      <c r="FW57" s="39">
        <f t="shared" si="1099"/>
        <v>0</v>
      </c>
      <c r="FX57" s="39">
        <f t="shared" ref="FX57:GC57" si="1100">FX$1*FE57</f>
        <v>0</v>
      </c>
      <c r="FY57" s="39">
        <f t="shared" si="1100"/>
        <v>0</v>
      </c>
      <c r="FZ57" s="39">
        <f t="shared" si="1100"/>
        <v>0</v>
      </c>
      <c r="GA57" s="39">
        <f t="shared" si="1100"/>
        <v>0</v>
      </c>
      <c r="GB57" s="39">
        <f t="shared" si="1100"/>
        <v>3512.4537599999994</v>
      </c>
      <c r="GC57" s="39">
        <f t="shared" si="1100"/>
        <v>1215.6508317599996</v>
      </c>
      <c r="GD57" s="39">
        <f t="shared" ref="GD57:GH57" si="1101">GD$1*FK57/1000000</f>
        <v>0</v>
      </c>
      <c r="GE57" s="39">
        <f t="shared" si="1101"/>
        <v>0</v>
      </c>
      <c r="GF57" s="39">
        <f t="shared" si="1101"/>
        <v>0</v>
      </c>
      <c r="GG57" s="39">
        <f t="shared" si="1101"/>
        <v>0</v>
      </c>
      <c r="GH57" s="39">
        <f t="shared" si="1101"/>
        <v>0</v>
      </c>
      <c r="GI57" s="39">
        <f t="shared" ref="GI57:GJ57" si="1102">GI$1*FP57</f>
        <v>0</v>
      </c>
      <c r="GJ57" s="39">
        <f t="shared" si="1102"/>
        <v>0</v>
      </c>
      <c r="GK57" s="2"/>
      <c r="GL57" s="39">
        <f t="shared" si="31"/>
        <v>0</v>
      </c>
      <c r="GM57" s="39">
        <f t="shared" si="32"/>
        <v>0</v>
      </c>
      <c r="GN57" s="2" t="s">
        <v>3</v>
      </c>
      <c r="GO57" s="2">
        <f t="shared" si="33"/>
        <v>26</v>
      </c>
      <c r="GP57" s="4">
        <f t="shared" si="34"/>
        <v>1.0743461538461541</v>
      </c>
      <c r="GQ57" s="15">
        <f t="shared" si="35"/>
        <v>279.3300000000001</v>
      </c>
      <c r="GR57" s="15">
        <f t="shared" si="36"/>
        <v>4960.9897529280006</v>
      </c>
      <c r="GS57" s="15">
        <f t="shared" si="37"/>
        <v>190.80729818953847</v>
      </c>
      <c r="GT57" s="2">
        <f t="shared" si="38"/>
        <v>96.800000000000011</v>
      </c>
      <c r="GU57" s="2">
        <f t="shared" si="39"/>
        <v>138.43</v>
      </c>
      <c r="GV57" s="2">
        <f t="shared" si="40"/>
        <v>44.1</v>
      </c>
      <c r="GW57" s="2">
        <f t="shared" si="41"/>
        <v>27.9</v>
      </c>
      <c r="GX57" s="4">
        <f t="shared" si="1083"/>
        <v>0.96</v>
      </c>
      <c r="GY57" s="15">
        <f t="shared" si="1084"/>
        <v>267.83999999999997</v>
      </c>
      <c r="GZ57" s="18">
        <f t="shared" si="1085"/>
        <v>4728.1045917599986</v>
      </c>
      <c r="HA57" s="15">
        <f t="shared" si="1086"/>
        <v>169.46611439999995</v>
      </c>
      <c r="HB57" s="2">
        <f t="shared" si="42"/>
        <v>0</v>
      </c>
      <c r="HC57" s="2">
        <f t="shared" si="43"/>
        <v>267.83999999999997</v>
      </c>
      <c r="HD57" s="2" t="s">
        <v>3</v>
      </c>
      <c r="HE57" s="2" t="s">
        <v>37</v>
      </c>
      <c r="HF57" s="2" t="s">
        <v>383</v>
      </c>
      <c r="HG57" s="2" t="s">
        <v>383</v>
      </c>
      <c r="HH57" s="2"/>
      <c r="HI57" s="2" t="s">
        <v>81</v>
      </c>
      <c r="HJ57" s="2" t="s">
        <v>3</v>
      </c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 t="s">
        <v>3</v>
      </c>
    </row>
    <row r="58" spans="1:268" ht="15.75" customHeight="1" x14ac:dyDescent="0.2">
      <c r="A58" s="13" t="s">
        <v>925</v>
      </c>
      <c r="B58" s="2" t="s">
        <v>99</v>
      </c>
      <c r="C58" s="2"/>
      <c r="D58" s="2"/>
      <c r="E58" s="2" t="s">
        <v>78</v>
      </c>
      <c r="F58" s="2" t="s">
        <v>926</v>
      </c>
      <c r="G58" s="2"/>
      <c r="H58" s="2" t="s">
        <v>781</v>
      </c>
      <c r="I58" s="2">
        <v>0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>
        <v>23.7</v>
      </c>
      <c r="AE58" s="2"/>
      <c r="AF58" s="2"/>
      <c r="AG58" s="2"/>
      <c r="AH58" s="2"/>
      <c r="AI58" s="2"/>
      <c r="AJ58" s="2"/>
      <c r="AK58" s="2"/>
      <c r="AL58" s="2">
        <v>1.04</v>
      </c>
      <c r="AM58" s="2">
        <v>6.4000000000000001E-2</v>
      </c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>
        <v>12.8</v>
      </c>
      <c r="AZ58" s="2"/>
      <c r="BA58" s="2"/>
      <c r="BB58" s="2"/>
      <c r="BC58" s="2"/>
      <c r="BD58" s="2"/>
      <c r="BE58" s="2"/>
      <c r="BF58" s="2"/>
      <c r="BG58" s="2">
        <v>0.95</v>
      </c>
      <c r="BH58" s="2">
        <v>5.6000000000000001E-2</v>
      </c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>
        <v>0</v>
      </c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>
        <v>32.200000000000003</v>
      </c>
      <c r="CP58" s="2"/>
      <c r="CQ58" s="2"/>
      <c r="CR58" s="2"/>
      <c r="CS58" s="2"/>
      <c r="CT58" s="2"/>
      <c r="CU58" s="2"/>
      <c r="CV58" s="2"/>
      <c r="CW58" s="2">
        <v>0.87</v>
      </c>
      <c r="CX58" s="2">
        <v>0.05</v>
      </c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 t="s">
        <v>81</v>
      </c>
      <c r="DK58" s="2" t="s">
        <v>81</v>
      </c>
      <c r="DL58" s="2">
        <f t="shared" si="3"/>
        <v>1.0084383561643835</v>
      </c>
      <c r="DM58" s="2">
        <f t="shared" si="4"/>
        <v>6.1194520547945205E-2</v>
      </c>
      <c r="DN58" s="2" t="s">
        <v>211</v>
      </c>
      <c r="DO58" s="2" t="s">
        <v>3</v>
      </c>
      <c r="DP58" s="2">
        <f t="shared" si="5"/>
        <v>0</v>
      </c>
      <c r="DQ58" s="2">
        <f t="shared" ref="DQ58:DR58" si="1103">K58*$I58+AF58*$AD58+BA58*$AY58</f>
        <v>0</v>
      </c>
      <c r="DR58" s="2">
        <f t="shared" si="1103"/>
        <v>0</v>
      </c>
      <c r="DS58" s="2">
        <f t="shared" ref="DS58:DX58" si="1104">(M58*$I58+AH58*$AD58+BC58*$AY58)/100</f>
        <v>0</v>
      </c>
      <c r="DT58" s="2">
        <f t="shared" si="1104"/>
        <v>0</v>
      </c>
      <c r="DU58" s="2">
        <f t="shared" si="1104"/>
        <v>0</v>
      </c>
      <c r="DV58" s="2">
        <f t="shared" si="1104"/>
        <v>0</v>
      </c>
      <c r="DW58" s="2">
        <f t="shared" si="1104"/>
        <v>0.36808000000000002</v>
      </c>
      <c r="DX58" s="2">
        <f t="shared" si="1104"/>
        <v>2.2336000000000002E-2</v>
      </c>
      <c r="DY58" s="2">
        <f t="shared" ref="DY58:EC58" si="1105">S58*$I58+AN58*$AD58+BI58*$AY58</f>
        <v>0</v>
      </c>
      <c r="DZ58" s="2">
        <f t="shared" si="1105"/>
        <v>0</v>
      </c>
      <c r="EA58" s="2">
        <f t="shared" si="1105"/>
        <v>0</v>
      </c>
      <c r="EB58" s="2">
        <f t="shared" si="1105"/>
        <v>0</v>
      </c>
      <c r="EC58" s="2">
        <f t="shared" si="1105"/>
        <v>0</v>
      </c>
      <c r="ED58" s="2">
        <f t="shared" ref="ED58:EE58" si="1106">(X58*$I58+AS58*$AD58+BN58*$AY58)/100</f>
        <v>0</v>
      </c>
      <c r="EE58" s="2">
        <f t="shared" si="1106"/>
        <v>0</v>
      </c>
      <c r="EF58" s="2"/>
      <c r="EG58" s="2">
        <f t="shared" si="10"/>
        <v>0</v>
      </c>
      <c r="EH58" s="2">
        <f t="shared" si="11"/>
        <v>0</v>
      </c>
      <c r="EI58" s="39">
        <f t="shared" si="12"/>
        <v>0</v>
      </c>
      <c r="EJ58" s="39">
        <f t="shared" ref="EJ58:EK58" si="1107">EJ$1*DQ58/1000000</f>
        <v>0</v>
      </c>
      <c r="EK58" s="39">
        <f t="shared" si="1107"/>
        <v>0</v>
      </c>
      <c r="EL58" s="39">
        <f t="shared" ref="EL58:EQ58" si="1108">EL$1*DS58</f>
        <v>0</v>
      </c>
      <c r="EM58" s="39">
        <f t="shared" si="1108"/>
        <v>0</v>
      </c>
      <c r="EN58" s="39">
        <f t="shared" si="1108"/>
        <v>0</v>
      </c>
      <c r="EO58" s="39">
        <f t="shared" si="1108"/>
        <v>0</v>
      </c>
      <c r="EP58" s="39">
        <f t="shared" si="1108"/>
        <v>4827.0011199999999</v>
      </c>
      <c r="EQ58" s="39">
        <f t="shared" si="1108"/>
        <v>1622.0296880639999</v>
      </c>
      <c r="ER58" s="39">
        <f t="shared" ref="ER58:EV58" si="1109">ER$1*DY58/1000000</f>
        <v>0</v>
      </c>
      <c r="ES58" s="39">
        <f t="shared" si="1109"/>
        <v>0</v>
      </c>
      <c r="ET58" s="39">
        <f t="shared" si="1109"/>
        <v>0</v>
      </c>
      <c r="EU58" s="39">
        <f t="shared" si="1109"/>
        <v>0</v>
      </c>
      <c r="EV58" s="39">
        <f t="shared" si="1109"/>
        <v>0</v>
      </c>
      <c r="EW58" s="39">
        <f t="shared" ref="EW58:EX58" si="1110">EW$1*ED58</f>
        <v>0</v>
      </c>
      <c r="EX58" s="39">
        <f t="shared" si="1110"/>
        <v>0</v>
      </c>
      <c r="EY58" s="2"/>
      <c r="EZ58" s="39">
        <f t="shared" si="17"/>
        <v>0</v>
      </c>
      <c r="FA58" s="39">
        <f t="shared" si="18"/>
        <v>0</v>
      </c>
      <c r="FB58" s="2">
        <f t="shared" si="19"/>
        <v>0</v>
      </c>
      <c r="FC58" s="2">
        <f t="shared" ref="FC58:FD58" si="1111">BV58*$BT58+CQ58*$CO58</f>
        <v>0</v>
      </c>
      <c r="FD58" s="2">
        <f t="shared" si="1111"/>
        <v>0</v>
      </c>
      <c r="FE58" s="2">
        <f t="shared" ref="FE58:FJ58" si="1112">(BX58*$BT58+CS58*$CO58)/100</f>
        <v>0</v>
      </c>
      <c r="FF58" s="2">
        <f t="shared" si="1112"/>
        <v>0</v>
      </c>
      <c r="FG58" s="2">
        <f t="shared" si="1112"/>
        <v>0</v>
      </c>
      <c r="FH58" s="2">
        <f t="shared" si="1112"/>
        <v>0</v>
      </c>
      <c r="FI58" s="2">
        <f t="shared" si="1112"/>
        <v>0.28014000000000006</v>
      </c>
      <c r="FJ58" s="2">
        <f t="shared" si="1112"/>
        <v>1.6100000000000003E-2</v>
      </c>
      <c r="FK58" s="2">
        <f t="shared" ref="FK58:FO58" si="1113">CD58*$BT58+CY58*$CO58</f>
        <v>0</v>
      </c>
      <c r="FL58" s="2">
        <f t="shared" si="1113"/>
        <v>0</v>
      </c>
      <c r="FM58" s="2">
        <f t="shared" si="1113"/>
        <v>0</v>
      </c>
      <c r="FN58" s="2">
        <f t="shared" si="1113"/>
        <v>0</v>
      </c>
      <c r="FO58" s="2">
        <f t="shared" si="1113"/>
        <v>0</v>
      </c>
      <c r="FP58" s="2">
        <f t="shared" ref="FP58:FQ58" si="1114">(CI58*$BT58+DD58*$CO58)/100</f>
        <v>0</v>
      </c>
      <c r="FQ58" s="2">
        <f t="shared" si="1114"/>
        <v>0</v>
      </c>
      <c r="FR58" s="2"/>
      <c r="FS58" s="2">
        <f t="shared" si="24"/>
        <v>0</v>
      </c>
      <c r="FT58" s="2">
        <f t="shared" si="25"/>
        <v>0</v>
      </c>
      <c r="FU58" s="39">
        <f t="shared" si="26"/>
        <v>0</v>
      </c>
      <c r="FV58" s="39">
        <f t="shared" ref="FV58:FW58" si="1115">FV$1*FC58/1000000</f>
        <v>0</v>
      </c>
      <c r="FW58" s="39">
        <f t="shared" si="1115"/>
        <v>0</v>
      </c>
      <c r="FX58" s="39">
        <f t="shared" ref="FX58:GC58" si="1116">FX$1*FE58</f>
        <v>0</v>
      </c>
      <c r="FY58" s="39">
        <f t="shared" si="1116"/>
        <v>0</v>
      </c>
      <c r="FZ58" s="39">
        <f t="shared" si="1116"/>
        <v>0</v>
      </c>
      <c r="GA58" s="39">
        <f t="shared" si="1116"/>
        <v>0</v>
      </c>
      <c r="GB58" s="39">
        <f t="shared" si="1116"/>
        <v>3673.7559600000009</v>
      </c>
      <c r="GC58" s="39">
        <f t="shared" si="1116"/>
        <v>1169.1743364000001</v>
      </c>
      <c r="GD58" s="39">
        <f t="shared" ref="GD58:GH58" si="1117">GD$1*FK58/1000000</f>
        <v>0</v>
      </c>
      <c r="GE58" s="39">
        <f t="shared" si="1117"/>
        <v>0</v>
      </c>
      <c r="GF58" s="39">
        <f t="shared" si="1117"/>
        <v>0</v>
      </c>
      <c r="GG58" s="39">
        <f t="shared" si="1117"/>
        <v>0</v>
      </c>
      <c r="GH58" s="39">
        <f t="shared" si="1117"/>
        <v>0</v>
      </c>
      <c r="GI58" s="39">
        <f t="shared" ref="GI58:GJ58" si="1118">GI$1*FP58</f>
        <v>0</v>
      </c>
      <c r="GJ58" s="39">
        <f t="shared" si="1118"/>
        <v>0</v>
      </c>
      <c r="GK58" s="2"/>
      <c r="GL58" s="39">
        <f t="shared" si="31"/>
        <v>0</v>
      </c>
      <c r="GM58" s="39">
        <f t="shared" si="32"/>
        <v>0</v>
      </c>
      <c r="GN58" s="2" t="s">
        <v>3</v>
      </c>
      <c r="GO58" s="2">
        <f t="shared" si="33"/>
        <v>36.5</v>
      </c>
      <c r="GP58" s="4">
        <f t="shared" si="34"/>
        <v>1.0084383561643835</v>
      </c>
      <c r="GQ58" s="15">
        <f t="shared" si="35"/>
        <v>368.08</v>
      </c>
      <c r="GR58" s="15">
        <f t="shared" si="36"/>
        <v>6449.0308080639998</v>
      </c>
      <c r="GS58" s="15">
        <f t="shared" si="37"/>
        <v>176.68577556339724</v>
      </c>
      <c r="GT58" s="2">
        <f t="shared" si="38"/>
        <v>0</v>
      </c>
      <c r="GU58" s="2">
        <f t="shared" si="39"/>
        <v>246.48</v>
      </c>
      <c r="GV58" s="2">
        <f t="shared" si="40"/>
        <v>121.6</v>
      </c>
      <c r="GW58" s="2">
        <f t="shared" si="41"/>
        <v>32.200000000000003</v>
      </c>
      <c r="GX58" s="4">
        <f t="shared" si="1083"/>
        <v>0.87</v>
      </c>
      <c r="GY58" s="15">
        <f t="shared" si="1084"/>
        <v>280.14000000000004</v>
      </c>
      <c r="GZ58" s="18">
        <f t="shared" si="1085"/>
        <v>4842.9302964000008</v>
      </c>
      <c r="HA58" s="15">
        <f t="shared" si="1086"/>
        <v>150.40156200000001</v>
      </c>
      <c r="HB58" s="2">
        <f t="shared" si="42"/>
        <v>0</v>
      </c>
      <c r="HC58" s="2">
        <f t="shared" si="43"/>
        <v>280.14000000000004</v>
      </c>
      <c r="HD58" s="2" t="s">
        <v>3</v>
      </c>
      <c r="HE58" s="2" t="s">
        <v>37</v>
      </c>
      <c r="HF58" s="2" t="s">
        <v>383</v>
      </c>
      <c r="HG58" s="2" t="s">
        <v>383</v>
      </c>
      <c r="HH58" s="2"/>
      <c r="HI58" s="2" t="s">
        <v>81</v>
      </c>
      <c r="HJ58" s="2" t="s">
        <v>3</v>
      </c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 t="s">
        <v>3</v>
      </c>
    </row>
    <row r="59" spans="1:268" ht="15.75" customHeight="1" x14ac:dyDescent="0.2">
      <c r="A59" s="13" t="s">
        <v>934</v>
      </c>
      <c r="B59" s="2" t="s">
        <v>99</v>
      </c>
      <c r="C59" s="2"/>
      <c r="D59" s="2"/>
      <c r="E59" s="2" t="s">
        <v>78</v>
      </c>
      <c r="F59" s="2" t="s">
        <v>926</v>
      </c>
      <c r="G59" s="2"/>
      <c r="H59" s="2" t="s">
        <v>781</v>
      </c>
      <c r="I59" s="2">
        <v>0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>
        <v>10.1</v>
      </c>
      <c r="AE59" s="2"/>
      <c r="AF59" s="2"/>
      <c r="AG59" s="2"/>
      <c r="AH59" s="2"/>
      <c r="AI59" s="2"/>
      <c r="AJ59" s="2"/>
      <c r="AK59" s="2"/>
      <c r="AL59" s="2">
        <v>1.03</v>
      </c>
      <c r="AM59" s="2">
        <v>6.6000000000000003E-2</v>
      </c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>
        <v>0.7</v>
      </c>
      <c r="AZ59" s="2"/>
      <c r="BA59" s="2"/>
      <c r="BB59" s="2"/>
      <c r="BC59" s="2"/>
      <c r="BD59" s="2"/>
      <c r="BE59" s="2"/>
      <c r="BF59" s="2"/>
      <c r="BG59" s="2">
        <v>0.99</v>
      </c>
      <c r="BH59" s="19">
        <v>7.0000000000000007E-2</v>
      </c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>
        <v>0</v>
      </c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>
        <v>0</v>
      </c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 t="s">
        <v>81</v>
      </c>
      <c r="DK59" s="2" t="s">
        <v>81</v>
      </c>
      <c r="DL59" s="2">
        <f t="shared" si="3"/>
        <v>1.0274074074074075</v>
      </c>
      <c r="DM59" s="2">
        <f t="shared" si="4"/>
        <v>6.6259259259259268E-2</v>
      </c>
      <c r="DN59" s="2" t="s">
        <v>211</v>
      </c>
      <c r="DO59" s="2" t="s">
        <v>3</v>
      </c>
      <c r="DP59" s="2">
        <f t="shared" si="5"/>
        <v>0</v>
      </c>
      <c r="DQ59" s="2">
        <f t="shared" ref="DQ59:DR59" si="1119">K59*$I59+AF59*$AD59+BA59*$AY59</f>
        <v>0</v>
      </c>
      <c r="DR59" s="2">
        <f t="shared" si="1119"/>
        <v>0</v>
      </c>
      <c r="DS59" s="2">
        <f t="shared" ref="DS59:DX59" si="1120">(M59*$I59+AH59*$AD59+BC59*$AY59)/100</f>
        <v>0</v>
      </c>
      <c r="DT59" s="2">
        <f t="shared" si="1120"/>
        <v>0</v>
      </c>
      <c r="DU59" s="2">
        <f t="shared" si="1120"/>
        <v>0</v>
      </c>
      <c r="DV59" s="2">
        <f t="shared" si="1120"/>
        <v>0</v>
      </c>
      <c r="DW59" s="2">
        <f t="shared" si="1120"/>
        <v>0.11096</v>
      </c>
      <c r="DX59" s="2">
        <f t="shared" si="1120"/>
        <v>7.156E-3</v>
      </c>
      <c r="DY59" s="2">
        <f t="shared" ref="DY59:EC59" si="1121">S59*$I59+AN59*$AD59+BI59*$AY59</f>
        <v>0</v>
      </c>
      <c r="DZ59" s="2">
        <f t="shared" si="1121"/>
        <v>0</v>
      </c>
      <c r="EA59" s="2">
        <f t="shared" si="1121"/>
        <v>0</v>
      </c>
      <c r="EB59" s="2">
        <f t="shared" si="1121"/>
        <v>0</v>
      </c>
      <c r="EC59" s="2">
        <f t="shared" si="1121"/>
        <v>0</v>
      </c>
      <c r="ED59" s="2">
        <f t="shared" ref="ED59:EE59" si="1122">(X59*$I59+AS59*$AD59+BN59*$AY59)/100</f>
        <v>0</v>
      </c>
      <c r="EE59" s="2">
        <f t="shared" si="1122"/>
        <v>0</v>
      </c>
      <c r="EF59" s="2"/>
      <c r="EG59" s="2">
        <f t="shared" si="10"/>
        <v>0</v>
      </c>
      <c r="EH59" s="2">
        <f t="shared" si="11"/>
        <v>0</v>
      </c>
      <c r="EI59" s="39">
        <f t="shared" si="12"/>
        <v>0</v>
      </c>
      <c r="EJ59" s="39">
        <f t="shared" ref="EJ59:EK59" si="1123">EJ$1*DQ59/1000000</f>
        <v>0</v>
      </c>
      <c r="EK59" s="39">
        <f t="shared" si="1123"/>
        <v>0</v>
      </c>
      <c r="EL59" s="39">
        <f t="shared" ref="EL59:EQ59" si="1124">EL$1*DS59</f>
        <v>0</v>
      </c>
      <c r="EM59" s="39">
        <f t="shared" si="1124"/>
        <v>0</v>
      </c>
      <c r="EN59" s="39">
        <f t="shared" si="1124"/>
        <v>0</v>
      </c>
      <c r="EO59" s="39">
        <f t="shared" si="1124"/>
        <v>0</v>
      </c>
      <c r="EP59" s="39">
        <f t="shared" si="1124"/>
        <v>1455.1294399999999</v>
      </c>
      <c r="EQ59" s="39">
        <f t="shared" si="1124"/>
        <v>519.66531374399995</v>
      </c>
      <c r="ER59" s="39">
        <f t="shared" ref="ER59:EV59" si="1125">ER$1*DY59/1000000</f>
        <v>0</v>
      </c>
      <c r="ES59" s="39">
        <f t="shared" si="1125"/>
        <v>0</v>
      </c>
      <c r="ET59" s="39">
        <f t="shared" si="1125"/>
        <v>0</v>
      </c>
      <c r="EU59" s="39">
        <f t="shared" si="1125"/>
        <v>0</v>
      </c>
      <c r="EV59" s="39">
        <f t="shared" si="1125"/>
        <v>0</v>
      </c>
      <c r="EW59" s="39">
        <f t="shared" ref="EW59:EX59" si="1126">EW$1*ED59</f>
        <v>0</v>
      </c>
      <c r="EX59" s="39">
        <f t="shared" si="1126"/>
        <v>0</v>
      </c>
      <c r="EY59" s="2"/>
      <c r="EZ59" s="39">
        <f t="shared" si="17"/>
        <v>0</v>
      </c>
      <c r="FA59" s="39">
        <f t="shared" si="18"/>
        <v>0</v>
      </c>
      <c r="FB59" s="2">
        <f t="shared" si="19"/>
        <v>0</v>
      </c>
      <c r="FC59" s="2">
        <f t="shared" ref="FC59:FD59" si="1127">BV59*$BT59+CQ59*$CO59</f>
        <v>0</v>
      </c>
      <c r="FD59" s="2">
        <f t="shared" si="1127"/>
        <v>0</v>
      </c>
      <c r="FE59" s="2">
        <f t="shared" ref="FE59:FJ59" si="1128">(BX59*$BT59+CS59*$CO59)/100</f>
        <v>0</v>
      </c>
      <c r="FF59" s="2">
        <f t="shared" si="1128"/>
        <v>0</v>
      </c>
      <c r="FG59" s="2">
        <f t="shared" si="1128"/>
        <v>0</v>
      </c>
      <c r="FH59" s="2">
        <f t="shared" si="1128"/>
        <v>0</v>
      </c>
      <c r="FI59" s="2">
        <f t="shared" si="1128"/>
        <v>0</v>
      </c>
      <c r="FJ59" s="2">
        <f t="shared" si="1128"/>
        <v>0</v>
      </c>
      <c r="FK59" s="2">
        <f t="shared" ref="FK59:FO59" si="1129">CD59*$BT59+CY59*$CO59</f>
        <v>0</v>
      </c>
      <c r="FL59" s="2">
        <f t="shared" si="1129"/>
        <v>0</v>
      </c>
      <c r="FM59" s="2">
        <f t="shared" si="1129"/>
        <v>0</v>
      </c>
      <c r="FN59" s="2">
        <f t="shared" si="1129"/>
        <v>0</v>
      </c>
      <c r="FO59" s="2">
        <f t="shared" si="1129"/>
        <v>0</v>
      </c>
      <c r="FP59" s="2">
        <f t="shared" ref="FP59:FQ59" si="1130">(CI59*$BT59+DD59*$CO59)/100</f>
        <v>0</v>
      </c>
      <c r="FQ59" s="2">
        <f t="shared" si="1130"/>
        <v>0</v>
      </c>
      <c r="FR59" s="2"/>
      <c r="FS59" s="2">
        <f t="shared" si="24"/>
        <v>0</v>
      </c>
      <c r="FT59" s="2">
        <f t="shared" si="25"/>
        <v>0</v>
      </c>
      <c r="FU59" s="39">
        <f t="shared" si="26"/>
        <v>0</v>
      </c>
      <c r="FV59" s="39">
        <f t="shared" ref="FV59:FW59" si="1131">FV$1*FC59/1000000</f>
        <v>0</v>
      </c>
      <c r="FW59" s="39">
        <f t="shared" si="1131"/>
        <v>0</v>
      </c>
      <c r="FX59" s="39">
        <f t="shared" ref="FX59:GC59" si="1132">FX$1*FE59</f>
        <v>0</v>
      </c>
      <c r="FY59" s="39">
        <f t="shared" si="1132"/>
        <v>0</v>
      </c>
      <c r="FZ59" s="39">
        <f t="shared" si="1132"/>
        <v>0</v>
      </c>
      <c r="GA59" s="39">
        <f t="shared" si="1132"/>
        <v>0</v>
      </c>
      <c r="GB59" s="39">
        <f t="shared" si="1132"/>
        <v>0</v>
      </c>
      <c r="GC59" s="39">
        <f t="shared" si="1132"/>
        <v>0</v>
      </c>
      <c r="GD59" s="39">
        <f t="shared" ref="GD59:GH59" si="1133">GD$1*FK59/1000000</f>
        <v>0</v>
      </c>
      <c r="GE59" s="39">
        <f t="shared" si="1133"/>
        <v>0</v>
      </c>
      <c r="GF59" s="39">
        <f t="shared" si="1133"/>
        <v>0</v>
      </c>
      <c r="GG59" s="39">
        <f t="shared" si="1133"/>
        <v>0</v>
      </c>
      <c r="GH59" s="39">
        <f t="shared" si="1133"/>
        <v>0</v>
      </c>
      <c r="GI59" s="39">
        <f t="shared" ref="GI59:GJ59" si="1134">GI$1*FP59</f>
        <v>0</v>
      </c>
      <c r="GJ59" s="39">
        <f t="shared" si="1134"/>
        <v>0</v>
      </c>
      <c r="GK59" s="2"/>
      <c r="GL59" s="39">
        <f t="shared" si="31"/>
        <v>0</v>
      </c>
      <c r="GM59" s="39">
        <f t="shared" si="32"/>
        <v>0</v>
      </c>
      <c r="GN59" s="2" t="s">
        <v>3</v>
      </c>
      <c r="GO59" s="2">
        <f t="shared" si="33"/>
        <v>10.799999999999999</v>
      </c>
      <c r="GP59" s="4">
        <f t="shared" si="34"/>
        <v>1.0274074074074075</v>
      </c>
      <c r="GQ59" s="15">
        <f t="shared" si="35"/>
        <v>110.96</v>
      </c>
      <c r="GR59" s="15">
        <f t="shared" si="36"/>
        <v>1974.794753744</v>
      </c>
      <c r="GS59" s="15">
        <f t="shared" si="37"/>
        <v>182.85136608740743</v>
      </c>
      <c r="GT59" s="2">
        <f t="shared" si="38"/>
        <v>0</v>
      </c>
      <c r="GU59" s="2">
        <f t="shared" si="39"/>
        <v>104.03</v>
      </c>
      <c r="GV59" s="2">
        <f t="shared" si="40"/>
        <v>6.93</v>
      </c>
      <c r="GW59" s="2">
        <f t="shared" si="41"/>
        <v>0</v>
      </c>
      <c r="GX59" s="2"/>
      <c r="GY59" s="2"/>
      <c r="GZ59" s="2"/>
      <c r="HA59" s="2"/>
      <c r="HB59" s="2">
        <f t="shared" si="42"/>
        <v>0</v>
      </c>
      <c r="HC59" s="2">
        <f t="shared" si="43"/>
        <v>0</v>
      </c>
      <c r="HD59" s="2" t="s">
        <v>3</v>
      </c>
      <c r="HE59" s="2" t="s">
        <v>37</v>
      </c>
      <c r="HF59" s="2" t="s">
        <v>383</v>
      </c>
      <c r="HG59" s="2" t="s">
        <v>383</v>
      </c>
      <c r="HH59" s="2"/>
      <c r="HI59" s="2" t="s">
        <v>81</v>
      </c>
      <c r="HJ59" s="2" t="s">
        <v>3</v>
      </c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 t="s">
        <v>3</v>
      </c>
    </row>
    <row r="60" spans="1:268" ht="15.75" customHeight="1" x14ac:dyDescent="0.2">
      <c r="A60" s="13" t="s">
        <v>932</v>
      </c>
      <c r="B60" s="2" t="s">
        <v>99</v>
      </c>
      <c r="C60" s="2"/>
      <c r="D60" s="2"/>
      <c r="E60" s="2" t="s">
        <v>78</v>
      </c>
      <c r="F60" s="2" t="s">
        <v>926</v>
      </c>
      <c r="G60" s="2"/>
      <c r="H60" s="2" t="s">
        <v>781</v>
      </c>
      <c r="I60" s="2">
        <v>3.4</v>
      </c>
      <c r="J60" s="2"/>
      <c r="K60" s="2"/>
      <c r="L60" s="2"/>
      <c r="M60" s="2"/>
      <c r="N60" s="2"/>
      <c r="O60" s="2"/>
      <c r="P60" s="2"/>
      <c r="Q60" s="2">
        <v>0.98</v>
      </c>
      <c r="R60" s="2">
        <v>6.2E-2</v>
      </c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>
        <v>0.1</v>
      </c>
      <c r="AE60" s="2"/>
      <c r="AF60" s="2"/>
      <c r="AG60" s="2"/>
      <c r="AH60" s="2"/>
      <c r="AI60" s="2"/>
      <c r="AJ60" s="2"/>
      <c r="AK60" s="2"/>
      <c r="AL60" s="2">
        <v>0.88</v>
      </c>
      <c r="AM60" s="2">
        <v>5.0999999999999997E-2</v>
      </c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>
        <v>0.1</v>
      </c>
      <c r="AZ60" s="2"/>
      <c r="BA60" s="2"/>
      <c r="BB60" s="2"/>
      <c r="BC60" s="2"/>
      <c r="BD60" s="2"/>
      <c r="BE60" s="2"/>
      <c r="BF60" s="2"/>
      <c r="BG60" s="2">
        <v>0.86</v>
      </c>
      <c r="BH60" s="2">
        <v>8.3000000000000004E-2</v>
      </c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>
        <v>0</v>
      </c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>
        <v>0</v>
      </c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 t="s">
        <v>81</v>
      </c>
      <c r="DK60" s="2" t="s">
        <v>81</v>
      </c>
      <c r="DL60" s="2">
        <f t="shared" si="3"/>
        <v>0.9738888888888888</v>
      </c>
      <c r="DM60" s="2">
        <f t="shared" si="4"/>
        <v>6.2277777777777772E-2</v>
      </c>
      <c r="DN60" s="2" t="s">
        <v>211</v>
      </c>
      <c r="DO60" s="2" t="s">
        <v>3</v>
      </c>
      <c r="DP60" s="2">
        <f t="shared" si="5"/>
        <v>0</v>
      </c>
      <c r="DQ60" s="2">
        <f t="shared" ref="DQ60:DR60" si="1135">K60*$I60+AF60*$AD60+BA60*$AY60</f>
        <v>0</v>
      </c>
      <c r="DR60" s="2">
        <f t="shared" si="1135"/>
        <v>0</v>
      </c>
      <c r="DS60" s="2">
        <f t="shared" ref="DS60:DX60" si="1136">(M60*$I60+AH60*$AD60+BC60*$AY60)/100</f>
        <v>0</v>
      </c>
      <c r="DT60" s="2">
        <f t="shared" si="1136"/>
        <v>0</v>
      </c>
      <c r="DU60" s="2">
        <f t="shared" si="1136"/>
        <v>0</v>
      </c>
      <c r="DV60" s="2">
        <f t="shared" si="1136"/>
        <v>0</v>
      </c>
      <c r="DW60" s="2">
        <f t="shared" si="1136"/>
        <v>3.5060000000000001E-2</v>
      </c>
      <c r="DX60" s="2">
        <f t="shared" si="1136"/>
        <v>2.2419999999999996E-3</v>
      </c>
      <c r="DY60" s="2">
        <f t="shared" ref="DY60:EC60" si="1137">S60*$I60+AN60*$AD60+BI60*$AY60</f>
        <v>0</v>
      </c>
      <c r="DZ60" s="2">
        <f t="shared" si="1137"/>
        <v>0</v>
      </c>
      <c r="EA60" s="2">
        <f t="shared" si="1137"/>
        <v>0</v>
      </c>
      <c r="EB60" s="2">
        <f t="shared" si="1137"/>
        <v>0</v>
      </c>
      <c r="EC60" s="2">
        <f t="shared" si="1137"/>
        <v>0</v>
      </c>
      <c r="ED60" s="2">
        <f t="shared" ref="ED60:EE60" si="1138">(X60*$I60+AS60*$AD60+BN60*$AY60)/100</f>
        <v>0</v>
      </c>
      <c r="EE60" s="2">
        <f t="shared" si="1138"/>
        <v>0</v>
      </c>
      <c r="EF60" s="2"/>
      <c r="EG60" s="2">
        <f t="shared" si="10"/>
        <v>0</v>
      </c>
      <c r="EH60" s="2">
        <f t="shared" si="11"/>
        <v>0</v>
      </c>
      <c r="EI60" s="39">
        <f t="shared" si="12"/>
        <v>0</v>
      </c>
      <c r="EJ60" s="39">
        <f t="shared" ref="EJ60:EK60" si="1139">EJ$1*DQ60/1000000</f>
        <v>0</v>
      </c>
      <c r="EK60" s="39">
        <f t="shared" si="1139"/>
        <v>0</v>
      </c>
      <c r="EL60" s="39">
        <f t="shared" ref="EL60:EQ60" si="1140">EL$1*DS60</f>
        <v>0</v>
      </c>
      <c r="EM60" s="39">
        <f t="shared" si="1140"/>
        <v>0</v>
      </c>
      <c r="EN60" s="39">
        <f t="shared" si="1140"/>
        <v>0</v>
      </c>
      <c r="EO60" s="39">
        <f t="shared" si="1140"/>
        <v>0</v>
      </c>
      <c r="EP60" s="39">
        <f t="shared" si="1140"/>
        <v>459.77683999999999</v>
      </c>
      <c r="EQ60" s="39">
        <f t="shared" si="1140"/>
        <v>162.81297280799996</v>
      </c>
      <c r="ER60" s="39">
        <f t="shared" ref="ER60:EV60" si="1141">ER$1*DY60/1000000</f>
        <v>0</v>
      </c>
      <c r="ES60" s="39">
        <f t="shared" si="1141"/>
        <v>0</v>
      </c>
      <c r="ET60" s="39">
        <f t="shared" si="1141"/>
        <v>0</v>
      </c>
      <c r="EU60" s="39">
        <f t="shared" si="1141"/>
        <v>0</v>
      </c>
      <c r="EV60" s="39">
        <f t="shared" si="1141"/>
        <v>0</v>
      </c>
      <c r="EW60" s="39">
        <f t="shared" ref="EW60:EX60" si="1142">EW$1*ED60</f>
        <v>0</v>
      </c>
      <c r="EX60" s="39">
        <f t="shared" si="1142"/>
        <v>0</v>
      </c>
      <c r="EY60" s="2"/>
      <c r="EZ60" s="39">
        <f t="shared" si="17"/>
        <v>0</v>
      </c>
      <c r="FA60" s="39">
        <f t="shared" si="18"/>
        <v>0</v>
      </c>
      <c r="FB60" s="2">
        <f t="shared" si="19"/>
        <v>0</v>
      </c>
      <c r="FC60" s="2">
        <f t="shared" ref="FC60:FD60" si="1143">BV60*$BT60+CQ60*$CO60</f>
        <v>0</v>
      </c>
      <c r="FD60" s="2">
        <f t="shared" si="1143"/>
        <v>0</v>
      </c>
      <c r="FE60" s="2">
        <f t="shared" ref="FE60:FJ60" si="1144">(BX60*$BT60+CS60*$CO60)/100</f>
        <v>0</v>
      </c>
      <c r="FF60" s="2">
        <f t="shared" si="1144"/>
        <v>0</v>
      </c>
      <c r="FG60" s="2">
        <f t="shared" si="1144"/>
        <v>0</v>
      </c>
      <c r="FH60" s="2">
        <f t="shared" si="1144"/>
        <v>0</v>
      </c>
      <c r="FI60" s="2">
        <f t="shared" si="1144"/>
        <v>0</v>
      </c>
      <c r="FJ60" s="2">
        <f t="shared" si="1144"/>
        <v>0</v>
      </c>
      <c r="FK60" s="2">
        <f t="shared" ref="FK60:FO60" si="1145">CD60*$BT60+CY60*$CO60</f>
        <v>0</v>
      </c>
      <c r="FL60" s="2">
        <f t="shared" si="1145"/>
        <v>0</v>
      </c>
      <c r="FM60" s="2">
        <f t="shared" si="1145"/>
        <v>0</v>
      </c>
      <c r="FN60" s="2">
        <f t="shared" si="1145"/>
        <v>0</v>
      </c>
      <c r="FO60" s="2">
        <f t="shared" si="1145"/>
        <v>0</v>
      </c>
      <c r="FP60" s="2">
        <f t="shared" ref="FP60:FQ60" si="1146">(CI60*$BT60+DD60*$CO60)/100</f>
        <v>0</v>
      </c>
      <c r="FQ60" s="2">
        <f t="shared" si="1146"/>
        <v>0</v>
      </c>
      <c r="FR60" s="2"/>
      <c r="FS60" s="2">
        <f t="shared" si="24"/>
        <v>0</v>
      </c>
      <c r="FT60" s="2">
        <f t="shared" si="25"/>
        <v>0</v>
      </c>
      <c r="FU60" s="39">
        <f t="shared" si="26"/>
        <v>0</v>
      </c>
      <c r="FV60" s="39">
        <f t="shared" ref="FV60:FW60" si="1147">FV$1*FC60/1000000</f>
        <v>0</v>
      </c>
      <c r="FW60" s="39">
        <f t="shared" si="1147"/>
        <v>0</v>
      </c>
      <c r="FX60" s="39">
        <f t="shared" ref="FX60:GC60" si="1148">FX$1*FE60</f>
        <v>0</v>
      </c>
      <c r="FY60" s="39">
        <f t="shared" si="1148"/>
        <v>0</v>
      </c>
      <c r="FZ60" s="39">
        <f t="shared" si="1148"/>
        <v>0</v>
      </c>
      <c r="GA60" s="39">
        <f t="shared" si="1148"/>
        <v>0</v>
      </c>
      <c r="GB60" s="39">
        <f t="shared" si="1148"/>
        <v>0</v>
      </c>
      <c r="GC60" s="39">
        <f t="shared" si="1148"/>
        <v>0</v>
      </c>
      <c r="GD60" s="39">
        <f t="shared" ref="GD60:GH60" si="1149">GD$1*FK60/1000000</f>
        <v>0</v>
      </c>
      <c r="GE60" s="39">
        <f t="shared" si="1149"/>
        <v>0</v>
      </c>
      <c r="GF60" s="39">
        <f t="shared" si="1149"/>
        <v>0</v>
      </c>
      <c r="GG60" s="39">
        <f t="shared" si="1149"/>
        <v>0</v>
      </c>
      <c r="GH60" s="39">
        <f t="shared" si="1149"/>
        <v>0</v>
      </c>
      <c r="GI60" s="39">
        <f t="shared" ref="GI60:GJ60" si="1150">GI$1*FP60</f>
        <v>0</v>
      </c>
      <c r="GJ60" s="39">
        <f t="shared" si="1150"/>
        <v>0</v>
      </c>
      <c r="GK60" s="2"/>
      <c r="GL60" s="39">
        <f t="shared" si="31"/>
        <v>0</v>
      </c>
      <c r="GM60" s="39">
        <f t="shared" si="32"/>
        <v>0</v>
      </c>
      <c r="GN60" s="2" t="s">
        <v>3</v>
      </c>
      <c r="GO60" s="2">
        <f t="shared" si="33"/>
        <v>3.6</v>
      </c>
      <c r="GP60" s="4">
        <f t="shared" si="34"/>
        <v>0.9738888888888888</v>
      </c>
      <c r="GQ60" s="15">
        <f t="shared" si="35"/>
        <v>35.059999999999995</v>
      </c>
      <c r="GR60" s="15">
        <f t="shared" si="36"/>
        <v>622.58981280799992</v>
      </c>
      <c r="GS60" s="15">
        <f t="shared" si="37"/>
        <v>172.94161466888886</v>
      </c>
      <c r="GT60" s="2">
        <f t="shared" si="38"/>
        <v>33.32</v>
      </c>
      <c r="GU60" s="2">
        <f t="shared" si="39"/>
        <v>0.88000000000000012</v>
      </c>
      <c r="GV60" s="2">
        <f t="shared" si="40"/>
        <v>0.86</v>
      </c>
      <c r="GW60" s="2">
        <f t="shared" si="41"/>
        <v>0</v>
      </c>
      <c r="GX60" s="2"/>
      <c r="GY60" s="2"/>
      <c r="GZ60" s="2"/>
      <c r="HA60" s="2"/>
      <c r="HB60" s="2">
        <f t="shared" si="42"/>
        <v>0</v>
      </c>
      <c r="HC60" s="2">
        <f t="shared" si="43"/>
        <v>0</v>
      </c>
      <c r="HD60" s="2" t="s">
        <v>3</v>
      </c>
      <c r="HE60" s="2" t="s">
        <v>37</v>
      </c>
      <c r="HF60" s="2" t="s">
        <v>383</v>
      </c>
      <c r="HG60" s="2" t="s">
        <v>383</v>
      </c>
      <c r="HH60" s="2"/>
      <c r="HI60" s="2" t="s">
        <v>81</v>
      </c>
      <c r="HJ60" s="2" t="s">
        <v>3</v>
      </c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 t="s">
        <v>3</v>
      </c>
    </row>
    <row r="61" spans="1:268" ht="15.75" customHeight="1" x14ac:dyDescent="0.2">
      <c r="A61" s="13" t="s">
        <v>933</v>
      </c>
      <c r="B61" s="2" t="s">
        <v>99</v>
      </c>
      <c r="C61" s="2"/>
      <c r="D61" s="2"/>
      <c r="E61" s="2" t="s">
        <v>78</v>
      </c>
      <c r="F61" s="2" t="s">
        <v>926</v>
      </c>
      <c r="G61" s="2"/>
      <c r="H61" s="2" t="s">
        <v>781</v>
      </c>
      <c r="I61" s="2">
        <v>1.5</v>
      </c>
      <c r="J61" s="2"/>
      <c r="K61" s="2"/>
      <c r="L61" s="2"/>
      <c r="M61" s="2"/>
      <c r="N61" s="2"/>
      <c r="O61" s="2"/>
      <c r="P61" s="2"/>
      <c r="Q61" s="2">
        <v>1.01</v>
      </c>
      <c r="R61" s="2">
        <v>6.2E-2</v>
      </c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>
        <v>0.3</v>
      </c>
      <c r="AE61" s="2"/>
      <c r="AF61" s="2"/>
      <c r="AG61" s="2"/>
      <c r="AH61" s="2"/>
      <c r="AI61" s="2"/>
      <c r="AJ61" s="2"/>
      <c r="AK61" s="2"/>
      <c r="AL61" s="2">
        <v>0.91</v>
      </c>
      <c r="AM61" s="2">
        <v>2.5000000000000001E-2</v>
      </c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>
        <v>0</v>
      </c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>
        <v>0</v>
      </c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>
        <v>0</v>
      </c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 t="s">
        <v>81</v>
      </c>
      <c r="DK61" s="2" t="s">
        <v>81</v>
      </c>
      <c r="DL61" s="2">
        <f t="shared" si="3"/>
        <v>0.9933333333333334</v>
      </c>
      <c r="DM61" s="2">
        <f t="shared" si="4"/>
        <v>5.5833333333333332E-2</v>
      </c>
      <c r="DN61" s="2" t="s">
        <v>211</v>
      </c>
      <c r="DO61" s="2" t="s">
        <v>3</v>
      </c>
      <c r="DP61" s="2">
        <f t="shared" si="5"/>
        <v>0</v>
      </c>
      <c r="DQ61" s="2">
        <f t="shared" ref="DQ61:DR61" si="1151">K61*$I61+AF61*$AD61+BA61*$AY61</f>
        <v>0</v>
      </c>
      <c r="DR61" s="2">
        <f t="shared" si="1151"/>
        <v>0</v>
      </c>
      <c r="DS61" s="2">
        <f t="shared" ref="DS61:DX61" si="1152">(M61*$I61+AH61*$AD61+BC61*$AY61)/100</f>
        <v>0</v>
      </c>
      <c r="DT61" s="2">
        <f t="shared" si="1152"/>
        <v>0</v>
      </c>
      <c r="DU61" s="2">
        <f t="shared" si="1152"/>
        <v>0</v>
      </c>
      <c r="DV61" s="2">
        <f t="shared" si="1152"/>
        <v>0</v>
      </c>
      <c r="DW61" s="2">
        <f t="shared" si="1152"/>
        <v>1.7880000000000004E-2</v>
      </c>
      <c r="DX61" s="2">
        <f t="shared" si="1152"/>
        <v>1.005E-3</v>
      </c>
      <c r="DY61" s="2">
        <f t="shared" ref="DY61:EC61" si="1153">S61*$I61+AN61*$AD61+BI61*$AY61</f>
        <v>0</v>
      </c>
      <c r="DZ61" s="2">
        <f t="shared" si="1153"/>
        <v>0</v>
      </c>
      <c r="EA61" s="2">
        <f t="shared" si="1153"/>
        <v>0</v>
      </c>
      <c r="EB61" s="2">
        <f t="shared" si="1153"/>
        <v>0</v>
      </c>
      <c r="EC61" s="2">
        <f t="shared" si="1153"/>
        <v>0</v>
      </c>
      <c r="ED61" s="2">
        <f t="shared" ref="ED61:EE61" si="1154">(X61*$I61+AS61*$AD61+BN61*$AY61)/100</f>
        <v>0</v>
      </c>
      <c r="EE61" s="2">
        <f t="shared" si="1154"/>
        <v>0</v>
      </c>
      <c r="EF61" s="2"/>
      <c r="EG61" s="2">
        <f t="shared" si="10"/>
        <v>0</v>
      </c>
      <c r="EH61" s="2">
        <f t="shared" si="11"/>
        <v>0</v>
      </c>
      <c r="EI61" s="39">
        <f t="shared" si="12"/>
        <v>0</v>
      </c>
      <c r="EJ61" s="39">
        <f t="shared" ref="EJ61:EK61" si="1155">EJ$1*DQ61/1000000</f>
        <v>0</v>
      </c>
      <c r="EK61" s="39">
        <f t="shared" si="1155"/>
        <v>0</v>
      </c>
      <c r="EL61" s="39">
        <f t="shared" ref="EL61:EQ61" si="1156">EL$1*DS61</f>
        <v>0</v>
      </c>
      <c r="EM61" s="39">
        <f t="shared" si="1156"/>
        <v>0</v>
      </c>
      <c r="EN61" s="39">
        <f t="shared" si="1156"/>
        <v>0</v>
      </c>
      <c r="EO61" s="39">
        <f t="shared" si="1156"/>
        <v>0</v>
      </c>
      <c r="EP61" s="39">
        <f t="shared" si="1156"/>
        <v>234.47832000000005</v>
      </c>
      <c r="EQ61" s="39">
        <f t="shared" si="1156"/>
        <v>72.982621619999989</v>
      </c>
      <c r="ER61" s="39">
        <f t="shared" ref="ER61:EV61" si="1157">ER$1*DY61/1000000</f>
        <v>0</v>
      </c>
      <c r="ES61" s="39">
        <f t="shared" si="1157"/>
        <v>0</v>
      </c>
      <c r="ET61" s="39">
        <f t="shared" si="1157"/>
        <v>0</v>
      </c>
      <c r="EU61" s="39">
        <f t="shared" si="1157"/>
        <v>0</v>
      </c>
      <c r="EV61" s="39">
        <f t="shared" si="1157"/>
        <v>0</v>
      </c>
      <c r="EW61" s="39">
        <f t="shared" ref="EW61:EX61" si="1158">EW$1*ED61</f>
        <v>0</v>
      </c>
      <c r="EX61" s="39">
        <f t="shared" si="1158"/>
        <v>0</v>
      </c>
      <c r="EY61" s="2"/>
      <c r="EZ61" s="39">
        <f t="shared" si="17"/>
        <v>0</v>
      </c>
      <c r="FA61" s="39">
        <f t="shared" si="18"/>
        <v>0</v>
      </c>
      <c r="FB61" s="2">
        <f t="shared" si="19"/>
        <v>0</v>
      </c>
      <c r="FC61" s="2">
        <f t="shared" ref="FC61:FD61" si="1159">BV61*$BT61+CQ61*$CO61</f>
        <v>0</v>
      </c>
      <c r="FD61" s="2">
        <f t="shared" si="1159"/>
        <v>0</v>
      </c>
      <c r="FE61" s="2">
        <f t="shared" ref="FE61:FJ61" si="1160">(BX61*$BT61+CS61*$CO61)/100</f>
        <v>0</v>
      </c>
      <c r="FF61" s="2">
        <f t="shared" si="1160"/>
        <v>0</v>
      </c>
      <c r="FG61" s="2">
        <f t="shared" si="1160"/>
        <v>0</v>
      </c>
      <c r="FH61" s="2">
        <f t="shared" si="1160"/>
        <v>0</v>
      </c>
      <c r="FI61" s="2">
        <f t="shared" si="1160"/>
        <v>0</v>
      </c>
      <c r="FJ61" s="2">
        <f t="shared" si="1160"/>
        <v>0</v>
      </c>
      <c r="FK61" s="2">
        <f t="shared" ref="FK61:FO61" si="1161">CD61*$BT61+CY61*$CO61</f>
        <v>0</v>
      </c>
      <c r="FL61" s="2">
        <f t="shared" si="1161"/>
        <v>0</v>
      </c>
      <c r="FM61" s="2">
        <f t="shared" si="1161"/>
        <v>0</v>
      </c>
      <c r="FN61" s="2">
        <f t="shared" si="1161"/>
        <v>0</v>
      </c>
      <c r="FO61" s="2">
        <f t="shared" si="1161"/>
        <v>0</v>
      </c>
      <c r="FP61" s="2">
        <f t="shared" ref="FP61:FQ61" si="1162">(CI61*$BT61+DD61*$CO61)/100</f>
        <v>0</v>
      </c>
      <c r="FQ61" s="2">
        <f t="shared" si="1162"/>
        <v>0</v>
      </c>
      <c r="FR61" s="2"/>
      <c r="FS61" s="2">
        <f t="shared" si="24"/>
        <v>0</v>
      </c>
      <c r="FT61" s="2">
        <f t="shared" si="25"/>
        <v>0</v>
      </c>
      <c r="FU61" s="39">
        <f t="shared" si="26"/>
        <v>0</v>
      </c>
      <c r="FV61" s="39">
        <f t="shared" ref="FV61:FW61" si="1163">FV$1*FC61/1000000</f>
        <v>0</v>
      </c>
      <c r="FW61" s="39">
        <f t="shared" si="1163"/>
        <v>0</v>
      </c>
      <c r="FX61" s="39">
        <f t="shared" ref="FX61:GC61" si="1164">FX$1*FE61</f>
        <v>0</v>
      </c>
      <c r="FY61" s="39">
        <f t="shared" si="1164"/>
        <v>0</v>
      </c>
      <c r="FZ61" s="39">
        <f t="shared" si="1164"/>
        <v>0</v>
      </c>
      <c r="GA61" s="39">
        <f t="shared" si="1164"/>
        <v>0</v>
      </c>
      <c r="GB61" s="39">
        <f t="shared" si="1164"/>
        <v>0</v>
      </c>
      <c r="GC61" s="39">
        <f t="shared" si="1164"/>
        <v>0</v>
      </c>
      <c r="GD61" s="39">
        <f t="shared" ref="GD61:GH61" si="1165">GD$1*FK61/1000000</f>
        <v>0</v>
      </c>
      <c r="GE61" s="39">
        <f t="shared" si="1165"/>
        <v>0</v>
      </c>
      <c r="GF61" s="39">
        <f t="shared" si="1165"/>
        <v>0</v>
      </c>
      <c r="GG61" s="39">
        <f t="shared" si="1165"/>
        <v>0</v>
      </c>
      <c r="GH61" s="39">
        <f t="shared" si="1165"/>
        <v>0</v>
      </c>
      <c r="GI61" s="39">
        <f t="shared" ref="GI61:GJ61" si="1166">GI$1*FP61</f>
        <v>0</v>
      </c>
      <c r="GJ61" s="39">
        <f t="shared" si="1166"/>
        <v>0</v>
      </c>
      <c r="GK61" s="2"/>
      <c r="GL61" s="39">
        <f t="shared" si="31"/>
        <v>0</v>
      </c>
      <c r="GM61" s="39">
        <f t="shared" si="32"/>
        <v>0</v>
      </c>
      <c r="GN61" s="2" t="s">
        <v>3</v>
      </c>
      <c r="GO61" s="2">
        <f t="shared" si="33"/>
        <v>1.8</v>
      </c>
      <c r="GP61" s="4">
        <f t="shared" si="34"/>
        <v>0.9933333333333334</v>
      </c>
      <c r="GQ61" s="15">
        <f t="shared" si="35"/>
        <v>17.880000000000003</v>
      </c>
      <c r="GR61" s="15">
        <f t="shared" si="36"/>
        <v>307.46094162000003</v>
      </c>
      <c r="GS61" s="15">
        <f t="shared" si="37"/>
        <v>170.81163423333334</v>
      </c>
      <c r="GT61" s="2">
        <f t="shared" si="38"/>
        <v>15.150000000000002</v>
      </c>
      <c r="GU61" s="2">
        <f t="shared" si="39"/>
        <v>2.73</v>
      </c>
      <c r="GV61" s="2">
        <f t="shared" si="40"/>
        <v>0</v>
      </c>
      <c r="GW61" s="2">
        <f t="shared" si="41"/>
        <v>0</v>
      </c>
      <c r="GX61" s="2"/>
      <c r="GY61" s="2"/>
      <c r="GZ61" s="2"/>
      <c r="HA61" s="2"/>
      <c r="HB61" s="2">
        <f t="shared" si="42"/>
        <v>0</v>
      </c>
      <c r="HC61" s="2">
        <f t="shared" si="43"/>
        <v>0</v>
      </c>
      <c r="HD61" s="2" t="s">
        <v>3</v>
      </c>
      <c r="HE61" s="2" t="s">
        <v>37</v>
      </c>
      <c r="HF61" s="2" t="s">
        <v>383</v>
      </c>
      <c r="HG61" s="2" t="s">
        <v>383</v>
      </c>
      <c r="HH61" s="2"/>
      <c r="HI61" s="2" t="s">
        <v>81</v>
      </c>
      <c r="HJ61" s="2" t="s">
        <v>3</v>
      </c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 t="s">
        <v>3</v>
      </c>
    </row>
    <row r="62" spans="1:268" ht="15.75" customHeight="1" x14ac:dyDescent="0.2">
      <c r="A62" s="13" t="s">
        <v>930</v>
      </c>
      <c r="B62" s="2" t="s">
        <v>99</v>
      </c>
      <c r="C62" s="2"/>
      <c r="D62" s="2"/>
      <c r="E62" s="2" t="s">
        <v>78</v>
      </c>
      <c r="F62" s="2" t="s">
        <v>926</v>
      </c>
      <c r="G62" s="2"/>
      <c r="H62" s="2" t="s">
        <v>781</v>
      </c>
      <c r="I62" s="2">
        <v>0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>
        <v>1.9</v>
      </c>
      <c r="AE62" s="2"/>
      <c r="AF62" s="2"/>
      <c r="AG62" s="2"/>
      <c r="AH62" s="2"/>
      <c r="AI62" s="2"/>
      <c r="AJ62" s="2"/>
      <c r="AK62" s="2"/>
      <c r="AL62" s="2">
        <v>0.98</v>
      </c>
      <c r="AM62" s="19">
        <v>7.0000000000000007E-2</v>
      </c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>
        <v>0</v>
      </c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>
        <v>0</v>
      </c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>
        <v>0</v>
      </c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 t="s">
        <v>81</v>
      </c>
      <c r="DK62" s="2" t="s">
        <v>81</v>
      </c>
      <c r="DL62" s="2">
        <f t="shared" si="3"/>
        <v>0.98</v>
      </c>
      <c r="DM62" s="2">
        <f t="shared" si="4"/>
        <v>7.0000000000000007E-2</v>
      </c>
      <c r="DN62" s="2" t="s">
        <v>211</v>
      </c>
      <c r="DO62" s="2" t="s">
        <v>3</v>
      </c>
      <c r="DP62" s="2">
        <f t="shared" si="5"/>
        <v>0</v>
      </c>
      <c r="DQ62" s="2">
        <f t="shared" ref="DQ62:DR62" si="1167">K62*$I62+AF62*$AD62+BA62*$AY62</f>
        <v>0</v>
      </c>
      <c r="DR62" s="2">
        <f t="shared" si="1167"/>
        <v>0</v>
      </c>
      <c r="DS62" s="2">
        <f t="shared" ref="DS62:DX62" si="1168">(M62*$I62+AH62*$AD62+BC62*$AY62)/100</f>
        <v>0</v>
      </c>
      <c r="DT62" s="2">
        <f t="shared" si="1168"/>
        <v>0</v>
      </c>
      <c r="DU62" s="2">
        <f t="shared" si="1168"/>
        <v>0</v>
      </c>
      <c r="DV62" s="2">
        <f t="shared" si="1168"/>
        <v>0</v>
      </c>
      <c r="DW62" s="2">
        <f t="shared" si="1168"/>
        <v>1.8619999999999998E-2</v>
      </c>
      <c r="DX62" s="2">
        <f t="shared" si="1168"/>
        <v>1.33E-3</v>
      </c>
      <c r="DY62" s="2">
        <f t="shared" ref="DY62:EC62" si="1169">S62*$I62+AN62*$AD62+BI62*$AY62</f>
        <v>0</v>
      </c>
      <c r="DZ62" s="2">
        <f t="shared" si="1169"/>
        <v>0</v>
      </c>
      <c r="EA62" s="2">
        <f t="shared" si="1169"/>
        <v>0</v>
      </c>
      <c r="EB62" s="2">
        <f t="shared" si="1169"/>
        <v>0</v>
      </c>
      <c r="EC62" s="2">
        <f t="shared" si="1169"/>
        <v>0</v>
      </c>
      <c r="ED62" s="2">
        <f t="shared" ref="ED62:EE62" si="1170">(X62*$I62+AS62*$AD62+BN62*$AY62)/100</f>
        <v>0</v>
      </c>
      <c r="EE62" s="2">
        <f t="shared" si="1170"/>
        <v>0</v>
      </c>
      <c r="EF62" s="2"/>
      <c r="EG62" s="2">
        <f t="shared" si="10"/>
        <v>0</v>
      </c>
      <c r="EH62" s="2">
        <f t="shared" si="11"/>
        <v>0</v>
      </c>
      <c r="EI62" s="39">
        <f t="shared" si="12"/>
        <v>0</v>
      </c>
      <c r="EJ62" s="39">
        <f t="shared" ref="EJ62:EK62" si="1171">EJ$1*DQ62/1000000</f>
        <v>0</v>
      </c>
      <c r="EK62" s="39">
        <f t="shared" si="1171"/>
        <v>0</v>
      </c>
      <c r="EL62" s="39">
        <f t="shared" ref="EL62:EQ62" si="1172">EL$1*DS62</f>
        <v>0</v>
      </c>
      <c r="EM62" s="39">
        <f t="shared" si="1172"/>
        <v>0</v>
      </c>
      <c r="EN62" s="39">
        <f t="shared" si="1172"/>
        <v>0</v>
      </c>
      <c r="EO62" s="39">
        <f t="shared" si="1172"/>
        <v>0</v>
      </c>
      <c r="EP62" s="39">
        <f t="shared" si="1172"/>
        <v>244.18267999999998</v>
      </c>
      <c r="EQ62" s="39">
        <f t="shared" si="1172"/>
        <v>96.583966919999995</v>
      </c>
      <c r="ER62" s="39">
        <f t="shared" ref="ER62:EV62" si="1173">ER$1*DY62/1000000</f>
        <v>0</v>
      </c>
      <c r="ES62" s="39">
        <f t="shared" si="1173"/>
        <v>0</v>
      </c>
      <c r="ET62" s="39">
        <f t="shared" si="1173"/>
        <v>0</v>
      </c>
      <c r="EU62" s="39">
        <f t="shared" si="1173"/>
        <v>0</v>
      </c>
      <c r="EV62" s="39">
        <f t="shared" si="1173"/>
        <v>0</v>
      </c>
      <c r="EW62" s="39">
        <f t="shared" ref="EW62:EX62" si="1174">EW$1*ED62</f>
        <v>0</v>
      </c>
      <c r="EX62" s="39">
        <f t="shared" si="1174"/>
        <v>0</v>
      </c>
      <c r="EY62" s="2"/>
      <c r="EZ62" s="39">
        <f t="shared" si="17"/>
        <v>0</v>
      </c>
      <c r="FA62" s="39">
        <f t="shared" si="18"/>
        <v>0</v>
      </c>
      <c r="FB62" s="2">
        <f t="shared" si="19"/>
        <v>0</v>
      </c>
      <c r="FC62" s="2">
        <f t="shared" ref="FC62:FD62" si="1175">BV62*$BT62+CQ62*$CO62</f>
        <v>0</v>
      </c>
      <c r="FD62" s="2">
        <f t="shared" si="1175"/>
        <v>0</v>
      </c>
      <c r="FE62" s="2">
        <f t="shared" ref="FE62:FJ62" si="1176">(BX62*$BT62+CS62*$CO62)/100</f>
        <v>0</v>
      </c>
      <c r="FF62" s="2">
        <f t="shared" si="1176"/>
        <v>0</v>
      </c>
      <c r="FG62" s="2">
        <f t="shared" si="1176"/>
        <v>0</v>
      </c>
      <c r="FH62" s="2">
        <f t="shared" si="1176"/>
        <v>0</v>
      </c>
      <c r="FI62" s="2">
        <f t="shared" si="1176"/>
        <v>0</v>
      </c>
      <c r="FJ62" s="2">
        <f t="shared" si="1176"/>
        <v>0</v>
      </c>
      <c r="FK62" s="2">
        <f t="shared" ref="FK62:FO62" si="1177">CD62*$BT62+CY62*$CO62</f>
        <v>0</v>
      </c>
      <c r="FL62" s="2">
        <f t="shared" si="1177"/>
        <v>0</v>
      </c>
      <c r="FM62" s="2">
        <f t="shared" si="1177"/>
        <v>0</v>
      </c>
      <c r="FN62" s="2">
        <f t="shared" si="1177"/>
        <v>0</v>
      </c>
      <c r="FO62" s="2">
        <f t="shared" si="1177"/>
        <v>0</v>
      </c>
      <c r="FP62" s="2">
        <f t="shared" ref="FP62:FQ62" si="1178">(CI62*$BT62+DD62*$CO62)/100</f>
        <v>0</v>
      </c>
      <c r="FQ62" s="2">
        <f t="shared" si="1178"/>
        <v>0</v>
      </c>
      <c r="FR62" s="2"/>
      <c r="FS62" s="2">
        <f t="shared" si="24"/>
        <v>0</v>
      </c>
      <c r="FT62" s="2">
        <f t="shared" si="25"/>
        <v>0</v>
      </c>
      <c r="FU62" s="39">
        <f t="shared" si="26"/>
        <v>0</v>
      </c>
      <c r="FV62" s="39">
        <f t="shared" ref="FV62:FW62" si="1179">FV$1*FC62/1000000</f>
        <v>0</v>
      </c>
      <c r="FW62" s="39">
        <f t="shared" si="1179"/>
        <v>0</v>
      </c>
      <c r="FX62" s="39">
        <f t="shared" ref="FX62:GC62" si="1180">FX$1*FE62</f>
        <v>0</v>
      </c>
      <c r="FY62" s="39">
        <f t="shared" si="1180"/>
        <v>0</v>
      </c>
      <c r="FZ62" s="39">
        <f t="shared" si="1180"/>
        <v>0</v>
      </c>
      <c r="GA62" s="39">
        <f t="shared" si="1180"/>
        <v>0</v>
      </c>
      <c r="GB62" s="39">
        <f t="shared" si="1180"/>
        <v>0</v>
      </c>
      <c r="GC62" s="39">
        <f t="shared" si="1180"/>
        <v>0</v>
      </c>
      <c r="GD62" s="39">
        <f t="shared" ref="GD62:GH62" si="1181">GD$1*FK62/1000000</f>
        <v>0</v>
      </c>
      <c r="GE62" s="39">
        <f t="shared" si="1181"/>
        <v>0</v>
      </c>
      <c r="GF62" s="39">
        <f t="shared" si="1181"/>
        <v>0</v>
      </c>
      <c r="GG62" s="39">
        <f t="shared" si="1181"/>
        <v>0</v>
      </c>
      <c r="GH62" s="39">
        <f t="shared" si="1181"/>
        <v>0</v>
      </c>
      <c r="GI62" s="39">
        <f t="shared" ref="GI62:GJ62" si="1182">GI$1*FP62</f>
        <v>0</v>
      </c>
      <c r="GJ62" s="39">
        <f t="shared" si="1182"/>
        <v>0</v>
      </c>
      <c r="GK62" s="2"/>
      <c r="GL62" s="39">
        <f t="shared" si="31"/>
        <v>0</v>
      </c>
      <c r="GM62" s="39">
        <f t="shared" si="32"/>
        <v>0</v>
      </c>
      <c r="GN62" s="2" t="s">
        <v>3</v>
      </c>
      <c r="GO62" s="2">
        <f t="shared" si="33"/>
        <v>1.9</v>
      </c>
      <c r="GP62" s="2">
        <f t="shared" si="34"/>
        <v>0.98</v>
      </c>
      <c r="GQ62" s="15">
        <f t="shared" si="35"/>
        <v>18.62</v>
      </c>
      <c r="GR62" s="15">
        <f t="shared" si="36"/>
        <v>340.76664691999997</v>
      </c>
      <c r="GS62" s="15">
        <f t="shared" si="37"/>
        <v>179.35086680000001</v>
      </c>
      <c r="GT62" s="2">
        <f t="shared" si="38"/>
        <v>0</v>
      </c>
      <c r="GU62" s="2">
        <f t="shared" si="39"/>
        <v>18.619999999999997</v>
      </c>
      <c r="GV62" s="2">
        <f t="shared" si="40"/>
        <v>0</v>
      </c>
      <c r="GW62" s="2">
        <f t="shared" si="41"/>
        <v>0</v>
      </c>
      <c r="GX62" s="2"/>
      <c r="GY62" s="2"/>
      <c r="GZ62" s="2"/>
      <c r="HA62" s="2"/>
      <c r="HB62" s="2">
        <f t="shared" si="42"/>
        <v>0</v>
      </c>
      <c r="HC62" s="2">
        <f t="shared" si="43"/>
        <v>0</v>
      </c>
      <c r="HD62" s="2" t="s">
        <v>3</v>
      </c>
      <c r="HE62" s="2" t="s">
        <v>37</v>
      </c>
      <c r="HF62" s="2" t="s">
        <v>383</v>
      </c>
      <c r="HG62" s="2" t="s">
        <v>383</v>
      </c>
      <c r="HH62" s="2"/>
      <c r="HI62" s="2" t="s">
        <v>81</v>
      </c>
      <c r="HJ62" s="2" t="s">
        <v>3</v>
      </c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 t="s">
        <v>3</v>
      </c>
    </row>
    <row r="63" spans="1:268" ht="15.75" customHeight="1" x14ac:dyDescent="0.2">
      <c r="A63" s="13" t="s">
        <v>381</v>
      </c>
      <c r="B63" s="2" t="s">
        <v>99</v>
      </c>
      <c r="C63" s="2"/>
      <c r="D63" s="2"/>
      <c r="E63" s="2" t="s">
        <v>78</v>
      </c>
      <c r="F63" s="2" t="s">
        <v>369</v>
      </c>
      <c r="G63" s="2"/>
      <c r="H63" s="2" t="s">
        <v>80</v>
      </c>
      <c r="I63" s="2">
        <v>0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>
        <v>0</v>
      </c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>
        <v>5.7</v>
      </c>
      <c r="AZ63" s="2"/>
      <c r="BA63" s="2"/>
      <c r="BB63" s="2"/>
      <c r="BC63" s="2"/>
      <c r="BD63" s="2"/>
      <c r="BE63" s="2"/>
      <c r="BF63" s="2"/>
      <c r="BG63" s="15">
        <v>1</v>
      </c>
      <c r="BH63" s="2">
        <v>0.08</v>
      </c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>
        <v>0</v>
      </c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>
        <v>0</v>
      </c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 t="s">
        <v>81</v>
      </c>
      <c r="DK63" s="2" t="s">
        <v>81</v>
      </c>
      <c r="DL63" s="2">
        <f t="shared" si="3"/>
        <v>1</v>
      </c>
      <c r="DM63" s="2">
        <f t="shared" si="4"/>
        <v>0.08</v>
      </c>
      <c r="DN63" s="2" t="s">
        <v>382</v>
      </c>
      <c r="DO63" s="2" t="s">
        <v>3</v>
      </c>
      <c r="DP63" s="2">
        <f t="shared" si="5"/>
        <v>0</v>
      </c>
      <c r="DQ63" s="2">
        <f t="shared" ref="DQ63:DR63" si="1183">K63*$I63+AF63*$AD63+BA63*$AY63</f>
        <v>0</v>
      </c>
      <c r="DR63" s="2">
        <f t="shared" si="1183"/>
        <v>0</v>
      </c>
      <c r="DS63" s="2">
        <f t="shared" ref="DS63:DX63" si="1184">(M63*$I63+AH63*$AD63+BC63*$AY63)/100</f>
        <v>0</v>
      </c>
      <c r="DT63" s="2">
        <f t="shared" si="1184"/>
        <v>0</v>
      </c>
      <c r="DU63" s="2">
        <f t="shared" si="1184"/>
        <v>0</v>
      </c>
      <c r="DV63" s="2">
        <f t="shared" si="1184"/>
        <v>0</v>
      </c>
      <c r="DW63" s="2">
        <f t="shared" si="1184"/>
        <v>5.7000000000000002E-2</v>
      </c>
      <c r="DX63" s="2">
        <f t="shared" si="1184"/>
        <v>4.5599999999999998E-3</v>
      </c>
      <c r="DY63" s="2">
        <f t="shared" ref="DY63:EC63" si="1185">S63*$I63+AN63*$AD63+BI63*$AY63</f>
        <v>0</v>
      </c>
      <c r="DZ63" s="2">
        <f t="shared" si="1185"/>
        <v>0</v>
      </c>
      <c r="EA63" s="2">
        <f t="shared" si="1185"/>
        <v>0</v>
      </c>
      <c r="EB63" s="2">
        <f t="shared" si="1185"/>
        <v>0</v>
      </c>
      <c r="EC63" s="2">
        <f t="shared" si="1185"/>
        <v>0</v>
      </c>
      <c r="ED63" s="2">
        <f t="shared" ref="ED63:EE63" si="1186">(X63*$I63+AS63*$AD63+BN63*$AY63)/100</f>
        <v>0</v>
      </c>
      <c r="EE63" s="2">
        <f t="shared" si="1186"/>
        <v>0</v>
      </c>
      <c r="EF63" s="2"/>
      <c r="EG63" s="2">
        <f t="shared" si="10"/>
        <v>0</v>
      </c>
      <c r="EH63" s="2">
        <f t="shared" si="11"/>
        <v>0</v>
      </c>
      <c r="EI63" s="39">
        <f t="shared" si="12"/>
        <v>0</v>
      </c>
      <c r="EJ63" s="39">
        <f t="shared" ref="EJ63:EK63" si="1187">EJ$1*DQ63/1000000</f>
        <v>0</v>
      </c>
      <c r="EK63" s="39">
        <f t="shared" si="1187"/>
        <v>0</v>
      </c>
      <c r="EL63" s="39">
        <f t="shared" ref="EL63:EQ63" si="1188">EL$1*DS63</f>
        <v>0</v>
      </c>
      <c r="EM63" s="39">
        <f t="shared" si="1188"/>
        <v>0</v>
      </c>
      <c r="EN63" s="39">
        <f t="shared" si="1188"/>
        <v>0</v>
      </c>
      <c r="EO63" s="39">
        <f t="shared" si="1188"/>
        <v>0</v>
      </c>
      <c r="EP63" s="39">
        <f t="shared" si="1188"/>
        <v>747.49800000000005</v>
      </c>
      <c r="EQ63" s="39">
        <f t="shared" si="1188"/>
        <v>331.14502943999992</v>
      </c>
      <c r="ER63" s="39">
        <f t="shared" ref="ER63:EV63" si="1189">ER$1*DY63/1000000</f>
        <v>0</v>
      </c>
      <c r="ES63" s="39">
        <f t="shared" si="1189"/>
        <v>0</v>
      </c>
      <c r="ET63" s="39">
        <f t="shared" si="1189"/>
        <v>0</v>
      </c>
      <c r="EU63" s="39">
        <f t="shared" si="1189"/>
        <v>0</v>
      </c>
      <c r="EV63" s="39">
        <f t="shared" si="1189"/>
        <v>0</v>
      </c>
      <c r="EW63" s="39">
        <f t="shared" ref="EW63:EX63" si="1190">EW$1*ED63</f>
        <v>0</v>
      </c>
      <c r="EX63" s="39">
        <f t="shared" si="1190"/>
        <v>0</v>
      </c>
      <c r="EY63" s="2"/>
      <c r="EZ63" s="39">
        <f t="shared" si="17"/>
        <v>0</v>
      </c>
      <c r="FA63" s="39">
        <f t="shared" si="18"/>
        <v>0</v>
      </c>
      <c r="FB63" s="2">
        <f t="shared" si="19"/>
        <v>0</v>
      </c>
      <c r="FC63" s="2">
        <f t="shared" ref="FC63:FD63" si="1191">BV63*$BT63+CQ63*$CO63</f>
        <v>0</v>
      </c>
      <c r="FD63" s="2">
        <f t="shared" si="1191"/>
        <v>0</v>
      </c>
      <c r="FE63" s="2">
        <f t="shared" ref="FE63:FJ63" si="1192">(BX63*$BT63+CS63*$CO63)/100</f>
        <v>0</v>
      </c>
      <c r="FF63" s="2">
        <f t="shared" si="1192"/>
        <v>0</v>
      </c>
      <c r="FG63" s="2">
        <f t="shared" si="1192"/>
        <v>0</v>
      </c>
      <c r="FH63" s="2">
        <f t="shared" si="1192"/>
        <v>0</v>
      </c>
      <c r="FI63" s="2">
        <f t="shared" si="1192"/>
        <v>0</v>
      </c>
      <c r="FJ63" s="2">
        <f t="shared" si="1192"/>
        <v>0</v>
      </c>
      <c r="FK63" s="2">
        <f t="shared" ref="FK63:FO63" si="1193">CD63*$BT63+CY63*$CO63</f>
        <v>0</v>
      </c>
      <c r="FL63" s="2">
        <f t="shared" si="1193"/>
        <v>0</v>
      </c>
      <c r="FM63" s="2">
        <f t="shared" si="1193"/>
        <v>0</v>
      </c>
      <c r="FN63" s="2">
        <f t="shared" si="1193"/>
        <v>0</v>
      </c>
      <c r="FO63" s="2">
        <f t="shared" si="1193"/>
        <v>0</v>
      </c>
      <c r="FP63" s="2">
        <f t="shared" ref="FP63:FQ63" si="1194">(CI63*$BT63+DD63*$CO63)/100</f>
        <v>0</v>
      </c>
      <c r="FQ63" s="2">
        <f t="shared" si="1194"/>
        <v>0</v>
      </c>
      <c r="FR63" s="2"/>
      <c r="FS63" s="2">
        <f t="shared" si="24"/>
        <v>0</v>
      </c>
      <c r="FT63" s="2">
        <f t="shared" si="25"/>
        <v>0</v>
      </c>
      <c r="FU63" s="39">
        <f t="shared" si="26"/>
        <v>0</v>
      </c>
      <c r="FV63" s="39">
        <f t="shared" ref="FV63:FW63" si="1195">FV$1*FC63/1000000</f>
        <v>0</v>
      </c>
      <c r="FW63" s="39">
        <f t="shared" si="1195"/>
        <v>0</v>
      </c>
      <c r="FX63" s="39">
        <f t="shared" ref="FX63:GC63" si="1196">FX$1*FE63</f>
        <v>0</v>
      </c>
      <c r="FY63" s="39">
        <f t="shared" si="1196"/>
        <v>0</v>
      </c>
      <c r="FZ63" s="39">
        <f t="shared" si="1196"/>
        <v>0</v>
      </c>
      <c r="GA63" s="39">
        <f t="shared" si="1196"/>
        <v>0</v>
      </c>
      <c r="GB63" s="39">
        <f t="shared" si="1196"/>
        <v>0</v>
      </c>
      <c r="GC63" s="39">
        <f t="shared" si="1196"/>
        <v>0</v>
      </c>
      <c r="GD63" s="39">
        <f t="shared" ref="GD63:GH63" si="1197">GD$1*FK63/1000000</f>
        <v>0</v>
      </c>
      <c r="GE63" s="39">
        <f t="shared" si="1197"/>
        <v>0</v>
      </c>
      <c r="GF63" s="39">
        <f t="shared" si="1197"/>
        <v>0</v>
      </c>
      <c r="GG63" s="39">
        <f t="shared" si="1197"/>
        <v>0</v>
      </c>
      <c r="GH63" s="39">
        <f t="shared" si="1197"/>
        <v>0</v>
      </c>
      <c r="GI63" s="39">
        <f t="shared" ref="GI63:GJ63" si="1198">GI$1*FP63</f>
        <v>0</v>
      </c>
      <c r="GJ63" s="39">
        <f t="shared" si="1198"/>
        <v>0</v>
      </c>
      <c r="GK63" s="2"/>
      <c r="GL63" s="39">
        <f t="shared" si="31"/>
        <v>0</v>
      </c>
      <c r="GM63" s="39">
        <f t="shared" si="32"/>
        <v>0</v>
      </c>
      <c r="GN63" s="2" t="s">
        <v>3</v>
      </c>
      <c r="GO63" s="2">
        <f t="shared" si="33"/>
        <v>5.7</v>
      </c>
      <c r="GP63" s="2">
        <f t="shared" si="34"/>
        <v>1</v>
      </c>
      <c r="GQ63" s="15">
        <f t="shared" si="35"/>
        <v>57</v>
      </c>
      <c r="GR63" s="15">
        <f t="shared" si="36"/>
        <v>1078.64302944</v>
      </c>
      <c r="GS63" s="15">
        <f t="shared" si="37"/>
        <v>189.23561919999997</v>
      </c>
      <c r="GT63" s="2">
        <f t="shared" si="38"/>
        <v>0</v>
      </c>
      <c r="GU63" s="2">
        <f t="shared" si="39"/>
        <v>0</v>
      </c>
      <c r="GV63" s="2">
        <f t="shared" si="40"/>
        <v>57</v>
      </c>
      <c r="GW63" s="2">
        <f t="shared" si="41"/>
        <v>0</v>
      </c>
      <c r="GX63" s="2"/>
      <c r="GY63" s="2"/>
      <c r="GZ63" s="2"/>
      <c r="HA63" s="2"/>
      <c r="HB63" s="2">
        <f t="shared" si="42"/>
        <v>0</v>
      </c>
      <c r="HC63" s="2">
        <f t="shared" si="43"/>
        <v>0</v>
      </c>
      <c r="HD63" s="2" t="s">
        <v>3</v>
      </c>
      <c r="HE63" s="2" t="s">
        <v>37</v>
      </c>
      <c r="HF63" s="2" t="s">
        <v>383</v>
      </c>
      <c r="HG63" s="2" t="s">
        <v>383</v>
      </c>
      <c r="HH63" s="2"/>
      <c r="HI63" s="2" t="s">
        <v>81</v>
      </c>
      <c r="HJ63" s="2" t="s">
        <v>3</v>
      </c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 t="s">
        <v>3</v>
      </c>
    </row>
    <row r="64" spans="1:268" ht="15.75" customHeight="1" x14ac:dyDescent="0.2">
      <c r="A64" s="13" t="s">
        <v>929</v>
      </c>
      <c r="B64" s="2" t="s">
        <v>99</v>
      </c>
      <c r="C64" s="2"/>
      <c r="D64" s="2"/>
      <c r="E64" s="2" t="s">
        <v>78</v>
      </c>
      <c r="F64" s="2" t="s">
        <v>79</v>
      </c>
      <c r="G64" s="2"/>
      <c r="H64" s="2" t="s">
        <v>80</v>
      </c>
      <c r="I64" s="2">
        <v>0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>
        <v>0</v>
      </c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>
        <v>0.3</v>
      </c>
      <c r="AZ64" s="2"/>
      <c r="BA64" s="2"/>
      <c r="BB64" s="2"/>
      <c r="BC64" s="2"/>
      <c r="BD64" s="2"/>
      <c r="BE64" s="2"/>
      <c r="BF64" s="2"/>
      <c r="BG64" s="2">
        <v>1.4</v>
      </c>
      <c r="BH64" s="2">
        <v>0.15</v>
      </c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>
        <v>0</v>
      </c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>
        <v>0</v>
      </c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 t="s">
        <v>81</v>
      </c>
      <c r="DK64" s="2" t="s">
        <v>81</v>
      </c>
      <c r="DL64" s="2">
        <f t="shared" si="3"/>
        <v>1.4</v>
      </c>
      <c r="DM64" s="2">
        <f t="shared" si="4"/>
        <v>0.15</v>
      </c>
      <c r="DN64" s="2" t="s">
        <v>175</v>
      </c>
      <c r="DO64" s="2" t="s">
        <v>3</v>
      </c>
      <c r="DP64" s="2">
        <f t="shared" si="5"/>
        <v>0</v>
      </c>
      <c r="DQ64" s="2">
        <f t="shared" ref="DQ64:DR64" si="1199">K64*$I64+AF64*$AD64+BA64*$AY64</f>
        <v>0</v>
      </c>
      <c r="DR64" s="2">
        <f t="shared" si="1199"/>
        <v>0</v>
      </c>
      <c r="DS64" s="2">
        <f t="shared" ref="DS64:DX64" si="1200">(M64*$I64+AH64*$AD64+BC64*$AY64)/100</f>
        <v>0</v>
      </c>
      <c r="DT64" s="2">
        <f t="shared" si="1200"/>
        <v>0</v>
      </c>
      <c r="DU64" s="2">
        <f t="shared" si="1200"/>
        <v>0</v>
      </c>
      <c r="DV64" s="2">
        <f t="shared" si="1200"/>
        <v>0</v>
      </c>
      <c r="DW64" s="2">
        <f t="shared" si="1200"/>
        <v>4.1999999999999997E-3</v>
      </c>
      <c r="DX64" s="2">
        <f t="shared" si="1200"/>
        <v>4.4999999999999999E-4</v>
      </c>
      <c r="DY64" s="2">
        <f t="shared" ref="DY64:EC64" si="1201">S64*$I64+AN64*$AD64+BI64*$AY64</f>
        <v>0</v>
      </c>
      <c r="DZ64" s="2">
        <f t="shared" si="1201"/>
        <v>0</v>
      </c>
      <c r="EA64" s="2">
        <f t="shared" si="1201"/>
        <v>0</v>
      </c>
      <c r="EB64" s="2">
        <f t="shared" si="1201"/>
        <v>0</v>
      </c>
      <c r="EC64" s="2">
        <f t="shared" si="1201"/>
        <v>0</v>
      </c>
      <c r="ED64" s="2">
        <f t="shared" ref="ED64:EE64" si="1202">(X64*$I64+AS64*$AD64+BN64*$AY64)/100</f>
        <v>0</v>
      </c>
      <c r="EE64" s="2">
        <f t="shared" si="1202"/>
        <v>0</v>
      </c>
      <c r="EF64" s="2"/>
      <c r="EG64" s="2">
        <f t="shared" si="10"/>
        <v>0</v>
      </c>
      <c r="EH64" s="2">
        <f t="shared" si="11"/>
        <v>0</v>
      </c>
      <c r="EI64" s="39">
        <f t="shared" si="12"/>
        <v>0</v>
      </c>
      <c r="EJ64" s="39">
        <f t="shared" ref="EJ64:EK64" si="1203">EJ$1*DQ64/1000000</f>
        <v>0</v>
      </c>
      <c r="EK64" s="39">
        <f t="shared" si="1203"/>
        <v>0</v>
      </c>
      <c r="EL64" s="39">
        <f t="shared" ref="EL64:EQ64" si="1204">EL$1*DS64</f>
        <v>0</v>
      </c>
      <c r="EM64" s="39">
        <f t="shared" si="1204"/>
        <v>0</v>
      </c>
      <c r="EN64" s="39">
        <f t="shared" si="1204"/>
        <v>0</v>
      </c>
      <c r="EO64" s="39">
        <f t="shared" si="1204"/>
        <v>0</v>
      </c>
      <c r="EP64" s="39">
        <f t="shared" si="1204"/>
        <v>55.078799999999994</v>
      </c>
      <c r="EQ64" s="39">
        <f t="shared" si="1204"/>
        <v>32.678785799999993</v>
      </c>
      <c r="ER64" s="39">
        <f t="shared" ref="ER64:EV64" si="1205">ER$1*DY64/1000000</f>
        <v>0</v>
      </c>
      <c r="ES64" s="39">
        <f t="shared" si="1205"/>
        <v>0</v>
      </c>
      <c r="ET64" s="39">
        <f t="shared" si="1205"/>
        <v>0</v>
      </c>
      <c r="EU64" s="39">
        <f t="shared" si="1205"/>
        <v>0</v>
      </c>
      <c r="EV64" s="39">
        <f t="shared" si="1205"/>
        <v>0</v>
      </c>
      <c r="EW64" s="39">
        <f t="shared" ref="EW64:EX64" si="1206">EW$1*ED64</f>
        <v>0</v>
      </c>
      <c r="EX64" s="39">
        <f t="shared" si="1206"/>
        <v>0</v>
      </c>
      <c r="EY64" s="2"/>
      <c r="EZ64" s="39">
        <f t="shared" si="17"/>
        <v>0</v>
      </c>
      <c r="FA64" s="39">
        <f t="shared" si="18"/>
        <v>0</v>
      </c>
      <c r="FB64" s="2">
        <f t="shared" si="19"/>
        <v>0</v>
      </c>
      <c r="FC64" s="2">
        <f t="shared" ref="FC64:FD64" si="1207">BV64*$BT64+CQ64*$CO64</f>
        <v>0</v>
      </c>
      <c r="FD64" s="2">
        <f t="shared" si="1207"/>
        <v>0</v>
      </c>
      <c r="FE64" s="2">
        <f t="shared" ref="FE64:FJ64" si="1208">(BX64*$BT64+CS64*$CO64)/100</f>
        <v>0</v>
      </c>
      <c r="FF64" s="2">
        <f t="shared" si="1208"/>
        <v>0</v>
      </c>
      <c r="FG64" s="2">
        <f t="shared" si="1208"/>
        <v>0</v>
      </c>
      <c r="FH64" s="2">
        <f t="shared" si="1208"/>
        <v>0</v>
      </c>
      <c r="FI64" s="2">
        <f t="shared" si="1208"/>
        <v>0</v>
      </c>
      <c r="FJ64" s="2">
        <f t="shared" si="1208"/>
        <v>0</v>
      </c>
      <c r="FK64" s="2">
        <f t="shared" ref="FK64:FO64" si="1209">CD64*$BT64+CY64*$CO64</f>
        <v>0</v>
      </c>
      <c r="FL64" s="2">
        <f t="shared" si="1209"/>
        <v>0</v>
      </c>
      <c r="FM64" s="2">
        <f t="shared" si="1209"/>
        <v>0</v>
      </c>
      <c r="FN64" s="2">
        <f t="shared" si="1209"/>
        <v>0</v>
      </c>
      <c r="FO64" s="2">
        <f t="shared" si="1209"/>
        <v>0</v>
      </c>
      <c r="FP64" s="2">
        <f t="shared" ref="FP64:FQ64" si="1210">(CI64*$BT64+DD64*$CO64)/100</f>
        <v>0</v>
      </c>
      <c r="FQ64" s="2">
        <f t="shared" si="1210"/>
        <v>0</v>
      </c>
      <c r="FR64" s="2"/>
      <c r="FS64" s="2">
        <f t="shared" si="24"/>
        <v>0</v>
      </c>
      <c r="FT64" s="2">
        <f t="shared" si="25"/>
        <v>0</v>
      </c>
      <c r="FU64" s="39">
        <f t="shared" si="26"/>
        <v>0</v>
      </c>
      <c r="FV64" s="39">
        <f t="shared" ref="FV64:FW64" si="1211">FV$1*FC64/1000000</f>
        <v>0</v>
      </c>
      <c r="FW64" s="39">
        <f t="shared" si="1211"/>
        <v>0</v>
      </c>
      <c r="FX64" s="39">
        <f t="shared" ref="FX64:GC64" si="1212">FX$1*FE64</f>
        <v>0</v>
      </c>
      <c r="FY64" s="39">
        <f t="shared" si="1212"/>
        <v>0</v>
      </c>
      <c r="FZ64" s="39">
        <f t="shared" si="1212"/>
        <v>0</v>
      </c>
      <c r="GA64" s="39">
        <f t="shared" si="1212"/>
        <v>0</v>
      </c>
      <c r="GB64" s="39">
        <f t="shared" si="1212"/>
        <v>0</v>
      </c>
      <c r="GC64" s="39">
        <f t="shared" si="1212"/>
        <v>0</v>
      </c>
      <c r="GD64" s="39">
        <f t="shared" ref="GD64:GH64" si="1213">GD$1*FK64/1000000</f>
        <v>0</v>
      </c>
      <c r="GE64" s="39">
        <f t="shared" si="1213"/>
        <v>0</v>
      </c>
      <c r="GF64" s="39">
        <f t="shared" si="1213"/>
        <v>0</v>
      </c>
      <c r="GG64" s="39">
        <f t="shared" si="1213"/>
        <v>0</v>
      </c>
      <c r="GH64" s="39">
        <f t="shared" si="1213"/>
        <v>0</v>
      </c>
      <c r="GI64" s="39">
        <f t="shared" ref="GI64:GJ64" si="1214">GI$1*FP64</f>
        <v>0</v>
      </c>
      <c r="GJ64" s="39">
        <f t="shared" si="1214"/>
        <v>0</v>
      </c>
      <c r="GK64" s="2"/>
      <c r="GL64" s="39">
        <f t="shared" si="31"/>
        <v>0</v>
      </c>
      <c r="GM64" s="39">
        <f t="shared" si="32"/>
        <v>0</v>
      </c>
      <c r="GN64" s="2" t="s">
        <v>3</v>
      </c>
      <c r="GO64" s="2">
        <f t="shared" si="33"/>
        <v>0.3</v>
      </c>
      <c r="GP64" s="2">
        <f t="shared" si="34"/>
        <v>1.4</v>
      </c>
      <c r="GQ64" s="15">
        <f t="shared" si="35"/>
        <v>4.2</v>
      </c>
      <c r="GR64" s="15">
        <f t="shared" si="36"/>
        <v>87.757585799999987</v>
      </c>
      <c r="GS64" s="15">
        <f t="shared" si="37"/>
        <v>292.52528599999999</v>
      </c>
      <c r="GT64" s="2">
        <f t="shared" si="38"/>
        <v>0</v>
      </c>
      <c r="GU64" s="2">
        <f t="shared" si="39"/>
        <v>0</v>
      </c>
      <c r="GV64" s="2">
        <f t="shared" si="40"/>
        <v>4.2</v>
      </c>
      <c r="GW64" s="2">
        <f t="shared" si="41"/>
        <v>0</v>
      </c>
      <c r="GX64" s="2"/>
      <c r="GY64" s="2"/>
      <c r="GZ64" s="2"/>
      <c r="HA64" s="2"/>
      <c r="HB64" s="2">
        <f t="shared" si="42"/>
        <v>0</v>
      </c>
      <c r="HC64" s="2">
        <f t="shared" si="43"/>
        <v>0</v>
      </c>
      <c r="HD64" s="2" t="s">
        <v>3</v>
      </c>
      <c r="HE64" s="2" t="s">
        <v>37</v>
      </c>
      <c r="HF64" s="2" t="s">
        <v>383</v>
      </c>
      <c r="HG64" s="2" t="s">
        <v>383</v>
      </c>
      <c r="HH64" s="2"/>
      <c r="HI64" s="2" t="s">
        <v>81</v>
      </c>
      <c r="HJ64" s="2" t="s">
        <v>3</v>
      </c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 t="s">
        <v>3</v>
      </c>
    </row>
    <row r="65" spans="1:268" ht="15.75" customHeight="1" x14ac:dyDescent="0.2">
      <c r="A65" s="13" t="s">
        <v>490</v>
      </c>
      <c r="B65" s="2" t="s">
        <v>99</v>
      </c>
      <c r="C65" s="2"/>
      <c r="D65" s="2"/>
      <c r="E65" s="2" t="s">
        <v>78</v>
      </c>
      <c r="F65" s="2" t="s">
        <v>369</v>
      </c>
      <c r="G65" s="2"/>
      <c r="H65" s="2" t="s">
        <v>242</v>
      </c>
      <c r="I65" s="2">
        <v>0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>
        <v>0</v>
      </c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>
        <v>1.3</v>
      </c>
      <c r="AZ65" s="2"/>
      <c r="BA65" s="2"/>
      <c r="BB65" s="2"/>
      <c r="BC65" s="2"/>
      <c r="BD65" s="2"/>
      <c r="BE65" s="2"/>
      <c r="BF65" s="2"/>
      <c r="BG65" s="2">
        <v>0.9</v>
      </c>
      <c r="BH65" s="2">
        <v>7.0000000000000007E-2</v>
      </c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>
        <v>0</v>
      </c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>
        <v>0</v>
      </c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 t="s">
        <v>81</v>
      </c>
      <c r="DK65" s="2" t="s">
        <v>81</v>
      </c>
      <c r="DL65" s="2">
        <f t="shared" si="3"/>
        <v>0.90000000000000013</v>
      </c>
      <c r="DM65" s="2">
        <f t="shared" si="4"/>
        <v>7.0000000000000007E-2</v>
      </c>
      <c r="DN65" s="2" t="s">
        <v>175</v>
      </c>
      <c r="DO65" s="2" t="s">
        <v>3</v>
      </c>
      <c r="DP65" s="2">
        <f t="shared" si="5"/>
        <v>0</v>
      </c>
      <c r="DQ65" s="2">
        <f t="shared" ref="DQ65:DR65" si="1215">K65*$I65+AF65*$AD65+BA65*$AY65</f>
        <v>0</v>
      </c>
      <c r="DR65" s="2">
        <f t="shared" si="1215"/>
        <v>0</v>
      </c>
      <c r="DS65" s="2">
        <f t="shared" ref="DS65:DX65" si="1216">(M65*$I65+AH65*$AD65+BC65*$AY65)/100</f>
        <v>0</v>
      </c>
      <c r="DT65" s="2">
        <f t="shared" si="1216"/>
        <v>0</v>
      </c>
      <c r="DU65" s="2">
        <f t="shared" si="1216"/>
        <v>0</v>
      </c>
      <c r="DV65" s="2">
        <f t="shared" si="1216"/>
        <v>0</v>
      </c>
      <c r="DW65" s="2">
        <f t="shared" si="1216"/>
        <v>1.1700000000000002E-2</v>
      </c>
      <c r="DX65" s="2">
        <f t="shared" si="1216"/>
        <v>9.1000000000000011E-4</v>
      </c>
      <c r="DY65" s="2">
        <f t="shared" ref="DY65:EC65" si="1217">S65*$I65+AN65*$AD65+BI65*$AY65</f>
        <v>0</v>
      </c>
      <c r="DZ65" s="2">
        <f t="shared" si="1217"/>
        <v>0</v>
      </c>
      <c r="EA65" s="2">
        <f t="shared" si="1217"/>
        <v>0</v>
      </c>
      <c r="EB65" s="2">
        <f t="shared" si="1217"/>
        <v>0</v>
      </c>
      <c r="EC65" s="2">
        <f t="shared" si="1217"/>
        <v>0</v>
      </c>
      <c r="ED65" s="2">
        <f t="shared" ref="ED65:EE65" si="1218">(X65*$I65+AS65*$AD65+BN65*$AY65)/100</f>
        <v>0</v>
      </c>
      <c r="EE65" s="2">
        <f t="shared" si="1218"/>
        <v>0</v>
      </c>
      <c r="EF65" s="2"/>
      <c r="EG65" s="2">
        <f t="shared" si="10"/>
        <v>0</v>
      </c>
      <c r="EH65" s="2">
        <f t="shared" si="11"/>
        <v>0</v>
      </c>
      <c r="EI65" s="39">
        <f t="shared" si="12"/>
        <v>0</v>
      </c>
      <c r="EJ65" s="39">
        <f t="shared" ref="EJ65:EK65" si="1219">EJ$1*DQ65/1000000</f>
        <v>0</v>
      </c>
      <c r="EK65" s="39">
        <f t="shared" si="1219"/>
        <v>0</v>
      </c>
      <c r="EL65" s="39">
        <f t="shared" ref="EL65:EQ65" si="1220">EL$1*DS65</f>
        <v>0</v>
      </c>
      <c r="EM65" s="39">
        <f t="shared" si="1220"/>
        <v>0</v>
      </c>
      <c r="EN65" s="39">
        <f t="shared" si="1220"/>
        <v>0</v>
      </c>
      <c r="EO65" s="39">
        <f t="shared" si="1220"/>
        <v>0</v>
      </c>
      <c r="EP65" s="39">
        <f t="shared" si="1220"/>
        <v>153.43380000000002</v>
      </c>
      <c r="EQ65" s="39">
        <f t="shared" si="1220"/>
        <v>66.083766839999996</v>
      </c>
      <c r="ER65" s="39">
        <f t="shared" ref="ER65:EV65" si="1221">ER$1*DY65/1000000</f>
        <v>0</v>
      </c>
      <c r="ES65" s="39">
        <f t="shared" si="1221"/>
        <v>0</v>
      </c>
      <c r="ET65" s="39">
        <f t="shared" si="1221"/>
        <v>0</v>
      </c>
      <c r="EU65" s="39">
        <f t="shared" si="1221"/>
        <v>0</v>
      </c>
      <c r="EV65" s="39">
        <f t="shared" si="1221"/>
        <v>0</v>
      </c>
      <c r="EW65" s="39">
        <f t="shared" ref="EW65:EX65" si="1222">EW$1*ED65</f>
        <v>0</v>
      </c>
      <c r="EX65" s="39">
        <f t="shared" si="1222"/>
        <v>0</v>
      </c>
      <c r="EY65" s="2"/>
      <c r="EZ65" s="39">
        <f t="shared" si="17"/>
        <v>0</v>
      </c>
      <c r="FA65" s="39">
        <f t="shared" si="18"/>
        <v>0</v>
      </c>
      <c r="FB65" s="2">
        <f t="shared" si="19"/>
        <v>0</v>
      </c>
      <c r="FC65" s="2">
        <f t="shared" ref="FC65:FD65" si="1223">BV65*$BT65+CQ65*$CO65</f>
        <v>0</v>
      </c>
      <c r="FD65" s="2">
        <f t="shared" si="1223"/>
        <v>0</v>
      </c>
      <c r="FE65" s="2">
        <f t="shared" ref="FE65:FJ65" si="1224">(BX65*$BT65+CS65*$CO65)/100</f>
        <v>0</v>
      </c>
      <c r="FF65" s="2">
        <f t="shared" si="1224"/>
        <v>0</v>
      </c>
      <c r="FG65" s="2">
        <f t="shared" si="1224"/>
        <v>0</v>
      </c>
      <c r="FH65" s="2">
        <f t="shared" si="1224"/>
        <v>0</v>
      </c>
      <c r="FI65" s="2">
        <f t="shared" si="1224"/>
        <v>0</v>
      </c>
      <c r="FJ65" s="2">
        <f t="shared" si="1224"/>
        <v>0</v>
      </c>
      <c r="FK65" s="2">
        <f t="shared" ref="FK65:FO65" si="1225">CD65*$BT65+CY65*$CO65</f>
        <v>0</v>
      </c>
      <c r="FL65" s="2">
        <f t="shared" si="1225"/>
        <v>0</v>
      </c>
      <c r="FM65" s="2">
        <f t="shared" si="1225"/>
        <v>0</v>
      </c>
      <c r="FN65" s="2">
        <f t="shared" si="1225"/>
        <v>0</v>
      </c>
      <c r="FO65" s="2">
        <f t="shared" si="1225"/>
        <v>0</v>
      </c>
      <c r="FP65" s="2">
        <f t="shared" ref="FP65:FQ65" si="1226">(CI65*$BT65+DD65*$CO65)/100</f>
        <v>0</v>
      </c>
      <c r="FQ65" s="2">
        <f t="shared" si="1226"/>
        <v>0</v>
      </c>
      <c r="FR65" s="2"/>
      <c r="FS65" s="2">
        <f t="shared" si="24"/>
        <v>0</v>
      </c>
      <c r="FT65" s="2">
        <f t="shared" si="25"/>
        <v>0</v>
      </c>
      <c r="FU65" s="39">
        <f t="shared" si="26"/>
        <v>0</v>
      </c>
      <c r="FV65" s="39">
        <f t="shared" ref="FV65:FW65" si="1227">FV$1*FC65/1000000</f>
        <v>0</v>
      </c>
      <c r="FW65" s="39">
        <f t="shared" si="1227"/>
        <v>0</v>
      </c>
      <c r="FX65" s="39">
        <f t="shared" ref="FX65:GC65" si="1228">FX$1*FE65</f>
        <v>0</v>
      </c>
      <c r="FY65" s="39">
        <f t="shared" si="1228"/>
        <v>0</v>
      </c>
      <c r="FZ65" s="39">
        <f t="shared" si="1228"/>
        <v>0</v>
      </c>
      <c r="GA65" s="39">
        <f t="shared" si="1228"/>
        <v>0</v>
      </c>
      <c r="GB65" s="39">
        <f t="shared" si="1228"/>
        <v>0</v>
      </c>
      <c r="GC65" s="39">
        <f t="shared" si="1228"/>
        <v>0</v>
      </c>
      <c r="GD65" s="39">
        <f t="shared" ref="GD65:GH65" si="1229">GD$1*FK65/1000000</f>
        <v>0</v>
      </c>
      <c r="GE65" s="39">
        <f t="shared" si="1229"/>
        <v>0</v>
      </c>
      <c r="GF65" s="39">
        <f t="shared" si="1229"/>
        <v>0</v>
      </c>
      <c r="GG65" s="39">
        <f t="shared" si="1229"/>
        <v>0</v>
      </c>
      <c r="GH65" s="39">
        <f t="shared" si="1229"/>
        <v>0</v>
      </c>
      <c r="GI65" s="39">
        <f t="shared" ref="GI65:GJ65" si="1230">GI$1*FP65</f>
        <v>0</v>
      </c>
      <c r="GJ65" s="39">
        <f t="shared" si="1230"/>
        <v>0</v>
      </c>
      <c r="GK65" s="2"/>
      <c r="GL65" s="39">
        <f t="shared" si="31"/>
        <v>0</v>
      </c>
      <c r="GM65" s="39">
        <f t="shared" si="32"/>
        <v>0</v>
      </c>
      <c r="GN65" s="2" t="s">
        <v>3</v>
      </c>
      <c r="GO65" s="2">
        <f t="shared" si="33"/>
        <v>1.3</v>
      </c>
      <c r="GP65" s="2">
        <f t="shared" si="34"/>
        <v>0.90000000000000013</v>
      </c>
      <c r="GQ65" s="15">
        <f t="shared" si="35"/>
        <v>11.700000000000003</v>
      </c>
      <c r="GR65" s="15">
        <f t="shared" si="36"/>
        <v>219.51756684000003</v>
      </c>
      <c r="GS65" s="15">
        <f t="shared" si="37"/>
        <v>168.85966680000001</v>
      </c>
      <c r="GT65" s="2">
        <f t="shared" si="38"/>
        <v>0</v>
      </c>
      <c r="GU65" s="2">
        <f t="shared" si="39"/>
        <v>0</v>
      </c>
      <c r="GV65" s="2">
        <f t="shared" si="40"/>
        <v>11.700000000000003</v>
      </c>
      <c r="GW65" s="2">
        <f t="shared" si="41"/>
        <v>0</v>
      </c>
      <c r="GX65" s="2"/>
      <c r="GY65" s="2"/>
      <c r="GZ65" s="2"/>
      <c r="HA65" s="2"/>
      <c r="HB65" s="2">
        <f t="shared" si="42"/>
        <v>0</v>
      </c>
      <c r="HC65" s="2">
        <f t="shared" si="43"/>
        <v>0</v>
      </c>
      <c r="HD65" s="2" t="s">
        <v>3</v>
      </c>
      <c r="HE65" s="2" t="s">
        <v>37</v>
      </c>
      <c r="HF65" s="2" t="s">
        <v>383</v>
      </c>
      <c r="HG65" s="2" t="s">
        <v>383</v>
      </c>
      <c r="HH65" s="2"/>
      <c r="HI65" s="2" t="s">
        <v>81</v>
      </c>
      <c r="HJ65" s="2" t="s">
        <v>3</v>
      </c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 t="s">
        <v>3</v>
      </c>
    </row>
    <row r="66" spans="1:268" ht="15.75" customHeight="1" x14ac:dyDescent="0.2">
      <c r="A66" s="13" t="s">
        <v>993</v>
      </c>
      <c r="B66" s="2" t="s">
        <v>99</v>
      </c>
      <c r="C66" s="2"/>
      <c r="D66" s="2"/>
      <c r="E66" s="2" t="s">
        <v>78</v>
      </c>
      <c r="F66" s="2" t="s">
        <v>994</v>
      </c>
      <c r="G66" s="2"/>
      <c r="H66" s="2" t="s">
        <v>80</v>
      </c>
      <c r="I66" s="2">
        <v>0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>
        <v>0</v>
      </c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>
        <v>5.39</v>
      </c>
      <c r="AZ66" s="2"/>
      <c r="BA66" s="2"/>
      <c r="BB66" s="2"/>
      <c r="BC66" s="2"/>
      <c r="BD66" s="2"/>
      <c r="BE66" s="2"/>
      <c r="BF66" s="2"/>
      <c r="BG66" s="2">
        <v>0.96299999999999997</v>
      </c>
      <c r="BH66" s="2">
        <v>8.4000000000000005E-2</v>
      </c>
      <c r="BI66" s="2"/>
      <c r="BJ66" s="2"/>
      <c r="BK66" s="2"/>
      <c r="BL66" s="2"/>
      <c r="BM66" s="2"/>
      <c r="BN66" s="2"/>
      <c r="BO66" s="2">
        <v>21.1</v>
      </c>
      <c r="BP66" s="2"/>
      <c r="BQ66" s="2"/>
      <c r="BR66" s="2"/>
      <c r="BS66" s="2"/>
      <c r="BT66" s="2">
        <v>0</v>
      </c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>
        <v>0</v>
      </c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 t="s">
        <v>81</v>
      </c>
      <c r="DK66" s="2" t="s">
        <v>81</v>
      </c>
      <c r="DL66" s="2">
        <f t="shared" si="3"/>
        <v>0.96299999999999997</v>
      </c>
      <c r="DM66" s="2">
        <f t="shared" si="4"/>
        <v>8.4000000000000005E-2</v>
      </c>
      <c r="DN66" s="2" t="s">
        <v>175</v>
      </c>
      <c r="DO66" s="2" t="s">
        <v>3</v>
      </c>
      <c r="DP66" s="2">
        <f t="shared" si="5"/>
        <v>0</v>
      </c>
      <c r="DQ66" s="2">
        <f t="shared" ref="DQ66:DR66" si="1231">K66*$I66+AF66*$AD66+BA66*$AY66</f>
        <v>0</v>
      </c>
      <c r="DR66" s="2">
        <f t="shared" si="1231"/>
        <v>0</v>
      </c>
      <c r="DS66" s="2">
        <f t="shared" ref="DS66:DX66" si="1232">(M66*$I66+AH66*$AD66+BC66*$AY66)/100</f>
        <v>0</v>
      </c>
      <c r="DT66" s="2">
        <f t="shared" si="1232"/>
        <v>0</v>
      </c>
      <c r="DU66" s="2">
        <f t="shared" si="1232"/>
        <v>0</v>
      </c>
      <c r="DV66" s="2">
        <f t="shared" si="1232"/>
        <v>0</v>
      </c>
      <c r="DW66" s="2">
        <f t="shared" si="1232"/>
        <v>5.1905699999999992E-2</v>
      </c>
      <c r="DX66" s="2">
        <f t="shared" si="1232"/>
        <v>4.5275999999999997E-3</v>
      </c>
      <c r="DY66" s="2">
        <f t="shared" ref="DY66:EC66" si="1233">S66*$I66+AN66*$AD66+BI66*$AY66</f>
        <v>0</v>
      </c>
      <c r="DZ66" s="2">
        <f t="shared" si="1233"/>
        <v>0</v>
      </c>
      <c r="EA66" s="2">
        <f t="shared" si="1233"/>
        <v>0</v>
      </c>
      <c r="EB66" s="2">
        <f t="shared" si="1233"/>
        <v>0</v>
      </c>
      <c r="EC66" s="2">
        <f t="shared" si="1233"/>
        <v>0</v>
      </c>
      <c r="ED66" s="2">
        <f t="shared" ref="ED66:EE66" si="1234">(X66*$I66+AS66*$AD66+BN66*$AY66)/100</f>
        <v>0</v>
      </c>
      <c r="EE66" s="2">
        <f t="shared" si="1234"/>
        <v>1.1372899999999999</v>
      </c>
      <c r="EF66" s="2"/>
      <c r="EG66" s="2">
        <f t="shared" si="10"/>
        <v>0</v>
      </c>
      <c r="EH66" s="2">
        <f t="shared" si="11"/>
        <v>0</v>
      </c>
      <c r="EI66" s="39">
        <f t="shared" si="12"/>
        <v>0</v>
      </c>
      <c r="EJ66" s="39">
        <f t="shared" ref="EJ66:EK66" si="1235">EJ$1*DQ66/1000000</f>
        <v>0</v>
      </c>
      <c r="EK66" s="39">
        <f t="shared" si="1235"/>
        <v>0</v>
      </c>
      <c r="EL66" s="39">
        <f t="shared" ref="EL66:EQ66" si="1236">EL$1*DS66</f>
        <v>0</v>
      </c>
      <c r="EM66" s="39">
        <f t="shared" si="1236"/>
        <v>0</v>
      </c>
      <c r="EN66" s="39">
        <f t="shared" si="1236"/>
        <v>0</v>
      </c>
      <c r="EO66" s="39">
        <f t="shared" si="1236"/>
        <v>0</v>
      </c>
      <c r="EP66" s="39">
        <f t="shared" si="1236"/>
        <v>680.6913497999999</v>
      </c>
      <c r="EQ66" s="39">
        <f t="shared" si="1236"/>
        <v>328.79215686239991</v>
      </c>
      <c r="ER66" s="39">
        <f t="shared" ref="ER66:EV66" si="1237">ER$1*DY66/1000000</f>
        <v>0</v>
      </c>
      <c r="ES66" s="39">
        <f t="shared" si="1237"/>
        <v>0</v>
      </c>
      <c r="ET66" s="39">
        <f t="shared" si="1237"/>
        <v>0</v>
      </c>
      <c r="EU66" s="39">
        <f t="shared" si="1237"/>
        <v>0</v>
      </c>
      <c r="EV66" s="39">
        <f t="shared" si="1237"/>
        <v>0</v>
      </c>
      <c r="EW66" s="39">
        <f t="shared" ref="EW66:EX66" si="1238">EW$1*ED66</f>
        <v>0</v>
      </c>
      <c r="EX66" s="39">
        <f t="shared" si="1238"/>
        <v>105.76796999999999</v>
      </c>
      <c r="EY66" s="2"/>
      <c r="EZ66" s="39">
        <f t="shared" si="17"/>
        <v>0</v>
      </c>
      <c r="FA66" s="39">
        <f t="shared" si="18"/>
        <v>0</v>
      </c>
      <c r="FB66" s="2">
        <f t="shared" si="19"/>
        <v>0</v>
      </c>
      <c r="FC66" s="2">
        <f t="shared" ref="FC66:FD66" si="1239">BV66*$BT66+CQ66*$CO66</f>
        <v>0</v>
      </c>
      <c r="FD66" s="2">
        <f t="shared" si="1239"/>
        <v>0</v>
      </c>
      <c r="FE66" s="2">
        <f t="shared" ref="FE66:FJ66" si="1240">(BX66*$BT66+CS66*$CO66)/100</f>
        <v>0</v>
      </c>
      <c r="FF66" s="2">
        <f t="shared" si="1240"/>
        <v>0</v>
      </c>
      <c r="FG66" s="2">
        <f t="shared" si="1240"/>
        <v>0</v>
      </c>
      <c r="FH66" s="2">
        <f t="shared" si="1240"/>
        <v>0</v>
      </c>
      <c r="FI66" s="2">
        <f t="shared" si="1240"/>
        <v>0</v>
      </c>
      <c r="FJ66" s="2">
        <f t="shared" si="1240"/>
        <v>0</v>
      </c>
      <c r="FK66" s="2">
        <f t="shared" ref="FK66:FO66" si="1241">CD66*$BT66+CY66*$CO66</f>
        <v>0</v>
      </c>
      <c r="FL66" s="2">
        <f t="shared" si="1241"/>
        <v>0</v>
      </c>
      <c r="FM66" s="2">
        <f t="shared" si="1241"/>
        <v>0</v>
      </c>
      <c r="FN66" s="2">
        <f t="shared" si="1241"/>
        <v>0</v>
      </c>
      <c r="FO66" s="2">
        <f t="shared" si="1241"/>
        <v>0</v>
      </c>
      <c r="FP66" s="2">
        <f t="shared" ref="FP66:FQ66" si="1242">(CI66*$BT66+DD66*$CO66)/100</f>
        <v>0</v>
      </c>
      <c r="FQ66" s="2">
        <f t="shared" si="1242"/>
        <v>0</v>
      </c>
      <c r="FR66" s="2"/>
      <c r="FS66" s="2">
        <f t="shared" si="24"/>
        <v>0</v>
      </c>
      <c r="FT66" s="2">
        <f t="shared" si="25"/>
        <v>0</v>
      </c>
      <c r="FU66" s="39">
        <f t="shared" si="26"/>
        <v>0</v>
      </c>
      <c r="FV66" s="39">
        <f t="shared" ref="FV66:FW66" si="1243">FV$1*FC66/1000000</f>
        <v>0</v>
      </c>
      <c r="FW66" s="39">
        <f t="shared" si="1243"/>
        <v>0</v>
      </c>
      <c r="FX66" s="39">
        <f t="shared" ref="FX66:GC66" si="1244">FX$1*FE66</f>
        <v>0</v>
      </c>
      <c r="FY66" s="39">
        <f t="shared" si="1244"/>
        <v>0</v>
      </c>
      <c r="FZ66" s="39">
        <f t="shared" si="1244"/>
        <v>0</v>
      </c>
      <c r="GA66" s="39">
        <f t="shared" si="1244"/>
        <v>0</v>
      </c>
      <c r="GB66" s="39">
        <f t="shared" si="1244"/>
        <v>0</v>
      </c>
      <c r="GC66" s="39">
        <f t="shared" si="1244"/>
        <v>0</v>
      </c>
      <c r="GD66" s="39">
        <f t="shared" ref="GD66:GH66" si="1245">GD$1*FK66/1000000</f>
        <v>0</v>
      </c>
      <c r="GE66" s="39">
        <f t="shared" si="1245"/>
        <v>0</v>
      </c>
      <c r="GF66" s="39">
        <f t="shared" si="1245"/>
        <v>0</v>
      </c>
      <c r="GG66" s="39">
        <f t="shared" si="1245"/>
        <v>0</v>
      </c>
      <c r="GH66" s="39">
        <f t="shared" si="1245"/>
        <v>0</v>
      </c>
      <c r="GI66" s="39">
        <f t="shared" ref="GI66:GJ66" si="1246">GI$1*FP66</f>
        <v>0</v>
      </c>
      <c r="GJ66" s="39">
        <f t="shared" si="1246"/>
        <v>0</v>
      </c>
      <c r="GK66" s="2"/>
      <c r="GL66" s="39">
        <f t="shared" si="31"/>
        <v>0</v>
      </c>
      <c r="GM66" s="39">
        <f t="shared" si="32"/>
        <v>0</v>
      </c>
      <c r="GN66" s="2" t="s">
        <v>3</v>
      </c>
      <c r="GO66" s="2">
        <f t="shared" si="33"/>
        <v>5.39</v>
      </c>
      <c r="GP66" s="4">
        <f t="shared" si="34"/>
        <v>0.96299999999999997</v>
      </c>
      <c r="GQ66" s="15">
        <f t="shared" si="35"/>
        <v>51.905699999999996</v>
      </c>
      <c r="GR66" s="15">
        <f t="shared" si="36"/>
        <v>1115.2514766623999</v>
      </c>
      <c r="GS66" s="15">
        <f t="shared" si="37"/>
        <v>206.91122016</v>
      </c>
      <c r="GT66" s="2">
        <f t="shared" si="38"/>
        <v>0</v>
      </c>
      <c r="GU66" s="2">
        <f t="shared" si="39"/>
        <v>0</v>
      </c>
      <c r="GV66" s="2">
        <f t="shared" si="40"/>
        <v>51.905699999999989</v>
      </c>
      <c r="GW66" s="2">
        <f t="shared" si="41"/>
        <v>0</v>
      </c>
      <c r="GX66" s="2"/>
      <c r="GY66" s="2"/>
      <c r="GZ66" s="2"/>
      <c r="HA66" s="2"/>
      <c r="HB66" s="2">
        <f t="shared" si="42"/>
        <v>0</v>
      </c>
      <c r="HC66" s="2">
        <f t="shared" si="43"/>
        <v>0</v>
      </c>
      <c r="HD66" s="2" t="s">
        <v>3</v>
      </c>
      <c r="HE66" s="2" t="s">
        <v>37</v>
      </c>
      <c r="HF66" s="2" t="s">
        <v>383</v>
      </c>
      <c r="HG66" s="2" t="s">
        <v>383</v>
      </c>
      <c r="HH66" s="2"/>
      <c r="HI66" s="2" t="s">
        <v>81</v>
      </c>
      <c r="HJ66" s="2" t="s">
        <v>3</v>
      </c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 t="s">
        <v>3</v>
      </c>
    </row>
    <row r="67" spans="1:268" ht="15.75" customHeight="1" x14ac:dyDescent="0.2">
      <c r="A67" s="13" t="s">
        <v>718</v>
      </c>
      <c r="B67" s="2" t="s">
        <v>99</v>
      </c>
      <c r="C67" s="2"/>
      <c r="D67" s="2"/>
      <c r="E67" s="2" t="s">
        <v>78</v>
      </c>
      <c r="F67" s="2" t="s">
        <v>719</v>
      </c>
      <c r="G67" s="2"/>
      <c r="H67" s="2" t="s">
        <v>242</v>
      </c>
      <c r="I67" s="2">
        <v>0</v>
      </c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>
        <v>0</v>
      </c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>
        <v>5.2</v>
      </c>
      <c r="AZ67" s="2"/>
      <c r="BA67" s="2"/>
      <c r="BB67" s="2"/>
      <c r="BC67" s="2"/>
      <c r="BD67" s="2"/>
      <c r="BE67" s="2"/>
      <c r="BF67" s="2"/>
      <c r="BG67" s="2">
        <v>0.8</v>
      </c>
      <c r="BH67" s="2">
        <v>0.08</v>
      </c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>
        <v>0</v>
      </c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>
        <v>0</v>
      </c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 t="s">
        <v>81</v>
      </c>
      <c r="DK67" s="2" t="s">
        <v>81</v>
      </c>
      <c r="DL67" s="2">
        <f t="shared" si="3"/>
        <v>0.8</v>
      </c>
      <c r="DM67" s="2">
        <f t="shared" si="4"/>
        <v>0.08</v>
      </c>
      <c r="DN67" s="2" t="s">
        <v>175</v>
      </c>
      <c r="DO67" s="2" t="s">
        <v>3</v>
      </c>
      <c r="DP67" s="2">
        <f t="shared" si="5"/>
        <v>0</v>
      </c>
      <c r="DQ67" s="2">
        <f t="shared" ref="DQ67:DR67" si="1247">K67*$I67+AF67*$AD67+BA67*$AY67</f>
        <v>0</v>
      </c>
      <c r="DR67" s="2">
        <f t="shared" si="1247"/>
        <v>0</v>
      </c>
      <c r="DS67" s="2">
        <f t="shared" ref="DS67:DX67" si="1248">(M67*$I67+AH67*$AD67+BC67*$AY67)/100</f>
        <v>0</v>
      </c>
      <c r="DT67" s="2">
        <f t="shared" si="1248"/>
        <v>0</v>
      </c>
      <c r="DU67" s="2">
        <f t="shared" si="1248"/>
        <v>0</v>
      </c>
      <c r="DV67" s="2">
        <f t="shared" si="1248"/>
        <v>0</v>
      </c>
      <c r="DW67" s="2">
        <f t="shared" si="1248"/>
        <v>4.1599999999999998E-2</v>
      </c>
      <c r="DX67" s="2">
        <f t="shared" si="1248"/>
        <v>4.1600000000000005E-3</v>
      </c>
      <c r="DY67" s="2">
        <f t="shared" ref="DY67:EC67" si="1249">S67*$I67+AN67*$AD67+BI67*$AY67</f>
        <v>0</v>
      </c>
      <c r="DZ67" s="2">
        <f t="shared" si="1249"/>
        <v>0</v>
      </c>
      <c r="EA67" s="2">
        <f t="shared" si="1249"/>
        <v>0</v>
      </c>
      <c r="EB67" s="2">
        <f t="shared" si="1249"/>
        <v>0</v>
      </c>
      <c r="EC67" s="2">
        <f t="shared" si="1249"/>
        <v>0</v>
      </c>
      <c r="ED67" s="2">
        <f t="shared" ref="ED67:EE67" si="1250">(X67*$I67+AS67*$AD67+BN67*$AY67)/100</f>
        <v>0</v>
      </c>
      <c r="EE67" s="2">
        <f t="shared" si="1250"/>
        <v>0</v>
      </c>
      <c r="EF67" s="2"/>
      <c r="EG67" s="2">
        <f t="shared" si="10"/>
        <v>0</v>
      </c>
      <c r="EH67" s="2">
        <f t="shared" si="11"/>
        <v>0</v>
      </c>
      <c r="EI67" s="39">
        <f t="shared" si="12"/>
        <v>0</v>
      </c>
      <c r="EJ67" s="39">
        <f t="shared" ref="EJ67:EK67" si="1251">EJ$1*DQ67/1000000</f>
        <v>0</v>
      </c>
      <c r="EK67" s="39">
        <f t="shared" si="1251"/>
        <v>0</v>
      </c>
      <c r="EL67" s="39">
        <f t="shared" ref="EL67:EQ67" si="1252">EL$1*DS67</f>
        <v>0</v>
      </c>
      <c r="EM67" s="39">
        <f t="shared" si="1252"/>
        <v>0</v>
      </c>
      <c r="EN67" s="39">
        <f t="shared" si="1252"/>
        <v>0</v>
      </c>
      <c r="EO67" s="39">
        <f t="shared" si="1252"/>
        <v>0</v>
      </c>
      <c r="EP67" s="39">
        <f t="shared" si="1252"/>
        <v>545.54239999999993</v>
      </c>
      <c r="EQ67" s="39">
        <f t="shared" si="1252"/>
        <v>302.09721983999998</v>
      </c>
      <c r="ER67" s="39">
        <f t="shared" ref="ER67:EV67" si="1253">ER$1*DY67/1000000</f>
        <v>0</v>
      </c>
      <c r="ES67" s="39">
        <f t="shared" si="1253"/>
        <v>0</v>
      </c>
      <c r="ET67" s="39">
        <f t="shared" si="1253"/>
        <v>0</v>
      </c>
      <c r="EU67" s="39">
        <f t="shared" si="1253"/>
        <v>0</v>
      </c>
      <c r="EV67" s="39">
        <f t="shared" si="1253"/>
        <v>0</v>
      </c>
      <c r="EW67" s="39">
        <f t="shared" ref="EW67:EX67" si="1254">EW$1*ED67</f>
        <v>0</v>
      </c>
      <c r="EX67" s="39">
        <f t="shared" si="1254"/>
        <v>0</v>
      </c>
      <c r="EY67" s="2"/>
      <c r="EZ67" s="39">
        <f t="shared" si="17"/>
        <v>0</v>
      </c>
      <c r="FA67" s="39">
        <f t="shared" si="18"/>
        <v>0</v>
      </c>
      <c r="FB67" s="2">
        <f t="shared" si="19"/>
        <v>0</v>
      </c>
      <c r="FC67" s="2">
        <f t="shared" ref="FC67:FD67" si="1255">BV67*$BT67+CQ67*$CO67</f>
        <v>0</v>
      </c>
      <c r="FD67" s="2">
        <f t="shared" si="1255"/>
        <v>0</v>
      </c>
      <c r="FE67" s="2">
        <f t="shared" ref="FE67:FJ67" si="1256">(BX67*$BT67+CS67*$CO67)/100</f>
        <v>0</v>
      </c>
      <c r="FF67" s="2">
        <f t="shared" si="1256"/>
        <v>0</v>
      </c>
      <c r="FG67" s="2">
        <f t="shared" si="1256"/>
        <v>0</v>
      </c>
      <c r="FH67" s="2">
        <f t="shared" si="1256"/>
        <v>0</v>
      </c>
      <c r="FI67" s="2">
        <f t="shared" si="1256"/>
        <v>0</v>
      </c>
      <c r="FJ67" s="2">
        <f t="shared" si="1256"/>
        <v>0</v>
      </c>
      <c r="FK67" s="2">
        <f t="shared" ref="FK67:FO67" si="1257">CD67*$BT67+CY67*$CO67</f>
        <v>0</v>
      </c>
      <c r="FL67" s="2">
        <f t="shared" si="1257"/>
        <v>0</v>
      </c>
      <c r="FM67" s="2">
        <f t="shared" si="1257"/>
        <v>0</v>
      </c>
      <c r="FN67" s="2">
        <f t="shared" si="1257"/>
        <v>0</v>
      </c>
      <c r="FO67" s="2">
        <f t="shared" si="1257"/>
        <v>0</v>
      </c>
      <c r="FP67" s="2">
        <f t="shared" ref="FP67:FQ67" si="1258">(CI67*$BT67+DD67*$CO67)/100</f>
        <v>0</v>
      </c>
      <c r="FQ67" s="2">
        <f t="shared" si="1258"/>
        <v>0</v>
      </c>
      <c r="FR67" s="2"/>
      <c r="FS67" s="2">
        <f t="shared" si="24"/>
        <v>0</v>
      </c>
      <c r="FT67" s="2">
        <f t="shared" si="25"/>
        <v>0</v>
      </c>
      <c r="FU67" s="39">
        <f t="shared" si="26"/>
        <v>0</v>
      </c>
      <c r="FV67" s="39">
        <f t="shared" ref="FV67:FW67" si="1259">FV$1*FC67/1000000</f>
        <v>0</v>
      </c>
      <c r="FW67" s="39">
        <f t="shared" si="1259"/>
        <v>0</v>
      </c>
      <c r="FX67" s="39">
        <f t="shared" ref="FX67:GC67" si="1260">FX$1*FE67</f>
        <v>0</v>
      </c>
      <c r="FY67" s="39">
        <f t="shared" si="1260"/>
        <v>0</v>
      </c>
      <c r="FZ67" s="39">
        <f t="shared" si="1260"/>
        <v>0</v>
      </c>
      <c r="GA67" s="39">
        <f t="shared" si="1260"/>
        <v>0</v>
      </c>
      <c r="GB67" s="39">
        <f t="shared" si="1260"/>
        <v>0</v>
      </c>
      <c r="GC67" s="39">
        <f t="shared" si="1260"/>
        <v>0</v>
      </c>
      <c r="GD67" s="39">
        <f t="shared" ref="GD67:GH67" si="1261">GD$1*FK67/1000000</f>
        <v>0</v>
      </c>
      <c r="GE67" s="39">
        <f t="shared" si="1261"/>
        <v>0</v>
      </c>
      <c r="GF67" s="39">
        <f t="shared" si="1261"/>
        <v>0</v>
      </c>
      <c r="GG67" s="39">
        <f t="shared" si="1261"/>
        <v>0</v>
      </c>
      <c r="GH67" s="39">
        <f t="shared" si="1261"/>
        <v>0</v>
      </c>
      <c r="GI67" s="39">
        <f t="shared" ref="GI67:GJ67" si="1262">GI$1*FP67</f>
        <v>0</v>
      </c>
      <c r="GJ67" s="39">
        <f t="shared" si="1262"/>
        <v>0</v>
      </c>
      <c r="GK67" s="2"/>
      <c r="GL67" s="39">
        <f t="shared" si="31"/>
        <v>0</v>
      </c>
      <c r="GM67" s="39">
        <f t="shared" si="32"/>
        <v>0</v>
      </c>
      <c r="GN67" s="2" t="s">
        <v>3</v>
      </c>
      <c r="GO67" s="2">
        <f t="shared" si="33"/>
        <v>5.2</v>
      </c>
      <c r="GP67" s="2">
        <f t="shared" si="34"/>
        <v>0.8</v>
      </c>
      <c r="GQ67" s="15">
        <f t="shared" si="35"/>
        <v>41.6</v>
      </c>
      <c r="GR67" s="15">
        <f t="shared" si="36"/>
        <v>847.63961983999991</v>
      </c>
      <c r="GS67" s="15">
        <f t="shared" si="37"/>
        <v>163.00761919999997</v>
      </c>
      <c r="GT67" s="2">
        <f t="shared" si="38"/>
        <v>0</v>
      </c>
      <c r="GU67" s="2">
        <f t="shared" si="39"/>
        <v>0</v>
      </c>
      <c r="GV67" s="2">
        <f t="shared" si="40"/>
        <v>41.6</v>
      </c>
      <c r="GW67" s="2">
        <f t="shared" si="41"/>
        <v>0</v>
      </c>
      <c r="GX67" s="2"/>
      <c r="GY67" s="2"/>
      <c r="GZ67" s="2"/>
      <c r="HA67" s="2"/>
      <c r="HB67" s="2">
        <f t="shared" si="42"/>
        <v>0</v>
      </c>
      <c r="HC67" s="2">
        <f t="shared" si="43"/>
        <v>0</v>
      </c>
      <c r="HD67" s="2" t="s">
        <v>3</v>
      </c>
      <c r="HE67" s="2" t="s">
        <v>37</v>
      </c>
      <c r="HF67" s="2" t="s">
        <v>383</v>
      </c>
      <c r="HG67" s="2" t="s">
        <v>383</v>
      </c>
      <c r="HH67" s="2"/>
      <c r="HI67" s="2" t="s">
        <v>81</v>
      </c>
      <c r="HJ67" s="2" t="s">
        <v>3</v>
      </c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 t="s">
        <v>3</v>
      </c>
    </row>
    <row r="68" spans="1:268" ht="15.75" customHeight="1" x14ac:dyDescent="0.2">
      <c r="A68" s="13" t="s">
        <v>858</v>
      </c>
      <c r="B68" s="2" t="s">
        <v>99</v>
      </c>
      <c r="C68" s="2"/>
      <c r="D68" s="2"/>
      <c r="E68" s="2" t="s">
        <v>78</v>
      </c>
      <c r="F68" s="2" t="s">
        <v>859</v>
      </c>
      <c r="G68" s="2"/>
      <c r="H68" s="2" t="s">
        <v>242</v>
      </c>
      <c r="I68" s="2">
        <v>0</v>
      </c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>
        <v>0.46</v>
      </c>
      <c r="AE68" s="2"/>
      <c r="AF68" s="2"/>
      <c r="AG68" s="2"/>
      <c r="AH68" s="2"/>
      <c r="AI68" s="2"/>
      <c r="AJ68" s="2"/>
      <c r="AK68" s="2"/>
      <c r="AL68" s="2">
        <v>1.1200000000000001</v>
      </c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>
        <v>0.37</v>
      </c>
      <c r="AZ68" s="2"/>
      <c r="BA68" s="2"/>
      <c r="BB68" s="2"/>
      <c r="BC68" s="2"/>
      <c r="BD68" s="2"/>
      <c r="BE68" s="2"/>
      <c r="BF68" s="2"/>
      <c r="BG68" s="2">
        <v>1.1499999999999999</v>
      </c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>
        <v>0</v>
      </c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>
        <v>0</v>
      </c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 t="s">
        <v>81</v>
      </c>
      <c r="DK68" s="2"/>
      <c r="DL68" s="2">
        <f t="shared" si="3"/>
        <v>1.1333734939759037</v>
      </c>
      <c r="DM68" s="2">
        <f t="shared" si="4"/>
        <v>0</v>
      </c>
      <c r="DN68" s="2" t="s">
        <v>175</v>
      </c>
      <c r="DO68" s="2" t="s">
        <v>3</v>
      </c>
      <c r="DP68" s="2">
        <f t="shared" si="5"/>
        <v>0</v>
      </c>
      <c r="DQ68" s="2">
        <f t="shared" ref="DQ68:DR68" si="1263">K68*$I68+AF68*$AD68+BA68*$AY68</f>
        <v>0</v>
      </c>
      <c r="DR68" s="2">
        <f t="shared" si="1263"/>
        <v>0</v>
      </c>
      <c r="DS68" s="2">
        <f t="shared" ref="DS68:DX68" si="1264">(M68*$I68+AH68*$AD68+BC68*$AY68)/100</f>
        <v>0</v>
      </c>
      <c r="DT68" s="2">
        <f t="shared" si="1264"/>
        <v>0</v>
      </c>
      <c r="DU68" s="2">
        <f t="shared" si="1264"/>
        <v>0</v>
      </c>
      <c r="DV68" s="2">
        <f t="shared" si="1264"/>
        <v>0</v>
      </c>
      <c r="DW68" s="2">
        <f t="shared" si="1264"/>
        <v>9.4070000000000004E-3</v>
      </c>
      <c r="DX68" s="2">
        <f t="shared" si="1264"/>
        <v>0</v>
      </c>
      <c r="DY68" s="2">
        <f t="shared" ref="DY68:EC68" si="1265">S68*$I68+AN68*$AD68+BI68*$AY68</f>
        <v>0</v>
      </c>
      <c r="DZ68" s="2">
        <f t="shared" si="1265"/>
        <v>0</v>
      </c>
      <c r="EA68" s="2">
        <f t="shared" si="1265"/>
        <v>0</v>
      </c>
      <c r="EB68" s="2">
        <f t="shared" si="1265"/>
        <v>0</v>
      </c>
      <c r="EC68" s="2">
        <f t="shared" si="1265"/>
        <v>0</v>
      </c>
      <c r="ED68" s="2">
        <f t="shared" ref="ED68:EE68" si="1266">(X68*$I68+AS68*$AD68+BN68*$AY68)/100</f>
        <v>0</v>
      </c>
      <c r="EE68" s="2">
        <f t="shared" si="1266"/>
        <v>0</v>
      </c>
      <c r="EF68" s="2"/>
      <c r="EG68" s="2">
        <f t="shared" si="10"/>
        <v>0</v>
      </c>
      <c r="EH68" s="2">
        <f t="shared" si="11"/>
        <v>0</v>
      </c>
      <c r="EI68" s="39">
        <f t="shared" si="12"/>
        <v>0</v>
      </c>
      <c r="EJ68" s="39">
        <f t="shared" ref="EJ68:EK68" si="1267">EJ$1*DQ68/1000000</f>
        <v>0</v>
      </c>
      <c r="EK68" s="39">
        <f t="shared" si="1267"/>
        <v>0</v>
      </c>
      <c r="EL68" s="39">
        <f t="shared" ref="EL68:EQ68" si="1268">EL$1*DS68</f>
        <v>0</v>
      </c>
      <c r="EM68" s="39">
        <f t="shared" si="1268"/>
        <v>0</v>
      </c>
      <c r="EN68" s="39">
        <f t="shared" si="1268"/>
        <v>0</v>
      </c>
      <c r="EO68" s="39">
        <f t="shared" si="1268"/>
        <v>0</v>
      </c>
      <c r="EP68" s="39">
        <f t="shared" si="1268"/>
        <v>123.363398</v>
      </c>
      <c r="EQ68" s="39">
        <f t="shared" si="1268"/>
        <v>0</v>
      </c>
      <c r="ER68" s="39">
        <f t="shared" ref="ER68:EV68" si="1269">ER$1*DY68/1000000</f>
        <v>0</v>
      </c>
      <c r="ES68" s="39">
        <f t="shared" si="1269"/>
        <v>0</v>
      </c>
      <c r="ET68" s="39">
        <f t="shared" si="1269"/>
        <v>0</v>
      </c>
      <c r="EU68" s="39">
        <f t="shared" si="1269"/>
        <v>0</v>
      </c>
      <c r="EV68" s="39">
        <f t="shared" si="1269"/>
        <v>0</v>
      </c>
      <c r="EW68" s="39">
        <f t="shared" ref="EW68:EX68" si="1270">EW$1*ED68</f>
        <v>0</v>
      </c>
      <c r="EX68" s="39">
        <f t="shared" si="1270"/>
        <v>0</v>
      </c>
      <c r="EY68" s="2"/>
      <c r="EZ68" s="39">
        <f t="shared" si="17"/>
        <v>0</v>
      </c>
      <c r="FA68" s="39">
        <f t="shared" si="18"/>
        <v>0</v>
      </c>
      <c r="FB68" s="2">
        <f t="shared" si="19"/>
        <v>0</v>
      </c>
      <c r="FC68" s="2">
        <f t="shared" ref="FC68:FD68" si="1271">BV68*$BT68+CQ68*$CO68</f>
        <v>0</v>
      </c>
      <c r="FD68" s="2">
        <f t="shared" si="1271"/>
        <v>0</v>
      </c>
      <c r="FE68" s="2">
        <f t="shared" ref="FE68:FJ68" si="1272">(BX68*$BT68+CS68*$CO68)/100</f>
        <v>0</v>
      </c>
      <c r="FF68" s="2">
        <f t="shared" si="1272"/>
        <v>0</v>
      </c>
      <c r="FG68" s="2">
        <f t="shared" si="1272"/>
        <v>0</v>
      </c>
      <c r="FH68" s="2">
        <f t="shared" si="1272"/>
        <v>0</v>
      </c>
      <c r="FI68" s="2">
        <f t="shared" si="1272"/>
        <v>0</v>
      </c>
      <c r="FJ68" s="2">
        <f t="shared" si="1272"/>
        <v>0</v>
      </c>
      <c r="FK68" s="2">
        <f t="shared" ref="FK68:FO68" si="1273">CD68*$BT68+CY68*$CO68</f>
        <v>0</v>
      </c>
      <c r="FL68" s="2">
        <f t="shared" si="1273"/>
        <v>0</v>
      </c>
      <c r="FM68" s="2">
        <f t="shared" si="1273"/>
        <v>0</v>
      </c>
      <c r="FN68" s="2">
        <f t="shared" si="1273"/>
        <v>0</v>
      </c>
      <c r="FO68" s="2">
        <f t="shared" si="1273"/>
        <v>0</v>
      </c>
      <c r="FP68" s="2">
        <f t="shared" ref="FP68:FQ68" si="1274">(CI68*$BT68+DD68*$CO68)/100</f>
        <v>0</v>
      </c>
      <c r="FQ68" s="2">
        <f t="shared" si="1274"/>
        <v>0</v>
      </c>
      <c r="FR68" s="2"/>
      <c r="FS68" s="2">
        <f t="shared" si="24"/>
        <v>0</v>
      </c>
      <c r="FT68" s="2">
        <f t="shared" si="25"/>
        <v>0</v>
      </c>
      <c r="FU68" s="39">
        <f t="shared" si="26"/>
        <v>0</v>
      </c>
      <c r="FV68" s="39">
        <f t="shared" ref="FV68:FW68" si="1275">FV$1*FC68/1000000</f>
        <v>0</v>
      </c>
      <c r="FW68" s="39">
        <f t="shared" si="1275"/>
        <v>0</v>
      </c>
      <c r="FX68" s="39">
        <f t="shared" ref="FX68:GC68" si="1276">FX$1*FE68</f>
        <v>0</v>
      </c>
      <c r="FY68" s="39">
        <f t="shared" si="1276"/>
        <v>0</v>
      </c>
      <c r="FZ68" s="39">
        <f t="shared" si="1276"/>
        <v>0</v>
      </c>
      <c r="GA68" s="39">
        <f t="shared" si="1276"/>
        <v>0</v>
      </c>
      <c r="GB68" s="39">
        <f t="shared" si="1276"/>
        <v>0</v>
      </c>
      <c r="GC68" s="39">
        <f t="shared" si="1276"/>
        <v>0</v>
      </c>
      <c r="GD68" s="39">
        <f t="shared" ref="GD68:GH68" si="1277">GD$1*FK68/1000000</f>
        <v>0</v>
      </c>
      <c r="GE68" s="39">
        <f t="shared" si="1277"/>
        <v>0</v>
      </c>
      <c r="GF68" s="39">
        <f t="shared" si="1277"/>
        <v>0</v>
      </c>
      <c r="GG68" s="39">
        <f t="shared" si="1277"/>
        <v>0</v>
      </c>
      <c r="GH68" s="39">
        <f t="shared" si="1277"/>
        <v>0</v>
      </c>
      <c r="GI68" s="39">
        <f t="shared" ref="GI68:GJ68" si="1278">GI$1*FP68</f>
        <v>0</v>
      </c>
      <c r="GJ68" s="39">
        <f t="shared" si="1278"/>
        <v>0</v>
      </c>
      <c r="GK68" s="2"/>
      <c r="GL68" s="39">
        <f t="shared" si="31"/>
        <v>0</v>
      </c>
      <c r="GM68" s="39">
        <f t="shared" si="32"/>
        <v>0</v>
      </c>
      <c r="GN68" s="2" t="s">
        <v>3</v>
      </c>
      <c r="GO68" s="2">
        <f t="shared" si="33"/>
        <v>0.83000000000000007</v>
      </c>
      <c r="GP68" s="4">
        <f t="shared" si="34"/>
        <v>1.1333734939759037</v>
      </c>
      <c r="GQ68" s="15">
        <f t="shared" si="35"/>
        <v>9.4070000000000018</v>
      </c>
      <c r="GR68" s="15">
        <f t="shared" si="36"/>
        <v>123.363398</v>
      </c>
      <c r="GS68" s="15">
        <f t="shared" si="37"/>
        <v>148.63059999999999</v>
      </c>
      <c r="GT68" s="2">
        <f t="shared" si="38"/>
        <v>0</v>
      </c>
      <c r="GU68" s="2">
        <f t="shared" si="39"/>
        <v>5.1520000000000001</v>
      </c>
      <c r="GV68" s="2">
        <f t="shared" si="40"/>
        <v>4.2549999999999999</v>
      </c>
      <c r="GW68" s="2">
        <f t="shared" si="41"/>
        <v>0</v>
      </c>
      <c r="GX68" s="2"/>
      <c r="GY68" s="2"/>
      <c r="GZ68" s="2"/>
      <c r="HA68" s="2"/>
      <c r="HB68" s="2">
        <f t="shared" si="42"/>
        <v>0</v>
      </c>
      <c r="HC68" s="2">
        <f t="shared" si="43"/>
        <v>0</v>
      </c>
      <c r="HD68" s="2" t="s">
        <v>3</v>
      </c>
      <c r="HE68" s="2" t="s">
        <v>37</v>
      </c>
      <c r="HF68" s="2" t="s">
        <v>383</v>
      </c>
      <c r="HG68" s="2" t="s">
        <v>383</v>
      </c>
      <c r="HH68" s="2"/>
      <c r="HI68" s="2" t="s">
        <v>81</v>
      </c>
      <c r="HJ68" s="2" t="s">
        <v>3</v>
      </c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 t="s">
        <v>3</v>
      </c>
    </row>
    <row r="69" spans="1:268" ht="15.75" customHeight="1" x14ac:dyDescent="0.2">
      <c r="A69" s="13" t="s">
        <v>1000</v>
      </c>
      <c r="B69" s="2" t="s">
        <v>99</v>
      </c>
      <c r="C69" s="2"/>
      <c r="D69" s="2"/>
      <c r="E69" s="2"/>
      <c r="F69" s="2" t="s">
        <v>1001</v>
      </c>
      <c r="G69" s="2"/>
      <c r="H69" s="2"/>
      <c r="I69" s="2">
        <v>52.887</v>
      </c>
      <c r="J69" s="2"/>
      <c r="K69" s="2"/>
      <c r="L69" s="2"/>
      <c r="M69" s="2"/>
      <c r="N69" s="2"/>
      <c r="O69" s="2"/>
      <c r="P69" s="2"/>
      <c r="Q69" s="2">
        <v>1.03</v>
      </c>
      <c r="R69" s="2">
        <v>4.8000000000000001E-2</v>
      </c>
      <c r="S69" s="2"/>
      <c r="T69" s="2"/>
      <c r="U69" s="2"/>
      <c r="V69" s="2"/>
      <c r="W69" s="2"/>
      <c r="X69" s="2">
        <v>0.69</v>
      </c>
      <c r="Y69" s="4">
        <f>17.84*(2*55.85/(2*55.85+3*16.001))</f>
        <v>12.477711752440467</v>
      </c>
      <c r="Z69" s="2"/>
      <c r="AA69" s="2"/>
      <c r="AB69" s="2"/>
      <c r="AC69" s="2"/>
      <c r="AD69" s="2">
        <v>19.324000000000002</v>
      </c>
      <c r="AE69" s="2"/>
      <c r="AF69" s="2"/>
      <c r="AG69" s="2"/>
      <c r="AH69" s="2"/>
      <c r="AI69" s="2"/>
      <c r="AJ69" s="2"/>
      <c r="AK69" s="2"/>
      <c r="AL69" s="2">
        <v>0.92</v>
      </c>
      <c r="AM69" s="2">
        <v>4.8000000000000001E-2</v>
      </c>
      <c r="AN69" s="2"/>
      <c r="AO69" s="2"/>
      <c r="AP69" s="2"/>
      <c r="AQ69" s="2"/>
      <c r="AR69" s="2"/>
      <c r="AS69" s="2">
        <v>0.84</v>
      </c>
      <c r="AT69" s="4">
        <f>18.26*(2*55.85/(2*55.85+3*16.001))</f>
        <v>12.771469540334246</v>
      </c>
      <c r="AU69" s="2"/>
      <c r="AV69" s="2"/>
      <c r="AW69" s="2"/>
      <c r="AX69" s="2"/>
      <c r="AY69" s="2">
        <v>0</v>
      </c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>
        <v>0</v>
      </c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>
        <v>0</v>
      </c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 t="s">
        <v>81</v>
      </c>
      <c r="DK69" s="2" t="s">
        <v>81</v>
      </c>
      <c r="DL69" s="2">
        <f t="shared" si="3"/>
        <v>1.0005634875572973</v>
      </c>
      <c r="DM69" s="2">
        <f t="shared" si="4"/>
        <v>4.8000000000000001E-2</v>
      </c>
      <c r="DN69" s="2" t="s">
        <v>1002</v>
      </c>
      <c r="DO69" s="2" t="s">
        <v>3</v>
      </c>
      <c r="DP69" s="2">
        <f t="shared" si="5"/>
        <v>0</v>
      </c>
      <c r="DQ69" s="2">
        <f t="shared" ref="DQ69:DR69" si="1279">K69*$I69+AF69*$AD69+BA69*$AY69</f>
        <v>0</v>
      </c>
      <c r="DR69" s="2">
        <f t="shared" si="1279"/>
        <v>0</v>
      </c>
      <c r="DS69" s="2">
        <f t="shared" ref="DS69:DX69" si="1280">(M69*$I69+AH69*$AD69+BC69*$AY69)/100</f>
        <v>0</v>
      </c>
      <c r="DT69" s="2">
        <f t="shared" si="1280"/>
        <v>0</v>
      </c>
      <c r="DU69" s="2">
        <f t="shared" si="1280"/>
        <v>0</v>
      </c>
      <c r="DV69" s="2">
        <f t="shared" si="1280"/>
        <v>0</v>
      </c>
      <c r="DW69" s="2">
        <f t="shared" si="1280"/>
        <v>0.72251690000000002</v>
      </c>
      <c r="DX69" s="2">
        <f t="shared" si="1280"/>
        <v>3.4661279999999996E-2</v>
      </c>
      <c r="DY69" s="2">
        <f t="shared" ref="DY69:EC69" si="1281">S69*$I69+AN69*$AD69+BI69*$AY69</f>
        <v>0</v>
      </c>
      <c r="DZ69" s="2">
        <f t="shared" si="1281"/>
        <v>0</v>
      </c>
      <c r="EA69" s="2">
        <f t="shared" si="1281"/>
        <v>0</v>
      </c>
      <c r="EB69" s="2">
        <f t="shared" si="1281"/>
        <v>0</v>
      </c>
      <c r="EC69" s="2">
        <f t="shared" si="1281"/>
        <v>0</v>
      </c>
      <c r="ED69" s="2">
        <f t="shared" ref="ED69:EE69" si="1282">(X69*$I69+AS69*$AD69+BN69*$AY69)/100</f>
        <v>0.52724190000000004</v>
      </c>
      <c r="EE69" s="2">
        <f t="shared" si="1282"/>
        <v>9.0670461884873799</v>
      </c>
      <c r="EF69" s="2"/>
      <c r="EG69" s="2">
        <f t="shared" si="10"/>
        <v>0</v>
      </c>
      <c r="EH69" s="2">
        <f t="shared" si="11"/>
        <v>0</v>
      </c>
      <c r="EI69" s="39">
        <f t="shared" si="12"/>
        <v>0</v>
      </c>
      <c r="EJ69" s="39">
        <f t="shared" ref="EJ69:EK69" si="1283">EJ$1*DQ69/1000000</f>
        <v>0</v>
      </c>
      <c r="EK69" s="39">
        <f t="shared" si="1283"/>
        <v>0</v>
      </c>
      <c r="EL69" s="39">
        <f t="shared" ref="EL69:EQ69" si="1284">EL$1*DS69</f>
        <v>0</v>
      </c>
      <c r="EM69" s="39">
        <f t="shared" si="1284"/>
        <v>0</v>
      </c>
      <c r="EN69" s="39">
        <f t="shared" si="1284"/>
        <v>0</v>
      </c>
      <c r="EO69" s="39">
        <f t="shared" si="1284"/>
        <v>0</v>
      </c>
      <c r="EP69" s="39">
        <f t="shared" si="1284"/>
        <v>9475.0866265999994</v>
      </c>
      <c r="EQ69" s="39">
        <f t="shared" si="1284"/>
        <v>2517.0856548307192</v>
      </c>
      <c r="ER69" s="39">
        <f t="shared" ref="ER69:EV69" si="1285">ER$1*DY69/1000000</f>
        <v>0</v>
      </c>
      <c r="ES69" s="39">
        <f t="shared" si="1285"/>
        <v>0</v>
      </c>
      <c r="ET69" s="39">
        <f t="shared" si="1285"/>
        <v>0</v>
      </c>
      <c r="EU69" s="39">
        <f t="shared" si="1285"/>
        <v>0</v>
      </c>
      <c r="EV69" s="39">
        <f t="shared" si="1285"/>
        <v>0</v>
      </c>
      <c r="EW69" s="39">
        <f t="shared" ref="EW69:EX69" si="1286">EW$1*ED69</f>
        <v>147.1004901</v>
      </c>
      <c r="EX69" s="39">
        <f t="shared" si="1286"/>
        <v>843.23529552932632</v>
      </c>
      <c r="EY69" s="2"/>
      <c r="EZ69" s="39">
        <f t="shared" si="17"/>
        <v>0</v>
      </c>
      <c r="FA69" s="39">
        <f t="shared" si="18"/>
        <v>0</v>
      </c>
      <c r="FB69" s="2">
        <f t="shared" si="19"/>
        <v>0</v>
      </c>
      <c r="FC69" s="2">
        <f t="shared" ref="FC69:FD69" si="1287">BV69*$BT69+CQ69*$CO69</f>
        <v>0</v>
      </c>
      <c r="FD69" s="2">
        <f t="shared" si="1287"/>
        <v>0</v>
      </c>
      <c r="FE69" s="2">
        <f t="shared" ref="FE69:FJ69" si="1288">(BX69*$BT69+CS69*$CO69)/100</f>
        <v>0</v>
      </c>
      <c r="FF69" s="2">
        <f t="shared" si="1288"/>
        <v>0</v>
      </c>
      <c r="FG69" s="2">
        <f t="shared" si="1288"/>
        <v>0</v>
      </c>
      <c r="FH69" s="2">
        <f t="shared" si="1288"/>
        <v>0</v>
      </c>
      <c r="FI69" s="2">
        <f t="shared" si="1288"/>
        <v>0</v>
      </c>
      <c r="FJ69" s="2">
        <f t="shared" si="1288"/>
        <v>0</v>
      </c>
      <c r="FK69" s="2">
        <f t="shared" ref="FK69:FO69" si="1289">CD69*$BT69+CY69*$CO69</f>
        <v>0</v>
      </c>
      <c r="FL69" s="2">
        <f t="shared" si="1289"/>
        <v>0</v>
      </c>
      <c r="FM69" s="2">
        <f t="shared" si="1289"/>
        <v>0</v>
      </c>
      <c r="FN69" s="2">
        <f t="shared" si="1289"/>
        <v>0</v>
      </c>
      <c r="FO69" s="2">
        <f t="shared" si="1289"/>
        <v>0</v>
      </c>
      <c r="FP69" s="2">
        <f t="shared" ref="FP69:FQ69" si="1290">(CI69*$BT69+DD69*$CO69)/100</f>
        <v>0</v>
      </c>
      <c r="FQ69" s="2">
        <f t="shared" si="1290"/>
        <v>0</v>
      </c>
      <c r="FR69" s="2"/>
      <c r="FS69" s="2">
        <f t="shared" si="24"/>
        <v>0</v>
      </c>
      <c r="FT69" s="2">
        <f t="shared" si="25"/>
        <v>0</v>
      </c>
      <c r="FU69" s="39">
        <f t="shared" si="26"/>
        <v>0</v>
      </c>
      <c r="FV69" s="39">
        <f t="shared" ref="FV69:FW69" si="1291">FV$1*FC69/1000000</f>
        <v>0</v>
      </c>
      <c r="FW69" s="39">
        <f t="shared" si="1291"/>
        <v>0</v>
      </c>
      <c r="FX69" s="39">
        <f t="shared" ref="FX69:GC69" si="1292">FX$1*FE69</f>
        <v>0</v>
      </c>
      <c r="FY69" s="39">
        <f t="shared" si="1292"/>
        <v>0</v>
      </c>
      <c r="FZ69" s="39">
        <f t="shared" si="1292"/>
        <v>0</v>
      </c>
      <c r="GA69" s="39">
        <f t="shared" si="1292"/>
        <v>0</v>
      </c>
      <c r="GB69" s="39">
        <f t="shared" si="1292"/>
        <v>0</v>
      </c>
      <c r="GC69" s="39">
        <f t="shared" si="1292"/>
        <v>0</v>
      </c>
      <c r="GD69" s="39">
        <f t="shared" ref="GD69:GH69" si="1293">GD$1*FK69/1000000</f>
        <v>0</v>
      </c>
      <c r="GE69" s="39">
        <f t="shared" si="1293"/>
        <v>0</v>
      </c>
      <c r="GF69" s="39">
        <f t="shared" si="1293"/>
        <v>0</v>
      </c>
      <c r="GG69" s="39">
        <f t="shared" si="1293"/>
        <v>0</v>
      </c>
      <c r="GH69" s="39">
        <f t="shared" si="1293"/>
        <v>0</v>
      </c>
      <c r="GI69" s="39">
        <f t="shared" ref="GI69:GJ69" si="1294">GI$1*FP69</f>
        <v>0</v>
      </c>
      <c r="GJ69" s="39">
        <f t="shared" si="1294"/>
        <v>0</v>
      </c>
      <c r="GK69" s="2"/>
      <c r="GL69" s="39">
        <f t="shared" si="31"/>
        <v>0</v>
      </c>
      <c r="GM69" s="39">
        <f t="shared" si="32"/>
        <v>0</v>
      </c>
      <c r="GN69" s="2" t="s">
        <v>3</v>
      </c>
      <c r="GO69" s="4">
        <f t="shared" si="33"/>
        <v>72.210999999999999</v>
      </c>
      <c r="GP69" s="4">
        <f t="shared" si="34"/>
        <v>1.0005634875572973</v>
      </c>
      <c r="GQ69" s="15">
        <f t="shared" si="35"/>
        <v>722.51689999999985</v>
      </c>
      <c r="GR69" s="15">
        <f t="shared" si="36"/>
        <v>12982.508067060044</v>
      </c>
      <c r="GS69" s="15">
        <f t="shared" si="37"/>
        <v>179.78573994349952</v>
      </c>
      <c r="GT69" s="2">
        <f t="shared" si="38"/>
        <v>544.73609999999996</v>
      </c>
      <c r="GU69" s="2">
        <f t="shared" si="39"/>
        <v>177.78080000000003</v>
      </c>
      <c r="GV69" s="2">
        <f t="shared" si="40"/>
        <v>0</v>
      </c>
      <c r="GW69" s="2">
        <f t="shared" si="41"/>
        <v>0</v>
      </c>
      <c r="GX69" s="2"/>
      <c r="GY69" s="2"/>
      <c r="GZ69" s="2"/>
      <c r="HA69" s="2"/>
      <c r="HB69" s="2">
        <f t="shared" si="42"/>
        <v>0</v>
      </c>
      <c r="HC69" s="2">
        <f t="shared" si="43"/>
        <v>0</v>
      </c>
      <c r="HD69" s="2" t="s">
        <v>3</v>
      </c>
      <c r="HE69" s="2" t="s">
        <v>37</v>
      </c>
      <c r="HF69" s="2" t="s">
        <v>342</v>
      </c>
      <c r="HG69" s="2" t="s">
        <v>342</v>
      </c>
      <c r="HH69" s="2"/>
      <c r="HI69" s="2" t="s">
        <v>81</v>
      </c>
      <c r="HJ69" s="2" t="s">
        <v>3</v>
      </c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 t="s">
        <v>3</v>
      </c>
    </row>
    <row r="70" spans="1:268" ht="15.75" customHeight="1" x14ac:dyDescent="0.2">
      <c r="A70" s="13" t="s">
        <v>794</v>
      </c>
      <c r="B70" s="2" t="s">
        <v>99</v>
      </c>
      <c r="C70" s="2"/>
      <c r="D70" s="2"/>
      <c r="E70" s="2" t="s">
        <v>78</v>
      </c>
      <c r="F70" s="2" t="s">
        <v>795</v>
      </c>
      <c r="G70" s="2"/>
      <c r="H70" s="2" t="s">
        <v>242</v>
      </c>
      <c r="I70" s="2">
        <v>11.68</v>
      </c>
      <c r="J70" s="2"/>
      <c r="K70" s="2"/>
      <c r="L70" s="2"/>
      <c r="M70" s="2"/>
      <c r="N70" s="2"/>
      <c r="O70" s="2"/>
      <c r="P70" s="2"/>
      <c r="Q70" s="2">
        <v>0.99</v>
      </c>
      <c r="R70" s="2">
        <v>0.06</v>
      </c>
      <c r="S70" s="2"/>
      <c r="T70" s="2"/>
      <c r="U70" s="2"/>
      <c r="V70" s="2"/>
      <c r="W70" s="2"/>
      <c r="X70" s="2"/>
      <c r="Y70" s="2">
        <v>11.4</v>
      </c>
      <c r="Z70" s="2"/>
      <c r="AA70" s="2"/>
      <c r="AB70" s="2"/>
      <c r="AC70" s="2"/>
      <c r="AD70" s="2">
        <v>42.96</v>
      </c>
      <c r="AE70" s="2"/>
      <c r="AF70" s="2"/>
      <c r="AG70" s="2"/>
      <c r="AH70" s="2"/>
      <c r="AI70" s="2"/>
      <c r="AJ70" s="2"/>
      <c r="AK70" s="2"/>
      <c r="AL70" s="2">
        <v>0.91</v>
      </c>
      <c r="AM70" s="2">
        <v>0.06</v>
      </c>
      <c r="AN70" s="2"/>
      <c r="AO70" s="2"/>
      <c r="AP70" s="2"/>
      <c r="AQ70" s="2"/>
      <c r="AR70" s="2"/>
      <c r="AS70" s="2"/>
      <c r="AT70" s="2">
        <v>11.9</v>
      </c>
      <c r="AU70" s="2"/>
      <c r="AV70" s="2"/>
      <c r="AW70" s="2"/>
      <c r="AX70" s="2"/>
      <c r="AY70" s="2">
        <v>16.260000000000002</v>
      </c>
      <c r="AZ70" s="2"/>
      <c r="BA70" s="2"/>
      <c r="BB70" s="2"/>
      <c r="BC70" s="2"/>
      <c r="BD70" s="2"/>
      <c r="BE70" s="2"/>
      <c r="BF70" s="2"/>
      <c r="BG70" s="2">
        <v>0.88</v>
      </c>
      <c r="BH70" s="2">
        <v>0.06</v>
      </c>
      <c r="BI70" s="2"/>
      <c r="BJ70" s="2"/>
      <c r="BK70" s="2"/>
      <c r="BL70" s="2"/>
      <c r="BM70" s="2"/>
      <c r="BN70" s="2"/>
      <c r="BO70" s="2">
        <v>11.8</v>
      </c>
      <c r="BP70" s="2"/>
      <c r="BQ70" s="2"/>
      <c r="BR70" s="2"/>
      <c r="BS70" s="2"/>
      <c r="BT70" s="2">
        <v>0</v>
      </c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>
        <v>0</v>
      </c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 t="s">
        <v>81</v>
      </c>
      <c r="DK70" s="2" t="s">
        <v>81</v>
      </c>
      <c r="DL70" s="2">
        <f t="shared" si="3"/>
        <v>0.91629901269393521</v>
      </c>
      <c r="DM70" s="2">
        <f t="shared" si="4"/>
        <v>5.9999999999999991E-2</v>
      </c>
      <c r="DN70" s="2" t="s">
        <v>796</v>
      </c>
      <c r="DO70" s="2" t="s">
        <v>3</v>
      </c>
      <c r="DP70" s="2">
        <f t="shared" si="5"/>
        <v>0</v>
      </c>
      <c r="DQ70" s="2">
        <f t="shared" ref="DQ70:DR70" si="1295">K70*$I70+AF70*$AD70+BA70*$AY70</f>
        <v>0</v>
      </c>
      <c r="DR70" s="2">
        <f t="shared" si="1295"/>
        <v>0</v>
      </c>
      <c r="DS70" s="2">
        <f t="shared" ref="DS70:DX70" si="1296">(M70*$I70+AH70*$AD70+BC70*$AY70)/100</f>
        <v>0</v>
      </c>
      <c r="DT70" s="2">
        <f t="shared" si="1296"/>
        <v>0</v>
      </c>
      <c r="DU70" s="2">
        <f t="shared" si="1296"/>
        <v>0</v>
      </c>
      <c r="DV70" s="2">
        <f t="shared" si="1296"/>
        <v>0</v>
      </c>
      <c r="DW70" s="2">
        <f t="shared" si="1296"/>
        <v>0.64965600000000012</v>
      </c>
      <c r="DX70" s="2">
        <f t="shared" si="1296"/>
        <v>4.2539999999999994E-2</v>
      </c>
      <c r="DY70" s="2">
        <f t="shared" ref="DY70:EC70" si="1297">S70*$I70+AN70*$AD70+BI70*$AY70</f>
        <v>0</v>
      </c>
      <c r="DZ70" s="2">
        <f t="shared" si="1297"/>
        <v>0</v>
      </c>
      <c r="EA70" s="2">
        <f t="shared" si="1297"/>
        <v>0</v>
      </c>
      <c r="EB70" s="2">
        <f t="shared" si="1297"/>
        <v>0</v>
      </c>
      <c r="EC70" s="2">
        <f t="shared" si="1297"/>
        <v>0</v>
      </c>
      <c r="ED70" s="2">
        <f t="shared" ref="ED70:EE70" si="1298">(X70*$I70+AS70*$AD70+BN70*$AY70)/100</f>
        <v>0</v>
      </c>
      <c r="EE70" s="2">
        <f t="shared" si="1298"/>
        <v>8.3624399999999994</v>
      </c>
      <c r="EF70" s="2"/>
      <c r="EG70" s="2">
        <f t="shared" si="10"/>
        <v>0</v>
      </c>
      <c r="EH70" s="2">
        <f t="shared" si="11"/>
        <v>0</v>
      </c>
      <c r="EI70" s="39">
        <f t="shared" si="12"/>
        <v>0</v>
      </c>
      <c r="EJ70" s="39">
        <f t="shared" ref="EJ70:EK70" si="1299">EJ$1*DQ70/1000000</f>
        <v>0</v>
      </c>
      <c r="EK70" s="39">
        <f t="shared" si="1299"/>
        <v>0</v>
      </c>
      <c r="EL70" s="39">
        <f t="shared" ref="EL70:EQ70" si="1300">EL$1*DS70</f>
        <v>0</v>
      </c>
      <c r="EM70" s="39">
        <f t="shared" si="1300"/>
        <v>0</v>
      </c>
      <c r="EN70" s="39">
        <f t="shared" si="1300"/>
        <v>0</v>
      </c>
      <c r="EO70" s="39">
        <f t="shared" si="1300"/>
        <v>0</v>
      </c>
      <c r="EP70" s="39">
        <f t="shared" si="1300"/>
        <v>8519.5887840000014</v>
      </c>
      <c r="EQ70" s="39">
        <f t="shared" si="1300"/>
        <v>3089.2345509599991</v>
      </c>
      <c r="ER70" s="39">
        <f t="shared" ref="ER70:EV70" si="1301">ER$1*DY70/1000000</f>
        <v>0</v>
      </c>
      <c r="ES70" s="39">
        <f t="shared" si="1301"/>
        <v>0</v>
      </c>
      <c r="ET70" s="39">
        <f t="shared" si="1301"/>
        <v>0</v>
      </c>
      <c r="EU70" s="39">
        <f t="shared" si="1301"/>
        <v>0</v>
      </c>
      <c r="EV70" s="39">
        <f t="shared" si="1301"/>
        <v>0</v>
      </c>
      <c r="EW70" s="39">
        <f t="shared" ref="EW70:EX70" si="1302">EW$1*ED70</f>
        <v>0</v>
      </c>
      <c r="EX70" s="39">
        <f t="shared" si="1302"/>
        <v>777.70691999999997</v>
      </c>
      <c r="EY70" s="2"/>
      <c r="EZ70" s="39">
        <f t="shared" si="17"/>
        <v>0</v>
      </c>
      <c r="FA70" s="39">
        <f t="shared" si="18"/>
        <v>0</v>
      </c>
      <c r="FB70" s="2">
        <f t="shared" si="19"/>
        <v>0</v>
      </c>
      <c r="FC70" s="2">
        <f t="shared" ref="FC70:FD70" si="1303">BV70*$BT70+CQ70*$CO70</f>
        <v>0</v>
      </c>
      <c r="FD70" s="2">
        <f t="shared" si="1303"/>
        <v>0</v>
      </c>
      <c r="FE70" s="2">
        <f t="shared" ref="FE70:FJ70" si="1304">(BX70*$BT70+CS70*$CO70)/100</f>
        <v>0</v>
      </c>
      <c r="FF70" s="2">
        <f t="shared" si="1304"/>
        <v>0</v>
      </c>
      <c r="FG70" s="2">
        <f t="shared" si="1304"/>
        <v>0</v>
      </c>
      <c r="FH70" s="2">
        <f t="shared" si="1304"/>
        <v>0</v>
      </c>
      <c r="FI70" s="2">
        <f t="shared" si="1304"/>
        <v>0</v>
      </c>
      <c r="FJ70" s="2">
        <f t="shared" si="1304"/>
        <v>0</v>
      </c>
      <c r="FK70" s="2">
        <f t="shared" ref="FK70:FO70" si="1305">CD70*$BT70+CY70*$CO70</f>
        <v>0</v>
      </c>
      <c r="FL70" s="2">
        <f t="shared" si="1305"/>
        <v>0</v>
      </c>
      <c r="FM70" s="2">
        <f t="shared" si="1305"/>
        <v>0</v>
      </c>
      <c r="FN70" s="2">
        <f t="shared" si="1305"/>
        <v>0</v>
      </c>
      <c r="FO70" s="2">
        <f t="shared" si="1305"/>
        <v>0</v>
      </c>
      <c r="FP70" s="2">
        <f t="shared" ref="FP70:FQ70" si="1306">(CI70*$BT70+DD70*$CO70)/100</f>
        <v>0</v>
      </c>
      <c r="FQ70" s="2">
        <f t="shared" si="1306"/>
        <v>0</v>
      </c>
      <c r="FR70" s="2"/>
      <c r="FS70" s="2">
        <f t="shared" si="24"/>
        <v>0</v>
      </c>
      <c r="FT70" s="2">
        <f t="shared" si="25"/>
        <v>0</v>
      </c>
      <c r="FU70" s="39">
        <f t="shared" si="26"/>
        <v>0</v>
      </c>
      <c r="FV70" s="39">
        <f t="shared" ref="FV70:FW70" si="1307">FV$1*FC70/1000000</f>
        <v>0</v>
      </c>
      <c r="FW70" s="39">
        <f t="shared" si="1307"/>
        <v>0</v>
      </c>
      <c r="FX70" s="39">
        <f t="shared" ref="FX70:GC70" si="1308">FX$1*FE70</f>
        <v>0</v>
      </c>
      <c r="FY70" s="39">
        <f t="shared" si="1308"/>
        <v>0</v>
      </c>
      <c r="FZ70" s="39">
        <f t="shared" si="1308"/>
        <v>0</v>
      </c>
      <c r="GA70" s="39">
        <f t="shared" si="1308"/>
        <v>0</v>
      </c>
      <c r="GB70" s="39">
        <f t="shared" si="1308"/>
        <v>0</v>
      </c>
      <c r="GC70" s="39">
        <f t="shared" si="1308"/>
        <v>0</v>
      </c>
      <c r="GD70" s="39">
        <f t="shared" ref="GD70:GH70" si="1309">GD$1*FK70/1000000</f>
        <v>0</v>
      </c>
      <c r="GE70" s="39">
        <f t="shared" si="1309"/>
        <v>0</v>
      </c>
      <c r="GF70" s="39">
        <f t="shared" si="1309"/>
        <v>0</v>
      </c>
      <c r="GG70" s="39">
        <f t="shared" si="1309"/>
        <v>0</v>
      </c>
      <c r="GH70" s="39">
        <f t="shared" si="1309"/>
        <v>0</v>
      </c>
      <c r="GI70" s="39">
        <f t="shared" ref="GI70:GJ70" si="1310">GI$1*FP70</f>
        <v>0</v>
      </c>
      <c r="GJ70" s="39">
        <f t="shared" si="1310"/>
        <v>0</v>
      </c>
      <c r="GK70" s="2"/>
      <c r="GL70" s="39">
        <f t="shared" si="31"/>
        <v>0</v>
      </c>
      <c r="GM70" s="39">
        <f t="shared" si="32"/>
        <v>0</v>
      </c>
      <c r="GN70" s="2" t="s">
        <v>3</v>
      </c>
      <c r="GO70" s="2">
        <f t="shared" si="33"/>
        <v>70.900000000000006</v>
      </c>
      <c r="GP70" s="4">
        <f t="shared" si="34"/>
        <v>0.91629901269393521</v>
      </c>
      <c r="GQ70" s="15">
        <f t="shared" si="35"/>
        <v>649.65600000000006</v>
      </c>
      <c r="GR70" s="15">
        <f t="shared" si="36"/>
        <v>12386.530254960002</v>
      </c>
      <c r="GS70" s="15">
        <f t="shared" si="37"/>
        <v>174.70423490775741</v>
      </c>
      <c r="GT70" s="2">
        <f t="shared" si="38"/>
        <v>115.63200000000001</v>
      </c>
      <c r="GU70" s="2">
        <f t="shared" si="39"/>
        <v>390.93599999999998</v>
      </c>
      <c r="GV70" s="2">
        <f t="shared" si="40"/>
        <v>143.08800000000002</v>
      </c>
      <c r="GW70" s="2">
        <f t="shared" si="41"/>
        <v>0</v>
      </c>
      <c r="GX70" s="2"/>
      <c r="GY70" s="2"/>
      <c r="GZ70" s="2"/>
      <c r="HA70" s="2"/>
      <c r="HB70" s="2">
        <f t="shared" si="42"/>
        <v>0</v>
      </c>
      <c r="HC70" s="2">
        <f t="shared" si="43"/>
        <v>0</v>
      </c>
      <c r="HD70" s="2" t="s">
        <v>3</v>
      </c>
      <c r="HE70" s="2" t="s">
        <v>37</v>
      </c>
      <c r="HF70" s="2" t="s">
        <v>797</v>
      </c>
      <c r="HG70" s="2" t="s">
        <v>797</v>
      </c>
      <c r="HH70" s="2"/>
      <c r="HI70" s="2" t="s">
        <v>81</v>
      </c>
      <c r="HJ70" s="2" t="s">
        <v>3</v>
      </c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 t="s">
        <v>3</v>
      </c>
    </row>
    <row r="71" spans="1:268" ht="15.75" customHeight="1" x14ac:dyDescent="0.2">
      <c r="A71" s="13" t="s">
        <v>327</v>
      </c>
      <c r="B71" s="2" t="s">
        <v>109</v>
      </c>
      <c r="C71" s="2"/>
      <c r="D71" s="2"/>
      <c r="E71" s="2"/>
      <c r="F71" s="2" t="s">
        <v>328</v>
      </c>
      <c r="G71" s="2"/>
      <c r="H71" s="2" t="s">
        <v>111</v>
      </c>
      <c r="I71" s="2">
        <f>39+10+17</f>
        <v>66</v>
      </c>
      <c r="J71" s="2"/>
      <c r="K71" s="2"/>
      <c r="L71" s="2"/>
      <c r="M71" s="2"/>
      <c r="N71" s="2"/>
      <c r="O71" s="2"/>
      <c r="P71" s="2"/>
      <c r="Q71" s="15">
        <f>(1.2*39+1.1*10+0.2*17)/I71</f>
        <v>0.92727272727272725</v>
      </c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>
        <f>146+37</f>
        <v>183</v>
      </c>
      <c r="AE71" s="2"/>
      <c r="AF71" s="2"/>
      <c r="AG71" s="2"/>
      <c r="AH71" s="2"/>
      <c r="AI71" s="2"/>
      <c r="AJ71" s="2"/>
      <c r="AK71" s="2"/>
      <c r="AL71" s="2">
        <f>(0.9*146+0.9*37)/AD71</f>
        <v>0.90000000000000013</v>
      </c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>
        <v>17</v>
      </c>
      <c r="AZ71" s="2"/>
      <c r="BA71" s="2"/>
      <c r="BB71" s="2"/>
      <c r="BC71" s="2"/>
      <c r="BD71" s="2"/>
      <c r="BE71" s="2"/>
      <c r="BF71" s="2"/>
      <c r="BG71" s="2">
        <v>0.2</v>
      </c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>
        <f>14+8.3</f>
        <v>22.3</v>
      </c>
      <c r="BU71" s="2"/>
      <c r="BV71" s="2"/>
      <c r="BW71" s="2"/>
      <c r="BX71" s="2"/>
      <c r="BY71" s="2"/>
      <c r="BZ71" s="2"/>
      <c r="CA71" s="2"/>
      <c r="CB71" s="15">
        <f>(1.3*14+1.2*8.3)/BT71</f>
        <v>1.2627802690582959</v>
      </c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>
        <f>3.9+11</f>
        <v>14.9</v>
      </c>
      <c r="CP71" s="2"/>
      <c r="CQ71" s="2"/>
      <c r="CR71" s="2"/>
      <c r="CS71" s="2"/>
      <c r="CT71" s="2"/>
      <c r="CU71" s="2"/>
      <c r="CV71" s="2"/>
      <c r="CW71" s="2">
        <f>(1.2*3.9+1.2*11)/CO71</f>
        <v>1.2</v>
      </c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 t="s">
        <v>81</v>
      </c>
      <c r="DK71" s="2"/>
      <c r="DL71" s="2">
        <f t="shared" si="3"/>
        <v>0.86203007518796992</v>
      </c>
      <c r="DM71" s="2">
        <f t="shared" si="4"/>
        <v>0</v>
      </c>
      <c r="DN71" s="2" t="s">
        <v>211</v>
      </c>
      <c r="DO71" s="2" t="s">
        <v>3</v>
      </c>
      <c r="DP71" s="2">
        <f t="shared" si="5"/>
        <v>0</v>
      </c>
      <c r="DQ71" s="2">
        <f t="shared" ref="DQ71:DR71" si="1311">K71*$I71+AF71*$AD71+BA71*$AY71</f>
        <v>0</v>
      </c>
      <c r="DR71" s="2">
        <f t="shared" si="1311"/>
        <v>0</v>
      </c>
      <c r="DS71" s="2">
        <f t="shared" ref="DS71:DX71" si="1312">(M71*$I71+AH71*$AD71+BC71*$AY71)/100</f>
        <v>0</v>
      </c>
      <c r="DT71" s="2">
        <f t="shared" si="1312"/>
        <v>0</v>
      </c>
      <c r="DU71" s="2">
        <f t="shared" si="1312"/>
        <v>0</v>
      </c>
      <c r="DV71" s="2">
        <f t="shared" si="1312"/>
        <v>0</v>
      </c>
      <c r="DW71" s="2">
        <f t="shared" si="1312"/>
        <v>2.2930000000000001</v>
      </c>
      <c r="DX71" s="2">
        <f t="shared" si="1312"/>
        <v>0</v>
      </c>
      <c r="DY71" s="2">
        <f t="shared" ref="DY71:EC71" si="1313">S71*$I71+AN71*$AD71+BI71*$AY71</f>
        <v>0</v>
      </c>
      <c r="DZ71" s="2">
        <f t="shared" si="1313"/>
        <v>0</v>
      </c>
      <c r="EA71" s="2">
        <f t="shared" si="1313"/>
        <v>0</v>
      </c>
      <c r="EB71" s="2">
        <f t="shared" si="1313"/>
        <v>0</v>
      </c>
      <c r="EC71" s="2">
        <f t="shared" si="1313"/>
        <v>0</v>
      </c>
      <c r="ED71" s="2">
        <f t="shared" ref="ED71:EE71" si="1314">(X71*$I71+AS71*$AD71+BN71*$AY71)/100</f>
        <v>0</v>
      </c>
      <c r="EE71" s="2">
        <f t="shared" si="1314"/>
        <v>0</v>
      </c>
      <c r="EF71" s="2"/>
      <c r="EG71" s="2">
        <f t="shared" si="10"/>
        <v>0</v>
      </c>
      <c r="EH71" s="2">
        <f t="shared" si="11"/>
        <v>0</v>
      </c>
      <c r="EI71" s="39">
        <f t="shared" si="12"/>
        <v>0</v>
      </c>
      <c r="EJ71" s="39">
        <f t="shared" ref="EJ71:EK71" si="1315">EJ$1*DQ71/1000000</f>
        <v>0</v>
      </c>
      <c r="EK71" s="39">
        <f t="shared" si="1315"/>
        <v>0</v>
      </c>
      <c r="EL71" s="39">
        <f t="shared" ref="EL71:EQ71" si="1316">EL$1*DS71</f>
        <v>0</v>
      </c>
      <c r="EM71" s="39">
        <f t="shared" si="1316"/>
        <v>0</v>
      </c>
      <c r="EN71" s="39">
        <f t="shared" si="1316"/>
        <v>0</v>
      </c>
      <c r="EO71" s="39">
        <f t="shared" si="1316"/>
        <v>0</v>
      </c>
      <c r="EP71" s="39">
        <f t="shared" si="1316"/>
        <v>30070.402000000002</v>
      </c>
      <c r="EQ71" s="39">
        <f t="shared" si="1316"/>
        <v>0</v>
      </c>
      <c r="ER71" s="39">
        <f t="shared" ref="ER71:EV71" si="1317">ER$1*DY71/1000000</f>
        <v>0</v>
      </c>
      <c r="ES71" s="39">
        <f t="shared" si="1317"/>
        <v>0</v>
      </c>
      <c r="ET71" s="39">
        <f t="shared" si="1317"/>
        <v>0</v>
      </c>
      <c r="EU71" s="39">
        <f t="shared" si="1317"/>
        <v>0</v>
      </c>
      <c r="EV71" s="39">
        <f t="shared" si="1317"/>
        <v>0</v>
      </c>
      <c r="EW71" s="39">
        <f t="shared" ref="EW71:EX71" si="1318">EW$1*ED71</f>
        <v>0</v>
      </c>
      <c r="EX71" s="39">
        <f t="shared" si="1318"/>
        <v>0</v>
      </c>
      <c r="EY71" s="2"/>
      <c r="EZ71" s="39">
        <f t="shared" si="17"/>
        <v>0</v>
      </c>
      <c r="FA71" s="39">
        <f t="shared" si="18"/>
        <v>0</v>
      </c>
      <c r="FB71" s="2">
        <f t="shared" si="19"/>
        <v>0</v>
      </c>
      <c r="FC71" s="2">
        <f t="shared" ref="FC71:FD71" si="1319">BV71*$BT71+CQ71*$CO71</f>
        <v>0</v>
      </c>
      <c r="FD71" s="2">
        <f t="shared" si="1319"/>
        <v>0</v>
      </c>
      <c r="FE71" s="2">
        <f t="shared" ref="FE71:FJ71" si="1320">(BX71*$BT71+CS71*$CO71)/100</f>
        <v>0</v>
      </c>
      <c r="FF71" s="2">
        <f t="shared" si="1320"/>
        <v>0</v>
      </c>
      <c r="FG71" s="2">
        <f t="shared" si="1320"/>
        <v>0</v>
      </c>
      <c r="FH71" s="2">
        <f t="shared" si="1320"/>
        <v>0</v>
      </c>
      <c r="FI71" s="2">
        <f t="shared" si="1320"/>
        <v>0.46039999999999998</v>
      </c>
      <c r="FJ71" s="2">
        <f t="shared" si="1320"/>
        <v>0</v>
      </c>
      <c r="FK71" s="2">
        <f t="shared" ref="FK71:FO71" si="1321">CD71*$BT71+CY71*$CO71</f>
        <v>0</v>
      </c>
      <c r="FL71" s="2">
        <f t="shared" si="1321"/>
        <v>0</v>
      </c>
      <c r="FM71" s="2">
        <f t="shared" si="1321"/>
        <v>0</v>
      </c>
      <c r="FN71" s="2">
        <f t="shared" si="1321"/>
        <v>0</v>
      </c>
      <c r="FO71" s="2">
        <f t="shared" si="1321"/>
        <v>0</v>
      </c>
      <c r="FP71" s="2">
        <f t="shared" ref="FP71:FQ71" si="1322">(CI71*$BT71+DD71*$CO71)/100</f>
        <v>0</v>
      </c>
      <c r="FQ71" s="2">
        <f t="shared" si="1322"/>
        <v>0</v>
      </c>
      <c r="FR71" s="2"/>
      <c r="FS71" s="2">
        <f t="shared" si="24"/>
        <v>0</v>
      </c>
      <c r="FT71" s="2">
        <f t="shared" si="25"/>
        <v>0</v>
      </c>
      <c r="FU71" s="39">
        <f t="shared" si="26"/>
        <v>0</v>
      </c>
      <c r="FV71" s="39">
        <f t="shared" ref="FV71:FW71" si="1323">FV$1*FC71/1000000</f>
        <v>0</v>
      </c>
      <c r="FW71" s="39">
        <f t="shared" si="1323"/>
        <v>0</v>
      </c>
      <c r="FX71" s="39">
        <f t="shared" ref="FX71:GC71" si="1324">FX$1*FE71</f>
        <v>0</v>
      </c>
      <c r="FY71" s="39">
        <f t="shared" si="1324"/>
        <v>0</v>
      </c>
      <c r="FZ71" s="39">
        <f t="shared" si="1324"/>
        <v>0</v>
      </c>
      <c r="GA71" s="39">
        <f t="shared" si="1324"/>
        <v>0</v>
      </c>
      <c r="GB71" s="39">
        <f t="shared" si="1324"/>
        <v>6037.6855999999998</v>
      </c>
      <c r="GC71" s="39">
        <f t="shared" si="1324"/>
        <v>0</v>
      </c>
      <c r="GD71" s="39">
        <f t="shared" ref="GD71:GH71" si="1325">GD$1*FK71/1000000</f>
        <v>0</v>
      </c>
      <c r="GE71" s="39">
        <f t="shared" si="1325"/>
        <v>0</v>
      </c>
      <c r="GF71" s="39">
        <f t="shared" si="1325"/>
        <v>0</v>
      </c>
      <c r="GG71" s="39">
        <f t="shared" si="1325"/>
        <v>0</v>
      </c>
      <c r="GH71" s="39">
        <f t="shared" si="1325"/>
        <v>0</v>
      </c>
      <c r="GI71" s="39">
        <f t="shared" ref="GI71:GJ71" si="1326">GI$1*FP71</f>
        <v>0</v>
      </c>
      <c r="GJ71" s="39">
        <f t="shared" si="1326"/>
        <v>0</v>
      </c>
      <c r="GK71" s="2"/>
      <c r="GL71" s="39">
        <f t="shared" si="31"/>
        <v>0</v>
      </c>
      <c r="GM71" s="39">
        <f t="shared" si="32"/>
        <v>0</v>
      </c>
      <c r="GN71" s="2" t="s">
        <v>3</v>
      </c>
      <c r="GO71" s="2">
        <f t="shared" si="33"/>
        <v>266</v>
      </c>
      <c r="GP71" s="4">
        <f t="shared" si="34"/>
        <v>0.86203007518796992</v>
      </c>
      <c r="GQ71" s="18">
        <f t="shared" si="35"/>
        <v>2293</v>
      </c>
      <c r="GR71" s="15">
        <f t="shared" si="36"/>
        <v>30070.402000000002</v>
      </c>
      <c r="GS71" s="15">
        <f t="shared" si="37"/>
        <v>113.04662406015038</v>
      </c>
      <c r="GT71" s="2">
        <f t="shared" si="38"/>
        <v>611.99999999999989</v>
      </c>
      <c r="GU71" s="2">
        <f t="shared" si="39"/>
        <v>1647.0000000000002</v>
      </c>
      <c r="GV71" s="2">
        <f t="shared" si="40"/>
        <v>34.000000000000007</v>
      </c>
      <c r="GW71" s="2">
        <f t="shared" si="41"/>
        <v>37.200000000000003</v>
      </c>
      <c r="GX71" s="4">
        <f>(BT71*CB71+CO71*CW71)/GW71</f>
        <v>1.2376344086021505</v>
      </c>
      <c r="GY71" s="15">
        <f>1000*GW71*GX71/100</f>
        <v>460.4</v>
      </c>
      <c r="GZ71" s="15">
        <f>SUM(FU71:GM71)</f>
        <v>6037.6855999999998</v>
      </c>
      <c r="HA71" s="15">
        <f>GZ71/GW71</f>
        <v>162.30337634408599</v>
      </c>
      <c r="HB71" s="2">
        <f t="shared" si="42"/>
        <v>281.60000000000002</v>
      </c>
      <c r="HC71" s="2">
        <f t="shared" si="43"/>
        <v>178.8</v>
      </c>
      <c r="HD71" s="2" t="s">
        <v>3</v>
      </c>
      <c r="HE71" s="2" t="s">
        <v>37</v>
      </c>
      <c r="HF71" s="2" t="s">
        <v>329</v>
      </c>
      <c r="HG71" s="2" t="s">
        <v>329</v>
      </c>
      <c r="HH71" s="2"/>
      <c r="HI71" s="2" t="s">
        <v>81</v>
      </c>
      <c r="HJ71" s="2" t="s">
        <v>3</v>
      </c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 t="s">
        <v>3</v>
      </c>
    </row>
    <row r="72" spans="1:268" ht="15.75" customHeight="1" x14ac:dyDescent="0.2">
      <c r="A72" s="13" t="s">
        <v>648</v>
      </c>
      <c r="B72" s="2" t="s">
        <v>99</v>
      </c>
      <c r="C72" s="2"/>
      <c r="D72" s="2"/>
      <c r="E72" s="2" t="s">
        <v>78</v>
      </c>
      <c r="F72" s="2" t="s">
        <v>497</v>
      </c>
      <c r="G72" s="2"/>
      <c r="H72" s="2" t="s">
        <v>80</v>
      </c>
      <c r="I72" s="2">
        <v>0</v>
      </c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>
        <v>0</v>
      </c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15">
        <v>75</v>
      </c>
      <c r="AZ72" s="2"/>
      <c r="BA72" s="2"/>
      <c r="BB72" s="2"/>
      <c r="BC72" s="2"/>
      <c r="BD72" s="2"/>
      <c r="BE72" s="2"/>
      <c r="BF72" s="2"/>
      <c r="BG72" s="2">
        <v>0.73</v>
      </c>
      <c r="BH72" s="2">
        <v>4.3999999999999997E-2</v>
      </c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>
        <v>0</v>
      </c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>
        <v>0</v>
      </c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 t="s">
        <v>81</v>
      </c>
      <c r="DK72" s="2" t="s">
        <v>81</v>
      </c>
      <c r="DL72" s="2">
        <f t="shared" si="3"/>
        <v>0.73</v>
      </c>
      <c r="DM72" s="2">
        <f t="shared" si="4"/>
        <v>4.3999999999999997E-2</v>
      </c>
      <c r="DN72" s="2" t="s">
        <v>211</v>
      </c>
      <c r="DO72" s="2" t="s">
        <v>3</v>
      </c>
      <c r="DP72" s="2">
        <f t="shared" si="5"/>
        <v>0</v>
      </c>
      <c r="DQ72" s="2">
        <f t="shared" ref="DQ72:DR72" si="1327">K72*$I72+AF72*$AD72+BA72*$AY72</f>
        <v>0</v>
      </c>
      <c r="DR72" s="2">
        <f t="shared" si="1327"/>
        <v>0</v>
      </c>
      <c r="DS72" s="2">
        <f t="shared" ref="DS72:DX72" si="1328">(M72*$I72+AH72*$AD72+BC72*$AY72)/100</f>
        <v>0</v>
      </c>
      <c r="DT72" s="2">
        <f t="shared" si="1328"/>
        <v>0</v>
      </c>
      <c r="DU72" s="2">
        <f t="shared" si="1328"/>
        <v>0</v>
      </c>
      <c r="DV72" s="2">
        <f t="shared" si="1328"/>
        <v>0</v>
      </c>
      <c r="DW72" s="2">
        <f t="shared" si="1328"/>
        <v>0.54749999999999999</v>
      </c>
      <c r="DX72" s="2">
        <f t="shared" si="1328"/>
        <v>3.3000000000000002E-2</v>
      </c>
      <c r="DY72" s="2">
        <f t="shared" ref="DY72:EC72" si="1329">S72*$I72+AN72*$AD72+BI72*$AY72</f>
        <v>0</v>
      </c>
      <c r="DZ72" s="2">
        <f t="shared" si="1329"/>
        <v>0</v>
      </c>
      <c r="EA72" s="2">
        <f t="shared" si="1329"/>
        <v>0</v>
      </c>
      <c r="EB72" s="2">
        <f t="shared" si="1329"/>
        <v>0</v>
      </c>
      <c r="EC72" s="2">
        <f t="shared" si="1329"/>
        <v>0</v>
      </c>
      <c r="ED72" s="2">
        <f t="shared" ref="ED72:EE72" si="1330">(X72*$I72+AS72*$AD72+BN72*$AY72)/100</f>
        <v>0</v>
      </c>
      <c r="EE72" s="2">
        <f t="shared" si="1330"/>
        <v>0</v>
      </c>
      <c r="EF72" s="2"/>
      <c r="EG72" s="2">
        <f t="shared" si="10"/>
        <v>0</v>
      </c>
      <c r="EH72" s="2">
        <f t="shared" si="11"/>
        <v>0</v>
      </c>
      <c r="EI72" s="39">
        <f t="shared" si="12"/>
        <v>0</v>
      </c>
      <c r="EJ72" s="39">
        <f t="shared" ref="EJ72:EK72" si="1331">EJ$1*DQ72/1000000</f>
        <v>0</v>
      </c>
      <c r="EK72" s="39">
        <f t="shared" si="1331"/>
        <v>0</v>
      </c>
      <c r="EL72" s="39">
        <f t="shared" ref="EL72:EQ72" si="1332">EL$1*DS72</f>
        <v>0</v>
      </c>
      <c r="EM72" s="39">
        <f t="shared" si="1332"/>
        <v>0</v>
      </c>
      <c r="EN72" s="39">
        <f t="shared" si="1332"/>
        <v>0</v>
      </c>
      <c r="EO72" s="39">
        <f t="shared" si="1332"/>
        <v>0</v>
      </c>
      <c r="EP72" s="39">
        <f t="shared" si="1332"/>
        <v>7179.915</v>
      </c>
      <c r="EQ72" s="39">
        <f t="shared" si="1332"/>
        <v>2396.4442919999997</v>
      </c>
      <c r="ER72" s="39">
        <f t="shared" ref="ER72:EV72" si="1333">ER$1*DY72/1000000</f>
        <v>0</v>
      </c>
      <c r="ES72" s="39">
        <f t="shared" si="1333"/>
        <v>0</v>
      </c>
      <c r="ET72" s="39">
        <f t="shared" si="1333"/>
        <v>0</v>
      </c>
      <c r="EU72" s="39">
        <f t="shared" si="1333"/>
        <v>0</v>
      </c>
      <c r="EV72" s="39">
        <f t="shared" si="1333"/>
        <v>0</v>
      </c>
      <c r="EW72" s="39">
        <f t="shared" ref="EW72:EX72" si="1334">EW$1*ED72</f>
        <v>0</v>
      </c>
      <c r="EX72" s="39">
        <f t="shared" si="1334"/>
        <v>0</v>
      </c>
      <c r="EY72" s="2"/>
      <c r="EZ72" s="39">
        <f t="shared" si="17"/>
        <v>0</v>
      </c>
      <c r="FA72" s="39">
        <f t="shared" si="18"/>
        <v>0</v>
      </c>
      <c r="FB72" s="2">
        <f t="shared" si="19"/>
        <v>0</v>
      </c>
      <c r="FC72" s="2">
        <f t="shared" ref="FC72:FD72" si="1335">BV72*$BT72+CQ72*$CO72</f>
        <v>0</v>
      </c>
      <c r="FD72" s="2">
        <f t="shared" si="1335"/>
        <v>0</v>
      </c>
      <c r="FE72" s="2">
        <f t="shared" ref="FE72:FJ72" si="1336">(BX72*$BT72+CS72*$CO72)/100</f>
        <v>0</v>
      </c>
      <c r="FF72" s="2">
        <f t="shared" si="1336"/>
        <v>0</v>
      </c>
      <c r="FG72" s="2">
        <f t="shared" si="1336"/>
        <v>0</v>
      </c>
      <c r="FH72" s="2">
        <f t="shared" si="1336"/>
        <v>0</v>
      </c>
      <c r="FI72" s="2">
        <f t="shared" si="1336"/>
        <v>0</v>
      </c>
      <c r="FJ72" s="2">
        <f t="shared" si="1336"/>
        <v>0</v>
      </c>
      <c r="FK72" s="2">
        <f t="shared" ref="FK72:FO72" si="1337">CD72*$BT72+CY72*$CO72</f>
        <v>0</v>
      </c>
      <c r="FL72" s="2">
        <f t="shared" si="1337"/>
        <v>0</v>
      </c>
      <c r="FM72" s="2">
        <f t="shared" si="1337"/>
        <v>0</v>
      </c>
      <c r="FN72" s="2">
        <f t="shared" si="1337"/>
        <v>0</v>
      </c>
      <c r="FO72" s="2">
        <f t="shared" si="1337"/>
        <v>0</v>
      </c>
      <c r="FP72" s="2">
        <f t="shared" ref="FP72:FQ72" si="1338">(CI72*$BT72+DD72*$CO72)/100</f>
        <v>0</v>
      </c>
      <c r="FQ72" s="2">
        <f t="shared" si="1338"/>
        <v>0</v>
      </c>
      <c r="FR72" s="2"/>
      <c r="FS72" s="2">
        <f t="shared" si="24"/>
        <v>0</v>
      </c>
      <c r="FT72" s="2">
        <f t="shared" si="25"/>
        <v>0</v>
      </c>
      <c r="FU72" s="39">
        <f t="shared" si="26"/>
        <v>0</v>
      </c>
      <c r="FV72" s="39">
        <f t="shared" ref="FV72:FW72" si="1339">FV$1*FC72/1000000</f>
        <v>0</v>
      </c>
      <c r="FW72" s="39">
        <f t="shared" si="1339"/>
        <v>0</v>
      </c>
      <c r="FX72" s="39">
        <f t="shared" ref="FX72:GC72" si="1340">FX$1*FE72</f>
        <v>0</v>
      </c>
      <c r="FY72" s="39">
        <f t="shared" si="1340"/>
        <v>0</v>
      </c>
      <c r="FZ72" s="39">
        <f t="shared" si="1340"/>
        <v>0</v>
      </c>
      <c r="GA72" s="39">
        <f t="shared" si="1340"/>
        <v>0</v>
      </c>
      <c r="GB72" s="39">
        <f t="shared" si="1340"/>
        <v>0</v>
      </c>
      <c r="GC72" s="39">
        <f t="shared" si="1340"/>
        <v>0</v>
      </c>
      <c r="GD72" s="39">
        <f t="shared" ref="GD72:GH72" si="1341">GD$1*FK72/1000000</f>
        <v>0</v>
      </c>
      <c r="GE72" s="39">
        <f t="shared" si="1341"/>
        <v>0</v>
      </c>
      <c r="GF72" s="39">
        <f t="shared" si="1341"/>
        <v>0</v>
      </c>
      <c r="GG72" s="39">
        <f t="shared" si="1341"/>
        <v>0</v>
      </c>
      <c r="GH72" s="39">
        <f t="shared" si="1341"/>
        <v>0</v>
      </c>
      <c r="GI72" s="39">
        <f t="shared" ref="GI72:GJ72" si="1342">GI$1*FP72</f>
        <v>0</v>
      </c>
      <c r="GJ72" s="39">
        <f t="shared" si="1342"/>
        <v>0</v>
      </c>
      <c r="GK72" s="2"/>
      <c r="GL72" s="39">
        <f t="shared" si="31"/>
        <v>0</v>
      </c>
      <c r="GM72" s="39">
        <f t="shared" si="32"/>
        <v>0</v>
      </c>
      <c r="GN72" s="2" t="s">
        <v>3</v>
      </c>
      <c r="GO72" s="15">
        <f t="shared" si="33"/>
        <v>75</v>
      </c>
      <c r="GP72" s="2">
        <f t="shared" si="34"/>
        <v>0.73</v>
      </c>
      <c r="GQ72" s="15">
        <f t="shared" si="35"/>
        <v>547.5</v>
      </c>
      <c r="GR72" s="15">
        <f t="shared" si="36"/>
        <v>9576.3592919999992</v>
      </c>
      <c r="GS72" s="15">
        <f t="shared" si="37"/>
        <v>127.68479056</v>
      </c>
      <c r="GT72" s="2">
        <f t="shared" si="38"/>
        <v>0</v>
      </c>
      <c r="GU72" s="2">
        <f t="shared" si="39"/>
        <v>0</v>
      </c>
      <c r="GV72" s="2">
        <f t="shared" si="40"/>
        <v>547.5</v>
      </c>
      <c r="GW72" s="2">
        <f t="shared" si="41"/>
        <v>0</v>
      </c>
      <c r="GX72" s="2"/>
      <c r="GY72" s="2"/>
      <c r="GZ72" s="2"/>
      <c r="HA72" s="2"/>
      <c r="HB72" s="2">
        <f t="shared" si="42"/>
        <v>0</v>
      </c>
      <c r="HC72" s="2">
        <f t="shared" si="43"/>
        <v>0</v>
      </c>
      <c r="HD72" s="2" t="s">
        <v>3</v>
      </c>
      <c r="HE72" s="2" t="s">
        <v>37</v>
      </c>
      <c r="HF72" s="2" t="s">
        <v>244</v>
      </c>
      <c r="HG72" s="2" t="s">
        <v>208</v>
      </c>
      <c r="HH72" s="2"/>
      <c r="HI72" s="2" t="s">
        <v>81</v>
      </c>
      <c r="HJ72" s="2" t="s">
        <v>3</v>
      </c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 t="s">
        <v>3</v>
      </c>
    </row>
    <row r="73" spans="1:268" ht="15.75" customHeight="1" x14ac:dyDescent="0.2">
      <c r="A73" s="13" t="s">
        <v>988</v>
      </c>
      <c r="B73" s="2" t="s">
        <v>99</v>
      </c>
      <c r="C73" s="2"/>
      <c r="D73" s="2"/>
      <c r="E73" s="2" t="s">
        <v>78</v>
      </c>
      <c r="F73" s="2" t="s">
        <v>989</v>
      </c>
      <c r="G73" s="2"/>
      <c r="H73" s="2" t="s">
        <v>242</v>
      </c>
      <c r="I73" s="2">
        <v>0</v>
      </c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>
        <v>2.6</v>
      </c>
      <c r="AE73" s="2"/>
      <c r="AF73" s="2"/>
      <c r="AG73" s="2"/>
      <c r="AH73" s="2"/>
      <c r="AI73" s="2"/>
      <c r="AJ73" s="2"/>
      <c r="AK73" s="2"/>
      <c r="AL73" s="2">
        <v>0.78</v>
      </c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>
        <v>27</v>
      </c>
      <c r="AZ73" s="2"/>
      <c r="BA73" s="2"/>
      <c r="BB73" s="2"/>
      <c r="BC73" s="2"/>
      <c r="BD73" s="2"/>
      <c r="BE73" s="2"/>
      <c r="BF73" s="2"/>
      <c r="BG73" s="2">
        <v>0.7</v>
      </c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>
        <v>0</v>
      </c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>
        <v>0</v>
      </c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 t="s">
        <v>81</v>
      </c>
      <c r="DK73" s="2"/>
      <c r="DL73" s="2">
        <f t="shared" si="3"/>
        <v>0.70702702702702691</v>
      </c>
      <c r="DM73" s="2">
        <f t="shared" si="4"/>
        <v>0</v>
      </c>
      <c r="DN73" s="2" t="s">
        <v>175</v>
      </c>
      <c r="DO73" s="2" t="s">
        <v>3</v>
      </c>
      <c r="DP73" s="2">
        <f t="shared" si="5"/>
        <v>0</v>
      </c>
      <c r="DQ73" s="2">
        <f t="shared" ref="DQ73:DR73" si="1343">K73*$I73+AF73*$AD73+BA73*$AY73</f>
        <v>0</v>
      </c>
      <c r="DR73" s="2">
        <f t="shared" si="1343"/>
        <v>0</v>
      </c>
      <c r="DS73" s="2">
        <f t="shared" ref="DS73:DX73" si="1344">(M73*$I73+AH73*$AD73+BC73*$AY73)/100</f>
        <v>0</v>
      </c>
      <c r="DT73" s="2">
        <f t="shared" si="1344"/>
        <v>0</v>
      </c>
      <c r="DU73" s="2">
        <f t="shared" si="1344"/>
        <v>0</v>
      </c>
      <c r="DV73" s="2">
        <f t="shared" si="1344"/>
        <v>0</v>
      </c>
      <c r="DW73" s="2">
        <f t="shared" si="1344"/>
        <v>0.20927999999999997</v>
      </c>
      <c r="DX73" s="2">
        <f t="shared" si="1344"/>
        <v>0</v>
      </c>
      <c r="DY73" s="2">
        <f t="shared" ref="DY73:EC73" si="1345">S73*$I73+AN73*$AD73+BI73*$AY73</f>
        <v>0</v>
      </c>
      <c r="DZ73" s="2">
        <f t="shared" si="1345"/>
        <v>0</v>
      </c>
      <c r="EA73" s="2">
        <f t="shared" si="1345"/>
        <v>0</v>
      </c>
      <c r="EB73" s="2">
        <f t="shared" si="1345"/>
        <v>0</v>
      </c>
      <c r="EC73" s="2">
        <f t="shared" si="1345"/>
        <v>0</v>
      </c>
      <c r="ED73" s="2">
        <f t="shared" ref="ED73:EE73" si="1346">(X73*$I73+AS73*$AD73+BN73*$AY73)/100</f>
        <v>0</v>
      </c>
      <c r="EE73" s="2">
        <f t="shared" si="1346"/>
        <v>0</v>
      </c>
      <c r="EF73" s="2"/>
      <c r="EG73" s="2">
        <f t="shared" si="10"/>
        <v>0</v>
      </c>
      <c r="EH73" s="2">
        <f t="shared" si="11"/>
        <v>0</v>
      </c>
      <c r="EI73" s="39">
        <f t="shared" si="12"/>
        <v>0</v>
      </c>
      <c r="EJ73" s="39">
        <f t="shared" ref="EJ73:EK73" si="1347">EJ$1*DQ73/1000000</f>
        <v>0</v>
      </c>
      <c r="EK73" s="39">
        <f t="shared" si="1347"/>
        <v>0</v>
      </c>
      <c r="EL73" s="39">
        <f t="shared" ref="EL73:EQ73" si="1348">EL$1*DS73</f>
        <v>0</v>
      </c>
      <c r="EM73" s="39">
        <f t="shared" si="1348"/>
        <v>0</v>
      </c>
      <c r="EN73" s="39">
        <f t="shared" si="1348"/>
        <v>0</v>
      </c>
      <c r="EO73" s="39">
        <f t="shared" si="1348"/>
        <v>0</v>
      </c>
      <c r="EP73" s="39">
        <f t="shared" si="1348"/>
        <v>2744.4979199999993</v>
      </c>
      <c r="EQ73" s="39">
        <f t="shared" si="1348"/>
        <v>0</v>
      </c>
      <c r="ER73" s="39">
        <f t="shared" ref="ER73:EV73" si="1349">ER$1*DY73/1000000</f>
        <v>0</v>
      </c>
      <c r="ES73" s="39">
        <f t="shared" si="1349"/>
        <v>0</v>
      </c>
      <c r="ET73" s="39">
        <f t="shared" si="1349"/>
        <v>0</v>
      </c>
      <c r="EU73" s="39">
        <f t="shared" si="1349"/>
        <v>0</v>
      </c>
      <c r="EV73" s="39">
        <f t="shared" si="1349"/>
        <v>0</v>
      </c>
      <c r="EW73" s="39">
        <f t="shared" ref="EW73:EX73" si="1350">EW$1*ED73</f>
        <v>0</v>
      </c>
      <c r="EX73" s="39">
        <f t="shared" si="1350"/>
        <v>0</v>
      </c>
      <c r="EY73" s="2"/>
      <c r="EZ73" s="39">
        <f t="shared" si="17"/>
        <v>0</v>
      </c>
      <c r="FA73" s="39">
        <f t="shared" si="18"/>
        <v>0</v>
      </c>
      <c r="FB73" s="2">
        <f t="shared" si="19"/>
        <v>0</v>
      </c>
      <c r="FC73" s="2">
        <f t="shared" ref="FC73:FD73" si="1351">BV73*$BT73+CQ73*$CO73</f>
        <v>0</v>
      </c>
      <c r="FD73" s="2">
        <f t="shared" si="1351"/>
        <v>0</v>
      </c>
      <c r="FE73" s="2">
        <f t="shared" ref="FE73:FJ73" si="1352">(BX73*$BT73+CS73*$CO73)/100</f>
        <v>0</v>
      </c>
      <c r="FF73" s="2">
        <f t="shared" si="1352"/>
        <v>0</v>
      </c>
      <c r="FG73" s="2">
        <f t="shared" si="1352"/>
        <v>0</v>
      </c>
      <c r="FH73" s="2">
        <f t="shared" si="1352"/>
        <v>0</v>
      </c>
      <c r="FI73" s="2">
        <f t="shared" si="1352"/>
        <v>0</v>
      </c>
      <c r="FJ73" s="2">
        <f t="shared" si="1352"/>
        <v>0</v>
      </c>
      <c r="FK73" s="2">
        <f t="shared" ref="FK73:FO73" si="1353">CD73*$BT73+CY73*$CO73</f>
        <v>0</v>
      </c>
      <c r="FL73" s="2">
        <f t="shared" si="1353"/>
        <v>0</v>
      </c>
      <c r="FM73" s="2">
        <f t="shared" si="1353"/>
        <v>0</v>
      </c>
      <c r="FN73" s="2">
        <f t="shared" si="1353"/>
        <v>0</v>
      </c>
      <c r="FO73" s="2">
        <f t="shared" si="1353"/>
        <v>0</v>
      </c>
      <c r="FP73" s="2">
        <f t="shared" ref="FP73:FQ73" si="1354">(CI73*$BT73+DD73*$CO73)/100</f>
        <v>0</v>
      </c>
      <c r="FQ73" s="2">
        <f t="shared" si="1354"/>
        <v>0</v>
      </c>
      <c r="FR73" s="2"/>
      <c r="FS73" s="2">
        <f t="shared" si="24"/>
        <v>0</v>
      </c>
      <c r="FT73" s="2">
        <f t="shared" si="25"/>
        <v>0</v>
      </c>
      <c r="FU73" s="39">
        <f t="shared" si="26"/>
        <v>0</v>
      </c>
      <c r="FV73" s="39">
        <f t="shared" ref="FV73:FW73" si="1355">FV$1*FC73/1000000</f>
        <v>0</v>
      </c>
      <c r="FW73" s="39">
        <f t="shared" si="1355"/>
        <v>0</v>
      </c>
      <c r="FX73" s="39">
        <f t="shared" ref="FX73:GC73" si="1356">FX$1*FE73</f>
        <v>0</v>
      </c>
      <c r="FY73" s="39">
        <f t="shared" si="1356"/>
        <v>0</v>
      </c>
      <c r="FZ73" s="39">
        <f t="shared" si="1356"/>
        <v>0</v>
      </c>
      <c r="GA73" s="39">
        <f t="shared" si="1356"/>
        <v>0</v>
      </c>
      <c r="GB73" s="39">
        <f t="shared" si="1356"/>
        <v>0</v>
      </c>
      <c r="GC73" s="39">
        <f t="shared" si="1356"/>
        <v>0</v>
      </c>
      <c r="GD73" s="39">
        <f t="shared" ref="GD73:GH73" si="1357">GD$1*FK73/1000000</f>
        <v>0</v>
      </c>
      <c r="GE73" s="39">
        <f t="shared" si="1357"/>
        <v>0</v>
      </c>
      <c r="GF73" s="39">
        <f t="shared" si="1357"/>
        <v>0</v>
      </c>
      <c r="GG73" s="39">
        <f t="shared" si="1357"/>
        <v>0</v>
      </c>
      <c r="GH73" s="39">
        <f t="shared" si="1357"/>
        <v>0</v>
      </c>
      <c r="GI73" s="39">
        <f t="shared" ref="GI73:GJ73" si="1358">GI$1*FP73</f>
        <v>0</v>
      </c>
      <c r="GJ73" s="39">
        <f t="shared" si="1358"/>
        <v>0</v>
      </c>
      <c r="GK73" s="2"/>
      <c r="GL73" s="39">
        <f t="shared" si="31"/>
        <v>0</v>
      </c>
      <c r="GM73" s="39">
        <f t="shared" si="32"/>
        <v>0</v>
      </c>
      <c r="GN73" s="2" t="s">
        <v>3</v>
      </c>
      <c r="GO73" s="2">
        <f t="shared" si="33"/>
        <v>29.6</v>
      </c>
      <c r="GP73" s="4">
        <f t="shared" si="34"/>
        <v>0.70702702702702691</v>
      </c>
      <c r="GQ73" s="15">
        <f t="shared" si="35"/>
        <v>209.27999999999997</v>
      </c>
      <c r="GR73" s="15">
        <f t="shared" si="36"/>
        <v>2744.4979199999993</v>
      </c>
      <c r="GS73" s="15">
        <f t="shared" si="37"/>
        <v>92.719524324324297</v>
      </c>
      <c r="GT73" s="2">
        <f t="shared" si="38"/>
        <v>0</v>
      </c>
      <c r="GU73" s="2">
        <f t="shared" si="39"/>
        <v>20.28</v>
      </c>
      <c r="GV73" s="2">
        <f t="shared" si="40"/>
        <v>189</v>
      </c>
      <c r="GW73" s="2">
        <f t="shared" si="41"/>
        <v>0</v>
      </c>
      <c r="GX73" s="2"/>
      <c r="GY73" s="2"/>
      <c r="GZ73" s="2"/>
      <c r="HA73" s="2"/>
      <c r="HB73" s="2">
        <f t="shared" si="42"/>
        <v>0</v>
      </c>
      <c r="HC73" s="2">
        <f t="shared" si="43"/>
        <v>0</v>
      </c>
      <c r="HD73" s="2" t="s">
        <v>3</v>
      </c>
      <c r="HE73" s="2" t="s">
        <v>37</v>
      </c>
      <c r="HF73" s="2" t="s">
        <v>208</v>
      </c>
      <c r="HG73" s="2" t="s">
        <v>208</v>
      </c>
      <c r="HH73" s="2"/>
      <c r="HI73" s="2" t="s">
        <v>81</v>
      </c>
      <c r="HJ73" s="2" t="s">
        <v>3</v>
      </c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 t="s">
        <v>3</v>
      </c>
    </row>
    <row r="74" spans="1:268" ht="15.75" customHeight="1" x14ac:dyDescent="0.2">
      <c r="A74" s="13" t="s">
        <v>214</v>
      </c>
      <c r="B74" s="2" t="s">
        <v>99</v>
      </c>
      <c r="C74" s="2"/>
      <c r="D74" s="2"/>
      <c r="E74" s="2" t="s">
        <v>78</v>
      </c>
      <c r="F74" s="2" t="s">
        <v>215</v>
      </c>
      <c r="G74" s="2"/>
      <c r="H74" s="2" t="s">
        <v>80</v>
      </c>
      <c r="I74" s="2">
        <v>0</v>
      </c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4">
        <v>5.6740000000000004</v>
      </c>
      <c r="AE74" s="2"/>
      <c r="AF74" s="2"/>
      <c r="AG74" s="2"/>
      <c r="AH74" s="2"/>
      <c r="AI74" s="2"/>
      <c r="AJ74" s="2"/>
      <c r="AK74" s="2"/>
      <c r="AL74" s="2">
        <v>0.82</v>
      </c>
      <c r="AM74" s="2">
        <v>0.06</v>
      </c>
      <c r="AN74" s="2"/>
      <c r="AO74" s="2"/>
      <c r="AP74" s="2"/>
      <c r="AQ74" s="2"/>
      <c r="AR74" s="2"/>
      <c r="AS74" s="2"/>
      <c r="AT74" s="15">
        <f>26.3*(2*55.85/(2*55.85+3*16.001))</f>
        <v>18.394832908586565</v>
      </c>
      <c r="AU74" s="2"/>
      <c r="AV74" s="2"/>
      <c r="AW74" s="2"/>
      <c r="AX74" s="2"/>
      <c r="AY74" s="4">
        <v>0.93300000000000005</v>
      </c>
      <c r="AZ74" s="2"/>
      <c r="BA74" s="2"/>
      <c r="BB74" s="2"/>
      <c r="BC74" s="2"/>
      <c r="BD74" s="2"/>
      <c r="BE74" s="2"/>
      <c r="BF74" s="2"/>
      <c r="BG74" s="2">
        <v>0.77</v>
      </c>
      <c r="BH74" s="2">
        <v>0.05</v>
      </c>
      <c r="BI74" s="2"/>
      <c r="BJ74" s="2"/>
      <c r="BK74" s="2"/>
      <c r="BL74" s="2"/>
      <c r="BM74" s="2"/>
      <c r="BN74" s="2"/>
      <c r="BO74" s="15">
        <f>24.7*(2*55.85/(2*55.85+3*16.001))</f>
        <v>17.27575562137217</v>
      </c>
      <c r="BP74" s="2"/>
      <c r="BQ74" s="2"/>
      <c r="BR74" s="2"/>
      <c r="BS74" s="2"/>
      <c r="BT74" s="2">
        <v>0</v>
      </c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>
        <v>0</v>
      </c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 t="s">
        <v>81</v>
      </c>
      <c r="DK74" s="2" t="s">
        <v>81</v>
      </c>
      <c r="DL74" s="2">
        <f t="shared" si="3"/>
        <v>0.81293930679582271</v>
      </c>
      <c r="DM74" s="2">
        <f t="shared" si="4"/>
        <v>5.8587861359164529E-2</v>
      </c>
      <c r="DN74" s="2" t="s">
        <v>82</v>
      </c>
      <c r="DO74" s="2" t="s">
        <v>3</v>
      </c>
      <c r="DP74" s="2">
        <f t="shared" si="5"/>
        <v>0</v>
      </c>
      <c r="DQ74" s="2">
        <f t="shared" ref="DQ74:DR74" si="1359">K74*$I74+AF74*$AD74+BA74*$AY74</f>
        <v>0</v>
      </c>
      <c r="DR74" s="2">
        <f t="shared" si="1359"/>
        <v>0</v>
      </c>
      <c r="DS74" s="2">
        <f t="shared" ref="DS74:DX74" si="1360">(M74*$I74+AH74*$AD74+BC74*$AY74)/100</f>
        <v>0</v>
      </c>
      <c r="DT74" s="2">
        <f t="shared" si="1360"/>
        <v>0</v>
      </c>
      <c r="DU74" s="2">
        <f t="shared" si="1360"/>
        <v>0</v>
      </c>
      <c r="DV74" s="2">
        <f t="shared" si="1360"/>
        <v>0</v>
      </c>
      <c r="DW74" s="2">
        <f t="shared" si="1360"/>
        <v>5.3710900000000006E-2</v>
      </c>
      <c r="DX74" s="2">
        <f t="shared" si="1360"/>
        <v>3.8709000000000005E-3</v>
      </c>
      <c r="DY74" s="2">
        <f t="shared" ref="DY74:EC74" si="1361">S74*$I74+AN74*$AD74+BI74*$AY74</f>
        <v>0</v>
      </c>
      <c r="DZ74" s="2">
        <f t="shared" si="1361"/>
        <v>0</v>
      </c>
      <c r="EA74" s="2">
        <f t="shared" si="1361"/>
        <v>0</v>
      </c>
      <c r="EB74" s="2">
        <f t="shared" si="1361"/>
        <v>0</v>
      </c>
      <c r="EC74" s="2">
        <f t="shared" si="1361"/>
        <v>0</v>
      </c>
      <c r="ED74" s="2">
        <f t="shared" ref="ED74:EE74" si="1362">(X74*$I74+AS74*$AD74+BN74*$AY74)/100</f>
        <v>0</v>
      </c>
      <c r="EE74" s="2">
        <f t="shared" si="1362"/>
        <v>1.204905619180604</v>
      </c>
      <c r="EF74" s="2"/>
      <c r="EG74" s="2">
        <f t="shared" si="10"/>
        <v>0</v>
      </c>
      <c r="EH74" s="2">
        <f t="shared" si="11"/>
        <v>0</v>
      </c>
      <c r="EI74" s="39">
        <f t="shared" si="12"/>
        <v>0</v>
      </c>
      <c r="EJ74" s="39">
        <f t="shared" ref="EJ74:EK74" si="1363">EJ$1*DQ74/1000000</f>
        <v>0</v>
      </c>
      <c r="EK74" s="39">
        <f t="shared" si="1363"/>
        <v>0</v>
      </c>
      <c r="EL74" s="39">
        <f t="shared" ref="EL74:EQ74" si="1364">EL$1*DS74</f>
        <v>0</v>
      </c>
      <c r="EM74" s="39">
        <f t="shared" si="1364"/>
        <v>0</v>
      </c>
      <c r="EN74" s="39">
        <f t="shared" si="1364"/>
        <v>0</v>
      </c>
      <c r="EO74" s="39">
        <f t="shared" si="1364"/>
        <v>0</v>
      </c>
      <c r="EP74" s="39">
        <f t="shared" si="1364"/>
        <v>704.36474260000011</v>
      </c>
      <c r="EQ74" s="39">
        <f t="shared" si="1364"/>
        <v>281.10291545159998</v>
      </c>
      <c r="ER74" s="39">
        <f t="shared" ref="ER74:EV74" si="1365">ER$1*DY74/1000000</f>
        <v>0</v>
      </c>
      <c r="ES74" s="39">
        <f t="shared" si="1365"/>
        <v>0</v>
      </c>
      <c r="ET74" s="39">
        <f t="shared" si="1365"/>
        <v>0</v>
      </c>
      <c r="EU74" s="39">
        <f t="shared" si="1365"/>
        <v>0</v>
      </c>
      <c r="EV74" s="39">
        <f t="shared" si="1365"/>
        <v>0</v>
      </c>
      <c r="EW74" s="39">
        <f t="shared" ref="EW74:EX74" si="1366">EW$1*ED74</f>
        <v>0</v>
      </c>
      <c r="EX74" s="39">
        <f t="shared" si="1366"/>
        <v>112.05622258379617</v>
      </c>
      <c r="EY74" s="2"/>
      <c r="EZ74" s="39">
        <f t="shared" si="17"/>
        <v>0</v>
      </c>
      <c r="FA74" s="39">
        <f t="shared" si="18"/>
        <v>0</v>
      </c>
      <c r="FB74" s="2">
        <f t="shared" si="19"/>
        <v>0</v>
      </c>
      <c r="FC74" s="2">
        <f t="shared" ref="FC74:FD74" si="1367">BV74*$BT74+CQ74*$CO74</f>
        <v>0</v>
      </c>
      <c r="FD74" s="2">
        <f t="shared" si="1367"/>
        <v>0</v>
      </c>
      <c r="FE74" s="2">
        <f t="shared" ref="FE74:FJ74" si="1368">(BX74*$BT74+CS74*$CO74)/100</f>
        <v>0</v>
      </c>
      <c r="FF74" s="2">
        <f t="shared" si="1368"/>
        <v>0</v>
      </c>
      <c r="FG74" s="2">
        <f t="shared" si="1368"/>
        <v>0</v>
      </c>
      <c r="FH74" s="2">
        <f t="shared" si="1368"/>
        <v>0</v>
      </c>
      <c r="FI74" s="2">
        <f t="shared" si="1368"/>
        <v>0</v>
      </c>
      <c r="FJ74" s="2">
        <f t="shared" si="1368"/>
        <v>0</v>
      </c>
      <c r="FK74" s="2">
        <f t="shared" ref="FK74:FO74" si="1369">CD74*$BT74+CY74*$CO74</f>
        <v>0</v>
      </c>
      <c r="FL74" s="2">
        <f t="shared" si="1369"/>
        <v>0</v>
      </c>
      <c r="FM74" s="2">
        <f t="shared" si="1369"/>
        <v>0</v>
      </c>
      <c r="FN74" s="2">
        <f t="shared" si="1369"/>
        <v>0</v>
      </c>
      <c r="FO74" s="2">
        <f t="shared" si="1369"/>
        <v>0</v>
      </c>
      <c r="FP74" s="2">
        <f t="shared" ref="FP74:FQ74" si="1370">(CI74*$BT74+DD74*$CO74)/100</f>
        <v>0</v>
      </c>
      <c r="FQ74" s="2">
        <f t="shared" si="1370"/>
        <v>0</v>
      </c>
      <c r="FR74" s="2"/>
      <c r="FS74" s="2">
        <f t="shared" si="24"/>
        <v>0</v>
      </c>
      <c r="FT74" s="2">
        <f t="shared" si="25"/>
        <v>0</v>
      </c>
      <c r="FU74" s="39">
        <f t="shared" si="26"/>
        <v>0</v>
      </c>
      <c r="FV74" s="39">
        <f t="shared" ref="FV74:FW74" si="1371">FV$1*FC74/1000000</f>
        <v>0</v>
      </c>
      <c r="FW74" s="39">
        <f t="shared" si="1371"/>
        <v>0</v>
      </c>
      <c r="FX74" s="39">
        <f t="shared" ref="FX74:GC74" si="1372">FX$1*FE74</f>
        <v>0</v>
      </c>
      <c r="FY74" s="39">
        <f t="shared" si="1372"/>
        <v>0</v>
      </c>
      <c r="FZ74" s="39">
        <f t="shared" si="1372"/>
        <v>0</v>
      </c>
      <c r="GA74" s="39">
        <f t="shared" si="1372"/>
        <v>0</v>
      </c>
      <c r="GB74" s="39">
        <f t="shared" si="1372"/>
        <v>0</v>
      </c>
      <c r="GC74" s="39">
        <f t="shared" si="1372"/>
        <v>0</v>
      </c>
      <c r="GD74" s="39">
        <f t="shared" ref="GD74:GH74" si="1373">GD$1*FK74/1000000</f>
        <v>0</v>
      </c>
      <c r="GE74" s="39">
        <f t="shared" si="1373"/>
        <v>0</v>
      </c>
      <c r="GF74" s="39">
        <f t="shared" si="1373"/>
        <v>0</v>
      </c>
      <c r="GG74" s="39">
        <f t="shared" si="1373"/>
        <v>0</v>
      </c>
      <c r="GH74" s="39">
        <f t="shared" si="1373"/>
        <v>0</v>
      </c>
      <c r="GI74" s="39">
        <f t="shared" ref="GI74:GJ74" si="1374">GI$1*FP74</f>
        <v>0</v>
      </c>
      <c r="GJ74" s="39">
        <f t="shared" si="1374"/>
        <v>0</v>
      </c>
      <c r="GK74" s="2"/>
      <c r="GL74" s="39">
        <f t="shared" si="31"/>
        <v>0</v>
      </c>
      <c r="GM74" s="39">
        <f t="shared" si="32"/>
        <v>0</v>
      </c>
      <c r="GN74" s="2" t="s">
        <v>3</v>
      </c>
      <c r="GO74" s="4">
        <f t="shared" si="33"/>
        <v>6.6070000000000002</v>
      </c>
      <c r="GP74" s="4">
        <f t="shared" si="34"/>
        <v>0.81293930679582271</v>
      </c>
      <c r="GQ74" s="15">
        <f t="shared" si="35"/>
        <v>53.710900000000009</v>
      </c>
      <c r="GR74" s="15">
        <f t="shared" si="36"/>
        <v>1097.5238806353964</v>
      </c>
      <c r="GS74" s="15">
        <f t="shared" si="37"/>
        <v>166.11531415701472</v>
      </c>
      <c r="GT74" s="2">
        <f t="shared" si="38"/>
        <v>0</v>
      </c>
      <c r="GU74" s="2">
        <f t="shared" si="39"/>
        <v>46.526800000000001</v>
      </c>
      <c r="GV74" s="2">
        <f t="shared" si="40"/>
        <v>7.1841000000000008</v>
      </c>
      <c r="GW74" s="2">
        <f t="shared" si="41"/>
        <v>0</v>
      </c>
      <c r="GX74" s="2"/>
      <c r="GY74" s="2"/>
      <c r="GZ74" s="2"/>
      <c r="HA74" s="2"/>
      <c r="HB74" s="2">
        <f t="shared" si="42"/>
        <v>0</v>
      </c>
      <c r="HC74" s="2">
        <f t="shared" si="43"/>
        <v>0</v>
      </c>
      <c r="HD74" s="2" t="s">
        <v>3</v>
      </c>
      <c r="HE74" s="2" t="s">
        <v>37</v>
      </c>
      <c r="HF74" s="2" t="s">
        <v>208</v>
      </c>
      <c r="HG74" s="2" t="s">
        <v>208</v>
      </c>
      <c r="HH74" s="2"/>
      <c r="HI74" s="2" t="s">
        <v>81</v>
      </c>
      <c r="HJ74" s="2" t="s">
        <v>3</v>
      </c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 t="s">
        <v>3</v>
      </c>
    </row>
    <row r="75" spans="1:268" ht="15.75" customHeight="1" x14ac:dyDescent="0.2">
      <c r="A75" s="13" t="s">
        <v>240</v>
      </c>
      <c r="B75" s="2" t="s">
        <v>99</v>
      </c>
      <c r="C75" s="2"/>
      <c r="D75" s="2"/>
      <c r="E75" s="2" t="s">
        <v>78</v>
      </c>
      <c r="F75" s="2" t="s">
        <v>241</v>
      </c>
      <c r="G75" s="2"/>
      <c r="H75" s="2" t="s">
        <v>242</v>
      </c>
      <c r="I75" s="2">
        <v>0</v>
      </c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>
        <v>0</v>
      </c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>
        <v>2.8</v>
      </c>
      <c r="AZ75" s="2"/>
      <c r="BA75" s="2"/>
      <c r="BB75" s="2"/>
      <c r="BC75" s="2"/>
      <c r="BD75" s="2"/>
      <c r="BE75" s="2"/>
      <c r="BF75" s="2"/>
      <c r="BG75" s="2">
        <v>0.91</v>
      </c>
      <c r="BH75" s="2">
        <v>0.09</v>
      </c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>
        <v>0</v>
      </c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>
        <v>0</v>
      </c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 t="s">
        <v>81</v>
      </c>
      <c r="DK75" s="2" t="s">
        <v>81</v>
      </c>
      <c r="DL75" s="2">
        <f t="shared" si="3"/>
        <v>0.91</v>
      </c>
      <c r="DM75" s="2">
        <f t="shared" si="4"/>
        <v>9.0000000000000011E-2</v>
      </c>
      <c r="DN75" s="2" t="s">
        <v>175</v>
      </c>
      <c r="DO75" s="2" t="s">
        <v>3</v>
      </c>
      <c r="DP75" s="2">
        <f t="shared" si="5"/>
        <v>0</v>
      </c>
      <c r="DQ75" s="2">
        <f t="shared" ref="DQ75:DR75" si="1375">K75*$I75+AF75*$AD75+BA75*$AY75</f>
        <v>0</v>
      </c>
      <c r="DR75" s="2">
        <f t="shared" si="1375"/>
        <v>0</v>
      </c>
      <c r="DS75" s="2">
        <f t="shared" ref="DS75:DX75" si="1376">(M75*$I75+AH75*$AD75+BC75*$AY75)/100</f>
        <v>0</v>
      </c>
      <c r="DT75" s="2">
        <f t="shared" si="1376"/>
        <v>0</v>
      </c>
      <c r="DU75" s="2">
        <f t="shared" si="1376"/>
        <v>0</v>
      </c>
      <c r="DV75" s="2">
        <f t="shared" si="1376"/>
        <v>0</v>
      </c>
      <c r="DW75" s="2">
        <f t="shared" si="1376"/>
        <v>2.5479999999999999E-2</v>
      </c>
      <c r="DX75" s="2">
        <f t="shared" si="1376"/>
        <v>2.5200000000000001E-3</v>
      </c>
      <c r="DY75" s="2">
        <f t="shared" ref="DY75:EC75" si="1377">S75*$I75+AN75*$AD75+BI75*$AY75</f>
        <v>0</v>
      </c>
      <c r="DZ75" s="2">
        <f t="shared" si="1377"/>
        <v>0</v>
      </c>
      <c r="EA75" s="2">
        <f t="shared" si="1377"/>
        <v>0</v>
      </c>
      <c r="EB75" s="2">
        <f t="shared" si="1377"/>
        <v>0</v>
      </c>
      <c r="EC75" s="2">
        <f t="shared" si="1377"/>
        <v>0</v>
      </c>
      <c r="ED75" s="2">
        <f t="shared" ref="ED75:EE75" si="1378">(X75*$I75+AS75*$AD75+BN75*$AY75)/100</f>
        <v>0</v>
      </c>
      <c r="EE75" s="2">
        <f t="shared" si="1378"/>
        <v>0</v>
      </c>
      <c r="EF75" s="2"/>
      <c r="EG75" s="2">
        <f t="shared" si="10"/>
        <v>0</v>
      </c>
      <c r="EH75" s="2">
        <f t="shared" si="11"/>
        <v>0</v>
      </c>
      <c r="EI75" s="39">
        <f t="shared" si="12"/>
        <v>0</v>
      </c>
      <c r="EJ75" s="39">
        <f t="shared" ref="EJ75:EK75" si="1379">EJ$1*DQ75/1000000</f>
        <v>0</v>
      </c>
      <c r="EK75" s="39">
        <f t="shared" si="1379"/>
        <v>0</v>
      </c>
      <c r="EL75" s="39">
        <f t="shared" ref="EL75:EQ75" si="1380">EL$1*DS75</f>
        <v>0</v>
      </c>
      <c r="EM75" s="39">
        <f t="shared" si="1380"/>
        <v>0</v>
      </c>
      <c r="EN75" s="39">
        <f t="shared" si="1380"/>
        <v>0</v>
      </c>
      <c r="EO75" s="39">
        <f t="shared" si="1380"/>
        <v>0</v>
      </c>
      <c r="EP75" s="39">
        <f t="shared" si="1380"/>
        <v>334.14472000000001</v>
      </c>
      <c r="EQ75" s="39">
        <f t="shared" si="1380"/>
        <v>183.00120047999999</v>
      </c>
      <c r="ER75" s="39">
        <f t="shared" ref="ER75:EV75" si="1381">ER$1*DY75/1000000</f>
        <v>0</v>
      </c>
      <c r="ES75" s="39">
        <f t="shared" si="1381"/>
        <v>0</v>
      </c>
      <c r="ET75" s="39">
        <f t="shared" si="1381"/>
        <v>0</v>
      </c>
      <c r="EU75" s="39">
        <f t="shared" si="1381"/>
        <v>0</v>
      </c>
      <c r="EV75" s="39">
        <f t="shared" si="1381"/>
        <v>0</v>
      </c>
      <c r="EW75" s="39">
        <f t="shared" ref="EW75:EX75" si="1382">EW$1*ED75</f>
        <v>0</v>
      </c>
      <c r="EX75" s="39">
        <f t="shared" si="1382"/>
        <v>0</v>
      </c>
      <c r="EY75" s="2"/>
      <c r="EZ75" s="39">
        <f t="shared" si="17"/>
        <v>0</v>
      </c>
      <c r="FA75" s="39">
        <f t="shared" si="18"/>
        <v>0</v>
      </c>
      <c r="FB75" s="2">
        <f t="shared" si="19"/>
        <v>0</v>
      </c>
      <c r="FC75" s="2">
        <f t="shared" ref="FC75:FD75" si="1383">BV75*$BT75+CQ75*$CO75</f>
        <v>0</v>
      </c>
      <c r="FD75" s="2">
        <f t="shared" si="1383"/>
        <v>0</v>
      </c>
      <c r="FE75" s="2">
        <f t="shared" ref="FE75:FJ75" si="1384">(BX75*$BT75+CS75*$CO75)/100</f>
        <v>0</v>
      </c>
      <c r="FF75" s="2">
        <f t="shared" si="1384"/>
        <v>0</v>
      </c>
      <c r="FG75" s="2">
        <f t="shared" si="1384"/>
        <v>0</v>
      </c>
      <c r="FH75" s="2">
        <f t="shared" si="1384"/>
        <v>0</v>
      </c>
      <c r="FI75" s="2">
        <f t="shared" si="1384"/>
        <v>0</v>
      </c>
      <c r="FJ75" s="2">
        <f t="shared" si="1384"/>
        <v>0</v>
      </c>
      <c r="FK75" s="2">
        <f t="shared" ref="FK75:FO75" si="1385">CD75*$BT75+CY75*$CO75</f>
        <v>0</v>
      </c>
      <c r="FL75" s="2">
        <f t="shared" si="1385"/>
        <v>0</v>
      </c>
      <c r="FM75" s="2">
        <f t="shared" si="1385"/>
        <v>0</v>
      </c>
      <c r="FN75" s="2">
        <f t="shared" si="1385"/>
        <v>0</v>
      </c>
      <c r="FO75" s="2">
        <f t="shared" si="1385"/>
        <v>0</v>
      </c>
      <c r="FP75" s="2">
        <f t="shared" ref="FP75:FQ75" si="1386">(CI75*$BT75+DD75*$CO75)/100</f>
        <v>0</v>
      </c>
      <c r="FQ75" s="2">
        <f t="shared" si="1386"/>
        <v>0</v>
      </c>
      <c r="FR75" s="2"/>
      <c r="FS75" s="2">
        <f t="shared" si="24"/>
        <v>0</v>
      </c>
      <c r="FT75" s="2">
        <f t="shared" si="25"/>
        <v>0</v>
      </c>
      <c r="FU75" s="39">
        <f t="shared" si="26"/>
        <v>0</v>
      </c>
      <c r="FV75" s="39">
        <f t="shared" ref="FV75:FW75" si="1387">FV$1*FC75/1000000</f>
        <v>0</v>
      </c>
      <c r="FW75" s="39">
        <f t="shared" si="1387"/>
        <v>0</v>
      </c>
      <c r="FX75" s="39">
        <f t="shared" ref="FX75:GC75" si="1388">FX$1*FE75</f>
        <v>0</v>
      </c>
      <c r="FY75" s="39">
        <f t="shared" si="1388"/>
        <v>0</v>
      </c>
      <c r="FZ75" s="39">
        <f t="shared" si="1388"/>
        <v>0</v>
      </c>
      <c r="GA75" s="39">
        <f t="shared" si="1388"/>
        <v>0</v>
      </c>
      <c r="GB75" s="39">
        <f t="shared" si="1388"/>
        <v>0</v>
      </c>
      <c r="GC75" s="39">
        <f t="shared" si="1388"/>
        <v>0</v>
      </c>
      <c r="GD75" s="39">
        <f t="shared" ref="GD75:GH75" si="1389">GD$1*FK75/1000000</f>
        <v>0</v>
      </c>
      <c r="GE75" s="39">
        <f t="shared" si="1389"/>
        <v>0</v>
      </c>
      <c r="GF75" s="39">
        <f t="shared" si="1389"/>
        <v>0</v>
      </c>
      <c r="GG75" s="39">
        <f t="shared" si="1389"/>
        <v>0</v>
      </c>
      <c r="GH75" s="39">
        <f t="shared" si="1389"/>
        <v>0</v>
      </c>
      <c r="GI75" s="39">
        <f t="shared" ref="GI75:GJ75" si="1390">GI$1*FP75</f>
        <v>0</v>
      </c>
      <c r="GJ75" s="39">
        <f t="shared" si="1390"/>
        <v>0</v>
      </c>
      <c r="GK75" s="2"/>
      <c r="GL75" s="39">
        <f t="shared" si="31"/>
        <v>0</v>
      </c>
      <c r="GM75" s="39">
        <f t="shared" si="32"/>
        <v>0</v>
      </c>
      <c r="GN75" s="2" t="s">
        <v>3</v>
      </c>
      <c r="GO75" s="2">
        <f t="shared" si="33"/>
        <v>2.8</v>
      </c>
      <c r="GP75" s="2">
        <f t="shared" si="34"/>
        <v>0.91</v>
      </c>
      <c r="GQ75" s="15">
        <f t="shared" si="35"/>
        <v>25.48</v>
      </c>
      <c r="GR75" s="15">
        <f t="shared" si="36"/>
        <v>517.14592047999997</v>
      </c>
      <c r="GS75" s="15">
        <f t="shared" si="37"/>
        <v>184.6949716</v>
      </c>
      <c r="GT75" s="2">
        <f t="shared" si="38"/>
        <v>0</v>
      </c>
      <c r="GU75" s="2">
        <f t="shared" si="39"/>
        <v>0</v>
      </c>
      <c r="GV75" s="2">
        <f t="shared" si="40"/>
        <v>25.48</v>
      </c>
      <c r="GW75" s="2">
        <f t="shared" si="41"/>
        <v>0</v>
      </c>
      <c r="GX75" s="2"/>
      <c r="GY75" s="2"/>
      <c r="GZ75" s="2"/>
      <c r="HA75" s="2"/>
      <c r="HB75" s="2">
        <f t="shared" si="42"/>
        <v>0</v>
      </c>
      <c r="HC75" s="2">
        <f t="shared" si="43"/>
        <v>0</v>
      </c>
      <c r="HD75" s="2" t="s">
        <v>3</v>
      </c>
      <c r="HE75" s="2" t="s">
        <v>37</v>
      </c>
      <c r="HF75" s="2" t="s">
        <v>244</v>
      </c>
      <c r="HG75" s="2" t="s">
        <v>208</v>
      </c>
      <c r="HH75" s="2"/>
      <c r="HI75" s="2" t="s">
        <v>81</v>
      </c>
      <c r="HJ75" s="2" t="s">
        <v>3</v>
      </c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 t="s">
        <v>3</v>
      </c>
    </row>
    <row r="76" spans="1:268" ht="15.75" customHeight="1" x14ac:dyDescent="0.2">
      <c r="A76" s="13" t="s">
        <v>1325</v>
      </c>
      <c r="B76" s="2" t="s">
        <v>99</v>
      </c>
      <c r="C76" s="2"/>
      <c r="D76" s="2"/>
      <c r="E76" s="2" t="s">
        <v>78</v>
      </c>
      <c r="F76" s="2" t="s">
        <v>309</v>
      </c>
      <c r="G76" s="2"/>
      <c r="H76" s="2" t="s">
        <v>80</v>
      </c>
      <c r="I76" s="2">
        <v>0</v>
      </c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>
        <v>0</v>
      </c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>
        <f>3.444+4.338</f>
        <v>7.782</v>
      </c>
      <c r="AZ76" s="2"/>
      <c r="BA76" s="2"/>
      <c r="BB76" s="2"/>
      <c r="BC76" s="2"/>
      <c r="BD76" s="2"/>
      <c r="BE76" s="2"/>
      <c r="BF76" s="2"/>
      <c r="BG76" s="4">
        <f>(1.04*3.444+0.97*4.338)/AY76</f>
        <v>1.0009791827293755</v>
      </c>
      <c r="BH76" s="19">
        <f>(0.079*3.444+0.084*4.338)/AY76</f>
        <v>8.1787201233616047E-2</v>
      </c>
      <c r="BI76" s="2"/>
      <c r="BJ76" s="2"/>
      <c r="BK76" s="2"/>
      <c r="BL76" s="2"/>
      <c r="BM76" s="2"/>
      <c r="BN76" s="2"/>
      <c r="BO76" s="15">
        <f>(18.1*3.444+21.1*4.338)/AY76</f>
        <v>19.772320740169622</v>
      </c>
      <c r="BP76" s="2"/>
      <c r="BQ76" s="2"/>
      <c r="BR76" s="2"/>
      <c r="BS76" s="2"/>
      <c r="BT76" s="2">
        <v>0</v>
      </c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>
        <v>0</v>
      </c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 t="s">
        <v>81</v>
      </c>
      <c r="DK76" s="2" t="s">
        <v>81</v>
      </c>
      <c r="DL76" s="2">
        <f t="shared" si="3"/>
        <v>1.0009791827293755</v>
      </c>
      <c r="DM76" s="2">
        <f t="shared" si="4"/>
        <v>8.1787201233616047E-2</v>
      </c>
      <c r="DN76" s="2" t="s">
        <v>175</v>
      </c>
      <c r="DO76" s="2" t="s">
        <v>3</v>
      </c>
      <c r="DP76" s="2">
        <f t="shared" si="5"/>
        <v>0</v>
      </c>
      <c r="DQ76" s="2">
        <f t="shared" ref="DQ76:DR76" si="1391">K76*$I76+AF76*$AD76+BA76*$AY76</f>
        <v>0</v>
      </c>
      <c r="DR76" s="2">
        <f t="shared" si="1391"/>
        <v>0</v>
      </c>
      <c r="DS76" s="2">
        <f t="shared" ref="DS76:DX76" si="1392">(M76*$I76+AH76*$AD76+BC76*$AY76)/100</f>
        <v>0</v>
      </c>
      <c r="DT76" s="2">
        <f t="shared" si="1392"/>
        <v>0</v>
      </c>
      <c r="DU76" s="2">
        <f t="shared" si="1392"/>
        <v>0</v>
      </c>
      <c r="DV76" s="2">
        <f t="shared" si="1392"/>
        <v>0</v>
      </c>
      <c r="DW76" s="2">
        <f t="shared" si="1392"/>
        <v>7.7896199999999999E-2</v>
      </c>
      <c r="DX76" s="2">
        <f t="shared" si="1392"/>
        <v>6.3646800000000002E-3</v>
      </c>
      <c r="DY76" s="2">
        <f t="shared" ref="DY76:EC76" si="1393">S76*$I76+AN76*$AD76+BI76*$AY76</f>
        <v>0</v>
      </c>
      <c r="DZ76" s="2">
        <f t="shared" si="1393"/>
        <v>0</v>
      </c>
      <c r="EA76" s="2">
        <f t="shared" si="1393"/>
        <v>0</v>
      </c>
      <c r="EB76" s="2">
        <f t="shared" si="1393"/>
        <v>0</v>
      </c>
      <c r="EC76" s="2">
        <f t="shared" si="1393"/>
        <v>0</v>
      </c>
      <c r="ED76" s="2">
        <f t="shared" ref="ED76:EE76" si="1394">(X76*$I76+AS76*$AD76+BN76*$AY76)/100</f>
        <v>0</v>
      </c>
      <c r="EE76" s="2">
        <f t="shared" si="1394"/>
        <v>1.5386820000000001</v>
      </c>
      <c r="EF76" s="2"/>
      <c r="EG76" s="2">
        <f t="shared" si="10"/>
        <v>0</v>
      </c>
      <c r="EH76" s="2">
        <f t="shared" si="11"/>
        <v>0</v>
      </c>
      <c r="EI76" s="39">
        <f t="shared" si="12"/>
        <v>0</v>
      </c>
      <c r="EJ76" s="39">
        <f t="shared" ref="EJ76:EK76" si="1395">EJ$1*DQ76/1000000</f>
        <v>0</v>
      </c>
      <c r="EK76" s="39">
        <f t="shared" si="1395"/>
        <v>0</v>
      </c>
      <c r="EL76" s="39">
        <f t="shared" ref="EL76:EQ76" si="1396">EL$1*DS76</f>
        <v>0</v>
      </c>
      <c r="EM76" s="39">
        <f t="shared" si="1396"/>
        <v>0</v>
      </c>
      <c r="EN76" s="39">
        <f t="shared" si="1396"/>
        <v>0</v>
      </c>
      <c r="EO76" s="39">
        <f t="shared" si="1396"/>
        <v>0</v>
      </c>
      <c r="EP76" s="39">
        <f t="shared" si="1396"/>
        <v>1021.5307668</v>
      </c>
      <c r="EQ76" s="39">
        <f t="shared" si="1396"/>
        <v>462.20003201231992</v>
      </c>
      <c r="ER76" s="39">
        <f t="shared" ref="ER76:EV76" si="1397">ER$1*DY76/1000000</f>
        <v>0</v>
      </c>
      <c r="ES76" s="39">
        <f t="shared" si="1397"/>
        <v>0</v>
      </c>
      <c r="ET76" s="39">
        <f t="shared" si="1397"/>
        <v>0</v>
      </c>
      <c r="EU76" s="39">
        <f t="shared" si="1397"/>
        <v>0</v>
      </c>
      <c r="EV76" s="39">
        <f t="shared" si="1397"/>
        <v>0</v>
      </c>
      <c r="EW76" s="39">
        <f t="shared" ref="EW76:EX76" si="1398">EW$1*ED76</f>
        <v>0</v>
      </c>
      <c r="EX76" s="39">
        <f t="shared" si="1398"/>
        <v>143.09742600000001</v>
      </c>
      <c r="EY76" s="2"/>
      <c r="EZ76" s="39">
        <f t="shared" si="17"/>
        <v>0</v>
      </c>
      <c r="FA76" s="39">
        <f t="shared" si="18"/>
        <v>0</v>
      </c>
      <c r="FB76" s="2">
        <f t="shared" si="19"/>
        <v>0</v>
      </c>
      <c r="FC76" s="2">
        <f t="shared" ref="FC76:FD76" si="1399">BV76*$BT76+CQ76*$CO76</f>
        <v>0</v>
      </c>
      <c r="FD76" s="2">
        <f t="shared" si="1399"/>
        <v>0</v>
      </c>
      <c r="FE76" s="2">
        <f t="shared" ref="FE76:FJ76" si="1400">(BX76*$BT76+CS76*$CO76)/100</f>
        <v>0</v>
      </c>
      <c r="FF76" s="2">
        <f t="shared" si="1400"/>
        <v>0</v>
      </c>
      <c r="FG76" s="2">
        <f t="shared" si="1400"/>
        <v>0</v>
      </c>
      <c r="FH76" s="2">
        <f t="shared" si="1400"/>
        <v>0</v>
      </c>
      <c r="FI76" s="2">
        <f t="shared" si="1400"/>
        <v>0</v>
      </c>
      <c r="FJ76" s="2">
        <f t="shared" si="1400"/>
        <v>0</v>
      </c>
      <c r="FK76" s="2">
        <f t="shared" ref="FK76:FO76" si="1401">CD76*$BT76+CY76*$CO76</f>
        <v>0</v>
      </c>
      <c r="FL76" s="2">
        <f t="shared" si="1401"/>
        <v>0</v>
      </c>
      <c r="FM76" s="2">
        <f t="shared" si="1401"/>
        <v>0</v>
      </c>
      <c r="FN76" s="2">
        <f t="shared" si="1401"/>
        <v>0</v>
      </c>
      <c r="FO76" s="2">
        <f t="shared" si="1401"/>
        <v>0</v>
      </c>
      <c r="FP76" s="2">
        <f t="shared" ref="FP76:FQ76" si="1402">(CI76*$BT76+DD76*$CO76)/100</f>
        <v>0</v>
      </c>
      <c r="FQ76" s="2">
        <f t="shared" si="1402"/>
        <v>0</v>
      </c>
      <c r="FR76" s="2"/>
      <c r="FS76" s="2">
        <f t="shared" si="24"/>
        <v>0</v>
      </c>
      <c r="FT76" s="2">
        <f t="shared" si="25"/>
        <v>0</v>
      </c>
      <c r="FU76" s="39">
        <f t="shared" si="26"/>
        <v>0</v>
      </c>
      <c r="FV76" s="39">
        <f t="shared" ref="FV76:FW76" si="1403">FV$1*FC76/1000000</f>
        <v>0</v>
      </c>
      <c r="FW76" s="39">
        <f t="shared" si="1403"/>
        <v>0</v>
      </c>
      <c r="FX76" s="39">
        <f t="shared" ref="FX76:GC76" si="1404">FX$1*FE76</f>
        <v>0</v>
      </c>
      <c r="FY76" s="39">
        <f t="shared" si="1404"/>
        <v>0</v>
      </c>
      <c r="FZ76" s="39">
        <f t="shared" si="1404"/>
        <v>0</v>
      </c>
      <c r="GA76" s="39">
        <f t="shared" si="1404"/>
        <v>0</v>
      </c>
      <c r="GB76" s="39">
        <f t="shared" si="1404"/>
        <v>0</v>
      </c>
      <c r="GC76" s="39">
        <f t="shared" si="1404"/>
        <v>0</v>
      </c>
      <c r="GD76" s="39">
        <f t="shared" ref="GD76:GH76" si="1405">GD$1*FK76/1000000</f>
        <v>0</v>
      </c>
      <c r="GE76" s="39">
        <f t="shared" si="1405"/>
        <v>0</v>
      </c>
      <c r="GF76" s="39">
        <f t="shared" si="1405"/>
        <v>0</v>
      </c>
      <c r="GG76" s="39">
        <f t="shared" si="1405"/>
        <v>0</v>
      </c>
      <c r="GH76" s="39">
        <f t="shared" si="1405"/>
        <v>0</v>
      </c>
      <c r="GI76" s="39">
        <f t="shared" ref="GI76:GJ76" si="1406">GI$1*FP76</f>
        <v>0</v>
      </c>
      <c r="GJ76" s="39">
        <f t="shared" si="1406"/>
        <v>0</v>
      </c>
      <c r="GK76" s="2"/>
      <c r="GL76" s="39">
        <f t="shared" si="31"/>
        <v>0</v>
      </c>
      <c r="GM76" s="39">
        <f t="shared" si="32"/>
        <v>0</v>
      </c>
      <c r="GN76" s="2" t="s">
        <v>3</v>
      </c>
      <c r="GO76" s="2">
        <f t="shared" si="33"/>
        <v>7.782</v>
      </c>
      <c r="GP76" s="4">
        <f t="shared" si="34"/>
        <v>1.0009791827293755</v>
      </c>
      <c r="GQ76" s="15">
        <f t="shared" si="35"/>
        <v>77.896199999999993</v>
      </c>
      <c r="GR76" s="15">
        <f t="shared" si="36"/>
        <v>1626.8282248123201</v>
      </c>
      <c r="GS76" s="15">
        <f t="shared" si="37"/>
        <v>209.05014454026215</v>
      </c>
      <c r="GT76" s="2">
        <f t="shared" si="38"/>
        <v>0</v>
      </c>
      <c r="GU76" s="2">
        <f t="shared" si="39"/>
        <v>0</v>
      </c>
      <c r="GV76" s="2">
        <f t="shared" si="40"/>
        <v>77.896199999999993</v>
      </c>
      <c r="GW76" s="2">
        <f t="shared" si="41"/>
        <v>0</v>
      </c>
      <c r="GX76" s="2"/>
      <c r="GY76" s="2"/>
      <c r="GZ76" s="2"/>
      <c r="HA76" s="2"/>
      <c r="HB76" s="2">
        <f t="shared" si="42"/>
        <v>0</v>
      </c>
      <c r="HC76" s="2">
        <f t="shared" si="43"/>
        <v>0</v>
      </c>
      <c r="HD76" s="2" t="s">
        <v>3</v>
      </c>
      <c r="HE76" s="2" t="s">
        <v>37</v>
      </c>
      <c r="HF76" s="2" t="s">
        <v>244</v>
      </c>
      <c r="HG76" s="2" t="s">
        <v>208</v>
      </c>
      <c r="HH76" s="2"/>
      <c r="HI76" s="2" t="s">
        <v>81</v>
      </c>
      <c r="HJ76" s="2" t="s">
        <v>3</v>
      </c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 t="s">
        <v>3</v>
      </c>
    </row>
    <row r="77" spans="1:268" ht="15.75" customHeight="1" x14ac:dyDescent="0.2">
      <c r="A77" s="13" t="s">
        <v>688</v>
      </c>
      <c r="B77" s="2" t="s">
        <v>99</v>
      </c>
      <c r="C77" s="2"/>
      <c r="D77" s="2"/>
      <c r="E77" s="2" t="s">
        <v>78</v>
      </c>
      <c r="F77" s="2" t="s">
        <v>689</v>
      </c>
      <c r="G77" s="2"/>
      <c r="H77" s="2" t="s">
        <v>80</v>
      </c>
      <c r="I77" s="2">
        <v>0</v>
      </c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>
        <v>10.4</v>
      </c>
      <c r="AE77" s="2"/>
      <c r="AF77" s="2"/>
      <c r="AG77" s="2"/>
      <c r="AH77" s="2"/>
      <c r="AI77" s="2"/>
      <c r="AJ77" s="2"/>
      <c r="AK77" s="2"/>
      <c r="AL77" s="2">
        <v>0.76</v>
      </c>
      <c r="AM77" s="19">
        <v>0.05</v>
      </c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>
        <v>4.2</v>
      </c>
      <c r="AZ77" s="2"/>
      <c r="BA77" s="2"/>
      <c r="BB77" s="2"/>
      <c r="BC77" s="2"/>
      <c r="BD77" s="2"/>
      <c r="BE77" s="2"/>
      <c r="BF77" s="2"/>
      <c r="BG77" s="2">
        <v>0.74</v>
      </c>
      <c r="BH77" s="2">
        <v>4.7E-2</v>
      </c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>
        <v>0</v>
      </c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>
        <v>0</v>
      </c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 t="s">
        <v>81</v>
      </c>
      <c r="DK77" s="2" t="s">
        <v>81</v>
      </c>
      <c r="DL77" s="2">
        <f t="shared" si="3"/>
        <v>0.75424657534246575</v>
      </c>
      <c r="DM77" s="2">
        <f t="shared" si="4"/>
        <v>4.913698630136986E-2</v>
      </c>
      <c r="DN77" s="2" t="s">
        <v>211</v>
      </c>
      <c r="DO77" s="2" t="s">
        <v>3</v>
      </c>
      <c r="DP77" s="2">
        <f t="shared" si="5"/>
        <v>0</v>
      </c>
      <c r="DQ77" s="2">
        <f t="shared" ref="DQ77:DR77" si="1407">K77*$I77+AF77*$AD77+BA77*$AY77</f>
        <v>0</v>
      </c>
      <c r="DR77" s="2">
        <f t="shared" si="1407"/>
        <v>0</v>
      </c>
      <c r="DS77" s="2">
        <f t="shared" ref="DS77:DX77" si="1408">(M77*$I77+AH77*$AD77+BC77*$AY77)/100</f>
        <v>0</v>
      </c>
      <c r="DT77" s="2">
        <f t="shared" si="1408"/>
        <v>0</v>
      </c>
      <c r="DU77" s="2">
        <f t="shared" si="1408"/>
        <v>0</v>
      </c>
      <c r="DV77" s="2">
        <f t="shared" si="1408"/>
        <v>0</v>
      </c>
      <c r="DW77" s="2">
        <f t="shared" si="1408"/>
        <v>0.11012000000000001</v>
      </c>
      <c r="DX77" s="2">
        <f t="shared" si="1408"/>
        <v>7.1740000000000007E-3</v>
      </c>
      <c r="DY77" s="2">
        <f t="shared" ref="DY77:EC77" si="1409">S77*$I77+AN77*$AD77+BI77*$AY77</f>
        <v>0</v>
      </c>
      <c r="DZ77" s="2">
        <f t="shared" si="1409"/>
        <v>0</v>
      </c>
      <c r="EA77" s="2">
        <f t="shared" si="1409"/>
        <v>0</v>
      </c>
      <c r="EB77" s="2">
        <f t="shared" si="1409"/>
        <v>0</v>
      </c>
      <c r="EC77" s="2">
        <f t="shared" si="1409"/>
        <v>0</v>
      </c>
      <c r="ED77" s="2">
        <f t="shared" ref="ED77:EE77" si="1410">(X77*$I77+AS77*$AD77+BN77*$AY77)/100</f>
        <v>0</v>
      </c>
      <c r="EE77" s="2">
        <f t="shared" si="1410"/>
        <v>0</v>
      </c>
      <c r="EF77" s="2"/>
      <c r="EG77" s="2">
        <f t="shared" si="10"/>
        <v>0</v>
      </c>
      <c r="EH77" s="2">
        <f t="shared" si="11"/>
        <v>0</v>
      </c>
      <c r="EI77" s="39">
        <f t="shared" si="12"/>
        <v>0</v>
      </c>
      <c r="EJ77" s="39">
        <f t="shared" ref="EJ77:EK77" si="1411">EJ$1*DQ77/1000000</f>
        <v>0</v>
      </c>
      <c r="EK77" s="39">
        <f t="shared" si="1411"/>
        <v>0</v>
      </c>
      <c r="EL77" s="39">
        <f t="shared" ref="EL77:EQ77" si="1412">EL$1*DS77</f>
        <v>0</v>
      </c>
      <c r="EM77" s="39">
        <f t="shared" si="1412"/>
        <v>0</v>
      </c>
      <c r="EN77" s="39">
        <f t="shared" si="1412"/>
        <v>0</v>
      </c>
      <c r="EO77" s="39">
        <f t="shared" si="1412"/>
        <v>0</v>
      </c>
      <c r="EP77" s="39">
        <f t="shared" si="1412"/>
        <v>1444.1136800000002</v>
      </c>
      <c r="EQ77" s="39">
        <f t="shared" si="1412"/>
        <v>520.97246517600001</v>
      </c>
      <c r="ER77" s="39">
        <f t="shared" ref="ER77:EV77" si="1413">ER$1*DY77/1000000</f>
        <v>0</v>
      </c>
      <c r="ES77" s="39">
        <f t="shared" si="1413"/>
        <v>0</v>
      </c>
      <c r="ET77" s="39">
        <f t="shared" si="1413"/>
        <v>0</v>
      </c>
      <c r="EU77" s="39">
        <f t="shared" si="1413"/>
        <v>0</v>
      </c>
      <c r="EV77" s="39">
        <f t="shared" si="1413"/>
        <v>0</v>
      </c>
      <c r="EW77" s="39">
        <f t="shared" ref="EW77:EX77" si="1414">EW$1*ED77</f>
        <v>0</v>
      </c>
      <c r="EX77" s="39">
        <f t="shared" si="1414"/>
        <v>0</v>
      </c>
      <c r="EY77" s="2"/>
      <c r="EZ77" s="39">
        <f t="shared" si="17"/>
        <v>0</v>
      </c>
      <c r="FA77" s="39">
        <f t="shared" si="18"/>
        <v>0</v>
      </c>
      <c r="FB77" s="2">
        <f t="shared" si="19"/>
        <v>0</v>
      </c>
      <c r="FC77" s="2">
        <f t="shared" ref="FC77:FD77" si="1415">BV77*$BT77+CQ77*$CO77</f>
        <v>0</v>
      </c>
      <c r="FD77" s="2">
        <f t="shared" si="1415"/>
        <v>0</v>
      </c>
      <c r="FE77" s="2">
        <f t="shared" ref="FE77:FJ77" si="1416">(BX77*$BT77+CS77*$CO77)/100</f>
        <v>0</v>
      </c>
      <c r="FF77" s="2">
        <f t="shared" si="1416"/>
        <v>0</v>
      </c>
      <c r="FG77" s="2">
        <f t="shared" si="1416"/>
        <v>0</v>
      </c>
      <c r="FH77" s="2">
        <f t="shared" si="1416"/>
        <v>0</v>
      </c>
      <c r="FI77" s="2">
        <f t="shared" si="1416"/>
        <v>0</v>
      </c>
      <c r="FJ77" s="2">
        <f t="shared" si="1416"/>
        <v>0</v>
      </c>
      <c r="FK77" s="2">
        <f t="shared" ref="FK77:FO77" si="1417">CD77*$BT77+CY77*$CO77</f>
        <v>0</v>
      </c>
      <c r="FL77" s="2">
        <f t="shared" si="1417"/>
        <v>0</v>
      </c>
      <c r="FM77" s="2">
        <f t="shared" si="1417"/>
        <v>0</v>
      </c>
      <c r="FN77" s="2">
        <f t="shared" si="1417"/>
        <v>0</v>
      </c>
      <c r="FO77" s="2">
        <f t="shared" si="1417"/>
        <v>0</v>
      </c>
      <c r="FP77" s="2">
        <f t="shared" ref="FP77:FQ77" si="1418">(CI77*$BT77+DD77*$CO77)/100</f>
        <v>0</v>
      </c>
      <c r="FQ77" s="2">
        <f t="shared" si="1418"/>
        <v>0</v>
      </c>
      <c r="FR77" s="2"/>
      <c r="FS77" s="2">
        <f t="shared" si="24"/>
        <v>0</v>
      </c>
      <c r="FT77" s="2">
        <f t="shared" si="25"/>
        <v>0</v>
      </c>
      <c r="FU77" s="39">
        <f t="shared" si="26"/>
        <v>0</v>
      </c>
      <c r="FV77" s="39">
        <f t="shared" ref="FV77:FW77" si="1419">FV$1*FC77/1000000</f>
        <v>0</v>
      </c>
      <c r="FW77" s="39">
        <f t="shared" si="1419"/>
        <v>0</v>
      </c>
      <c r="FX77" s="39">
        <f t="shared" ref="FX77:GC77" si="1420">FX$1*FE77</f>
        <v>0</v>
      </c>
      <c r="FY77" s="39">
        <f t="shared" si="1420"/>
        <v>0</v>
      </c>
      <c r="FZ77" s="39">
        <f t="shared" si="1420"/>
        <v>0</v>
      </c>
      <c r="GA77" s="39">
        <f t="shared" si="1420"/>
        <v>0</v>
      </c>
      <c r="GB77" s="39">
        <f t="shared" si="1420"/>
        <v>0</v>
      </c>
      <c r="GC77" s="39">
        <f t="shared" si="1420"/>
        <v>0</v>
      </c>
      <c r="GD77" s="39">
        <f t="shared" ref="GD77:GH77" si="1421">GD$1*FK77/1000000</f>
        <v>0</v>
      </c>
      <c r="GE77" s="39">
        <f t="shared" si="1421"/>
        <v>0</v>
      </c>
      <c r="GF77" s="39">
        <f t="shared" si="1421"/>
        <v>0</v>
      </c>
      <c r="GG77" s="39">
        <f t="shared" si="1421"/>
        <v>0</v>
      </c>
      <c r="GH77" s="39">
        <f t="shared" si="1421"/>
        <v>0</v>
      </c>
      <c r="GI77" s="39">
        <f t="shared" ref="GI77:GJ77" si="1422">GI$1*FP77</f>
        <v>0</v>
      </c>
      <c r="GJ77" s="39">
        <f t="shared" si="1422"/>
        <v>0</v>
      </c>
      <c r="GK77" s="2"/>
      <c r="GL77" s="39">
        <f t="shared" si="31"/>
        <v>0</v>
      </c>
      <c r="GM77" s="39">
        <f t="shared" si="32"/>
        <v>0</v>
      </c>
      <c r="GN77" s="2" t="s">
        <v>3</v>
      </c>
      <c r="GO77" s="2">
        <f t="shared" si="33"/>
        <v>14.600000000000001</v>
      </c>
      <c r="GP77" s="4">
        <f t="shared" si="34"/>
        <v>0.75424657534246575</v>
      </c>
      <c r="GQ77" s="15">
        <f t="shared" si="35"/>
        <v>110.12000000000002</v>
      </c>
      <c r="GR77" s="15">
        <f t="shared" si="36"/>
        <v>1965.0861451760002</v>
      </c>
      <c r="GS77" s="15">
        <f t="shared" si="37"/>
        <v>134.59494145041097</v>
      </c>
      <c r="GT77" s="2">
        <f t="shared" si="38"/>
        <v>0</v>
      </c>
      <c r="GU77" s="2">
        <f t="shared" si="39"/>
        <v>79.040000000000006</v>
      </c>
      <c r="GV77" s="2">
        <f t="shared" si="40"/>
        <v>31.08</v>
      </c>
      <c r="GW77" s="2">
        <f t="shared" si="41"/>
        <v>0</v>
      </c>
      <c r="GX77" s="2"/>
      <c r="GY77" s="2"/>
      <c r="GZ77" s="2"/>
      <c r="HA77" s="2"/>
      <c r="HB77" s="2">
        <f t="shared" si="42"/>
        <v>0</v>
      </c>
      <c r="HC77" s="2">
        <f t="shared" si="43"/>
        <v>0</v>
      </c>
      <c r="HD77" s="2" t="s">
        <v>3</v>
      </c>
      <c r="HE77" s="2" t="s">
        <v>37</v>
      </c>
      <c r="HF77" s="2" t="s">
        <v>244</v>
      </c>
      <c r="HG77" s="2" t="s">
        <v>208</v>
      </c>
      <c r="HH77" s="2"/>
      <c r="HI77" s="2" t="s">
        <v>81</v>
      </c>
      <c r="HJ77" s="2" t="s">
        <v>3</v>
      </c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 t="s">
        <v>3</v>
      </c>
    </row>
    <row r="78" spans="1:268" ht="15.75" customHeight="1" x14ac:dyDescent="0.2">
      <c r="A78" s="13" t="s">
        <v>687</v>
      </c>
      <c r="B78" s="2" t="s">
        <v>99</v>
      </c>
      <c r="C78" s="2"/>
      <c r="D78" s="2"/>
      <c r="E78" s="2" t="s">
        <v>78</v>
      </c>
      <c r="F78" s="2" t="s">
        <v>309</v>
      </c>
      <c r="G78" s="2"/>
      <c r="H78" s="2" t="s">
        <v>80</v>
      </c>
      <c r="I78" s="2">
        <v>0</v>
      </c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>
        <v>0</v>
      </c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>
        <v>0.5</v>
      </c>
      <c r="AZ78" s="2"/>
      <c r="BA78" s="2"/>
      <c r="BB78" s="2"/>
      <c r="BC78" s="2"/>
      <c r="BD78" s="2"/>
      <c r="BE78" s="2"/>
      <c r="BF78" s="2"/>
      <c r="BG78" s="2">
        <v>0.75</v>
      </c>
      <c r="BH78" s="2">
        <v>0.04</v>
      </c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>
        <v>0</v>
      </c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>
        <v>0</v>
      </c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 t="s">
        <v>81</v>
      </c>
      <c r="DK78" s="2" t="s">
        <v>81</v>
      </c>
      <c r="DL78" s="2">
        <f t="shared" si="3"/>
        <v>0.75</v>
      </c>
      <c r="DM78" s="2">
        <f t="shared" si="4"/>
        <v>0.04</v>
      </c>
      <c r="DN78" s="2" t="s">
        <v>175</v>
      </c>
      <c r="DO78" s="2" t="s">
        <v>3</v>
      </c>
      <c r="DP78" s="2">
        <f t="shared" si="5"/>
        <v>0</v>
      </c>
      <c r="DQ78" s="2">
        <f t="shared" ref="DQ78:DR78" si="1423">K78*$I78+AF78*$AD78+BA78*$AY78</f>
        <v>0</v>
      </c>
      <c r="DR78" s="2">
        <f t="shared" si="1423"/>
        <v>0</v>
      </c>
      <c r="DS78" s="2">
        <f t="shared" ref="DS78:DX78" si="1424">(M78*$I78+AH78*$AD78+BC78*$AY78)/100</f>
        <v>0</v>
      </c>
      <c r="DT78" s="2">
        <f t="shared" si="1424"/>
        <v>0</v>
      </c>
      <c r="DU78" s="2">
        <f t="shared" si="1424"/>
        <v>0</v>
      </c>
      <c r="DV78" s="2">
        <f t="shared" si="1424"/>
        <v>0</v>
      </c>
      <c r="DW78" s="2">
        <f t="shared" si="1424"/>
        <v>3.7499999999999999E-3</v>
      </c>
      <c r="DX78" s="2">
        <f t="shared" si="1424"/>
        <v>2.0000000000000001E-4</v>
      </c>
      <c r="DY78" s="2">
        <f t="shared" ref="DY78:EC78" si="1425">S78*$I78+AN78*$AD78+BI78*$AY78</f>
        <v>0</v>
      </c>
      <c r="DZ78" s="2">
        <f t="shared" si="1425"/>
        <v>0</v>
      </c>
      <c r="EA78" s="2">
        <f t="shared" si="1425"/>
        <v>0</v>
      </c>
      <c r="EB78" s="2">
        <f t="shared" si="1425"/>
        <v>0</v>
      </c>
      <c r="EC78" s="2">
        <f t="shared" si="1425"/>
        <v>0</v>
      </c>
      <c r="ED78" s="2">
        <f t="shared" ref="ED78:EE78" si="1426">(X78*$I78+AS78*$AD78+BN78*$AY78)/100</f>
        <v>0</v>
      </c>
      <c r="EE78" s="2">
        <f t="shared" si="1426"/>
        <v>0</v>
      </c>
      <c r="EF78" s="2"/>
      <c r="EG78" s="2">
        <f t="shared" si="10"/>
        <v>0</v>
      </c>
      <c r="EH78" s="2">
        <f t="shared" si="11"/>
        <v>0</v>
      </c>
      <c r="EI78" s="39">
        <f t="shared" si="12"/>
        <v>0</v>
      </c>
      <c r="EJ78" s="39">
        <f t="shared" ref="EJ78:EK78" si="1427">EJ$1*DQ78/1000000</f>
        <v>0</v>
      </c>
      <c r="EK78" s="39">
        <f t="shared" si="1427"/>
        <v>0</v>
      </c>
      <c r="EL78" s="39">
        <f t="shared" ref="EL78:EQ78" si="1428">EL$1*DS78</f>
        <v>0</v>
      </c>
      <c r="EM78" s="39">
        <f t="shared" si="1428"/>
        <v>0</v>
      </c>
      <c r="EN78" s="39">
        <f t="shared" si="1428"/>
        <v>0</v>
      </c>
      <c r="EO78" s="39">
        <f t="shared" si="1428"/>
        <v>0</v>
      </c>
      <c r="EP78" s="39">
        <f t="shared" si="1428"/>
        <v>49.177499999999995</v>
      </c>
      <c r="EQ78" s="39">
        <f t="shared" si="1428"/>
        <v>14.523904799999999</v>
      </c>
      <c r="ER78" s="39">
        <f t="shared" ref="ER78:EV78" si="1429">ER$1*DY78/1000000</f>
        <v>0</v>
      </c>
      <c r="ES78" s="39">
        <f t="shared" si="1429"/>
        <v>0</v>
      </c>
      <c r="ET78" s="39">
        <f t="shared" si="1429"/>
        <v>0</v>
      </c>
      <c r="EU78" s="39">
        <f t="shared" si="1429"/>
        <v>0</v>
      </c>
      <c r="EV78" s="39">
        <f t="shared" si="1429"/>
        <v>0</v>
      </c>
      <c r="EW78" s="39">
        <f t="shared" ref="EW78:EX78" si="1430">EW$1*ED78</f>
        <v>0</v>
      </c>
      <c r="EX78" s="39">
        <f t="shared" si="1430"/>
        <v>0</v>
      </c>
      <c r="EY78" s="2"/>
      <c r="EZ78" s="39">
        <f t="shared" si="17"/>
        <v>0</v>
      </c>
      <c r="FA78" s="39">
        <f t="shared" si="18"/>
        <v>0</v>
      </c>
      <c r="FB78" s="2">
        <f t="shared" si="19"/>
        <v>0</v>
      </c>
      <c r="FC78" s="2">
        <f t="shared" ref="FC78:FD78" si="1431">BV78*$BT78+CQ78*$CO78</f>
        <v>0</v>
      </c>
      <c r="FD78" s="2">
        <f t="shared" si="1431"/>
        <v>0</v>
      </c>
      <c r="FE78" s="2">
        <f t="shared" ref="FE78:FJ78" si="1432">(BX78*$BT78+CS78*$CO78)/100</f>
        <v>0</v>
      </c>
      <c r="FF78" s="2">
        <f t="shared" si="1432"/>
        <v>0</v>
      </c>
      <c r="FG78" s="2">
        <f t="shared" si="1432"/>
        <v>0</v>
      </c>
      <c r="FH78" s="2">
        <f t="shared" si="1432"/>
        <v>0</v>
      </c>
      <c r="FI78" s="2">
        <f t="shared" si="1432"/>
        <v>0</v>
      </c>
      <c r="FJ78" s="2">
        <f t="shared" si="1432"/>
        <v>0</v>
      </c>
      <c r="FK78" s="2">
        <f t="shared" ref="FK78:FO78" si="1433">CD78*$BT78+CY78*$CO78</f>
        <v>0</v>
      </c>
      <c r="FL78" s="2">
        <f t="shared" si="1433"/>
        <v>0</v>
      </c>
      <c r="FM78" s="2">
        <f t="shared" si="1433"/>
        <v>0</v>
      </c>
      <c r="FN78" s="2">
        <f t="shared" si="1433"/>
        <v>0</v>
      </c>
      <c r="FO78" s="2">
        <f t="shared" si="1433"/>
        <v>0</v>
      </c>
      <c r="FP78" s="2">
        <f t="shared" ref="FP78:FQ78" si="1434">(CI78*$BT78+DD78*$CO78)/100</f>
        <v>0</v>
      </c>
      <c r="FQ78" s="2">
        <f t="shared" si="1434"/>
        <v>0</v>
      </c>
      <c r="FR78" s="2"/>
      <c r="FS78" s="2">
        <f t="shared" si="24"/>
        <v>0</v>
      </c>
      <c r="FT78" s="2">
        <f t="shared" si="25"/>
        <v>0</v>
      </c>
      <c r="FU78" s="39">
        <f t="shared" si="26"/>
        <v>0</v>
      </c>
      <c r="FV78" s="39">
        <f t="shared" ref="FV78:FW78" si="1435">FV$1*FC78/1000000</f>
        <v>0</v>
      </c>
      <c r="FW78" s="39">
        <f t="shared" si="1435"/>
        <v>0</v>
      </c>
      <c r="FX78" s="39">
        <f t="shared" ref="FX78:GC78" si="1436">FX$1*FE78</f>
        <v>0</v>
      </c>
      <c r="FY78" s="39">
        <f t="shared" si="1436"/>
        <v>0</v>
      </c>
      <c r="FZ78" s="39">
        <f t="shared" si="1436"/>
        <v>0</v>
      </c>
      <c r="GA78" s="39">
        <f t="shared" si="1436"/>
        <v>0</v>
      </c>
      <c r="GB78" s="39">
        <f t="shared" si="1436"/>
        <v>0</v>
      </c>
      <c r="GC78" s="39">
        <f t="shared" si="1436"/>
        <v>0</v>
      </c>
      <c r="GD78" s="39">
        <f t="shared" ref="GD78:GH78" si="1437">GD$1*FK78/1000000</f>
        <v>0</v>
      </c>
      <c r="GE78" s="39">
        <f t="shared" si="1437"/>
        <v>0</v>
      </c>
      <c r="GF78" s="39">
        <f t="shared" si="1437"/>
        <v>0</v>
      </c>
      <c r="GG78" s="39">
        <f t="shared" si="1437"/>
        <v>0</v>
      </c>
      <c r="GH78" s="39">
        <f t="shared" si="1437"/>
        <v>0</v>
      </c>
      <c r="GI78" s="39">
        <f t="shared" ref="GI78:GJ78" si="1438">GI$1*FP78</f>
        <v>0</v>
      </c>
      <c r="GJ78" s="39">
        <f t="shared" si="1438"/>
        <v>0</v>
      </c>
      <c r="GK78" s="2"/>
      <c r="GL78" s="39">
        <f t="shared" si="31"/>
        <v>0</v>
      </c>
      <c r="GM78" s="39">
        <f t="shared" si="32"/>
        <v>0</v>
      </c>
      <c r="GN78" s="2" t="s">
        <v>3</v>
      </c>
      <c r="GO78" s="2">
        <f t="shared" si="33"/>
        <v>0.5</v>
      </c>
      <c r="GP78" s="2">
        <f t="shared" si="34"/>
        <v>0.75</v>
      </c>
      <c r="GQ78" s="15">
        <f t="shared" si="35"/>
        <v>3.75</v>
      </c>
      <c r="GR78" s="15">
        <f t="shared" si="36"/>
        <v>63.701404799999992</v>
      </c>
      <c r="GS78" s="15">
        <f t="shared" si="37"/>
        <v>127.40280959999998</v>
      </c>
      <c r="GT78" s="2">
        <f t="shared" si="38"/>
        <v>0</v>
      </c>
      <c r="GU78" s="2">
        <f t="shared" si="39"/>
        <v>0</v>
      </c>
      <c r="GV78" s="2">
        <f t="shared" si="40"/>
        <v>3.75</v>
      </c>
      <c r="GW78" s="2">
        <f t="shared" si="41"/>
        <v>0</v>
      </c>
      <c r="GX78" s="2"/>
      <c r="GY78" s="2"/>
      <c r="GZ78" s="2"/>
      <c r="HA78" s="2"/>
      <c r="HB78" s="2">
        <f t="shared" si="42"/>
        <v>0</v>
      </c>
      <c r="HC78" s="2">
        <f t="shared" si="43"/>
        <v>0</v>
      </c>
      <c r="HD78" s="2" t="s">
        <v>3</v>
      </c>
      <c r="HE78" s="2" t="s">
        <v>37</v>
      </c>
      <c r="HF78" s="2" t="s">
        <v>244</v>
      </c>
      <c r="HG78" s="2" t="s">
        <v>208</v>
      </c>
      <c r="HH78" s="2"/>
      <c r="HI78" s="2" t="s">
        <v>81</v>
      </c>
      <c r="HJ78" s="2" t="s">
        <v>3</v>
      </c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 t="s">
        <v>3</v>
      </c>
    </row>
    <row r="79" spans="1:268" ht="15.75" customHeight="1" x14ac:dyDescent="0.2">
      <c r="A79" s="13" t="s">
        <v>496</v>
      </c>
      <c r="B79" s="2" t="s">
        <v>99</v>
      </c>
      <c r="C79" s="2"/>
      <c r="D79" s="2"/>
      <c r="E79" s="2" t="s">
        <v>78</v>
      </c>
      <c r="F79" s="2" t="s">
        <v>497</v>
      </c>
      <c r="G79" s="2"/>
      <c r="H79" s="2" t="s">
        <v>348</v>
      </c>
      <c r="I79" s="2">
        <v>0</v>
      </c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19">
        <v>29.830577999999999</v>
      </c>
      <c r="AE79" s="2"/>
      <c r="AF79" s="2"/>
      <c r="AG79" s="2"/>
      <c r="AH79" s="2"/>
      <c r="AI79" s="2"/>
      <c r="AJ79" s="2"/>
      <c r="AK79" s="2"/>
      <c r="AL79" s="2">
        <v>0.8</v>
      </c>
      <c r="AM79" s="2">
        <v>7.1999999999999995E-2</v>
      </c>
      <c r="AN79" s="2"/>
      <c r="AO79" s="2"/>
      <c r="AP79" s="2"/>
      <c r="AQ79" s="2"/>
      <c r="AR79" s="2"/>
      <c r="AS79" s="2">
        <v>1.48</v>
      </c>
      <c r="AT79" s="2">
        <v>41</v>
      </c>
      <c r="AU79" s="2">
        <v>10.9</v>
      </c>
      <c r="AV79" s="2"/>
      <c r="AW79" s="2"/>
      <c r="AX79" s="2"/>
      <c r="AY79" s="19">
        <v>18.627089999999999</v>
      </c>
      <c r="AZ79" s="2"/>
      <c r="BA79" s="2"/>
      <c r="BB79" s="2"/>
      <c r="BC79" s="2"/>
      <c r="BD79" s="2"/>
      <c r="BE79" s="2"/>
      <c r="BF79" s="2"/>
      <c r="BG79" s="2">
        <v>0.42</v>
      </c>
      <c r="BH79" s="2">
        <v>3.5000000000000003E-2</v>
      </c>
      <c r="BI79" s="2"/>
      <c r="BJ79" s="2"/>
      <c r="BK79" s="2"/>
      <c r="BL79" s="2"/>
      <c r="BM79" s="2"/>
      <c r="BN79" s="2">
        <v>1.77</v>
      </c>
      <c r="BO79" s="2">
        <v>41</v>
      </c>
      <c r="BP79" s="2">
        <v>10.9</v>
      </c>
      <c r="BQ79" s="2"/>
      <c r="BR79" s="2"/>
      <c r="BS79" s="2"/>
      <c r="BT79" s="2">
        <v>0</v>
      </c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>
        <v>0</v>
      </c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 t="s">
        <v>81</v>
      </c>
      <c r="DK79" s="2" t="s">
        <v>81</v>
      </c>
      <c r="DL79" s="2">
        <f t="shared" si="3"/>
        <v>0.65392829469218372</v>
      </c>
      <c r="DM79" s="2">
        <f t="shared" si="4"/>
        <v>5.7777228693712622E-2</v>
      </c>
      <c r="DN79" s="2" t="s">
        <v>175</v>
      </c>
      <c r="DO79" s="2" t="s">
        <v>3</v>
      </c>
      <c r="DP79" s="2">
        <f t="shared" si="5"/>
        <v>0</v>
      </c>
      <c r="DQ79" s="2">
        <f t="shared" ref="DQ79:DR79" si="1439">K79*$I79+AF79*$AD79+BA79*$AY79</f>
        <v>0</v>
      </c>
      <c r="DR79" s="2">
        <f t="shared" si="1439"/>
        <v>0</v>
      </c>
      <c r="DS79" s="2">
        <f t="shared" ref="DS79:DX79" si="1440">(M79*$I79+AH79*$AD79+BC79*$AY79)/100</f>
        <v>0</v>
      </c>
      <c r="DT79" s="2">
        <f t="shared" si="1440"/>
        <v>0</v>
      </c>
      <c r="DU79" s="2">
        <f t="shared" si="1440"/>
        <v>0</v>
      </c>
      <c r="DV79" s="2">
        <f t="shared" si="1440"/>
        <v>0</v>
      </c>
      <c r="DW79" s="2">
        <f t="shared" si="1440"/>
        <v>0.316878402</v>
      </c>
      <c r="DX79" s="2">
        <f t="shared" si="1440"/>
        <v>2.7997497659999995E-2</v>
      </c>
      <c r="DY79" s="2">
        <f t="shared" ref="DY79:EC79" si="1441">S79*$I79+AN79*$AD79+BI79*$AY79</f>
        <v>0</v>
      </c>
      <c r="DZ79" s="2">
        <f t="shared" si="1441"/>
        <v>0</v>
      </c>
      <c r="EA79" s="2">
        <f t="shared" si="1441"/>
        <v>0</v>
      </c>
      <c r="EB79" s="2">
        <f t="shared" si="1441"/>
        <v>0</v>
      </c>
      <c r="EC79" s="2">
        <f t="shared" si="1441"/>
        <v>0</v>
      </c>
      <c r="ED79" s="2">
        <f t="shared" ref="ED79:EE79" si="1442">(X79*$I79+AS79*$AD79+BN79*$AY79)/100</f>
        <v>0.77119204739999991</v>
      </c>
      <c r="EE79" s="2">
        <f t="shared" si="1442"/>
        <v>19.867643879999999</v>
      </c>
      <c r="EF79" s="2"/>
      <c r="EG79" s="2">
        <f t="shared" si="10"/>
        <v>0</v>
      </c>
      <c r="EH79" s="2">
        <f t="shared" si="11"/>
        <v>0</v>
      </c>
      <c r="EI79" s="39">
        <f t="shared" si="12"/>
        <v>0</v>
      </c>
      <c r="EJ79" s="39">
        <f t="shared" ref="EJ79:EK79" si="1443">EJ$1*DQ79/1000000</f>
        <v>0</v>
      </c>
      <c r="EK79" s="39">
        <f t="shared" si="1443"/>
        <v>0</v>
      </c>
      <c r="EL79" s="39">
        <f t="shared" ref="EL79:EQ79" si="1444">EL$1*DS79</f>
        <v>0</v>
      </c>
      <c r="EM79" s="39">
        <f t="shared" si="1444"/>
        <v>0</v>
      </c>
      <c r="EN79" s="39">
        <f t="shared" si="1444"/>
        <v>0</v>
      </c>
      <c r="EO79" s="39">
        <f t="shared" si="1444"/>
        <v>0</v>
      </c>
      <c r="EP79" s="39">
        <f t="shared" si="1444"/>
        <v>4155.5433638280001</v>
      </c>
      <c r="EQ79" s="39">
        <f t="shared" si="1444"/>
        <v>2033.1649532603133</v>
      </c>
      <c r="ER79" s="39">
        <f t="shared" ref="ER79:EV79" si="1445">ER$1*DY79/1000000</f>
        <v>0</v>
      </c>
      <c r="ES79" s="39">
        <f t="shared" si="1445"/>
        <v>0</v>
      </c>
      <c r="ET79" s="39">
        <f t="shared" si="1445"/>
        <v>0</v>
      </c>
      <c r="EU79" s="39">
        <f t="shared" si="1445"/>
        <v>0</v>
      </c>
      <c r="EV79" s="39">
        <f t="shared" si="1445"/>
        <v>0</v>
      </c>
      <c r="EW79" s="39">
        <f t="shared" ref="EW79:EX79" si="1446">EW$1*ED79</f>
        <v>215.16258122459999</v>
      </c>
      <c r="EX79" s="39">
        <f t="shared" si="1446"/>
        <v>1847.6908808399999</v>
      </c>
      <c r="EY79" s="2"/>
      <c r="EZ79" s="39">
        <f t="shared" si="17"/>
        <v>0</v>
      </c>
      <c r="FA79" s="39">
        <f t="shared" si="18"/>
        <v>0</v>
      </c>
      <c r="FB79" s="2">
        <f t="shared" si="19"/>
        <v>0</v>
      </c>
      <c r="FC79" s="2">
        <f t="shared" ref="FC79:FD79" si="1447">BV79*$BT79+CQ79*$CO79</f>
        <v>0</v>
      </c>
      <c r="FD79" s="2">
        <f t="shared" si="1447"/>
        <v>0</v>
      </c>
      <c r="FE79" s="2">
        <f t="shared" ref="FE79:FJ79" si="1448">(BX79*$BT79+CS79*$CO79)/100</f>
        <v>0</v>
      </c>
      <c r="FF79" s="2">
        <f t="shared" si="1448"/>
        <v>0</v>
      </c>
      <c r="FG79" s="2">
        <f t="shared" si="1448"/>
        <v>0</v>
      </c>
      <c r="FH79" s="2">
        <f t="shared" si="1448"/>
        <v>0</v>
      </c>
      <c r="FI79" s="2">
        <f t="shared" si="1448"/>
        <v>0</v>
      </c>
      <c r="FJ79" s="2">
        <f t="shared" si="1448"/>
        <v>0</v>
      </c>
      <c r="FK79" s="2">
        <f t="shared" ref="FK79:FO79" si="1449">CD79*$BT79+CY79*$CO79</f>
        <v>0</v>
      </c>
      <c r="FL79" s="2">
        <f t="shared" si="1449"/>
        <v>0</v>
      </c>
      <c r="FM79" s="2">
        <f t="shared" si="1449"/>
        <v>0</v>
      </c>
      <c r="FN79" s="2">
        <f t="shared" si="1449"/>
        <v>0</v>
      </c>
      <c r="FO79" s="2">
        <f t="shared" si="1449"/>
        <v>0</v>
      </c>
      <c r="FP79" s="2">
        <f t="shared" ref="FP79:FQ79" si="1450">(CI79*$BT79+DD79*$CO79)/100</f>
        <v>0</v>
      </c>
      <c r="FQ79" s="2">
        <f t="shared" si="1450"/>
        <v>0</v>
      </c>
      <c r="FR79" s="2"/>
      <c r="FS79" s="2">
        <f t="shared" si="24"/>
        <v>0</v>
      </c>
      <c r="FT79" s="2">
        <f t="shared" si="25"/>
        <v>0</v>
      </c>
      <c r="FU79" s="39">
        <f t="shared" si="26"/>
        <v>0</v>
      </c>
      <c r="FV79" s="39">
        <f t="shared" ref="FV79:FW79" si="1451">FV$1*FC79/1000000</f>
        <v>0</v>
      </c>
      <c r="FW79" s="39">
        <f t="shared" si="1451"/>
        <v>0</v>
      </c>
      <c r="FX79" s="39">
        <f t="shared" ref="FX79:GC79" si="1452">FX$1*FE79</f>
        <v>0</v>
      </c>
      <c r="FY79" s="39">
        <f t="shared" si="1452"/>
        <v>0</v>
      </c>
      <c r="FZ79" s="39">
        <f t="shared" si="1452"/>
        <v>0</v>
      </c>
      <c r="GA79" s="39">
        <f t="shared" si="1452"/>
        <v>0</v>
      </c>
      <c r="GB79" s="39">
        <f t="shared" si="1452"/>
        <v>0</v>
      </c>
      <c r="GC79" s="39">
        <f t="shared" si="1452"/>
        <v>0</v>
      </c>
      <c r="GD79" s="39">
        <f t="shared" ref="GD79:GH79" si="1453">GD$1*FK79/1000000</f>
        <v>0</v>
      </c>
      <c r="GE79" s="39">
        <f t="shared" si="1453"/>
        <v>0</v>
      </c>
      <c r="GF79" s="39">
        <f t="shared" si="1453"/>
        <v>0</v>
      </c>
      <c r="GG79" s="39">
        <f t="shared" si="1453"/>
        <v>0</v>
      </c>
      <c r="GH79" s="39">
        <f t="shared" si="1453"/>
        <v>0</v>
      </c>
      <c r="GI79" s="39">
        <f t="shared" ref="GI79:GJ79" si="1454">GI$1*FP79</f>
        <v>0</v>
      </c>
      <c r="GJ79" s="39">
        <f t="shared" si="1454"/>
        <v>0</v>
      </c>
      <c r="GK79" s="2"/>
      <c r="GL79" s="39">
        <f t="shared" si="31"/>
        <v>0</v>
      </c>
      <c r="GM79" s="39">
        <f t="shared" si="32"/>
        <v>0</v>
      </c>
      <c r="GN79" s="2" t="s">
        <v>3</v>
      </c>
      <c r="GO79" s="4">
        <f t="shared" si="33"/>
        <v>48.457667999999998</v>
      </c>
      <c r="GP79" s="4">
        <f t="shared" si="34"/>
        <v>0.65392829469218372</v>
      </c>
      <c r="GQ79" s="15">
        <f t="shared" si="35"/>
        <v>316.87840199999999</v>
      </c>
      <c r="GR79" s="15">
        <f t="shared" si="36"/>
        <v>8251.561779152913</v>
      </c>
      <c r="GS79" s="15">
        <f t="shared" si="37"/>
        <v>170.28392243623679</v>
      </c>
      <c r="GT79" s="2">
        <f t="shared" si="38"/>
        <v>0</v>
      </c>
      <c r="GU79" s="2">
        <f t="shared" si="39"/>
        <v>238.64462399999999</v>
      </c>
      <c r="GV79" s="2">
        <f t="shared" si="40"/>
        <v>78.233777999999987</v>
      </c>
      <c r="GW79" s="2">
        <f t="shared" si="41"/>
        <v>0</v>
      </c>
      <c r="GX79" s="2"/>
      <c r="GY79" s="2"/>
      <c r="GZ79" s="2"/>
      <c r="HA79" s="2"/>
      <c r="HB79" s="2">
        <f t="shared" si="42"/>
        <v>0</v>
      </c>
      <c r="HC79" s="2">
        <f t="shared" si="43"/>
        <v>0</v>
      </c>
      <c r="HD79" s="2" t="s">
        <v>3</v>
      </c>
      <c r="HE79" s="2" t="s">
        <v>37</v>
      </c>
      <c r="HF79" s="2" t="s">
        <v>244</v>
      </c>
      <c r="HG79" s="2"/>
      <c r="HH79" s="2"/>
      <c r="HI79" s="2" t="s">
        <v>81</v>
      </c>
      <c r="HJ79" s="2" t="s">
        <v>3</v>
      </c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 t="s">
        <v>3</v>
      </c>
    </row>
    <row r="80" spans="1:268" ht="15.75" customHeight="1" x14ac:dyDescent="0.2">
      <c r="A80" s="13" t="s">
        <v>1320</v>
      </c>
      <c r="B80" s="2" t="s">
        <v>99</v>
      </c>
      <c r="C80" s="2"/>
      <c r="D80" s="2"/>
      <c r="E80" s="2" t="s">
        <v>78</v>
      </c>
      <c r="F80" s="2" t="s">
        <v>1321</v>
      </c>
      <c r="G80" s="2"/>
      <c r="H80" s="2" t="s">
        <v>242</v>
      </c>
      <c r="I80" s="2">
        <v>0</v>
      </c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>
        <v>0</v>
      </c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>
        <v>0.7</v>
      </c>
      <c r="AZ80" s="2"/>
      <c r="BA80" s="2"/>
      <c r="BB80" s="2"/>
      <c r="BC80" s="2"/>
      <c r="BD80" s="2"/>
      <c r="BE80" s="2"/>
      <c r="BF80" s="2"/>
      <c r="BG80" s="2">
        <v>0.83</v>
      </c>
      <c r="BH80" s="2">
        <v>0.04</v>
      </c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>
        <v>0</v>
      </c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>
        <v>0</v>
      </c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 t="s">
        <v>81</v>
      </c>
      <c r="DK80" s="2" t="s">
        <v>81</v>
      </c>
      <c r="DL80" s="2">
        <f t="shared" si="3"/>
        <v>0.83</v>
      </c>
      <c r="DM80" s="2">
        <f t="shared" si="4"/>
        <v>0.04</v>
      </c>
      <c r="DN80" s="2" t="s">
        <v>175</v>
      </c>
      <c r="DO80" s="2" t="s">
        <v>3</v>
      </c>
      <c r="DP80" s="2">
        <f t="shared" si="5"/>
        <v>0</v>
      </c>
      <c r="DQ80" s="2">
        <f t="shared" ref="DQ80:DR80" si="1455">K80*$I80+AF80*$AD80+BA80*$AY80</f>
        <v>0</v>
      </c>
      <c r="DR80" s="2">
        <f t="shared" si="1455"/>
        <v>0</v>
      </c>
      <c r="DS80" s="2">
        <f t="shared" ref="DS80:DX80" si="1456">(M80*$I80+AH80*$AD80+BC80*$AY80)/100</f>
        <v>0</v>
      </c>
      <c r="DT80" s="2">
        <f t="shared" si="1456"/>
        <v>0</v>
      </c>
      <c r="DU80" s="2">
        <f t="shared" si="1456"/>
        <v>0</v>
      </c>
      <c r="DV80" s="2">
        <f t="shared" si="1456"/>
        <v>0</v>
      </c>
      <c r="DW80" s="2">
        <f t="shared" si="1456"/>
        <v>5.8099999999999992E-3</v>
      </c>
      <c r="DX80" s="2">
        <f t="shared" si="1456"/>
        <v>2.7999999999999998E-4</v>
      </c>
      <c r="DY80" s="2">
        <f t="shared" ref="DY80:EC80" si="1457">S80*$I80+AN80*$AD80+BI80*$AY80</f>
        <v>0</v>
      </c>
      <c r="DZ80" s="2">
        <f t="shared" si="1457"/>
        <v>0</v>
      </c>
      <c r="EA80" s="2">
        <f t="shared" si="1457"/>
        <v>0</v>
      </c>
      <c r="EB80" s="2">
        <f t="shared" si="1457"/>
        <v>0</v>
      </c>
      <c r="EC80" s="2">
        <f t="shared" si="1457"/>
        <v>0</v>
      </c>
      <c r="ED80" s="2">
        <f t="shared" ref="ED80:EE80" si="1458">(X80*$I80+AS80*$AD80+BN80*$AY80)/100</f>
        <v>0</v>
      </c>
      <c r="EE80" s="2">
        <f t="shared" si="1458"/>
        <v>0</v>
      </c>
      <c r="EF80" s="2"/>
      <c r="EG80" s="2">
        <f t="shared" si="10"/>
        <v>0</v>
      </c>
      <c r="EH80" s="2">
        <f t="shared" si="11"/>
        <v>0</v>
      </c>
      <c r="EI80" s="39">
        <f t="shared" si="12"/>
        <v>0</v>
      </c>
      <c r="EJ80" s="39">
        <f t="shared" ref="EJ80:EK80" si="1459">EJ$1*DQ80/1000000</f>
        <v>0</v>
      </c>
      <c r="EK80" s="39">
        <f t="shared" si="1459"/>
        <v>0</v>
      </c>
      <c r="EL80" s="39">
        <f t="shared" ref="EL80:EQ80" si="1460">EL$1*DS80</f>
        <v>0</v>
      </c>
      <c r="EM80" s="39">
        <f t="shared" si="1460"/>
        <v>0</v>
      </c>
      <c r="EN80" s="39">
        <f t="shared" si="1460"/>
        <v>0</v>
      </c>
      <c r="EO80" s="39">
        <f t="shared" si="1460"/>
        <v>0</v>
      </c>
      <c r="EP80" s="39">
        <f t="shared" si="1460"/>
        <v>76.192339999999987</v>
      </c>
      <c r="EQ80" s="39">
        <f t="shared" si="1460"/>
        <v>20.333466719999997</v>
      </c>
      <c r="ER80" s="39">
        <f t="shared" ref="ER80:EV80" si="1461">ER$1*DY80/1000000</f>
        <v>0</v>
      </c>
      <c r="ES80" s="39">
        <f t="shared" si="1461"/>
        <v>0</v>
      </c>
      <c r="ET80" s="39">
        <f t="shared" si="1461"/>
        <v>0</v>
      </c>
      <c r="EU80" s="39">
        <f t="shared" si="1461"/>
        <v>0</v>
      </c>
      <c r="EV80" s="39">
        <f t="shared" si="1461"/>
        <v>0</v>
      </c>
      <c r="EW80" s="39">
        <f t="shared" ref="EW80:EX80" si="1462">EW$1*ED80</f>
        <v>0</v>
      </c>
      <c r="EX80" s="39">
        <f t="shared" si="1462"/>
        <v>0</v>
      </c>
      <c r="EY80" s="2"/>
      <c r="EZ80" s="39">
        <f t="shared" si="17"/>
        <v>0</v>
      </c>
      <c r="FA80" s="39">
        <f t="shared" si="18"/>
        <v>0</v>
      </c>
      <c r="FB80" s="2">
        <f t="shared" si="19"/>
        <v>0</v>
      </c>
      <c r="FC80" s="2">
        <f t="shared" ref="FC80:FD80" si="1463">BV80*$BT80+CQ80*$CO80</f>
        <v>0</v>
      </c>
      <c r="FD80" s="2">
        <f t="shared" si="1463"/>
        <v>0</v>
      </c>
      <c r="FE80" s="2">
        <f t="shared" ref="FE80:FJ80" si="1464">(BX80*$BT80+CS80*$CO80)/100</f>
        <v>0</v>
      </c>
      <c r="FF80" s="2">
        <f t="shared" si="1464"/>
        <v>0</v>
      </c>
      <c r="FG80" s="2">
        <f t="shared" si="1464"/>
        <v>0</v>
      </c>
      <c r="FH80" s="2">
        <f t="shared" si="1464"/>
        <v>0</v>
      </c>
      <c r="FI80" s="2">
        <f t="shared" si="1464"/>
        <v>0</v>
      </c>
      <c r="FJ80" s="2">
        <f t="shared" si="1464"/>
        <v>0</v>
      </c>
      <c r="FK80" s="2">
        <f t="shared" ref="FK80:FO80" si="1465">CD80*$BT80+CY80*$CO80</f>
        <v>0</v>
      </c>
      <c r="FL80" s="2">
        <f t="shared" si="1465"/>
        <v>0</v>
      </c>
      <c r="FM80" s="2">
        <f t="shared" si="1465"/>
        <v>0</v>
      </c>
      <c r="FN80" s="2">
        <f t="shared" si="1465"/>
        <v>0</v>
      </c>
      <c r="FO80" s="2">
        <f t="shared" si="1465"/>
        <v>0</v>
      </c>
      <c r="FP80" s="2">
        <f t="shared" ref="FP80:FQ80" si="1466">(CI80*$BT80+DD80*$CO80)/100</f>
        <v>0</v>
      </c>
      <c r="FQ80" s="2">
        <f t="shared" si="1466"/>
        <v>0</v>
      </c>
      <c r="FR80" s="2"/>
      <c r="FS80" s="2">
        <f t="shared" si="24"/>
        <v>0</v>
      </c>
      <c r="FT80" s="2">
        <f t="shared" si="25"/>
        <v>0</v>
      </c>
      <c r="FU80" s="39">
        <f t="shared" si="26"/>
        <v>0</v>
      </c>
      <c r="FV80" s="39">
        <f t="shared" ref="FV80:FW80" si="1467">FV$1*FC80/1000000</f>
        <v>0</v>
      </c>
      <c r="FW80" s="39">
        <f t="shared" si="1467"/>
        <v>0</v>
      </c>
      <c r="FX80" s="39">
        <f t="shared" ref="FX80:GC80" si="1468">FX$1*FE80</f>
        <v>0</v>
      </c>
      <c r="FY80" s="39">
        <f t="shared" si="1468"/>
        <v>0</v>
      </c>
      <c r="FZ80" s="39">
        <f t="shared" si="1468"/>
        <v>0</v>
      </c>
      <c r="GA80" s="39">
        <f t="shared" si="1468"/>
        <v>0</v>
      </c>
      <c r="GB80" s="39">
        <f t="shared" si="1468"/>
        <v>0</v>
      </c>
      <c r="GC80" s="39">
        <f t="shared" si="1468"/>
        <v>0</v>
      </c>
      <c r="GD80" s="39">
        <f t="shared" ref="GD80:GH80" si="1469">GD$1*FK80/1000000</f>
        <v>0</v>
      </c>
      <c r="GE80" s="39">
        <f t="shared" si="1469"/>
        <v>0</v>
      </c>
      <c r="GF80" s="39">
        <f t="shared" si="1469"/>
        <v>0</v>
      </c>
      <c r="GG80" s="39">
        <f t="shared" si="1469"/>
        <v>0</v>
      </c>
      <c r="GH80" s="39">
        <f t="shared" si="1469"/>
        <v>0</v>
      </c>
      <c r="GI80" s="39">
        <f t="shared" ref="GI80:GJ80" si="1470">GI$1*FP80</f>
        <v>0</v>
      </c>
      <c r="GJ80" s="39">
        <f t="shared" si="1470"/>
        <v>0</v>
      </c>
      <c r="GK80" s="2"/>
      <c r="GL80" s="39">
        <f t="shared" si="31"/>
        <v>0</v>
      </c>
      <c r="GM80" s="39">
        <f t="shared" si="32"/>
        <v>0</v>
      </c>
      <c r="GN80" s="2" t="s">
        <v>3</v>
      </c>
      <c r="GO80" s="2">
        <f t="shared" si="33"/>
        <v>0.7</v>
      </c>
      <c r="GP80" s="2">
        <f t="shared" si="34"/>
        <v>0.83</v>
      </c>
      <c r="GQ80" s="15">
        <f t="shared" si="35"/>
        <v>5.81</v>
      </c>
      <c r="GR80" s="15">
        <f t="shared" si="36"/>
        <v>96.525806719999991</v>
      </c>
      <c r="GS80" s="15">
        <f t="shared" si="37"/>
        <v>137.8940096</v>
      </c>
      <c r="GT80" s="2">
        <f t="shared" si="38"/>
        <v>0</v>
      </c>
      <c r="GU80" s="2">
        <f t="shared" si="39"/>
        <v>0</v>
      </c>
      <c r="GV80" s="2">
        <f t="shared" si="40"/>
        <v>5.81</v>
      </c>
      <c r="GW80" s="2">
        <f t="shared" si="41"/>
        <v>0</v>
      </c>
      <c r="GX80" s="2"/>
      <c r="GY80" s="2"/>
      <c r="GZ80" s="2"/>
      <c r="HA80" s="2"/>
      <c r="HB80" s="2">
        <f t="shared" si="42"/>
        <v>0</v>
      </c>
      <c r="HC80" s="2">
        <f t="shared" si="43"/>
        <v>0</v>
      </c>
      <c r="HD80" s="2" t="s">
        <v>3</v>
      </c>
      <c r="HE80" s="2" t="s">
        <v>37</v>
      </c>
      <c r="HF80" s="2" t="s">
        <v>208</v>
      </c>
      <c r="HG80" s="2"/>
      <c r="HH80" s="2"/>
      <c r="HI80" s="2" t="s">
        <v>81</v>
      </c>
      <c r="HJ80" s="2" t="s">
        <v>3</v>
      </c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 t="s">
        <v>3</v>
      </c>
    </row>
    <row r="81" spans="1:268" ht="15.75" customHeight="1" x14ac:dyDescent="0.2">
      <c r="A81" s="13" t="s">
        <v>714</v>
      </c>
      <c r="B81" s="2" t="s">
        <v>99</v>
      </c>
      <c r="C81" s="2"/>
      <c r="D81" s="2"/>
      <c r="E81" s="2" t="s">
        <v>78</v>
      </c>
      <c r="F81" s="2" t="s">
        <v>715</v>
      </c>
      <c r="G81" s="2"/>
      <c r="H81" s="2" t="s">
        <v>242</v>
      </c>
      <c r="I81" s="2">
        <v>0</v>
      </c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>
        <v>0</v>
      </c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0">
        <v>1</v>
      </c>
      <c r="AZ81" s="2"/>
      <c r="BA81" s="2"/>
      <c r="BB81" s="2"/>
      <c r="BC81" s="2"/>
      <c r="BD81" s="2"/>
      <c r="BE81" s="2"/>
      <c r="BF81" s="2"/>
      <c r="BG81" s="20">
        <v>1</v>
      </c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>
        <v>0</v>
      </c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>
        <v>0</v>
      </c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 t="s">
        <v>100</v>
      </c>
      <c r="DK81" s="2"/>
      <c r="DL81" s="2">
        <f t="shared" si="3"/>
        <v>1</v>
      </c>
      <c r="DM81" s="2">
        <f t="shared" si="4"/>
        <v>0</v>
      </c>
      <c r="DN81" s="2" t="s">
        <v>175</v>
      </c>
      <c r="DO81" s="2" t="s">
        <v>3</v>
      </c>
      <c r="DP81" s="2">
        <f t="shared" si="5"/>
        <v>0</v>
      </c>
      <c r="DQ81" s="2">
        <f t="shared" ref="DQ81:DR81" si="1471">K81*$I81+AF81*$AD81+BA81*$AY81</f>
        <v>0</v>
      </c>
      <c r="DR81" s="2">
        <f t="shared" si="1471"/>
        <v>0</v>
      </c>
      <c r="DS81" s="2">
        <f t="shared" ref="DS81:DX81" si="1472">(M81*$I81+AH81*$AD81+BC81*$AY81)/100</f>
        <v>0</v>
      </c>
      <c r="DT81" s="2">
        <f t="shared" si="1472"/>
        <v>0</v>
      </c>
      <c r="DU81" s="2">
        <f t="shared" si="1472"/>
        <v>0</v>
      </c>
      <c r="DV81" s="2">
        <f t="shared" si="1472"/>
        <v>0</v>
      </c>
      <c r="DW81" s="2">
        <f t="shared" si="1472"/>
        <v>0.01</v>
      </c>
      <c r="DX81" s="2">
        <f t="shared" si="1472"/>
        <v>0</v>
      </c>
      <c r="DY81" s="2">
        <f t="shared" ref="DY81:EC81" si="1473">S81*$I81+AN81*$AD81+BI81*$AY81</f>
        <v>0</v>
      </c>
      <c r="DZ81" s="2">
        <f t="shared" si="1473"/>
        <v>0</v>
      </c>
      <c r="EA81" s="2">
        <f t="shared" si="1473"/>
        <v>0</v>
      </c>
      <c r="EB81" s="2">
        <f t="shared" si="1473"/>
        <v>0</v>
      </c>
      <c r="EC81" s="2">
        <f t="shared" si="1473"/>
        <v>0</v>
      </c>
      <c r="ED81" s="2">
        <f t="shared" ref="ED81:EE81" si="1474">(X81*$I81+AS81*$AD81+BN81*$AY81)/100</f>
        <v>0</v>
      </c>
      <c r="EE81" s="2">
        <f t="shared" si="1474"/>
        <v>0</v>
      </c>
      <c r="EF81" s="2"/>
      <c r="EG81" s="2">
        <f t="shared" si="10"/>
        <v>0</v>
      </c>
      <c r="EH81" s="2">
        <f t="shared" si="11"/>
        <v>0</v>
      </c>
      <c r="EI81" s="39">
        <f t="shared" si="12"/>
        <v>0</v>
      </c>
      <c r="EJ81" s="39">
        <f t="shared" ref="EJ81:EK81" si="1475">EJ$1*DQ81/1000000</f>
        <v>0</v>
      </c>
      <c r="EK81" s="39">
        <f t="shared" si="1475"/>
        <v>0</v>
      </c>
      <c r="EL81" s="39">
        <f t="shared" ref="EL81:EQ81" si="1476">EL$1*DS81</f>
        <v>0</v>
      </c>
      <c r="EM81" s="39">
        <f t="shared" si="1476"/>
        <v>0</v>
      </c>
      <c r="EN81" s="39">
        <f t="shared" si="1476"/>
        <v>0</v>
      </c>
      <c r="EO81" s="39">
        <f t="shared" si="1476"/>
        <v>0</v>
      </c>
      <c r="EP81" s="39">
        <f t="shared" si="1476"/>
        <v>131.14000000000001</v>
      </c>
      <c r="EQ81" s="39">
        <f t="shared" si="1476"/>
        <v>0</v>
      </c>
      <c r="ER81" s="39">
        <f t="shared" ref="ER81:EV81" si="1477">ER$1*DY81/1000000</f>
        <v>0</v>
      </c>
      <c r="ES81" s="39">
        <f t="shared" si="1477"/>
        <v>0</v>
      </c>
      <c r="ET81" s="39">
        <f t="shared" si="1477"/>
        <v>0</v>
      </c>
      <c r="EU81" s="39">
        <f t="shared" si="1477"/>
        <v>0</v>
      </c>
      <c r="EV81" s="39">
        <f t="shared" si="1477"/>
        <v>0</v>
      </c>
      <c r="EW81" s="39">
        <f t="shared" ref="EW81:EX81" si="1478">EW$1*ED81</f>
        <v>0</v>
      </c>
      <c r="EX81" s="39">
        <f t="shared" si="1478"/>
        <v>0</v>
      </c>
      <c r="EY81" s="2"/>
      <c r="EZ81" s="39">
        <f t="shared" si="17"/>
        <v>0</v>
      </c>
      <c r="FA81" s="39">
        <f t="shared" si="18"/>
        <v>0</v>
      </c>
      <c r="FB81" s="2">
        <f t="shared" si="19"/>
        <v>0</v>
      </c>
      <c r="FC81" s="2">
        <f t="shared" ref="FC81:FD81" si="1479">BV81*$BT81+CQ81*$CO81</f>
        <v>0</v>
      </c>
      <c r="FD81" s="2">
        <f t="shared" si="1479"/>
        <v>0</v>
      </c>
      <c r="FE81" s="2">
        <f t="shared" ref="FE81:FJ81" si="1480">(BX81*$BT81+CS81*$CO81)/100</f>
        <v>0</v>
      </c>
      <c r="FF81" s="2">
        <f t="shared" si="1480"/>
        <v>0</v>
      </c>
      <c r="FG81" s="2">
        <f t="shared" si="1480"/>
        <v>0</v>
      </c>
      <c r="FH81" s="2">
        <f t="shared" si="1480"/>
        <v>0</v>
      </c>
      <c r="FI81" s="2">
        <f t="shared" si="1480"/>
        <v>0</v>
      </c>
      <c r="FJ81" s="2">
        <f t="shared" si="1480"/>
        <v>0</v>
      </c>
      <c r="FK81" s="2">
        <f t="shared" ref="FK81:FO81" si="1481">CD81*$BT81+CY81*$CO81</f>
        <v>0</v>
      </c>
      <c r="FL81" s="2">
        <f t="shared" si="1481"/>
        <v>0</v>
      </c>
      <c r="FM81" s="2">
        <f t="shared" si="1481"/>
        <v>0</v>
      </c>
      <c r="FN81" s="2">
        <f t="shared" si="1481"/>
        <v>0</v>
      </c>
      <c r="FO81" s="2">
        <f t="shared" si="1481"/>
        <v>0</v>
      </c>
      <c r="FP81" s="2">
        <f t="shared" ref="FP81:FQ81" si="1482">(CI81*$BT81+DD81*$CO81)/100</f>
        <v>0</v>
      </c>
      <c r="FQ81" s="2">
        <f t="shared" si="1482"/>
        <v>0</v>
      </c>
      <c r="FR81" s="2"/>
      <c r="FS81" s="2">
        <f t="shared" si="24"/>
        <v>0</v>
      </c>
      <c r="FT81" s="2">
        <f t="shared" si="25"/>
        <v>0</v>
      </c>
      <c r="FU81" s="39">
        <f t="shared" si="26"/>
        <v>0</v>
      </c>
      <c r="FV81" s="39">
        <f t="shared" ref="FV81:FW81" si="1483">FV$1*FC81/1000000</f>
        <v>0</v>
      </c>
      <c r="FW81" s="39">
        <f t="shared" si="1483"/>
        <v>0</v>
      </c>
      <c r="FX81" s="39">
        <f t="shared" ref="FX81:GC81" si="1484">FX$1*FE81</f>
        <v>0</v>
      </c>
      <c r="FY81" s="39">
        <f t="shared" si="1484"/>
        <v>0</v>
      </c>
      <c r="FZ81" s="39">
        <f t="shared" si="1484"/>
        <v>0</v>
      </c>
      <c r="GA81" s="39">
        <f t="shared" si="1484"/>
        <v>0</v>
      </c>
      <c r="GB81" s="39">
        <f t="shared" si="1484"/>
        <v>0</v>
      </c>
      <c r="GC81" s="39">
        <f t="shared" si="1484"/>
        <v>0</v>
      </c>
      <c r="GD81" s="39">
        <f t="shared" ref="GD81:GH81" si="1485">GD$1*FK81/1000000</f>
        <v>0</v>
      </c>
      <c r="GE81" s="39">
        <f t="shared" si="1485"/>
        <v>0</v>
      </c>
      <c r="GF81" s="39">
        <f t="shared" si="1485"/>
        <v>0</v>
      </c>
      <c r="GG81" s="39">
        <f t="shared" si="1485"/>
        <v>0</v>
      </c>
      <c r="GH81" s="39">
        <f t="shared" si="1485"/>
        <v>0</v>
      </c>
      <c r="GI81" s="39">
        <f t="shared" ref="GI81:GJ81" si="1486">GI$1*FP81</f>
        <v>0</v>
      </c>
      <c r="GJ81" s="39">
        <f t="shared" si="1486"/>
        <v>0</v>
      </c>
      <c r="GK81" s="2"/>
      <c r="GL81" s="39">
        <f t="shared" si="31"/>
        <v>0</v>
      </c>
      <c r="GM81" s="39">
        <f t="shared" si="32"/>
        <v>0</v>
      </c>
      <c r="GN81" s="2" t="s">
        <v>3</v>
      </c>
      <c r="GO81" s="2">
        <f t="shared" si="33"/>
        <v>1</v>
      </c>
      <c r="GP81" s="2">
        <f t="shared" si="34"/>
        <v>1</v>
      </c>
      <c r="GQ81" s="15">
        <f t="shared" si="35"/>
        <v>10</v>
      </c>
      <c r="GR81" s="15">
        <f t="shared" si="36"/>
        <v>131.14000000000001</v>
      </c>
      <c r="GS81" s="15">
        <f t="shared" si="37"/>
        <v>131.14000000000001</v>
      </c>
      <c r="GT81" s="2">
        <f t="shared" si="38"/>
        <v>0</v>
      </c>
      <c r="GU81" s="2">
        <f t="shared" si="39"/>
        <v>0</v>
      </c>
      <c r="GV81" s="2">
        <f t="shared" si="40"/>
        <v>10</v>
      </c>
      <c r="GW81" s="2">
        <f t="shared" si="41"/>
        <v>0</v>
      </c>
      <c r="GX81" s="2"/>
      <c r="GY81" s="2"/>
      <c r="GZ81" s="2"/>
      <c r="HA81" s="2"/>
      <c r="HB81" s="2">
        <f t="shared" si="42"/>
        <v>0</v>
      </c>
      <c r="HC81" s="2">
        <f t="shared" si="43"/>
        <v>0</v>
      </c>
      <c r="HD81" s="2" t="s">
        <v>3</v>
      </c>
      <c r="HE81" s="2" t="s">
        <v>37</v>
      </c>
      <c r="HF81" s="2" t="s">
        <v>383</v>
      </c>
      <c r="HG81" s="2" t="s">
        <v>383</v>
      </c>
      <c r="HH81" s="2"/>
      <c r="HI81" s="2" t="s">
        <v>100</v>
      </c>
      <c r="HJ81" s="2" t="s">
        <v>3</v>
      </c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 t="s">
        <v>3</v>
      </c>
    </row>
    <row r="82" spans="1:268" ht="15.75" customHeight="1" x14ac:dyDescent="0.2">
      <c r="A82" s="13" t="s">
        <v>1074</v>
      </c>
      <c r="B82" s="2" t="s">
        <v>99</v>
      </c>
      <c r="C82" s="2"/>
      <c r="D82" s="2"/>
      <c r="E82" s="2"/>
      <c r="F82" s="2" t="s">
        <v>79</v>
      </c>
      <c r="G82" s="2"/>
      <c r="H82" s="2"/>
      <c r="I82" s="2">
        <v>0</v>
      </c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>
        <v>0</v>
      </c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>
        <v>14</v>
      </c>
      <c r="AZ82" s="2"/>
      <c r="BA82" s="2"/>
      <c r="BB82" s="2"/>
      <c r="BC82" s="2"/>
      <c r="BD82" s="2"/>
      <c r="BE82" s="2"/>
      <c r="BF82" s="2"/>
      <c r="BG82" s="2">
        <v>1.1499999999999999</v>
      </c>
      <c r="BH82" s="2">
        <v>5.5E-2</v>
      </c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>
        <v>0</v>
      </c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>
        <v>0</v>
      </c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 t="s">
        <v>100</v>
      </c>
      <c r="DK82" s="2" t="s">
        <v>100</v>
      </c>
      <c r="DL82" s="2">
        <f t="shared" si="3"/>
        <v>1.1499999999999999</v>
      </c>
      <c r="DM82" s="2">
        <f t="shared" si="4"/>
        <v>5.5E-2</v>
      </c>
      <c r="DN82" s="2" t="s">
        <v>187</v>
      </c>
      <c r="DO82" s="2" t="s">
        <v>3</v>
      </c>
      <c r="DP82" s="2">
        <f t="shared" si="5"/>
        <v>0</v>
      </c>
      <c r="DQ82" s="2">
        <f t="shared" ref="DQ82:DR82" si="1487">K82*$I82+AF82*$AD82+BA82*$AY82</f>
        <v>0</v>
      </c>
      <c r="DR82" s="2">
        <f t="shared" si="1487"/>
        <v>0</v>
      </c>
      <c r="DS82" s="2">
        <f t="shared" ref="DS82:DX82" si="1488">(M82*$I82+AH82*$AD82+BC82*$AY82)/100</f>
        <v>0</v>
      </c>
      <c r="DT82" s="2">
        <f t="shared" si="1488"/>
        <v>0</v>
      </c>
      <c r="DU82" s="2">
        <f t="shared" si="1488"/>
        <v>0</v>
      </c>
      <c r="DV82" s="2">
        <f t="shared" si="1488"/>
        <v>0</v>
      </c>
      <c r="DW82" s="2">
        <f t="shared" si="1488"/>
        <v>0.16099999999999998</v>
      </c>
      <c r="DX82" s="2">
        <f t="shared" si="1488"/>
        <v>7.7000000000000002E-3</v>
      </c>
      <c r="DY82" s="2">
        <f t="shared" ref="DY82:EC82" si="1489">S82*$I82+AN82*$AD82+BI82*$AY82</f>
        <v>0</v>
      </c>
      <c r="DZ82" s="2">
        <f t="shared" si="1489"/>
        <v>0</v>
      </c>
      <c r="EA82" s="2">
        <f t="shared" si="1489"/>
        <v>0</v>
      </c>
      <c r="EB82" s="2">
        <f t="shared" si="1489"/>
        <v>0</v>
      </c>
      <c r="EC82" s="2">
        <f t="shared" si="1489"/>
        <v>0</v>
      </c>
      <c r="ED82" s="2">
        <f t="shared" ref="ED82:EE82" si="1490">(X82*$I82+AS82*$AD82+BN82*$AY82)/100</f>
        <v>0</v>
      </c>
      <c r="EE82" s="2">
        <f t="shared" si="1490"/>
        <v>0</v>
      </c>
      <c r="EF82" s="2"/>
      <c r="EG82" s="2">
        <f t="shared" si="10"/>
        <v>0</v>
      </c>
      <c r="EH82" s="2">
        <f t="shared" si="11"/>
        <v>0</v>
      </c>
      <c r="EI82" s="39">
        <f t="shared" si="12"/>
        <v>0</v>
      </c>
      <c r="EJ82" s="39">
        <f t="shared" ref="EJ82:EK82" si="1491">EJ$1*DQ82/1000000</f>
        <v>0</v>
      </c>
      <c r="EK82" s="39">
        <f t="shared" si="1491"/>
        <v>0</v>
      </c>
      <c r="EL82" s="39">
        <f t="shared" ref="EL82:EQ82" si="1492">EL$1*DS82</f>
        <v>0</v>
      </c>
      <c r="EM82" s="39">
        <f t="shared" si="1492"/>
        <v>0</v>
      </c>
      <c r="EN82" s="39">
        <f t="shared" si="1492"/>
        <v>0</v>
      </c>
      <c r="EO82" s="39">
        <f t="shared" si="1492"/>
        <v>0</v>
      </c>
      <c r="EP82" s="39">
        <f t="shared" si="1492"/>
        <v>2111.3539999999998</v>
      </c>
      <c r="EQ82" s="39">
        <f t="shared" si="1492"/>
        <v>559.17033479999998</v>
      </c>
      <c r="ER82" s="39">
        <f t="shared" ref="ER82:EV82" si="1493">ER$1*DY82/1000000</f>
        <v>0</v>
      </c>
      <c r="ES82" s="39">
        <f t="shared" si="1493"/>
        <v>0</v>
      </c>
      <c r="ET82" s="39">
        <f t="shared" si="1493"/>
        <v>0</v>
      </c>
      <c r="EU82" s="39">
        <f t="shared" si="1493"/>
        <v>0</v>
      </c>
      <c r="EV82" s="39">
        <f t="shared" si="1493"/>
        <v>0</v>
      </c>
      <c r="EW82" s="39">
        <f t="shared" ref="EW82:EX82" si="1494">EW$1*ED82</f>
        <v>0</v>
      </c>
      <c r="EX82" s="39">
        <f t="shared" si="1494"/>
        <v>0</v>
      </c>
      <c r="EY82" s="2"/>
      <c r="EZ82" s="39">
        <f t="shared" si="17"/>
        <v>0</v>
      </c>
      <c r="FA82" s="39">
        <f t="shared" si="18"/>
        <v>0</v>
      </c>
      <c r="FB82" s="2">
        <f t="shared" si="19"/>
        <v>0</v>
      </c>
      <c r="FC82" s="2">
        <f t="shared" ref="FC82:FD82" si="1495">BV82*$BT82+CQ82*$CO82</f>
        <v>0</v>
      </c>
      <c r="FD82" s="2">
        <f t="shared" si="1495"/>
        <v>0</v>
      </c>
      <c r="FE82" s="2">
        <f t="shared" ref="FE82:FJ82" si="1496">(BX82*$BT82+CS82*$CO82)/100</f>
        <v>0</v>
      </c>
      <c r="FF82" s="2">
        <f t="shared" si="1496"/>
        <v>0</v>
      </c>
      <c r="FG82" s="2">
        <f t="shared" si="1496"/>
        <v>0</v>
      </c>
      <c r="FH82" s="2">
        <f t="shared" si="1496"/>
        <v>0</v>
      </c>
      <c r="FI82" s="2">
        <f t="shared" si="1496"/>
        <v>0</v>
      </c>
      <c r="FJ82" s="2">
        <f t="shared" si="1496"/>
        <v>0</v>
      </c>
      <c r="FK82" s="2">
        <f t="shared" ref="FK82:FO82" si="1497">CD82*$BT82+CY82*$CO82</f>
        <v>0</v>
      </c>
      <c r="FL82" s="2">
        <f t="shared" si="1497"/>
        <v>0</v>
      </c>
      <c r="FM82" s="2">
        <f t="shared" si="1497"/>
        <v>0</v>
      </c>
      <c r="FN82" s="2">
        <f t="shared" si="1497"/>
        <v>0</v>
      </c>
      <c r="FO82" s="2">
        <f t="shared" si="1497"/>
        <v>0</v>
      </c>
      <c r="FP82" s="2">
        <f t="shared" ref="FP82:FQ82" si="1498">(CI82*$BT82+DD82*$CO82)/100</f>
        <v>0</v>
      </c>
      <c r="FQ82" s="2">
        <f t="shared" si="1498"/>
        <v>0</v>
      </c>
      <c r="FR82" s="2"/>
      <c r="FS82" s="2">
        <f t="shared" si="24"/>
        <v>0</v>
      </c>
      <c r="FT82" s="2">
        <f t="shared" si="25"/>
        <v>0</v>
      </c>
      <c r="FU82" s="39">
        <f t="shared" si="26"/>
        <v>0</v>
      </c>
      <c r="FV82" s="39">
        <f t="shared" ref="FV82:FW82" si="1499">FV$1*FC82/1000000</f>
        <v>0</v>
      </c>
      <c r="FW82" s="39">
        <f t="shared" si="1499"/>
        <v>0</v>
      </c>
      <c r="FX82" s="39">
        <f t="shared" ref="FX82:GC82" si="1500">FX$1*FE82</f>
        <v>0</v>
      </c>
      <c r="FY82" s="39">
        <f t="shared" si="1500"/>
        <v>0</v>
      </c>
      <c r="FZ82" s="39">
        <f t="shared" si="1500"/>
        <v>0</v>
      </c>
      <c r="GA82" s="39">
        <f t="shared" si="1500"/>
        <v>0</v>
      </c>
      <c r="GB82" s="39">
        <f t="shared" si="1500"/>
        <v>0</v>
      </c>
      <c r="GC82" s="39">
        <f t="shared" si="1500"/>
        <v>0</v>
      </c>
      <c r="GD82" s="39">
        <f t="shared" ref="GD82:GH82" si="1501">GD$1*FK82/1000000</f>
        <v>0</v>
      </c>
      <c r="GE82" s="39">
        <f t="shared" si="1501"/>
        <v>0</v>
      </c>
      <c r="GF82" s="39">
        <f t="shared" si="1501"/>
        <v>0</v>
      </c>
      <c r="GG82" s="39">
        <f t="shared" si="1501"/>
        <v>0</v>
      </c>
      <c r="GH82" s="39">
        <f t="shared" si="1501"/>
        <v>0</v>
      </c>
      <c r="GI82" s="39">
        <f t="shared" ref="GI82:GJ82" si="1502">GI$1*FP82</f>
        <v>0</v>
      </c>
      <c r="GJ82" s="39">
        <f t="shared" si="1502"/>
        <v>0</v>
      </c>
      <c r="GK82" s="2"/>
      <c r="GL82" s="39">
        <f t="shared" si="31"/>
        <v>0</v>
      </c>
      <c r="GM82" s="39">
        <f t="shared" si="32"/>
        <v>0</v>
      </c>
      <c r="GN82" s="2" t="s">
        <v>3</v>
      </c>
      <c r="GO82" s="2">
        <f t="shared" si="33"/>
        <v>14</v>
      </c>
      <c r="GP82" s="2">
        <f t="shared" si="34"/>
        <v>1.1499999999999999</v>
      </c>
      <c r="GQ82" s="15">
        <f t="shared" si="35"/>
        <v>160.99999999999997</v>
      </c>
      <c r="GR82" s="15">
        <f t="shared" si="36"/>
        <v>2670.5243347999999</v>
      </c>
      <c r="GS82" s="15">
        <f t="shared" si="37"/>
        <v>190.75173820000001</v>
      </c>
      <c r="GT82" s="2">
        <f t="shared" si="38"/>
        <v>0</v>
      </c>
      <c r="GU82" s="2">
        <f t="shared" si="39"/>
        <v>0</v>
      </c>
      <c r="GV82" s="2">
        <f t="shared" si="40"/>
        <v>160.99999999999997</v>
      </c>
      <c r="GW82" s="2">
        <f t="shared" si="41"/>
        <v>0</v>
      </c>
      <c r="GX82" s="2"/>
      <c r="GY82" s="2"/>
      <c r="GZ82" s="2"/>
      <c r="HA82" s="2"/>
      <c r="HB82" s="2">
        <f t="shared" si="42"/>
        <v>0</v>
      </c>
      <c r="HC82" s="2">
        <f t="shared" si="43"/>
        <v>0</v>
      </c>
      <c r="HD82" s="2" t="s">
        <v>3</v>
      </c>
      <c r="HE82" s="2" t="s">
        <v>37</v>
      </c>
      <c r="HF82" s="2" t="s">
        <v>383</v>
      </c>
      <c r="HG82" s="2" t="s">
        <v>383</v>
      </c>
      <c r="HH82" s="2"/>
      <c r="HI82" s="2" t="s">
        <v>100</v>
      </c>
      <c r="HJ82" s="2" t="s">
        <v>3</v>
      </c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 t="s">
        <v>3</v>
      </c>
    </row>
    <row r="83" spans="1:268" ht="15.75" customHeight="1" x14ac:dyDescent="0.2">
      <c r="A83" s="13" t="s">
        <v>559</v>
      </c>
      <c r="B83" s="2" t="s">
        <v>99</v>
      </c>
      <c r="C83" s="2"/>
      <c r="D83" s="2"/>
      <c r="E83" s="2"/>
      <c r="F83" s="2" t="s">
        <v>79</v>
      </c>
      <c r="G83" s="2"/>
      <c r="H83" s="2"/>
      <c r="I83" s="2">
        <v>0</v>
      </c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>
        <v>0</v>
      </c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>
        <v>4</v>
      </c>
      <c r="AZ83" s="2"/>
      <c r="BA83" s="2"/>
      <c r="BB83" s="2"/>
      <c r="BC83" s="2"/>
      <c r="BD83" s="2"/>
      <c r="BE83" s="2"/>
      <c r="BF83" s="2"/>
      <c r="BG83" s="2">
        <v>1.2</v>
      </c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>
        <v>0</v>
      </c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>
        <v>0</v>
      </c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 t="s">
        <v>100</v>
      </c>
      <c r="DK83" s="2"/>
      <c r="DL83" s="2">
        <f t="shared" si="3"/>
        <v>1.2</v>
      </c>
      <c r="DM83" s="2">
        <f t="shared" si="4"/>
        <v>0</v>
      </c>
      <c r="DN83" s="2" t="s">
        <v>113</v>
      </c>
      <c r="DO83" s="2" t="s">
        <v>3</v>
      </c>
      <c r="DP83" s="2">
        <f t="shared" si="5"/>
        <v>0</v>
      </c>
      <c r="DQ83" s="2">
        <f t="shared" ref="DQ83:DR83" si="1503">K83*$I83+AF83*$AD83+BA83*$AY83</f>
        <v>0</v>
      </c>
      <c r="DR83" s="2">
        <f t="shared" si="1503"/>
        <v>0</v>
      </c>
      <c r="DS83" s="2">
        <f t="shared" ref="DS83:DX83" si="1504">(M83*$I83+AH83*$AD83+BC83*$AY83)/100</f>
        <v>0</v>
      </c>
      <c r="DT83" s="2">
        <f t="shared" si="1504"/>
        <v>0</v>
      </c>
      <c r="DU83" s="2">
        <f t="shared" si="1504"/>
        <v>0</v>
      </c>
      <c r="DV83" s="2">
        <f t="shared" si="1504"/>
        <v>0</v>
      </c>
      <c r="DW83" s="2">
        <f t="shared" si="1504"/>
        <v>4.8000000000000001E-2</v>
      </c>
      <c r="DX83" s="2">
        <f t="shared" si="1504"/>
        <v>0</v>
      </c>
      <c r="DY83" s="2">
        <f t="shared" ref="DY83:EC83" si="1505">S83*$I83+AN83*$AD83+BI83*$AY83</f>
        <v>0</v>
      </c>
      <c r="DZ83" s="2">
        <f t="shared" si="1505"/>
        <v>0</v>
      </c>
      <c r="EA83" s="2">
        <f t="shared" si="1505"/>
        <v>0</v>
      </c>
      <c r="EB83" s="2">
        <f t="shared" si="1505"/>
        <v>0</v>
      </c>
      <c r="EC83" s="2">
        <f t="shared" si="1505"/>
        <v>0</v>
      </c>
      <c r="ED83" s="2">
        <f t="shared" ref="ED83:EE83" si="1506">(X83*$I83+AS83*$AD83+BN83*$AY83)/100</f>
        <v>0</v>
      </c>
      <c r="EE83" s="2">
        <f t="shared" si="1506"/>
        <v>0</v>
      </c>
      <c r="EF83" s="2"/>
      <c r="EG83" s="2">
        <f t="shared" si="10"/>
        <v>0</v>
      </c>
      <c r="EH83" s="2">
        <f t="shared" si="11"/>
        <v>0</v>
      </c>
      <c r="EI83" s="39">
        <f t="shared" si="12"/>
        <v>0</v>
      </c>
      <c r="EJ83" s="39">
        <f t="shared" ref="EJ83:EK83" si="1507">EJ$1*DQ83/1000000</f>
        <v>0</v>
      </c>
      <c r="EK83" s="39">
        <f t="shared" si="1507"/>
        <v>0</v>
      </c>
      <c r="EL83" s="39">
        <f t="shared" ref="EL83:EQ83" si="1508">EL$1*DS83</f>
        <v>0</v>
      </c>
      <c r="EM83" s="39">
        <f t="shared" si="1508"/>
        <v>0</v>
      </c>
      <c r="EN83" s="39">
        <f t="shared" si="1508"/>
        <v>0</v>
      </c>
      <c r="EO83" s="39">
        <f t="shared" si="1508"/>
        <v>0</v>
      </c>
      <c r="EP83" s="39">
        <f t="shared" si="1508"/>
        <v>629.47199999999998</v>
      </c>
      <c r="EQ83" s="39">
        <f t="shared" si="1508"/>
        <v>0</v>
      </c>
      <c r="ER83" s="39">
        <f t="shared" ref="ER83:EV83" si="1509">ER$1*DY83/1000000</f>
        <v>0</v>
      </c>
      <c r="ES83" s="39">
        <f t="shared" si="1509"/>
        <v>0</v>
      </c>
      <c r="ET83" s="39">
        <f t="shared" si="1509"/>
        <v>0</v>
      </c>
      <c r="EU83" s="39">
        <f t="shared" si="1509"/>
        <v>0</v>
      </c>
      <c r="EV83" s="39">
        <f t="shared" si="1509"/>
        <v>0</v>
      </c>
      <c r="EW83" s="39">
        <f t="shared" ref="EW83:EX83" si="1510">EW$1*ED83</f>
        <v>0</v>
      </c>
      <c r="EX83" s="39">
        <f t="shared" si="1510"/>
        <v>0</v>
      </c>
      <c r="EY83" s="2"/>
      <c r="EZ83" s="39">
        <f t="shared" si="17"/>
        <v>0</v>
      </c>
      <c r="FA83" s="39">
        <f t="shared" si="18"/>
        <v>0</v>
      </c>
      <c r="FB83" s="2">
        <f t="shared" si="19"/>
        <v>0</v>
      </c>
      <c r="FC83" s="2">
        <f t="shared" ref="FC83:FD83" si="1511">BV83*$BT83+CQ83*$CO83</f>
        <v>0</v>
      </c>
      <c r="FD83" s="2">
        <f t="shared" si="1511"/>
        <v>0</v>
      </c>
      <c r="FE83" s="2">
        <f t="shared" ref="FE83:FJ83" si="1512">(BX83*$BT83+CS83*$CO83)/100</f>
        <v>0</v>
      </c>
      <c r="FF83" s="2">
        <f t="shared" si="1512"/>
        <v>0</v>
      </c>
      <c r="FG83" s="2">
        <f t="shared" si="1512"/>
        <v>0</v>
      </c>
      <c r="FH83" s="2">
        <f t="shared" si="1512"/>
        <v>0</v>
      </c>
      <c r="FI83" s="2">
        <f t="shared" si="1512"/>
        <v>0</v>
      </c>
      <c r="FJ83" s="2">
        <f t="shared" si="1512"/>
        <v>0</v>
      </c>
      <c r="FK83" s="2">
        <f t="shared" ref="FK83:FO83" si="1513">CD83*$BT83+CY83*$CO83</f>
        <v>0</v>
      </c>
      <c r="FL83" s="2">
        <f t="shared" si="1513"/>
        <v>0</v>
      </c>
      <c r="FM83" s="2">
        <f t="shared" si="1513"/>
        <v>0</v>
      </c>
      <c r="FN83" s="2">
        <f t="shared" si="1513"/>
        <v>0</v>
      </c>
      <c r="FO83" s="2">
        <f t="shared" si="1513"/>
        <v>0</v>
      </c>
      <c r="FP83" s="2">
        <f t="shared" ref="FP83:FQ83" si="1514">(CI83*$BT83+DD83*$CO83)/100</f>
        <v>0</v>
      </c>
      <c r="FQ83" s="2">
        <f t="shared" si="1514"/>
        <v>0</v>
      </c>
      <c r="FR83" s="2"/>
      <c r="FS83" s="2">
        <f t="shared" si="24"/>
        <v>0</v>
      </c>
      <c r="FT83" s="2">
        <f t="shared" si="25"/>
        <v>0</v>
      </c>
      <c r="FU83" s="39">
        <f t="shared" si="26"/>
        <v>0</v>
      </c>
      <c r="FV83" s="39">
        <f t="shared" ref="FV83:FW83" si="1515">FV$1*FC83/1000000</f>
        <v>0</v>
      </c>
      <c r="FW83" s="39">
        <f t="shared" si="1515"/>
        <v>0</v>
      </c>
      <c r="FX83" s="39">
        <f t="shared" ref="FX83:GC83" si="1516">FX$1*FE83</f>
        <v>0</v>
      </c>
      <c r="FY83" s="39">
        <f t="shared" si="1516"/>
        <v>0</v>
      </c>
      <c r="FZ83" s="39">
        <f t="shared" si="1516"/>
        <v>0</v>
      </c>
      <c r="GA83" s="39">
        <f t="shared" si="1516"/>
        <v>0</v>
      </c>
      <c r="GB83" s="39">
        <f t="shared" si="1516"/>
        <v>0</v>
      </c>
      <c r="GC83" s="39">
        <f t="shared" si="1516"/>
        <v>0</v>
      </c>
      <c r="GD83" s="39">
        <f t="shared" ref="GD83:GH83" si="1517">GD$1*FK83/1000000</f>
        <v>0</v>
      </c>
      <c r="GE83" s="39">
        <f t="shared" si="1517"/>
        <v>0</v>
      </c>
      <c r="GF83" s="39">
        <f t="shared" si="1517"/>
        <v>0</v>
      </c>
      <c r="GG83" s="39">
        <f t="shared" si="1517"/>
        <v>0</v>
      </c>
      <c r="GH83" s="39">
        <f t="shared" si="1517"/>
        <v>0</v>
      </c>
      <c r="GI83" s="39">
        <f t="shared" ref="GI83:GJ83" si="1518">GI$1*FP83</f>
        <v>0</v>
      </c>
      <c r="GJ83" s="39">
        <f t="shared" si="1518"/>
        <v>0</v>
      </c>
      <c r="GK83" s="2"/>
      <c r="GL83" s="39">
        <f t="shared" si="31"/>
        <v>0</v>
      </c>
      <c r="GM83" s="39">
        <f t="shared" si="32"/>
        <v>0</v>
      </c>
      <c r="GN83" s="2" t="s">
        <v>3</v>
      </c>
      <c r="GO83" s="2">
        <f t="shared" si="33"/>
        <v>4</v>
      </c>
      <c r="GP83" s="2">
        <f t="shared" si="34"/>
        <v>1.2</v>
      </c>
      <c r="GQ83" s="15">
        <f t="shared" si="35"/>
        <v>48</v>
      </c>
      <c r="GR83" s="15">
        <f t="shared" si="36"/>
        <v>629.47199999999998</v>
      </c>
      <c r="GS83" s="15">
        <f t="shared" si="37"/>
        <v>157.36799999999999</v>
      </c>
      <c r="GT83" s="2">
        <f t="shared" si="38"/>
        <v>0</v>
      </c>
      <c r="GU83" s="2">
        <f t="shared" si="39"/>
        <v>0</v>
      </c>
      <c r="GV83" s="2">
        <f t="shared" si="40"/>
        <v>48</v>
      </c>
      <c r="GW83" s="2">
        <f t="shared" si="41"/>
        <v>0</v>
      </c>
      <c r="GX83" s="2"/>
      <c r="GY83" s="2"/>
      <c r="GZ83" s="2"/>
      <c r="HA83" s="2"/>
      <c r="HB83" s="2">
        <f t="shared" si="42"/>
        <v>0</v>
      </c>
      <c r="HC83" s="2">
        <f t="shared" si="43"/>
        <v>0</v>
      </c>
      <c r="HD83" s="2" t="s">
        <v>3</v>
      </c>
      <c r="HE83" s="2" t="s">
        <v>37</v>
      </c>
      <c r="HF83" s="2" t="s">
        <v>383</v>
      </c>
      <c r="HG83" s="2"/>
      <c r="HH83" s="2"/>
      <c r="HI83" s="2" t="s">
        <v>100</v>
      </c>
      <c r="HJ83" s="2" t="s">
        <v>3</v>
      </c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 t="s">
        <v>3</v>
      </c>
    </row>
    <row r="84" spans="1:268" ht="15.75" customHeight="1" x14ac:dyDescent="0.2">
      <c r="A84" s="13" t="s">
        <v>629</v>
      </c>
      <c r="B84" s="2" t="s">
        <v>120</v>
      </c>
      <c r="C84" s="2"/>
      <c r="D84" s="2"/>
      <c r="E84" s="2"/>
      <c r="F84" s="2" t="s">
        <v>630</v>
      </c>
      <c r="G84" s="2"/>
      <c r="H84" s="2"/>
      <c r="I84" s="2">
        <v>0</v>
      </c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>
        <v>0</v>
      </c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>
        <v>8.6999999999999993</v>
      </c>
      <c r="AZ84" s="2"/>
      <c r="BA84" s="2"/>
      <c r="BB84" s="2"/>
      <c r="BC84" s="2"/>
      <c r="BD84" s="2"/>
      <c r="BE84" s="2"/>
      <c r="BF84" s="2"/>
      <c r="BG84" s="2">
        <v>1.1399999999999999</v>
      </c>
      <c r="BH84" s="2">
        <v>5.3999999999999999E-2</v>
      </c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>
        <v>0</v>
      </c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>
        <v>0</v>
      </c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 t="s">
        <v>100</v>
      </c>
      <c r="DK84" s="2" t="s">
        <v>100</v>
      </c>
      <c r="DL84" s="2">
        <f t="shared" si="3"/>
        <v>1.1399999999999999</v>
      </c>
      <c r="DM84" s="2">
        <f t="shared" si="4"/>
        <v>5.3999999999999999E-2</v>
      </c>
      <c r="DN84" s="2" t="s">
        <v>113</v>
      </c>
      <c r="DO84" s="2" t="s">
        <v>3</v>
      </c>
      <c r="DP84" s="2">
        <f t="shared" si="5"/>
        <v>0</v>
      </c>
      <c r="DQ84" s="2">
        <f t="shared" ref="DQ84:DR84" si="1519">K84*$I84+AF84*$AD84+BA84*$AY84</f>
        <v>0</v>
      </c>
      <c r="DR84" s="2">
        <f t="shared" si="1519"/>
        <v>0</v>
      </c>
      <c r="DS84" s="2">
        <f t="shared" ref="DS84:DX84" si="1520">(M84*$I84+AH84*$AD84+BC84*$AY84)/100</f>
        <v>0</v>
      </c>
      <c r="DT84" s="2">
        <f t="shared" si="1520"/>
        <v>0</v>
      </c>
      <c r="DU84" s="2">
        <f t="shared" si="1520"/>
        <v>0</v>
      </c>
      <c r="DV84" s="2">
        <f t="shared" si="1520"/>
        <v>0</v>
      </c>
      <c r="DW84" s="2">
        <f t="shared" si="1520"/>
        <v>9.9179999999999977E-2</v>
      </c>
      <c r="DX84" s="2">
        <f t="shared" si="1520"/>
        <v>4.6979999999999991E-3</v>
      </c>
      <c r="DY84" s="2">
        <f t="shared" ref="DY84:EC84" si="1521">S84*$I84+AN84*$AD84+BI84*$AY84</f>
        <v>0</v>
      </c>
      <c r="DZ84" s="2">
        <f t="shared" si="1521"/>
        <v>0</v>
      </c>
      <c r="EA84" s="2">
        <f t="shared" si="1521"/>
        <v>0</v>
      </c>
      <c r="EB84" s="2">
        <f t="shared" si="1521"/>
        <v>0</v>
      </c>
      <c r="EC84" s="2">
        <f t="shared" si="1521"/>
        <v>0</v>
      </c>
      <c r="ED84" s="2">
        <f t="shared" ref="ED84:EE84" si="1522">(X84*$I84+AS84*$AD84+BN84*$AY84)/100</f>
        <v>0</v>
      </c>
      <c r="EE84" s="2">
        <f t="shared" si="1522"/>
        <v>0</v>
      </c>
      <c r="EF84" s="2"/>
      <c r="EG84" s="2">
        <f t="shared" si="10"/>
        <v>0</v>
      </c>
      <c r="EH84" s="2">
        <f t="shared" si="11"/>
        <v>0</v>
      </c>
      <c r="EI84" s="39">
        <f t="shared" si="12"/>
        <v>0</v>
      </c>
      <c r="EJ84" s="39">
        <f t="shared" ref="EJ84:EK84" si="1523">EJ$1*DQ84/1000000</f>
        <v>0</v>
      </c>
      <c r="EK84" s="39">
        <f t="shared" si="1523"/>
        <v>0</v>
      </c>
      <c r="EL84" s="39">
        <f t="shared" ref="EL84:EQ84" si="1524">EL$1*DS84</f>
        <v>0</v>
      </c>
      <c r="EM84" s="39">
        <f t="shared" si="1524"/>
        <v>0</v>
      </c>
      <c r="EN84" s="39">
        <f t="shared" si="1524"/>
        <v>0</v>
      </c>
      <c r="EO84" s="39">
        <f t="shared" si="1524"/>
        <v>0</v>
      </c>
      <c r="EP84" s="39">
        <f t="shared" si="1524"/>
        <v>1300.6465199999998</v>
      </c>
      <c r="EQ84" s="39">
        <f t="shared" si="1524"/>
        <v>341.16652375199988</v>
      </c>
      <c r="ER84" s="39">
        <f t="shared" ref="ER84:EV84" si="1525">ER$1*DY84/1000000</f>
        <v>0</v>
      </c>
      <c r="ES84" s="39">
        <f t="shared" si="1525"/>
        <v>0</v>
      </c>
      <c r="ET84" s="39">
        <f t="shared" si="1525"/>
        <v>0</v>
      </c>
      <c r="EU84" s="39">
        <f t="shared" si="1525"/>
        <v>0</v>
      </c>
      <c r="EV84" s="39">
        <f t="shared" si="1525"/>
        <v>0</v>
      </c>
      <c r="EW84" s="39">
        <f t="shared" ref="EW84:EX84" si="1526">EW$1*ED84</f>
        <v>0</v>
      </c>
      <c r="EX84" s="39">
        <f t="shared" si="1526"/>
        <v>0</v>
      </c>
      <c r="EY84" s="2"/>
      <c r="EZ84" s="39">
        <f t="shared" si="17"/>
        <v>0</v>
      </c>
      <c r="FA84" s="39">
        <f t="shared" si="18"/>
        <v>0</v>
      </c>
      <c r="FB84" s="2">
        <f t="shared" si="19"/>
        <v>0</v>
      </c>
      <c r="FC84" s="2">
        <f t="shared" ref="FC84:FD84" si="1527">BV84*$BT84+CQ84*$CO84</f>
        <v>0</v>
      </c>
      <c r="FD84" s="2">
        <f t="shared" si="1527"/>
        <v>0</v>
      </c>
      <c r="FE84" s="2">
        <f t="shared" ref="FE84:FJ84" si="1528">(BX84*$BT84+CS84*$CO84)/100</f>
        <v>0</v>
      </c>
      <c r="FF84" s="2">
        <f t="shared" si="1528"/>
        <v>0</v>
      </c>
      <c r="FG84" s="2">
        <f t="shared" si="1528"/>
        <v>0</v>
      </c>
      <c r="FH84" s="2">
        <f t="shared" si="1528"/>
        <v>0</v>
      </c>
      <c r="FI84" s="2">
        <f t="shared" si="1528"/>
        <v>0</v>
      </c>
      <c r="FJ84" s="2">
        <f t="shared" si="1528"/>
        <v>0</v>
      </c>
      <c r="FK84" s="2">
        <f t="shared" ref="FK84:FO84" si="1529">CD84*$BT84+CY84*$CO84</f>
        <v>0</v>
      </c>
      <c r="FL84" s="2">
        <f t="shared" si="1529"/>
        <v>0</v>
      </c>
      <c r="FM84" s="2">
        <f t="shared" si="1529"/>
        <v>0</v>
      </c>
      <c r="FN84" s="2">
        <f t="shared" si="1529"/>
        <v>0</v>
      </c>
      <c r="FO84" s="2">
        <f t="shared" si="1529"/>
        <v>0</v>
      </c>
      <c r="FP84" s="2">
        <f t="shared" ref="FP84:FQ84" si="1530">(CI84*$BT84+DD84*$CO84)/100</f>
        <v>0</v>
      </c>
      <c r="FQ84" s="2">
        <f t="shared" si="1530"/>
        <v>0</v>
      </c>
      <c r="FR84" s="2"/>
      <c r="FS84" s="2">
        <f t="shared" si="24"/>
        <v>0</v>
      </c>
      <c r="FT84" s="2">
        <f t="shared" si="25"/>
        <v>0</v>
      </c>
      <c r="FU84" s="39">
        <f t="shared" si="26"/>
        <v>0</v>
      </c>
      <c r="FV84" s="39">
        <f t="shared" ref="FV84:FW84" si="1531">FV$1*FC84/1000000</f>
        <v>0</v>
      </c>
      <c r="FW84" s="39">
        <f t="shared" si="1531"/>
        <v>0</v>
      </c>
      <c r="FX84" s="39">
        <f t="shared" ref="FX84:GC84" si="1532">FX$1*FE84</f>
        <v>0</v>
      </c>
      <c r="FY84" s="39">
        <f t="shared" si="1532"/>
        <v>0</v>
      </c>
      <c r="FZ84" s="39">
        <f t="shared" si="1532"/>
        <v>0</v>
      </c>
      <c r="GA84" s="39">
        <f t="shared" si="1532"/>
        <v>0</v>
      </c>
      <c r="GB84" s="39">
        <f t="shared" si="1532"/>
        <v>0</v>
      </c>
      <c r="GC84" s="39">
        <f t="shared" si="1532"/>
        <v>0</v>
      </c>
      <c r="GD84" s="39">
        <f t="shared" ref="GD84:GH84" si="1533">GD$1*FK84/1000000</f>
        <v>0</v>
      </c>
      <c r="GE84" s="39">
        <f t="shared" si="1533"/>
        <v>0</v>
      </c>
      <c r="GF84" s="39">
        <f t="shared" si="1533"/>
        <v>0</v>
      </c>
      <c r="GG84" s="39">
        <f t="shared" si="1533"/>
        <v>0</v>
      </c>
      <c r="GH84" s="39">
        <f t="shared" si="1533"/>
        <v>0</v>
      </c>
      <c r="GI84" s="39">
        <f t="shared" ref="GI84:GJ84" si="1534">GI$1*FP84</f>
        <v>0</v>
      </c>
      <c r="GJ84" s="39">
        <f t="shared" si="1534"/>
        <v>0</v>
      </c>
      <c r="GK84" s="2"/>
      <c r="GL84" s="39">
        <f t="shared" si="31"/>
        <v>0</v>
      </c>
      <c r="GM84" s="39">
        <f t="shared" si="32"/>
        <v>0</v>
      </c>
      <c r="GN84" s="2" t="s">
        <v>3</v>
      </c>
      <c r="GO84" s="2">
        <f t="shared" si="33"/>
        <v>8.6999999999999993</v>
      </c>
      <c r="GP84" s="2">
        <f t="shared" si="34"/>
        <v>1.1399999999999999</v>
      </c>
      <c r="GQ84" s="15">
        <f t="shared" si="35"/>
        <v>99.18</v>
      </c>
      <c r="GR84" s="15">
        <f t="shared" si="36"/>
        <v>1641.8130437519997</v>
      </c>
      <c r="GS84" s="15">
        <f t="shared" si="37"/>
        <v>188.71414295999998</v>
      </c>
      <c r="GT84" s="2">
        <f t="shared" si="38"/>
        <v>0</v>
      </c>
      <c r="GU84" s="2">
        <f t="shared" si="39"/>
        <v>0</v>
      </c>
      <c r="GV84" s="2">
        <f t="shared" si="40"/>
        <v>99.179999999999978</v>
      </c>
      <c r="GW84" s="2">
        <f t="shared" si="41"/>
        <v>0</v>
      </c>
      <c r="GX84" s="2"/>
      <c r="GY84" s="2"/>
      <c r="GZ84" s="2"/>
      <c r="HA84" s="2"/>
      <c r="HB84" s="2">
        <f t="shared" si="42"/>
        <v>0</v>
      </c>
      <c r="HC84" s="2">
        <f t="shared" si="43"/>
        <v>0</v>
      </c>
      <c r="HD84" s="2" t="s">
        <v>3</v>
      </c>
      <c r="HE84" s="2" t="s">
        <v>37</v>
      </c>
      <c r="HF84" s="2" t="s">
        <v>342</v>
      </c>
      <c r="HG84" s="2" t="s">
        <v>342</v>
      </c>
      <c r="HH84" s="2"/>
      <c r="HI84" s="2" t="s">
        <v>100</v>
      </c>
      <c r="HJ84" s="2" t="s">
        <v>3</v>
      </c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 t="s">
        <v>3</v>
      </c>
    </row>
    <row r="85" spans="1:268" ht="15.75" customHeight="1" x14ac:dyDescent="0.2">
      <c r="A85" s="13" t="s">
        <v>503</v>
      </c>
      <c r="B85" s="2" t="s">
        <v>99</v>
      </c>
      <c r="C85" s="2"/>
      <c r="D85" s="2"/>
      <c r="E85" s="2"/>
      <c r="F85" s="2" t="s">
        <v>504</v>
      </c>
      <c r="G85" s="2"/>
      <c r="H85" s="2"/>
      <c r="I85" s="2">
        <v>0</v>
      </c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>
        <v>0</v>
      </c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>
        <v>9.6999999999999993</v>
      </c>
      <c r="AZ85" s="2"/>
      <c r="BA85" s="2"/>
      <c r="BB85" s="2"/>
      <c r="BC85" s="2"/>
      <c r="BD85" s="2"/>
      <c r="BE85" s="2"/>
      <c r="BF85" s="2"/>
      <c r="BG85" s="2">
        <v>0.91</v>
      </c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>
        <v>0</v>
      </c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>
        <v>0</v>
      </c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 t="s">
        <v>100</v>
      </c>
      <c r="DK85" s="2"/>
      <c r="DL85" s="2">
        <f t="shared" si="3"/>
        <v>0.91</v>
      </c>
      <c r="DM85" s="2">
        <f t="shared" si="4"/>
        <v>0</v>
      </c>
      <c r="DN85" s="2" t="s">
        <v>113</v>
      </c>
      <c r="DO85" s="2" t="s">
        <v>3</v>
      </c>
      <c r="DP85" s="2">
        <f t="shared" si="5"/>
        <v>0</v>
      </c>
      <c r="DQ85" s="2">
        <f t="shared" ref="DQ85:DR85" si="1535">K85*$I85+AF85*$AD85+BA85*$AY85</f>
        <v>0</v>
      </c>
      <c r="DR85" s="2">
        <f t="shared" si="1535"/>
        <v>0</v>
      </c>
      <c r="DS85" s="2">
        <f t="shared" ref="DS85:DX85" si="1536">(M85*$I85+AH85*$AD85+BC85*$AY85)/100</f>
        <v>0</v>
      </c>
      <c r="DT85" s="2">
        <f t="shared" si="1536"/>
        <v>0</v>
      </c>
      <c r="DU85" s="2">
        <f t="shared" si="1536"/>
        <v>0</v>
      </c>
      <c r="DV85" s="2">
        <f t="shared" si="1536"/>
        <v>0</v>
      </c>
      <c r="DW85" s="2">
        <f t="shared" si="1536"/>
        <v>8.8270000000000001E-2</v>
      </c>
      <c r="DX85" s="2">
        <f t="shared" si="1536"/>
        <v>0</v>
      </c>
      <c r="DY85" s="2">
        <f t="shared" ref="DY85:EC85" si="1537">S85*$I85+AN85*$AD85+BI85*$AY85</f>
        <v>0</v>
      </c>
      <c r="DZ85" s="2">
        <f t="shared" si="1537"/>
        <v>0</v>
      </c>
      <c r="EA85" s="2">
        <f t="shared" si="1537"/>
        <v>0</v>
      </c>
      <c r="EB85" s="2">
        <f t="shared" si="1537"/>
        <v>0</v>
      </c>
      <c r="EC85" s="2">
        <f t="shared" si="1537"/>
        <v>0</v>
      </c>
      <c r="ED85" s="2">
        <f t="shared" ref="ED85:EE85" si="1538">(X85*$I85+AS85*$AD85+BN85*$AY85)/100</f>
        <v>0</v>
      </c>
      <c r="EE85" s="2">
        <f t="shared" si="1538"/>
        <v>0</v>
      </c>
      <c r="EF85" s="2"/>
      <c r="EG85" s="2">
        <f t="shared" si="10"/>
        <v>0</v>
      </c>
      <c r="EH85" s="2">
        <f t="shared" si="11"/>
        <v>0</v>
      </c>
      <c r="EI85" s="39">
        <f t="shared" si="12"/>
        <v>0</v>
      </c>
      <c r="EJ85" s="39">
        <f t="shared" ref="EJ85:EK85" si="1539">EJ$1*DQ85/1000000</f>
        <v>0</v>
      </c>
      <c r="EK85" s="39">
        <f t="shared" si="1539"/>
        <v>0</v>
      </c>
      <c r="EL85" s="39">
        <f t="shared" ref="EL85:EQ85" si="1540">EL$1*DS85</f>
        <v>0</v>
      </c>
      <c r="EM85" s="39">
        <f t="shared" si="1540"/>
        <v>0</v>
      </c>
      <c r="EN85" s="39">
        <f t="shared" si="1540"/>
        <v>0</v>
      </c>
      <c r="EO85" s="39">
        <f t="shared" si="1540"/>
        <v>0</v>
      </c>
      <c r="EP85" s="39">
        <f t="shared" si="1540"/>
        <v>1157.57278</v>
      </c>
      <c r="EQ85" s="39">
        <f t="shared" si="1540"/>
        <v>0</v>
      </c>
      <c r="ER85" s="39">
        <f t="shared" ref="ER85:EV85" si="1541">ER$1*DY85/1000000</f>
        <v>0</v>
      </c>
      <c r="ES85" s="39">
        <f t="shared" si="1541"/>
        <v>0</v>
      </c>
      <c r="ET85" s="39">
        <f t="shared" si="1541"/>
        <v>0</v>
      </c>
      <c r="EU85" s="39">
        <f t="shared" si="1541"/>
        <v>0</v>
      </c>
      <c r="EV85" s="39">
        <f t="shared" si="1541"/>
        <v>0</v>
      </c>
      <c r="EW85" s="39">
        <f t="shared" ref="EW85:EX85" si="1542">EW$1*ED85</f>
        <v>0</v>
      </c>
      <c r="EX85" s="39">
        <f t="shared" si="1542"/>
        <v>0</v>
      </c>
      <c r="EY85" s="2"/>
      <c r="EZ85" s="39">
        <f t="shared" si="17"/>
        <v>0</v>
      </c>
      <c r="FA85" s="39">
        <f t="shared" si="18"/>
        <v>0</v>
      </c>
      <c r="FB85" s="2">
        <f t="shared" si="19"/>
        <v>0</v>
      </c>
      <c r="FC85" s="2">
        <f t="shared" ref="FC85:FD85" si="1543">BV85*$BT85+CQ85*$CO85</f>
        <v>0</v>
      </c>
      <c r="FD85" s="2">
        <f t="shared" si="1543"/>
        <v>0</v>
      </c>
      <c r="FE85" s="2">
        <f t="shared" ref="FE85:FJ85" si="1544">(BX85*$BT85+CS85*$CO85)/100</f>
        <v>0</v>
      </c>
      <c r="FF85" s="2">
        <f t="shared" si="1544"/>
        <v>0</v>
      </c>
      <c r="FG85" s="2">
        <f t="shared" si="1544"/>
        <v>0</v>
      </c>
      <c r="FH85" s="2">
        <f t="shared" si="1544"/>
        <v>0</v>
      </c>
      <c r="FI85" s="2">
        <f t="shared" si="1544"/>
        <v>0</v>
      </c>
      <c r="FJ85" s="2">
        <f t="shared" si="1544"/>
        <v>0</v>
      </c>
      <c r="FK85" s="2">
        <f t="shared" ref="FK85:FO85" si="1545">CD85*$BT85+CY85*$CO85</f>
        <v>0</v>
      </c>
      <c r="FL85" s="2">
        <f t="shared" si="1545"/>
        <v>0</v>
      </c>
      <c r="FM85" s="2">
        <f t="shared" si="1545"/>
        <v>0</v>
      </c>
      <c r="FN85" s="2">
        <f t="shared" si="1545"/>
        <v>0</v>
      </c>
      <c r="FO85" s="2">
        <f t="shared" si="1545"/>
        <v>0</v>
      </c>
      <c r="FP85" s="2">
        <f t="shared" ref="FP85:FQ85" si="1546">(CI85*$BT85+DD85*$CO85)/100</f>
        <v>0</v>
      </c>
      <c r="FQ85" s="2">
        <f t="shared" si="1546"/>
        <v>0</v>
      </c>
      <c r="FR85" s="2"/>
      <c r="FS85" s="2">
        <f t="shared" si="24"/>
        <v>0</v>
      </c>
      <c r="FT85" s="2">
        <f t="shared" si="25"/>
        <v>0</v>
      </c>
      <c r="FU85" s="39">
        <f t="shared" si="26"/>
        <v>0</v>
      </c>
      <c r="FV85" s="39">
        <f t="shared" ref="FV85:FW85" si="1547">FV$1*FC85/1000000</f>
        <v>0</v>
      </c>
      <c r="FW85" s="39">
        <f t="shared" si="1547"/>
        <v>0</v>
      </c>
      <c r="FX85" s="39">
        <f t="shared" ref="FX85:GC85" si="1548">FX$1*FE85</f>
        <v>0</v>
      </c>
      <c r="FY85" s="39">
        <f t="shared" si="1548"/>
        <v>0</v>
      </c>
      <c r="FZ85" s="39">
        <f t="shared" si="1548"/>
        <v>0</v>
      </c>
      <c r="GA85" s="39">
        <f t="shared" si="1548"/>
        <v>0</v>
      </c>
      <c r="GB85" s="39">
        <f t="shared" si="1548"/>
        <v>0</v>
      </c>
      <c r="GC85" s="39">
        <f t="shared" si="1548"/>
        <v>0</v>
      </c>
      <c r="GD85" s="39">
        <f t="shared" ref="GD85:GH85" si="1549">GD$1*FK85/1000000</f>
        <v>0</v>
      </c>
      <c r="GE85" s="39">
        <f t="shared" si="1549"/>
        <v>0</v>
      </c>
      <c r="GF85" s="39">
        <f t="shared" si="1549"/>
        <v>0</v>
      </c>
      <c r="GG85" s="39">
        <f t="shared" si="1549"/>
        <v>0</v>
      </c>
      <c r="GH85" s="39">
        <f t="shared" si="1549"/>
        <v>0</v>
      </c>
      <c r="GI85" s="39">
        <f t="shared" ref="GI85:GJ85" si="1550">GI$1*FP85</f>
        <v>0</v>
      </c>
      <c r="GJ85" s="39">
        <f t="shared" si="1550"/>
        <v>0</v>
      </c>
      <c r="GK85" s="2"/>
      <c r="GL85" s="39">
        <f t="shared" si="31"/>
        <v>0</v>
      </c>
      <c r="GM85" s="39">
        <f t="shared" si="32"/>
        <v>0</v>
      </c>
      <c r="GN85" s="2" t="s">
        <v>3</v>
      </c>
      <c r="GO85" s="2">
        <f t="shared" si="33"/>
        <v>9.6999999999999993</v>
      </c>
      <c r="GP85" s="2">
        <f t="shared" si="34"/>
        <v>0.91</v>
      </c>
      <c r="GQ85" s="15">
        <f t="shared" si="35"/>
        <v>88.27</v>
      </c>
      <c r="GR85" s="15">
        <f t="shared" si="36"/>
        <v>1157.57278</v>
      </c>
      <c r="GS85" s="15">
        <f t="shared" si="37"/>
        <v>119.3374</v>
      </c>
      <c r="GT85" s="2">
        <f t="shared" si="38"/>
        <v>0</v>
      </c>
      <c r="GU85" s="2">
        <f t="shared" si="39"/>
        <v>0</v>
      </c>
      <c r="GV85" s="2">
        <f t="shared" si="40"/>
        <v>88.27</v>
      </c>
      <c r="GW85" s="2">
        <f t="shared" si="41"/>
        <v>0</v>
      </c>
      <c r="GX85" s="2"/>
      <c r="GY85" s="2"/>
      <c r="GZ85" s="2"/>
      <c r="HA85" s="2"/>
      <c r="HB85" s="2">
        <f t="shared" si="42"/>
        <v>0</v>
      </c>
      <c r="HC85" s="2">
        <f t="shared" si="43"/>
        <v>0</v>
      </c>
      <c r="HD85" s="2" t="s">
        <v>3</v>
      </c>
      <c r="HE85" s="2" t="s">
        <v>37</v>
      </c>
      <c r="HF85" s="2" t="s">
        <v>342</v>
      </c>
      <c r="HG85" s="2" t="s">
        <v>342</v>
      </c>
      <c r="HH85" s="2"/>
      <c r="HI85" s="2" t="s">
        <v>100</v>
      </c>
      <c r="HJ85" s="2" t="s">
        <v>3</v>
      </c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 t="s">
        <v>3</v>
      </c>
    </row>
    <row r="86" spans="1:268" ht="15.75" customHeight="1" x14ac:dyDescent="0.2">
      <c r="A86" s="13" t="s">
        <v>341</v>
      </c>
      <c r="B86" s="2" t="s">
        <v>120</v>
      </c>
      <c r="C86" s="2"/>
      <c r="D86" s="2"/>
      <c r="E86" s="2"/>
      <c r="F86" s="2" t="s">
        <v>79</v>
      </c>
      <c r="G86" s="2"/>
      <c r="H86" s="2"/>
      <c r="I86" s="2">
        <v>0</v>
      </c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>
        <v>0</v>
      </c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>
        <f>0.1175/(1.175/100)</f>
        <v>10</v>
      </c>
      <c r="AZ86" s="2"/>
      <c r="BA86" s="2"/>
      <c r="BB86" s="2"/>
      <c r="BC86" s="2"/>
      <c r="BD86" s="2"/>
      <c r="BE86" s="2"/>
      <c r="BF86" s="2"/>
      <c r="BG86" s="2">
        <v>1.175</v>
      </c>
      <c r="BH86" s="2">
        <v>0.06</v>
      </c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>
        <v>0</v>
      </c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>
        <v>0</v>
      </c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 t="s">
        <v>100</v>
      </c>
      <c r="DK86" s="2" t="s">
        <v>100</v>
      </c>
      <c r="DL86" s="2">
        <f t="shared" si="3"/>
        <v>1.175</v>
      </c>
      <c r="DM86" s="2">
        <f t="shared" si="4"/>
        <v>0.06</v>
      </c>
      <c r="DN86" s="2" t="s">
        <v>187</v>
      </c>
      <c r="DO86" s="2" t="s">
        <v>3</v>
      </c>
      <c r="DP86" s="2">
        <f t="shared" si="5"/>
        <v>0</v>
      </c>
      <c r="DQ86" s="2">
        <f t="shared" ref="DQ86:DR86" si="1551">K86*$I86+AF86*$AD86+BA86*$AY86</f>
        <v>0</v>
      </c>
      <c r="DR86" s="2">
        <f t="shared" si="1551"/>
        <v>0</v>
      </c>
      <c r="DS86" s="2">
        <f t="shared" ref="DS86:DX86" si="1552">(M86*$I86+AH86*$AD86+BC86*$AY86)/100</f>
        <v>0</v>
      </c>
      <c r="DT86" s="2">
        <f t="shared" si="1552"/>
        <v>0</v>
      </c>
      <c r="DU86" s="2">
        <f t="shared" si="1552"/>
        <v>0</v>
      </c>
      <c r="DV86" s="2">
        <f t="shared" si="1552"/>
        <v>0</v>
      </c>
      <c r="DW86" s="2">
        <f t="shared" si="1552"/>
        <v>0.11749999999999999</v>
      </c>
      <c r="DX86" s="2">
        <f t="shared" si="1552"/>
        <v>6.0000000000000001E-3</v>
      </c>
      <c r="DY86" s="2">
        <f t="shared" ref="DY86:EC86" si="1553">S86*$I86+AN86*$AD86+BI86*$AY86</f>
        <v>0</v>
      </c>
      <c r="DZ86" s="2">
        <f t="shared" si="1553"/>
        <v>0</v>
      </c>
      <c r="EA86" s="2">
        <f t="shared" si="1553"/>
        <v>0</v>
      </c>
      <c r="EB86" s="2">
        <f t="shared" si="1553"/>
        <v>0</v>
      </c>
      <c r="EC86" s="2">
        <f t="shared" si="1553"/>
        <v>0</v>
      </c>
      <c r="ED86" s="2">
        <f t="shared" ref="ED86:EE86" si="1554">(X86*$I86+AS86*$AD86+BN86*$AY86)/100</f>
        <v>0</v>
      </c>
      <c r="EE86" s="2">
        <f t="shared" si="1554"/>
        <v>0</v>
      </c>
      <c r="EF86" s="2"/>
      <c r="EG86" s="2">
        <f t="shared" si="10"/>
        <v>0</v>
      </c>
      <c r="EH86" s="2">
        <f t="shared" si="11"/>
        <v>0</v>
      </c>
      <c r="EI86" s="39">
        <f t="shared" si="12"/>
        <v>0</v>
      </c>
      <c r="EJ86" s="39">
        <f t="shared" ref="EJ86:EK86" si="1555">EJ$1*DQ86/1000000</f>
        <v>0</v>
      </c>
      <c r="EK86" s="39">
        <f t="shared" si="1555"/>
        <v>0</v>
      </c>
      <c r="EL86" s="39">
        <f t="shared" ref="EL86:EQ86" si="1556">EL$1*DS86</f>
        <v>0</v>
      </c>
      <c r="EM86" s="39">
        <f t="shared" si="1556"/>
        <v>0</v>
      </c>
      <c r="EN86" s="39">
        <f t="shared" si="1556"/>
        <v>0</v>
      </c>
      <c r="EO86" s="39">
        <f t="shared" si="1556"/>
        <v>0</v>
      </c>
      <c r="EP86" s="39">
        <f t="shared" si="1556"/>
        <v>1540.895</v>
      </c>
      <c r="EQ86" s="39">
        <f t="shared" si="1556"/>
        <v>435.71714399999996</v>
      </c>
      <c r="ER86" s="39">
        <f t="shared" ref="ER86:EV86" si="1557">ER$1*DY86/1000000</f>
        <v>0</v>
      </c>
      <c r="ES86" s="39">
        <f t="shared" si="1557"/>
        <v>0</v>
      </c>
      <c r="ET86" s="39">
        <f t="shared" si="1557"/>
        <v>0</v>
      </c>
      <c r="EU86" s="39">
        <f t="shared" si="1557"/>
        <v>0</v>
      </c>
      <c r="EV86" s="39">
        <f t="shared" si="1557"/>
        <v>0</v>
      </c>
      <c r="EW86" s="39">
        <f t="shared" ref="EW86:EX86" si="1558">EW$1*ED86</f>
        <v>0</v>
      </c>
      <c r="EX86" s="39">
        <f t="shared" si="1558"/>
        <v>0</v>
      </c>
      <c r="EY86" s="2"/>
      <c r="EZ86" s="39">
        <f t="shared" si="17"/>
        <v>0</v>
      </c>
      <c r="FA86" s="39">
        <f t="shared" si="18"/>
        <v>0</v>
      </c>
      <c r="FB86" s="2">
        <f t="shared" si="19"/>
        <v>0</v>
      </c>
      <c r="FC86" s="2">
        <f t="shared" ref="FC86:FD86" si="1559">BV86*$BT86+CQ86*$CO86</f>
        <v>0</v>
      </c>
      <c r="FD86" s="2">
        <f t="shared" si="1559"/>
        <v>0</v>
      </c>
      <c r="FE86" s="2">
        <f t="shared" ref="FE86:FJ86" si="1560">(BX86*$BT86+CS86*$CO86)/100</f>
        <v>0</v>
      </c>
      <c r="FF86" s="2">
        <f t="shared" si="1560"/>
        <v>0</v>
      </c>
      <c r="FG86" s="2">
        <f t="shared" si="1560"/>
        <v>0</v>
      </c>
      <c r="FH86" s="2">
        <f t="shared" si="1560"/>
        <v>0</v>
      </c>
      <c r="FI86" s="2">
        <f t="shared" si="1560"/>
        <v>0</v>
      </c>
      <c r="FJ86" s="2">
        <f t="shared" si="1560"/>
        <v>0</v>
      </c>
      <c r="FK86" s="2">
        <f t="shared" ref="FK86:FO86" si="1561">CD86*$BT86+CY86*$CO86</f>
        <v>0</v>
      </c>
      <c r="FL86" s="2">
        <f t="shared" si="1561"/>
        <v>0</v>
      </c>
      <c r="FM86" s="2">
        <f t="shared" si="1561"/>
        <v>0</v>
      </c>
      <c r="FN86" s="2">
        <f t="shared" si="1561"/>
        <v>0</v>
      </c>
      <c r="FO86" s="2">
        <f t="shared" si="1561"/>
        <v>0</v>
      </c>
      <c r="FP86" s="2">
        <f t="shared" ref="FP86:FQ86" si="1562">(CI86*$BT86+DD86*$CO86)/100</f>
        <v>0</v>
      </c>
      <c r="FQ86" s="2">
        <f t="shared" si="1562"/>
        <v>0</v>
      </c>
      <c r="FR86" s="2"/>
      <c r="FS86" s="2">
        <f t="shared" si="24"/>
        <v>0</v>
      </c>
      <c r="FT86" s="2">
        <f t="shared" si="25"/>
        <v>0</v>
      </c>
      <c r="FU86" s="39">
        <f t="shared" si="26"/>
        <v>0</v>
      </c>
      <c r="FV86" s="39">
        <f t="shared" ref="FV86:FW86" si="1563">FV$1*FC86/1000000</f>
        <v>0</v>
      </c>
      <c r="FW86" s="39">
        <f t="shared" si="1563"/>
        <v>0</v>
      </c>
      <c r="FX86" s="39">
        <f t="shared" ref="FX86:GC86" si="1564">FX$1*FE86</f>
        <v>0</v>
      </c>
      <c r="FY86" s="39">
        <f t="shared" si="1564"/>
        <v>0</v>
      </c>
      <c r="FZ86" s="39">
        <f t="shared" si="1564"/>
        <v>0</v>
      </c>
      <c r="GA86" s="39">
        <f t="shared" si="1564"/>
        <v>0</v>
      </c>
      <c r="GB86" s="39">
        <f t="shared" si="1564"/>
        <v>0</v>
      </c>
      <c r="GC86" s="39">
        <f t="shared" si="1564"/>
        <v>0</v>
      </c>
      <c r="GD86" s="39">
        <f t="shared" ref="GD86:GH86" si="1565">GD$1*FK86/1000000</f>
        <v>0</v>
      </c>
      <c r="GE86" s="39">
        <f t="shared" si="1565"/>
        <v>0</v>
      </c>
      <c r="GF86" s="39">
        <f t="shared" si="1565"/>
        <v>0</v>
      </c>
      <c r="GG86" s="39">
        <f t="shared" si="1565"/>
        <v>0</v>
      </c>
      <c r="GH86" s="39">
        <f t="shared" si="1565"/>
        <v>0</v>
      </c>
      <c r="GI86" s="39">
        <f t="shared" ref="GI86:GJ86" si="1566">GI$1*FP86</f>
        <v>0</v>
      </c>
      <c r="GJ86" s="39">
        <f t="shared" si="1566"/>
        <v>0</v>
      </c>
      <c r="GK86" s="2"/>
      <c r="GL86" s="39">
        <f t="shared" si="31"/>
        <v>0</v>
      </c>
      <c r="GM86" s="39">
        <f t="shared" si="32"/>
        <v>0</v>
      </c>
      <c r="GN86" s="2" t="s">
        <v>3</v>
      </c>
      <c r="GO86" s="2">
        <f t="shared" si="33"/>
        <v>10</v>
      </c>
      <c r="GP86" s="4">
        <f t="shared" si="34"/>
        <v>1.175</v>
      </c>
      <c r="GQ86" s="15">
        <f t="shared" si="35"/>
        <v>117.5</v>
      </c>
      <c r="GR86" s="15">
        <f t="shared" si="36"/>
        <v>1976.6121439999999</v>
      </c>
      <c r="GS86" s="15">
        <f t="shared" si="37"/>
        <v>197.66121440000001</v>
      </c>
      <c r="GT86" s="2">
        <f t="shared" si="38"/>
        <v>0</v>
      </c>
      <c r="GU86" s="2">
        <f t="shared" si="39"/>
        <v>0</v>
      </c>
      <c r="GV86" s="2">
        <f t="shared" si="40"/>
        <v>117.5</v>
      </c>
      <c r="GW86" s="2">
        <f t="shared" si="41"/>
        <v>0</v>
      </c>
      <c r="GX86" s="2"/>
      <c r="GY86" s="2"/>
      <c r="GZ86" s="2"/>
      <c r="HA86" s="2"/>
      <c r="HB86" s="2">
        <f t="shared" si="42"/>
        <v>0</v>
      </c>
      <c r="HC86" s="2">
        <f t="shared" si="43"/>
        <v>0</v>
      </c>
      <c r="HD86" s="2" t="s">
        <v>3</v>
      </c>
      <c r="HE86" s="2" t="s">
        <v>37</v>
      </c>
      <c r="HF86" s="2" t="s">
        <v>342</v>
      </c>
      <c r="HG86" s="2" t="s">
        <v>342</v>
      </c>
      <c r="HH86" s="2"/>
      <c r="HI86" s="2" t="s">
        <v>100</v>
      </c>
      <c r="HJ86" s="2" t="s">
        <v>3</v>
      </c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 t="s">
        <v>3</v>
      </c>
    </row>
    <row r="87" spans="1:268" ht="15.75" customHeight="1" x14ac:dyDescent="0.2">
      <c r="A87" s="13" t="s">
        <v>1265</v>
      </c>
      <c r="B87" s="2" t="s">
        <v>99</v>
      </c>
      <c r="C87" s="2"/>
      <c r="D87" s="2"/>
      <c r="E87" s="2"/>
      <c r="F87" s="2" t="s">
        <v>79</v>
      </c>
      <c r="G87" s="2"/>
      <c r="H87" s="2"/>
      <c r="I87" s="2">
        <v>0</v>
      </c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>
        <v>0</v>
      </c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>
        <v>3</v>
      </c>
      <c r="AZ87" s="2"/>
      <c r="BA87" s="2"/>
      <c r="BB87" s="2"/>
      <c r="BC87" s="2"/>
      <c r="BD87" s="2"/>
      <c r="BE87" s="2"/>
      <c r="BF87" s="2"/>
      <c r="BG87" s="2">
        <v>1.23</v>
      </c>
      <c r="BH87" s="2">
        <v>0.08</v>
      </c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>
        <v>0</v>
      </c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>
        <v>0</v>
      </c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 t="s">
        <v>100</v>
      </c>
      <c r="DK87" s="2" t="s">
        <v>100</v>
      </c>
      <c r="DL87" s="2">
        <f t="shared" si="3"/>
        <v>1.23</v>
      </c>
      <c r="DM87" s="2">
        <f t="shared" si="4"/>
        <v>0.08</v>
      </c>
      <c r="DN87" s="2" t="s">
        <v>187</v>
      </c>
      <c r="DO87" s="2" t="s">
        <v>3</v>
      </c>
      <c r="DP87" s="2">
        <f t="shared" si="5"/>
        <v>0</v>
      </c>
      <c r="DQ87" s="2">
        <f t="shared" ref="DQ87:DR87" si="1567">K87*$I87+AF87*$AD87+BA87*$AY87</f>
        <v>0</v>
      </c>
      <c r="DR87" s="2">
        <f t="shared" si="1567"/>
        <v>0</v>
      </c>
      <c r="DS87" s="2">
        <f t="shared" ref="DS87:DX87" si="1568">(M87*$I87+AH87*$AD87+BC87*$AY87)/100</f>
        <v>0</v>
      </c>
      <c r="DT87" s="2">
        <f t="shared" si="1568"/>
        <v>0</v>
      </c>
      <c r="DU87" s="2">
        <f t="shared" si="1568"/>
        <v>0</v>
      </c>
      <c r="DV87" s="2">
        <f t="shared" si="1568"/>
        <v>0</v>
      </c>
      <c r="DW87" s="2">
        <f t="shared" si="1568"/>
        <v>3.6900000000000002E-2</v>
      </c>
      <c r="DX87" s="2">
        <f t="shared" si="1568"/>
        <v>2.3999999999999998E-3</v>
      </c>
      <c r="DY87" s="2">
        <f t="shared" ref="DY87:EC87" si="1569">S87*$I87+AN87*$AD87+BI87*$AY87</f>
        <v>0</v>
      </c>
      <c r="DZ87" s="2">
        <f t="shared" si="1569"/>
        <v>0</v>
      </c>
      <c r="EA87" s="2">
        <f t="shared" si="1569"/>
        <v>0</v>
      </c>
      <c r="EB87" s="2">
        <f t="shared" si="1569"/>
        <v>0</v>
      </c>
      <c r="EC87" s="2">
        <f t="shared" si="1569"/>
        <v>0</v>
      </c>
      <c r="ED87" s="2">
        <f t="shared" ref="ED87:EE87" si="1570">(X87*$I87+AS87*$AD87+BN87*$AY87)/100</f>
        <v>0</v>
      </c>
      <c r="EE87" s="2">
        <f t="shared" si="1570"/>
        <v>0</v>
      </c>
      <c r="EF87" s="2"/>
      <c r="EG87" s="2">
        <f t="shared" si="10"/>
        <v>0</v>
      </c>
      <c r="EH87" s="2">
        <f t="shared" si="11"/>
        <v>0</v>
      </c>
      <c r="EI87" s="39">
        <f t="shared" si="12"/>
        <v>0</v>
      </c>
      <c r="EJ87" s="39">
        <f t="shared" ref="EJ87:EK87" si="1571">EJ$1*DQ87/1000000</f>
        <v>0</v>
      </c>
      <c r="EK87" s="39">
        <f t="shared" si="1571"/>
        <v>0</v>
      </c>
      <c r="EL87" s="39">
        <f t="shared" ref="EL87:EQ87" si="1572">EL$1*DS87</f>
        <v>0</v>
      </c>
      <c r="EM87" s="39">
        <f t="shared" si="1572"/>
        <v>0</v>
      </c>
      <c r="EN87" s="39">
        <f t="shared" si="1572"/>
        <v>0</v>
      </c>
      <c r="EO87" s="39">
        <f t="shared" si="1572"/>
        <v>0</v>
      </c>
      <c r="EP87" s="39">
        <f t="shared" si="1572"/>
        <v>483.90660000000003</v>
      </c>
      <c r="EQ87" s="39">
        <f t="shared" si="1572"/>
        <v>174.28685759999996</v>
      </c>
      <c r="ER87" s="39">
        <f t="shared" ref="ER87:EV87" si="1573">ER$1*DY87/1000000</f>
        <v>0</v>
      </c>
      <c r="ES87" s="39">
        <f t="shared" si="1573"/>
        <v>0</v>
      </c>
      <c r="ET87" s="39">
        <f t="shared" si="1573"/>
        <v>0</v>
      </c>
      <c r="EU87" s="39">
        <f t="shared" si="1573"/>
        <v>0</v>
      </c>
      <c r="EV87" s="39">
        <f t="shared" si="1573"/>
        <v>0</v>
      </c>
      <c r="EW87" s="39">
        <f t="shared" ref="EW87:EX87" si="1574">EW$1*ED87</f>
        <v>0</v>
      </c>
      <c r="EX87" s="39">
        <f t="shared" si="1574"/>
        <v>0</v>
      </c>
      <c r="EY87" s="2"/>
      <c r="EZ87" s="39">
        <f t="shared" si="17"/>
        <v>0</v>
      </c>
      <c r="FA87" s="39">
        <f t="shared" si="18"/>
        <v>0</v>
      </c>
      <c r="FB87" s="2">
        <f t="shared" si="19"/>
        <v>0</v>
      </c>
      <c r="FC87" s="2">
        <f t="shared" ref="FC87:FD87" si="1575">BV87*$BT87+CQ87*$CO87</f>
        <v>0</v>
      </c>
      <c r="FD87" s="2">
        <f t="shared" si="1575"/>
        <v>0</v>
      </c>
      <c r="FE87" s="2">
        <f t="shared" ref="FE87:FJ87" si="1576">(BX87*$BT87+CS87*$CO87)/100</f>
        <v>0</v>
      </c>
      <c r="FF87" s="2">
        <f t="shared" si="1576"/>
        <v>0</v>
      </c>
      <c r="FG87" s="2">
        <f t="shared" si="1576"/>
        <v>0</v>
      </c>
      <c r="FH87" s="2">
        <f t="shared" si="1576"/>
        <v>0</v>
      </c>
      <c r="FI87" s="2">
        <f t="shared" si="1576"/>
        <v>0</v>
      </c>
      <c r="FJ87" s="2">
        <f t="shared" si="1576"/>
        <v>0</v>
      </c>
      <c r="FK87" s="2">
        <f t="shared" ref="FK87:FO87" si="1577">CD87*$BT87+CY87*$CO87</f>
        <v>0</v>
      </c>
      <c r="FL87" s="2">
        <f t="shared" si="1577"/>
        <v>0</v>
      </c>
      <c r="FM87" s="2">
        <f t="shared" si="1577"/>
        <v>0</v>
      </c>
      <c r="FN87" s="2">
        <f t="shared" si="1577"/>
        <v>0</v>
      </c>
      <c r="FO87" s="2">
        <f t="shared" si="1577"/>
        <v>0</v>
      </c>
      <c r="FP87" s="2">
        <f t="shared" ref="FP87:FQ87" si="1578">(CI87*$BT87+DD87*$CO87)/100</f>
        <v>0</v>
      </c>
      <c r="FQ87" s="2">
        <f t="shared" si="1578"/>
        <v>0</v>
      </c>
      <c r="FR87" s="2"/>
      <c r="FS87" s="2">
        <f t="shared" si="24"/>
        <v>0</v>
      </c>
      <c r="FT87" s="2">
        <f t="shared" si="25"/>
        <v>0</v>
      </c>
      <c r="FU87" s="39">
        <f t="shared" si="26"/>
        <v>0</v>
      </c>
      <c r="FV87" s="39">
        <f t="shared" ref="FV87:FW87" si="1579">FV$1*FC87/1000000</f>
        <v>0</v>
      </c>
      <c r="FW87" s="39">
        <f t="shared" si="1579"/>
        <v>0</v>
      </c>
      <c r="FX87" s="39">
        <f t="shared" ref="FX87:GC87" si="1580">FX$1*FE87</f>
        <v>0</v>
      </c>
      <c r="FY87" s="39">
        <f t="shared" si="1580"/>
        <v>0</v>
      </c>
      <c r="FZ87" s="39">
        <f t="shared" si="1580"/>
        <v>0</v>
      </c>
      <c r="GA87" s="39">
        <f t="shared" si="1580"/>
        <v>0</v>
      </c>
      <c r="GB87" s="39">
        <f t="shared" si="1580"/>
        <v>0</v>
      </c>
      <c r="GC87" s="39">
        <f t="shared" si="1580"/>
        <v>0</v>
      </c>
      <c r="GD87" s="39">
        <f t="shared" ref="GD87:GH87" si="1581">GD$1*FK87/1000000</f>
        <v>0</v>
      </c>
      <c r="GE87" s="39">
        <f t="shared" si="1581"/>
        <v>0</v>
      </c>
      <c r="GF87" s="39">
        <f t="shared" si="1581"/>
        <v>0</v>
      </c>
      <c r="GG87" s="39">
        <f t="shared" si="1581"/>
        <v>0</v>
      </c>
      <c r="GH87" s="39">
        <f t="shared" si="1581"/>
        <v>0</v>
      </c>
      <c r="GI87" s="39">
        <f t="shared" ref="GI87:GJ87" si="1582">GI$1*FP87</f>
        <v>0</v>
      </c>
      <c r="GJ87" s="39">
        <f t="shared" si="1582"/>
        <v>0</v>
      </c>
      <c r="GK87" s="2"/>
      <c r="GL87" s="39">
        <f t="shared" si="31"/>
        <v>0</v>
      </c>
      <c r="GM87" s="39">
        <f t="shared" si="32"/>
        <v>0</v>
      </c>
      <c r="GN87" s="2" t="s">
        <v>3</v>
      </c>
      <c r="GO87" s="2">
        <f t="shared" si="33"/>
        <v>3</v>
      </c>
      <c r="GP87" s="2">
        <f t="shared" si="34"/>
        <v>1.23</v>
      </c>
      <c r="GQ87" s="15">
        <f t="shared" si="35"/>
        <v>36.9</v>
      </c>
      <c r="GR87" s="15">
        <f t="shared" si="36"/>
        <v>658.19345759999999</v>
      </c>
      <c r="GS87" s="15">
        <f t="shared" si="37"/>
        <v>219.39781919999999</v>
      </c>
      <c r="GT87" s="2">
        <f t="shared" si="38"/>
        <v>0</v>
      </c>
      <c r="GU87" s="2">
        <f t="shared" si="39"/>
        <v>0</v>
      </c>
      <c r="GV87" s="2">
        <f t="shared" si="40"/>
        <v>36.9</v>
      </c>
      <c r="GW87" s="2">
        <f t="shared" si="41"/>
        <v>0</v>
      </c>
      <c r="GX87" s="2"/>
      <c r="GY87" s="2"/>
      <c r="GZ87" s="2"/>
      <c r="HA87" s="2"/>
      <c r="HB87" s="2">
        <f t="shared" si="42"/>
        <v>0</v>
      </c>
      <c r="HC87" s="2">
        <f t="shared" si="43"/>
        <v>0</v>
      </c>
      <c r="HD87" s="2" t="s">
        <v>3</v>
      </c>
      <c r="HE87" s="2" t="s">
        <v>37</v>
      </c>
      <c r="HF87" s="2" t="s">
        <v>342</v>
      </c>
      <c r="HG87" s="2" t="s">
        <v>342</v>
      </c>
      <c r="HH87" s="2"/>
      <c r="HI87" s="2" t="s">
        <v>100</v>
      </c>
      <c r="HJ87" s="2" t="s">
        <v>3</v>
      </c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 t="s">
        <v>3</v>
      </c>
    </row>
    <row r="88" spans="1:268" ht="15.75" customHeight="1" x14ac:dyDescent="0.2">
      <c r="A88" s="13" t="s">
        <v>207</v>
      </c>
      <c r="B88" s="2" t="s">
        <v>99</v>
      </c>
      <c r="C88" s="2"/>
      <c r="D88" s="2"/>
      <c r="E88" s="2"/>
      <c r="F88" s="2" t="s">
        <v>79</v>
      </c>
      <c r="G88" s="2"/>
      <c r="H88" s="2"/>
      <c r="I88" s="2">
        <v>0</v>
      </c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>
        <v>0</v>
      </c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>
        <v>40</v>
      </c>
      <c r="AZ88" s="2"/>
      <c r="BA88" s="2"/>
      <c r="BB88" s="2"/>
      <c r="BC88" s="2"/>
      <c r="BD88" s="2"/>
      <c r="BE88" s="2"/>
      <c r="BF88" s="2"/>
      <c r="BG88" s="2">
        <v>1.35</v>
      </c>
      <c r="BH88" s="2">
        <v>0.04</v>
      </c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>
        <v>0</v>
      </c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>
        <v>0</v>
      </c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 t="s">
        <v>100</v>
      </c>
      <c r="DK88" s="2" t="s">
        <v>100</v>
      </c>
      <c r="DL88" s="2">
        <f t="shared" si="3"/>
        <v>1.35</v>
      </c>
      <c r="DM88" s="2">
        <f t="shared" si="4"/>
        <v>0.04</v>
      </c>
      <c r="DN88" s="2" t="s">
        <v>113</v>
      </c>
      <c r="DO88" s="2" t="s">
        <v>3</v>
      </c>
      <c r="DP88" s="2">
        <f t="shared" si="5"/>
        <v>0</v>
      </c>
      <c r="DQ88" s="2">
        <f t="shared" ref="DQ88:DR88" si="1583">K88*$I88+AF88*$AD88+BA88*$AY88</f>
        <v>0</v>
      </c>
      <c r="DR88" s="2">
        <f t="shared" si="1583"/>
        <v>0</v>
      </c>
      <c r="DS88" s="2">
        <f t="shared" ref="DS88:DX88" si="1584">(M88*$I88+AH88*$AD88+BC88*$AY88)/100</f>
        <v>0</v>
      </c>
      <c r="DT88" s="2">
        <f t="shared" si="1584"/>
        <v>0</v>
      </c>
      <c r="DU88" s="2">
        <f t="shared" si="1584"/>
        <v>0</v>
      </c>
      <c r="DV88" s="2">
        <f t="shared" si="1584"/>
        <v>0</v>
      </c>
      <c r="DW88" s="2">
        <f t="shared" si="1584"/>
        <v>0.54</v>
      </c>
      <c r="DX88" s="2">
        <f t="shared" si="1584"/>
        <v>1.6E-2</v>
      </c>
      <c r="DY88" s="2">
        <f t="shared" ref="DY88:EC88" si="1585">S88*$I88+AN88*$AD88+BI88*$AY88</f>
        <v>0</v>
      </c>
      <c r="DZ88" s="2">
        <f t="shared" si="1585"/>
        <v>0</v>
      </c>
      <c r="EA88" s="2">
        <f t="shared" si="1585"/>
        <v>0</v>
      </c>
      <c r="EB88" s="2">
        <f t="shared" si="1585"/>
        <v>0</v>
      </c>
      <c r="EC88" s="2">
        <f t="shared" si="1585"/>
        <v>0</v>
      </c>
      <c r="ED88" s="2">
        <f t="shared" ref="ED88:EE88" si="1586">(X88*$I88+AS88*$AD88+BN88*$AY88)/100</f>
        <v>0</v>
      </c>
      <c r="EE88" s="2">
        <f t="shared" si="1586"/>
        <v>0</v>
      </c>
      <c r="EF88" s="2"/>
      <c r="EG88" s="2">
        <f t="shared" si="10"/>
        <v>0</v>
      </c>
      <c r="EH88" s="2">
        <f t="shared" si="11"/>
        <v>0</v>
      </c>
      <c r="EI88" s="39">
        <f t="shared" si="12"/>
        <v>0</v>
      </c>
      <c r="EJ88" s="39">
        <f t="shared" ref="EJ88:EK88" si="1587">EJ$1*DQ88/1000000</f>
        <v>0</v>
      </c>
      <c r="EK88" s="39">
        <f t="shared" si="1587"/>
        <v>0</v>
      </c>
      <c r="EL88" s="39">
        <f t="shared" ref="EL88:EQ88" si="1588">EL$1*DS88</f>
        <v>0</v>
      </c>
      <c r="EM88" s="39">
        <f t="shared" si="1588"/>
        <v>0</v>
      </c>
      <c r="EN88" s="39">
        <f t="shared" si="1588"/>
        <v>0</v>
      </c>
      <c r="EO88" s="39">
        <f t="shared" si="1588"/>
        <v>0</v>
      </c>
      <c r="EP88" s="39">
        <f t="shared" si="1588"/>
        <v>7081.56</v>
      </c>
      <c r="EQ88" s="39">
        <f t="shared" si="1588"/>
        <v>1161.912384</v>
      </c>
      <c r="ER88" s="39">
        <f t="shared" ref="ER88:EV88" si="1589">ER$1*DY88/1000000</f>
        <v>0</v>
      </c>
      <c r="ES88" s="39">
        <f t="shared" si="1589"/>
        <v>0</v>
      </c>
      <c r="ET88" s="39">
        <f t="shared" si="1589"/>
        <v>0</v>
      </c>
      <c r="EU88" s="39">
        <f t="shared" si="1589"/>
        <v>0</v>
      </c>
      <c r="EV88" s="39">
        <f t="shared" si="1589"/>
        <v>0</v>
      </c>
      <c r="EW88" s="39">
        <f t="shared" ref="EW88:EX88" si="1590">EW$1*ED88</f>
        <v>0</v>
      </c>
      <c r="EX88" s="39">
        <f t="shared" si="1590"/>
        <v>0</v>
      </c>
      <c r="EY88" s="2"/>
      <c r="EZ88" s="39">
        <f t="shared" si="17"/>
        <v>0</v>
      </c>
      <c r="FA88" s="39">
        <f t="shared" si="18"/>
        <v>0</v>
      </c>
      <c r="FB88" s="2">
        <f t="shared" si="19"/>
        <v>0</v>
      </c>
      <c r="FC88" s="2">
        <f t="shared" ref="FC88:FD88" si="1591">BV88*$BT88+CQ88*$CO88</f>
        <v>0</v>
      </c>
      <c r="FD88" s="2">
        <f t="shared" si="1591"/>
        <v>0</v>
      </c>
      <c r="FE88" s="2">
        <f t="shared" ref="FE88:FJ88" si="1592">(BX88*$BT88+CS88*$CO88)/100</f>
        <v>0</v>
      </c>
      <c r="FF88" s="2">
        <f t="shared" si="1592"/>
        <v>0</v>
      </c>
      <c r="FG88" s="2">
        <f t="shared" si="1592"/>
        <v>0</v>
      </c>
      <c r="FH88" s="2">
        <f t="shared" si="1592"/>
        <v>0</v>
      </c>
      <c r="FI88" s="2">
        <f t="shared" si="1592"/>
        <v>0</v>
      </c>
      <c r="FJ88" s="2">
        <f t="shared" si="1592"/>
        <v>0</v>
      </c>
      <c r="FK88" s="2">
        <f t="shared" ref="FK88:FO88" si="1593">CD88*$BT88+CY88*$CO88</f>
        <v>0</v>
      </c>
      <c r="FL88" s="2">
        <f t="shared" si="1593"/>
        <v>0</v>
      </c>
      <c r="FM88" s="2">
        <f t="shared" si="1593"/>
        <v>0</v>
      </c>
      <c r="FN88" s="2">
        <f t="shared" si="1593"/>
        <v>0</v>
      </c>
      <c r="FO88" s="2">
        <f t="shared" si="1593"/>
        <v>0</v>
      </c>
      <c r="FP88" s="2">
        <f t="shared" ref="FP88:FQ88" si="1594">(CI88*$BT88+DD88*$CO88)/100</f>
        <v>0</v>
      </c>
      <c r="FQ88" s="2">
        <f t="shared" si="1594"/>
        <v>0</v>
      </c>
      <c r="FR88" s="2"/>
      <c r="FS88" s="2">
        <f t="shared" si="24"/>
        <v>0</v>
      </c>
      <c r="FT88" s="2">
        <f t="shared" si="25"/>
        <v>0</v>
      </c>
      <c r="FU88" s="39">
        <f t="shared" si="26"/>
        <v>0</v>
      </c>
      <c r="FV88" s="39">
        <f t="shared" ref="FV88:FW88" si="1595">FV$1*FC88/1000000</f>
        <v>0</v>
      </c>
      <c r="FW88" s="39">
        <f t="shared" si="1595"/>
        <v>0</v>
      </c>
      <c r="FX88" s="39">
        <f t="shared" ref="FX88:GC88" si="1596">FX$1*FE88</f>
        <v>0</v>
      </c>
      <c r="FY88" s="39">
        <f t="shared" si="1596"/>
        <v>0</v>
      </c>
      <c r="FZ88" s="39">
        <f t="shared" si="1596"/>
        <v>0</v>
      </c>
      <c r="GA88" s="39">
        <f t="shared" si="1596"/>
        <v>0</v>
      </c>
      <c r="GB88" s="39">
        <f t="shared" si="1596"/>
        <v>0</v>
      </c>
      <c r="GC88" s="39">
        <f t="shared" si="1596"/>
        <v>0</v>
      </c>
      <c r="GD88" s="39">
        <f t="shared" ref="GD88:GH88" si="1597">GD$1*FK88/1000000</f>
        <v>0</v>
      </c>
      <c r="GE88" s="39">
        <f t="shared" si="1597"/>
        <v>0</v>
      </c>
      <c r="GF88" s="39">
        <f t="shared" si="1597"/>
        <v>0</v>
      </c>
      <c r="GG88" s="39">
        <f t="shared" si="1597"/>
        <v>0</v>
      </c>
      <c r="GH88" s="39">
        <f t="shared" si="1597"/>
        <v>0</v>
      </c>
      <c r="GI88" s="39">
        <f t="shared" ref="GI88:GJ88" si="1598">GI$1*FP88</f>
        <v>0</v>
      </c>
      <c r="GJ88" s="39">
        <f t="shared" si="1598"/>
        <v>0</v>
      </c>
      <c r="GK88" s="2"/>
      <c r="GL88" s="39">
        <f t="shared" si="31"/>
        <v>0</v>
      </c>
      <c r="GM88" s="39">
        <f t="shared" si="32"/>
        <v>0</v>
      </c>
      <c r="GN88" s="2" t="s">
        <v>3</v>
      </c>
      <c r="GO88" s="2">
        <f t="shared" si="33"/>
        <v>40</v>
      </c>
      <c r="GP88" s="2">
        <f t="shared" si="34"/>
        <v>1.35</v>
      </c>
      <c r="GQ88" s="15">
        <f t="shared" si="35"/>
        <v>540</v>
      </c>
      <c r="GR88" s="15">
        <f t="shared" si="36"/>
        <v>8243.4723840000006</v>
      </c>
      <c r="GS88" s="15">
        <f t="shared" si="37"/>
        <v>206.08680960000001</v>
      </c>
      <c r="GT88" s="2">
        <f t="shared" si="38"/>
        <v>0</v>
      </c>
      <c r="GU88" s="2">
        <f t="shared" si="39"/>
        <v>0</v>
      </c>
      <c r="GV88" s="2">
        <f t="shared" si="40"/>
        <v>540</v>
      </c>
      <c r="GW88" s="2">
        <f t="shared" si="41"/>
        <v>0</v>
      </c>
      <c r="GX88" s="2"/>
      <c r="GY88" s="2"/>
      <c r="GZ88" s="2"/>
      <c r="HA88" s="2"/>
      <c r="HB88" s="2">
        <f t="shared" si="42"/>
        <v>0</v>
      </c>
      <c r="HC88" s="2">
        <f t="shared" si="43"/>
        <v>0</v>
      </c>
      <c r="HD88" s="2" t="s">
        <v>3</v>
      </c>
      <c r="HE88" s="2" t="s">
        <v>37</v>
      </c>
      <c r="HF88" s="2" t="s">
        <v>208</v>
      </c>
      <c r="HG88" s="2" t="s">
        <v>208</v>
      </c>
      <c r="HH88" s="2"/>
      <c r="HI88" s="2" t="s">
        <v>100</v>
      </c>
      <c r="HJ88" s="2" t="s">
        <v>3</v>
      </c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 t="s">
        <v>3</v>
      </c>
    </row>
    <row r="89" spans="1:268" ht="15.75" customHeight="1" x14ac:dyDescent="0.2">
      <c r="A89" s="13" t="s">
        <v>709</v>
      </c>
      <c r="B89" s="2" t="s">
        <v>99</v>
      </c>
      <c r="C89" s="2"/>
      <c r="D89" s="2"/>
      <c r="E89" s="2" t="s">
        <v>78</v>
      </c>
      <c r="F89" s="2" t="s">
        <v>79</v>
      </c>
      <c r="G89" s="2"/>
      <c r="H89" s="2" t="s">
        <v>242</v>
      </c>
      <c r="I89" s="2">
        <v>0</v>
      </c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>
        <v>0</v>
      </c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>
        <v>19.2</v>
      </c>
      <c r="AZ89" s="2"/>
      <c r="BA89" s="2"/>
      <c r="BB89" s="2"/>
      <c r="BC89" s="2"/>
      <c r="BD89" s="2"/>
      <c r="BE89" s="2"/>
      <c r="BF89" s="2"/>
      <c r="BG89" s="2">
        <v>0.63</v>
      </c>
      <c r="BH89" s="2">
        <v>0.1</v>
      </c>
      <c r="BI89" s="2"/>
      <c r="BJ89" s="2"/>
      <c r="BK89" s="2"/>
      <c r="BL89" s="2"/>
      <c r="BM89" s="2"/>
      <c r="BN89" s="2"/>
      <c r="BO89" s="2"/>
      <c r="BP89" s="2"/>
      <c r="BQ89" s="2">
        <v>40</v>
      </c>
      <c r="BR89" s="2"/>
      <c r="BS89" s="2"/>
      <c r="BT89" s="2">
        <v>0</v>
      </c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>
        <v>0</v>
      </c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 t="s">
        <v>100</v>
      </c>
      <c r="DK89" s="2" t="s">
        <v>100</v>
      </c>
      <c r="DL89" s="2">
        <f t="shared" si="3"/>
        <v>0.63</v>
      </c>
      <c r="DM89" s="2">
        <f t="shared" si="4"/>
        <v>0.1</v>
      </c>
      <c r="DN89" s="2" t="s">
        <v>710</v>
      </c>
      <c r="DO89" s="2" t="s">
        <v>3</v>
      </c>
      <c r="DP89" s="2">
        <f t="shared" si="5"/>
        <v>0</v>
      </c>
      <c r="DQ89" s="2">
        <f t="shared" ref="DQ89:DR89" si="1599">K89*$I89+AF89*$AD89+BA89*$AY89</f>
        <v>0</v>
      </c>
      <c r="DR89" s="2">
        <f t="shared" si="1599"/>
        <v>0</v>
      </c>
      <c r="DS89" s="2">
        <f t="shared" ref="DS89:DX89" si="1600">(M89*$I89+AH89*$AD89+BC89*$AY89)/100</f>
        <v>0</v>
      </c>
      <c r="DT89" s="2">
        <f t="shared" si="1600"/>
        <v>0</v>
      </c>
      <c r="DU89" s="2">
        <f t="shared" si="1600"/>
        <v>0</v>
      </c>
      <c r="DV89" s="2">
        <f t="shared" si="1600"/>
        <v>0</v>
      </c>
      <c r="DW89" s="2">
        <f t="shared" si="1600"/>
        <v>0.12096</v>
      </c>
      <c r="DX89" s="2">
        <f t="shared" si="1600"/>
        <v>1.9199999999999998E-2</v>
      </c>
      <c r="DY89" s="2">
        <f t="shared" ref="DY89:EC89" si="1601">S89*$I89+AN89*$AD89+BI89*$AY89</f>
        <v>0</v>
      </c>
      <c r="DZ89" s="2">
        <f t="shared" si="1601"/>
        <v>0</v>
      </c>
      <c r="EA89" s="2">
        <f t="shared" si="1601"/>
        <v>0</v>
      </c>
      <c r="EB89" s="2">
        <f t="shared" si="1601"/>
        <v>0</v>
      </c>
      <c r="EC89" s="2">
        <f t="shared" si="1601"/>
        <v>0</v>
      </c>
      <c r="ED89" s="2">
        <f t="shared" ref="ED89:EE89" si="1602">(X89*$I89+AS89*$AD89+BN89*$AY89)/100</f>
        <v>0</v>
      </c>
      <c r="EE89" s="2">
        <f t="shared" si="1602"/>
        <v>0</v>
      </c>
      <c r="EF89" s="2"/>
      <c r="EG89" s="2">
        <f t="shared" si="10"/>
        <v>768</v>
      </c>
      <c r="EH89" s="2">
        <f t="shared" si="11"/>
        <v>0</v>
      </c>
      <c r="EI89" s="39">
        <f t="shared" si="12"/>
        <v>0</v>
      </c>
      <c r="EJ89" s="39">
        <f t="shared" ref="EJ89:EK89" si="1603">EJ$1*DQ89/1000000</f>
        <v>0</v>
      </c>
      <c r="EK89" s="39">
        <f t="shared" si="1603"/>
        <v>0</v>
      </c>
      <c r="EL89" s="39">
        <f t="shared" ref="EL89:EQ89" si="1604">EL$1*DS89</f>
        <v>0</v>
      </c>
      <c r="EM89" s="39">
        <f t="shared" si="1604"/>
        <v>0</v>
      </c>
      <c r="EN89" s="39">
        <f t="shared" si="1604"/>
        <v>0</v>
      </c>
      <c r="EO89" s="39">
        <f t="shared" si="1604"/>
        <v>0</v>
      </c>
      <c r="EP89" s="39">
        <f t="shared" si="1604"/>
        <v>1586.26944</v>
      </c>
      <c r="EQ89" s="39">
        <f t="shared" si="1604"/>
        <v>1394.2948607999997</v>
      </c>
      <c r="ER89" s="39">
        <f t="shared" ref="ER89:EV89" si="1605">ER$1*DY89/1000000</f>
        <v>0</v>
      </c>
      <c r="ES89" s="39">
        <f t="shared" si="1605"/>
        <v>0</v>
      </c>
      <c r="ET89" s="39">
        <f t="shared" si="1605"/>
        <v>0</v>
      </c>
      <c r="EU89" s="39">
        <f t="shared" si="1605"/>
        <v>0</v>
      </c>
      <c r="EV89" s="39">
        <f t="shared" si="1605"/>
        <v>0</v>
      </c>
      <c r="EW89" s="39">
        <f t="shared" ref="EW89:EX89" si="1606">EW$1*ED89</f>
        <v>0</v>
      </c>
      <c r="EX89" s="39">
        <f t="shared" si="1606"/>
        <v>0</v>
      </c>
      <c r="EY89" s="2"/>
      <c r="EZ89" s="39">
        <f t="shared" si="17"/>
        <v>276.48</v>
      </c>
      <c r="FA89" s="39">
        <f t="shared" si="18"/>
        <v>0</v>
      </c>
      <c r="FB89" s="2">
        <f t="shared" si="19"/>
        <v>0</v>
      </c>
      <c r="FC89" s="2">
        <f t="shared" ref="FC89:FD89" si="1607">BV89*$BT89+CQ89*$CO89</f>
        <v>0</v>
      </c>
      <c r="FD89" s="2">
        <f t="shared" si="1607"/>
        <v>0</v>
      </c>
      <c r="FE89" s="2">
        <f t="shared" ref="FE89:FJ89" si="1608">(BX89*$BT89+CS89*$CO89)/100</f>
        <v>0</v>
      </c>
      <c r="FF89" s="2">
        <f t="shared" si="1608"/>
        <v>0</v>
      </c>
      <c r="FG89" s="2">
        <f t="shared" si="1608"/>
        <v>0</v>
      </c>
      <c r="FH89" s="2">
        <f t="shared" si="1608"/>
        <v>0</v>
      </c>
      <c r="FI89" s="2">
        <f t="shared" si="1608"/>
        <v>0</v>
      </c>
      <c r="FJ89" s="2">
        <f t="shared" si="1608"/>
        <v>0</v>
      </c>
      <c r="FK89" s="2">
        <f t="shared" ref="FK89:FO89" si="1609">CD89*$BT89+CY89*$CO89</f>
        <v>0</v>
      </c>
      <c r="FL89" s="2">
        <f t="shared" si="1609"/>
        <v>0</v>
      </c>
      <c r="FM89" s="2">
        <f t="shared" si="1609"/>
        <v>0</v>
      </c>
      <c r="FN89" s="2">
        <f t="shared" si="1609"/>
        <v>0</v>
      </c>
      <c r="FO89" s="2">
        <f t="shared" si="1609"/>
        <v>0</v>
      </c>
      <c r="FP89" s="2">
        <f t="shared" ref="FP89:FQ89" si="1610">(CI89*$BT89+DD89*$CO89)/100</f>
        <v>0</v>
      </c>
      <c r="FQ89" s="2">
        <f t="shared" si="1610"/>
        <v>0</v>
      </c>
      <c r="FR89" s="2"/>
      <c r="FS89" s="2">
        <f t="shared" si="24"/>
        <v>0</v>
      </c>
      <c r="FT89" s="2">
        <f t="shared" si="25"/>
        <v>0</v>
      </c>
      <c r="FU89" s="39">
        <f t="shared" si="26"/>
        <v>0</v>
      </c>
      <c r="FV89" s="39">
        <f t="shared" ref="FV89:FW89" si="1611">FV$1*FC89/1000000</f>
        <v>0</v>
      </c>
      <c r="FW89" s="39">
        <f t="shared" si="1611"/>
        <v>0</v>
      </c>
      <c r="FX89" s="39">
        <f t="shared" ref="FX89:GC89" si="1612">FX$1*FE89</f>
        <v>0</v>
      </c>
      <c r="FY89" s="39">
        <f t="shared" si="1612"/>
        <v>0</v>
      </c>
      <c r="FZ89" s="39">
        <f t="shared" si="1612"/>
        <v>0</v>
      </c>
      <c r="GA89" s="39">
        <f t="shared" si="1612"/>
        <v>0</v>
      </c>
      <c r="GB89" s="39">
        <f t="shared" si="1612"/>
        <v>0</v>
      </c>
      <c r="GC89" s="39">
        <f t="shared" si="1612"/>
        <v>0</v>
      </c>
      <c r="GD89" s="39">
        <f t="shared" ref="GD89:GH89" si="1613">GD$1*FK89/1000000</f>
        <v>0</v>
      </c>
      <c r="GE89" s="39">
        <f t="shared" si="1613"/>
        <v>0</v>
      </c>
      <c r="GF89" s="39">
        <f t="shared" si="1613"/>
        <v>0</v>
      </c>
      <c r="GG89" s="39">
        <f t="shared" si="1613"/>
        <v>0</v>
      </c>
      <c r="GH89" s="39">
        <f t="shared" si="1613"/>
        <v>0</v>
      </c>
      <c r="GI89" s="39">
        <f t="shared" ref="GI89:GJ89" si="1614">GI$1*FP89</f>
        <v>0</v>
      </c>
      <c r="GJ89" s="39">
        <f t="shared" si="1614"/>
        <v>0</v>
      </c>
      <c r="GK89" s="2"/>
      <c r="GL89" s="39">
        <f t="shared" si="31"/>
        <v>0</v>
      </c>
      <c r="GM89" s="39">
        <f t="shared" si="32"/>
        <v>0</v>
      </c>
      <c r="GN89" s="2" t="s">
        <v>3</v>
      </c>
      <c r="GO89" s="2">
        <f t="shared" si="33"/>
        <v>19.2</v>
      </c>
      <c r="GP89" s="2">
        <f t="shared" si="34"/>
        <v>0.63</v>
      </c>
      <c r="GQ89" s="15">
        <f t="shared" si="35"/>
        <v>120.96</v>
      </c>
      <c r="GR89" s="15">
        <f t="shared" si="36"/>
        <v>3257.0443007999997</v>
      </c>
      <c r="GS89" s="15">
        <f t="shared" si="37"/>
        <v>169.63772399999999</v>
      </c>
      <c r="GT89" s="2">
        <f t="shared" si="38"/>
        <v>0</v>
      </c>
      <c r="GU89" s="2">
        <f t="shared" si="39"/>
        <v>0</v>
      </c>
      <c r="GV89" s="2">
        <f t="shared" si="40"/>
        <v>120.96</v>
      </c>
      <c r="GW89" s="2">
        <f t="shared" si="41"/>
        <v>0</v>
      </c>
      <c r="GX89" s="2"/>
      <c r="GY89" s="2"/>
      <c r="GZ89" s="2"/>
      <c r="HA89" s="2"/>
      <c r="HB89" s="2">
        <f t="shared" si="42"/>
        <v>0</v>
      </c>
      <c r="HC89" s="2">
        <f t="shared" si="43"/>
        <v>0</v>
      </c>
      <c r="HD89" s="2" t="s">
        <v>3</v>
      </c>
      <c r="HE89" s="2" t="s">
        <v>37</v>
      </c>
      <c r="HF89" s="2" t="s">
        <v>244</v>
      </c>
      <c r="HG89" s="2"/>
      <c r="HH89" s="2"/>
      <c r="HI89" s="2" t="s">
        <v>100</v>
      </c>
      <c r="HJ89" s="2" t="s">
        <v>3</v>
      </c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 t="s">
        <v>3</v>
      </c>
    </row>
    <row r="90" spans="1:268" ht="15.75" customHeight="1" x14ac:dyDescent="0.2">
      <c r="A90" s="13" t="s">
        <v>682</v>
      </c>
      <c r="B90" s="2" t="s">
        <v>99</v>
      </c>
      <c r="C90" s="2"/>
      <c r="D90" s="2"/>
      <c r="E90" s="2"/>
      <c r="F90" s="2" t="s">
        <v>79</v>
      </c>
      <c r="G90" s="2"/>
      <c r="H90" s="2"/>
      <c r="I90" s="2">
        <v>0</v>
      </c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>
        <v>0</v>
      </c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15">
        <v>81.056000000000012</v>
      </c>
      <c r="AZ90" s="2"/>
      <c r="BA90" s="2"/>
      <c r="BB90" s="2"/>
      <c r="BC90" s="2"/>
      <c r="BD90" s="2"/>
      <c r="BE90" s="2"/>
      <c r="BF90" s="2"/>
      <c r="BG90" s="4">
        <v>1.0129362416107379</v>
      </c>
      <c r="BH90" s="4">
        <v>5.0084386103434651E-2</v>
      </c>
      <c r="BI90" s="2"/>
      <c r="BJ90" s="2"/>
      <c r="BK90" s="2"/>
      <c r="BL90" s="2"/>
      <c r="BM90" s="2"/>
      <c r="BN90" s="15">
        <v>25.75900241808132</v>
      </c>
      <c r="BO90" s="15">
        <v>35.027782027240427</v>
      </c>
      <c r="BP90" s="2"/>
      <c r="BQ90" s="2"/>
      <c r="BR90" s="2"/>
      <c r="BS90" s="2"/>
      <c r="BT90" s="2">
        <v>0</v>
      </c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>
        <v>0</v>
      </c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 t="s">
        <v>100</v>
      </c>
      <c r="DK90" s="2" t="s">
        <v>100</v>
      </c>
      <c r="DL90" s="2">
        <f t="shared" si="3"/>
        <v>1.0129362416107379</v>
      </c>
      <c r="DM90" s="2">
        <f t="shared" si="4"/>
        <v>5.0084386103434651E-2</v>
      </c>
      <c r="DN90" s="2" t="s">
        <v>413</v>
      </c>
      <c r="DO90" s="2" t="s">
        <v>3</v>
      </c>
      <c r="DP90" s="2">
        <f t="shared" si="5"/>
        <v>0</v>
      </c>
      <c r="DQ90" s="2">
        <f t="shared" ref="DQ90:DR90" si="1615">K90*$I90+AF90*$AD90+BA90*$AY90</f>
        <v>0</v>
      </c>
      <c r="DR90" s="2">
        <f t="shared" si="1615"/>
        <v>0</v>
      </c>
      <c r="DS90" s="2">
        <f t="shared" ref="DS90:DX90" si="1616">(M90*$I90+AH90*$AD90+BC90*$AY90)/100</f>
        <v>0</v>
      </c>
      <c r="DT90" s="2">
        <f t="shared" si="1616"/>
        <v>0</v>
      </c>
      <c r="DU90" s="2">
        <f t="shared" si="1616"/>
        <v>0</v>
      </c>
      <c r="DV90" s="2">
        <f t="shared" si="1616"/>
        <v>0</v>
      </c>
      <c r="DW90" s="2">
        <f t="shared" si="1616"/>
        <v>0.82104559999999982</v>
      </c>
      <c r="DX90" s="2">
        <f t="shared" si="1616"/>
        <v>4.0596399999999998E-2</v>
      </c>
      <c r="DY90" s="2">
        <f t="shared" ref="DY90:EC90" si="1617">S90*$I90+AN90*$AD90+BI90*$AY90</f>
        <v>0</v>
      </c>
      <c r="DZ90" s="2">
        <f t="shared" si="1617"/>
        <v>0</v>
      </c>
      <c r="EA90" s="2">
        <f t="shared" si="1617"/>
        <v>0</v>
      </c>
      <c r="EB90" s="2">
        <f t="shared" si="1617"/>
        <v>0</v>
      </c>
      <c r="EC90" s="2">
        <f t="shared" si="1617"/>
        <v>0</v>
      </c>
      <c r="ED90" s="2">
        <f t="shared" ref="ED90:EE90" si="1618">(X90*$I90+AS90*$AD90+BN90*$AY90)/100</f>
        <v>20.879216999999997</v>
      </c>
      <c r="EE90" s="2">
        <f t="shared" si="1618"/>
        <v>28.392119000000001</v>
      </c>
      <c r="EF90" s="2"/>
      <c r="EG90" s="2">
        <f t="shared" si="10"/>
        <v>0</v>
      </c>
      <c r="EH90" s="2">
        <f t="shared" si="11"/>
        <v>0</v>
      </c>
      <c r="EI90" s="39">
        <f t="shared" si="12"/>
        <v>0</v>
      </c>
      <c r="EJ90" s="39">
        <f t="shared" ref="EJ90:EK90" si="1619">EJ$1*DQ90/1000000</f>
        <v>0</v>
      </c>
      <c r="EK90" s="39">
        <f t="shared" si="1619"/>
        <v>0</v>
      </c>
      <c r="EL90" s="39">
        <f t="shared" ref="EL90:EQ90" si="1620">EL$1*DS90</f>
        <v>0</v>
      </c>
      <c r="EM90" s="39">
        <f t="shared" si="1620"/>
        <v>0</v>
      </c>
      <c r="EN90" s="39">
        <f t="shared" si="1620"/>
        <v>0</v>
      </c>
      <c r="EO90" s="39">
        <f t="shared" si="1620"/>
        <v>0</v>
      </c>
      <c r="EP90" s="39">
        <f t="shared" si="1620"/>
        <v>10767.191998399998</v>
      </c>
      <c r="EQ90" s="39">
        <f t="shared" si="1620"/>
        <v>2948.0912441135993</v>
      </c>
      <c r="ER90" s="39">
        <f t="shared" ref="ER90:EV90" si="1621">ER$1*DY90/1000000</f>
        <v>0</v>
      </c>
      <c r="ES90" s="39">
        <f t="shared" si="1621"/>
        <v>0</v>
      </c>
      <c r="ET90" s="39">
        <f t="shared" si="1621"/>
        <v>0</v>
      </c>
      <c r="EU90" s="39">
        <f t="shared" si="1621"/>
        <v>0</v>
      </c>
      <c r="EV90" s="39">
        <f t="shared" si="1621"/>
        <v>0</v>
      </c>
      <c r="EW90" s="39">
        <f t="shared" ref="EW90:EX90" si="1622">EW$1*ED90</f>
        <v>5825.3015429999996</v>
      </c>
      <c r="EX90" s="39">
        <f t="shared" si="1622"/>
        <v>2640.467067</v>
      </c>
      <c r="EY90" s="2"/>
      <c r="EZ90" s="39">
        <f t="shared" si="17"/>
        <v>0</v>
      </c>
      <c r="FA90" s="39">
        <f t="shared" si="18"/>
        <v>0</v>
      </c>
      <c r="FB90" s="2">
        <f t="shared" si="19"/>
        <v>0</v>
      </c>
      <c r="FC90" s="2">
        <f t="shared" ref="FC90:FD90" si="1623">BV90*$BT90+CQ90*$CO90</f>
        <v>0</v>
      </c>
      <c r="FD90" s="2">
        <f t="shared" si="1623"/>
        <v>0</v>
      </c>
      <c r="FE90" s="2">
        <f t="shared" ref="FE90:FJ90" si="1624">(BX90*$BT90+CS90*$CO90)/100</f>
        <v>0</v>
      </c>
      <c r="FF90" s="2">
        <f t="shared" si="1624"/>
        <v>0</v>
      </c>
      <c r="FG90" s="2">
        <f t="shared" si="1624"/>
        <v>0</v>
      </c>
      <c r="FH90" s="2">
        <f t="shared" si="1624"/>
        <v>0</v>
      </c>
      <c r="FI90" s="2">
        <f t="shared" si="1624"/>
        <v>0</v>
      </c>
      <c r="FJ90" s="2">
        <f t="shared" si="1624"/>
        <v>0</v>
      </c>
      <c r="FK90" s="2">
        <f t="shared" ref="FK90:FO90" si="1625">CD90*$BT90+CY90*$CO90</f>
        <v>0</v>
      </c>
      <c r="FL90" s="2">
        <f t="shared" si="1625"/>
        <v>0</v>
      </c>
      <c r="FM90" s="2">
        <f t="shared" si="1625"/>
        <v>0</v>
      </c>
      <c r="FN90" s="2">
        <f t="shared" si="1625"/>
        <v>0</v>
      </c>
      <c r="FO90" s="2">
        <f t="shared" si="1625"/>
        <v>0</v>
      </c>
      <c r="FP90" s="2">
        <f t="shared" ref="FP90:FQ90" si="1626">(CI90*$BT90+DD90*$CO90)/100</f>
        <v>0</v>
      </c>
      <c r="FQ90" s="2">
        <f t="shared" si="1626"/>
        <v>0</v>
      </c>
      <c r="FR90" s="2"/>
      <c r="FS90" s="2">
        <f t="shared" si="24"/>
        <v>0</v>
      </c>
      <c r="FT90" s="2">
        <f t="shared" si="25"/>
        <v>0</v>
      </c>
      <c r="FU90" s="39">
        <f t="shared" si="26"/>
        <v>0</v>
      </c>
      <c r="FV90" s="39">
        <f t="shared" ref="FV90:FW90" si="1627">FV$1*FC90/1000000</f>
        <v>0</v>
      </c>
      <c r="FW90" s="39">
        <f t="shared" si="1627"/>
        <v>0</v>
      </c>
      <c r="FX90" s="39">
        <f t="shared" ref="FX90:GC90" si="1628">FX$1*FE90</f>
        <v>0</v>
      </c>
      <c r="FY90" s="39">
        <f t="shared" si="1628"/>
        <v>0</v>
      </c>
      <c r="FZ90" s="39">
        <f t="shared" si="1628"/>
        <v>0</v>
      </c>
      <c r="GA90" s="39">
        <f t="shared" si="1628"/>
        <v>0</v>
      </c>
      <c r="GB90" s="39">
        <f t="shared" si="1628"/>
        <v>0</v>
      </c>
      <c r="GC90" s="39">
        <f t="shared" si="1628"/>
        <v>0</v>
      </c>
      <c r="GD90" s="39">
        <f t="shared" ref="GD90:GH90" si="1629">GD$1*FK90/1000000</f>
        <v>0</v>
      </c>
      <c r="GE90" s="39">
        <f t="shared" si="1629"/>
        <v>0</v>
      </c>
      <c r="GF90" s="39">
        <f t="shared" si="1629"/>
        <v>0</v>
      </c>
      <c r="GG90" s="39">
        <f t="shared" si="1629"/>
        <v>0</v>
      </c>
      <c r="GH90" s="39">
        <f t="shared" si="1629"/>
        <v>0</v>
      </c>
      <c r="GI90" s="39">
        <f t="shared" ref="GI90:GJ90" si="1630">GI$1*FP90</f>
        <v>0</v>
      </c>
      <c r="GJ90" s="39">
        <f t="shared" si="1630"/>
        <v>0</v>
      </c>
      <c r="GK90" s="2"/>
      <c r="GL90" s="39">
        <f t="shared" si="31"/>
        <v>0</v>
      </c>
      <c r="GM90" s="39">
        <f t="shared" si="32"/>
        <v>0</v>
      </c>
      <c r="GN90" s="2" t="s">
        <v>3</v>
      </c>
      <c r="GO90" s="4">
        <f t="shared" si="33"/>
        <v>81.056000000000012</v>
      </c>
      <c r="GP90" s="4">
        <f t="shared" si="34"/>
        <v>1.0129362416107379</v>
      </c>
      <c r="GQ90" s="15">
        <f t="shared" si="35"/>
        <v>821.04559999999981</v>
      </c>
      <c r="GR90" s="15">
        <f t="shared" si="36"/>
        <v>22181.051852513596</v>
      </c>
      <c r="GS90" s="15">
        <f t="shared" si="37"/>
        <v>273.65095554324904</v>
      </c>
      <c r="GT90" s="2">
        <f t="shared" si="38"/>
        <v>0</v>
      </c>
      <c r="GU90" s="2">
        <f t="shared" si="39"/>
        <v>0</v>
      </c>
      <c r="GV90" s="2">
        <f t="shared" si="40"/>
        <v>821.04559999999981</v>
      </c>
      <c r="GW90" s="2">
        <f t="shared" si="41"/>
        <v>0</v>
      </c>
      <c r="GX90" s="2"/>
      <c r="GY90" s="2"/>
      <c r="GZ90" s="2"/>
      <c r="HA90" s="2"/>
      <c r="HB90" s="2">
        <f t="shared" si="42"/>
        <v>0</v>
      </c>
      <c r="HC90" s="2">
        <f t="shared" si="43"/>
        <v>0</v>
      </c>
      <c r="HD90" s="2" t="s">
        <v>3</v>
      </c>
      <c r="HE90" s="2" t="s">
        <v>37</v>
      </c>
      <c r="HF90" s="2" t="s">
        <v>414</v>
      </c>
      <c r="HG90" s="2" t="s">
        <v>414</v>
      </c>
      <c r="HH90" s="2"/>
      <c r="HI90" s="2" t="s">
        <v>100</v>
      </c>
      <c r="HJ90" s="2" t="s">
        <v>3</v>
      </c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 t="s">
        <v>3</v>
      </c>
    </row>
    <row r="91" spans="1:268" ht="15.75" customHeight="1" x14ac:dyDescent="0.2">
      <c r="A91" s="13" t="s">
        <v>735</v>
      </c>
      <c r="B91" s="2" t="s">
        <v>109</v>
      </c>
      <c r="C91" s="2"/>
      <c r="D91" s="2"/>
      <c r="E91" s="2"/>
      <c r="F91" s="2" t="s">
        <v>79</v>
      </c>
      <c r="G91" s="2"/>
      <c r="H91" s="2"/>
      <c r="I91" s="2">
        <v>0</v>
      </c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>
        <v>0</v>
      </c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15">
        <v>129.99799999999999</v>
      </c>
      <c r="AZ91" s="2"/>
      <c r="BA91" s="2"/>
      <c r="BB91" s="2"/>
      <c r="BC91" s="2"/>
      <c r="BD91" s="2"/>
      <c r="BE91" s="2"/>
      <c r="BF91" s="2"/>
      <c r="BG91" s="4">
        <v>0.86440929860459403</v>
      </c>
      <c r="BH91" s="4">
        <v>6.6948799212295573E-2</v>
      </c>
      <c r="BI91" s="2"/>
      <c r="BJ91" s="2"/>
      <c r="BK91" s="2"/>
      <c r="BL91" s="2"/>
      <c r="BM91" s="2"/>
      <c r="BN91" s="15">
        <v>40.305776242711431</v>
      </c>
      <c r="BO91" s="15">
        <v>15.339164448683825</v>
      </c>
      <c r="BP91" s="2"/>
      <c r="BQ91" s="2"/>
      <c r="BR91" s="2"/>
      <c r="BS91" s="2"/>
      <c r="BT91" s="2">
        <v>0</v>
      </c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>
        <v>0</v>
      </c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 t="s">
        <v>100</v>
      </c>
      <c r="DK91" s="2" t="s">
        <v>100</v>
      </c>
      <c r="DL91" s="2">
        <f t="shared" si="3"/>
        <v>0.86440929860459403</v>
      </c>
      <c r="DM91" s="2">
        <f t="shared" si="4"/>
        <v>6.6948799212295573E-2</v>
      </c>
      <c r="DN91" s="2" t="s">
        <v>413</v>
      </c>
      <c r="DO91" s="2" t="s">
        <v>3</v>
      </c>
      <c r="DP91" s="2">
        <f t="shared" si="5"/>
        <v>0</v>
      </c>
      <c r="DQ91" s="2">
        <f t="shared" ref="DQ91:DR91" si="1631">K91*$I91+AF91*$AD91+BA91*$AY91</f>
        <v>0</v>
      </c>
      <c r="DR91" s="2">
        <f t="shared" si="1631"/>
        <v>0</v>
      </c>
      <c r="DS91" s="2">
        <f t="shared" ref="DS91:DX91" si="1632">(M91*$I91+AH91*$AD91+BC91*$AY91)/100</f>
        <v>0</v>
      </c>
      <c r="DT91" s="2">
        <f t="shared" si="1632"/>
        <v>0</v>
      </c>
      <c r="DU91" s="2">
        <f t="shared" si="1632"/>
        <v>0</v>
      </c>
      <c r="DV91" s="2">
        <f t="shared" si="1632"/>
        <v>0</v>
      </c>
      <c r="DW91" s="2">
        <f t="shared" si="1632"/>
        <v>1.1237148000000001</v>
      </c>
      <c r="DX91" s="2">
        <f t="shared" si="1632"/>
        <v>8.7032099999999987E-2</v>
      </c>
      <c r="DY91" s="2">
        <f t="shared" ref="DY91:EC91" si="1633">S91*$I91+AN91*$AD91+BI91*$AY91</f>
        <v>0</v>
      </c>
      <c r="DZ91" s="2">
        <f t="shared" si="1633"/>
        <v>0</v>
      </c>
      <c r="EA91" s="2">
        <f t="shared" si="1633"/>
        <v>0</v>
      </c>
      <c r="EB91" s="2">
        <f t="shared" si="1633"/>
        <v>0</v>
      </c>
      <c r="EC91" s="2">
        <f t="shared" si="1633"/>
        <v>0</v>
      </c>
      <c r="ED91" s="2">
        <f t="shared" ref="ED91:EE91" si="1634">(X91*$I91+AS91*$AD91+BN91*$AY91)/100</f>
        <v>52.396703000000009</v>
      </c>
      <c r="EE91" s="2">
        <f t="shared" si="1634"/>
        <v>19.940606999999996</v>
      </c>
      <c r="EF91" s="2"/>
      <c r="EG91" s="2">
        <f t="shared" si="10"/>
        <v>0</v>
      </c>
      <c r="EH91" s="2">
        <f t="shared" si="11"/>
        <v>0</v>
      </c>
      <c r="EI91" s="39">
        <f t="shared" si="12"/>
        <v>0</v>
      </c>
      <c r="EJ91" s="39">
        <f t="shared" ref="EJ91:EK91" si="1635">EJ$1*DQ91/1000000</f>
        <v>0</v>
      </c>
      <c r="EK91" s="39">
        <f t="shared" si="1635"/>
        <v>0</v>
      </c>
      <c r="EL91" s="39">
        <f t="shared" ref="EL91:EQ91" si="1636">EL$1*DS91</f>
        <v>0</v>
      </c>
      <c r="EM91" s="39">
        <f t="shared" si="1636"/>
        <v>0</v>
      </c>
      <c r="EN91" s="39">
        <f t="shared" si="1636"/>
        <v>0</v>
      </c>
      <c r="EO91" s="39">
        <f t="shared" si="1636"/>
        <v>0</v>
      </c>
      <c r="EP91" s="39">
        <f t="shared" si="1636"/>
        <v>14736.395887200002</v>
      </c>
      <c r="EQ91" s="39">
        <f t="shared" si="1636"/>
        <v>6320.2296747203982</v>
      </c>
      <c r="ER91" s="39">
        <f t="shared" ref="ER91:EV91" si="1637">ER$1*DY91/1000000</f>
        <v>0</v>
      </c>
      <c r="ES91" s="39">
        <f t="shared" si="1637"/>
        <v>0</v>
      </c>
      <c r="ET91" s="39">
        <f t="shared" si="1637"/>
        <v>0</v>
      </c>
      <c r="EU91" s="39">
        <f t="shared" si="1637"/>
        <v>0</v>
      </c>
      <c r="EV91" s="39">
        <f t="shared" si="1637"/>
        <v>0</v>
      </c>
      <c r="EW91" s="39">
        <f t="shared" ref="EW91:EX91" si="1638">EW$1*ED91</f>
        <v>14618.680137000003</v>
      </c>
      <c r="EX91" s="39">
        <f t="shared" si="1638"/>
        <v>1854.4764509999998</v>
      </c>
      <c r="EY91" s="2"/>
      <c r="EZ91" s="39">
        <f t="shared" si="17"/>
        <v>0</v>
      </c>
      <c r="FA91" s="39">
        <f t="shared" si="18"/>
        <v>0</v>
      </c>
      <c r="FB91" s="2">
        <f t="shared" si="19"/>
        <v>0</v>
      </c>
      <c r="FC91" s="2">
        <f t="shared" ref="FC91:FD91" si="1639">BV91*$BT91+CQ91*$CO91</f>
        <v>0</v>
      </c>
      <c r="FD91" s="2">
        <f t="shared" si="1639"/>
        <v>0</v>
      </c>
      <c r="FE91" s="2">
        <f t="shared" ref="FE91:FJ91" si="1640">(BX91*$BT91+CS91*$CO91)/100</f>
        <v>0</v>
      </c>
      <c r="FF91" s="2">
        <f t="shared" si="1640"/>
        <v>0</v>
      </c>
      <c r="FG91" s="2">
        <f t="shared" si="1640"/>
        <v>0</v>
      </c>
      <c r="FH91" s="2">
        <f t="shared" si="1640"/>
        <v>0</v>
      </c>
      <c r="FI91" s="2">
        <f t="shared" si="1640"/>
        <v>0</v>
      </c>
      <c r="FJ91" s="2">
        <f t="shared" si="1640"/>
        <v>0</v>
      </c>
      <c r="FK91" s="2">
        <f t="shared" ref="FK91:FO91" si="1641">CD91*$BT91+CY91*$CO91</f>
        <v>0</v>
      </c>
      <c r="FL91" s="2">
        <f t="shared" si="1641"/>
        <v>0</v>
      </c>
      <c r="FM91" s="2">
        <f t="shared" si="1641"/>
        <v>0</v>
      </c>
      <c r="FN91" s="2">
        <f t="shared" si="1641"/>
        <v>0</v>
      </c>
      <c r="FO91" s="2">
        <f t="shared" si="1641"/>
        <v>0</v>
      </c>
      <c r="FP91" s="2">
        <f t="shared" ref="FP91:FQ91" si="1642">(CI91*$BT91+DD91*$CO91)/100</f>
        <v>0</v>
      </c>
      <c r="FQ91" s="2">
        <f t="shared" si="1642"/>
        <v>0</v>
      </c>
      <c r="FR91" s="2"/>
      <c r="FS91" s="2">
        <f t="shared" si="24"/>
        <v>0</v>
      </c>
      <c r="FT91" s="2">
        <f t="shared" si="25"/>
        <v>0</v>
      </c>
      <c r="FU91" s="39">
        <f t="shared" si="26"/>
        <v>0</v>
      </c>
      <c r="FV91" s="39">
        <f t="shared" ref="FV91:FW91" si="1643">FV$1*FC91/1000000</f>
        <v>0</v>
      </c>
      <c r="FW91" s="39">
        <f t="shared" si="1643"/>
        <v>0</v>
      </c>
      <c r="FX91" s="39">
        <f t="shared" ref="FX91:GC91" si="1644">FX$1*FE91</f>
        <v>0</v>
      </c>
      <c r="FY91" s="39">
        <f t="shared" si="1644"/>
        <v>0</v>
      </c>
      <c r="FZ91" s="39">
        <f t="shared" si="1644"/>
        <v>0</v>
      </c>
      <c r="GA91" s="39">
        <f t="shared" si="1644"/>
        <v>0</v>
      </c>
      <c r="GB91" s="39">
        <f t="shared" si="1644"/>
        <v>0</v>
      </c>
      <c r="GC91" s="39">
        <f t="shared" si="1644"/>
        <v>0</v>
      </c>
      <c r="GD91" s="39">
        <f t="shared" ref="GD91:GH91" si="1645">GD$1*FK91/1000000</f>
        <v>0</v>
      </c>
      <c r="GE91" s="39">
        <f t="shared" si="1645"/>
        <v>0</v>
      </c>
      <c r="GF91" s="39">
        <f t="shared" si="1645"/>
        <v>0</v>
      </c>
      <c r="GG91" s="39">
        <f t="shared" si="1645"/>
        <v>0</v>
      </c>
      <c r="GH91" s="39">
        <f t="shared" si="1645"/>
        <v>0</v>
      </c>
      <c r="GI91" s="39">
        <f t="shared" ref="GI91:GJ91" si="1646">GI$1*FP91</f>
        <v>0</v>
      </c>
      <c r="GJ91" s="39">
        <f t="shared" si="1646"/>
        <v>0</v>
      </c>
      <c r="GK91" s="2"/>
      <c r="GL91" s="39">
        <f t="shared" si="31"/>
        <v>0</v>
      </c>
      <c r="GM91" s="39">
        <f t="shared" si="32"/>
        <v>0</v>
      </c>
      <c r="GN91" s="2" t="s">
        <v>3</v>
      </c>
      <c r="GO91" s="15">
        <f t="shared" si="33"/>
        <v>129.99799999999999</v>
      </c>
      <c r="GP91" s="4">
        <f t="shared" si="34"/>
        <v>0.86440929860459403</v>
      </c>
      <c r="GQ91" s="18">
        <f t="shared" si="35"/>
        <v>1123.7148</v>
      </c>
      <c r="GR91" s="15">
        <f t="shared" si="36"/>
        <v>37529.782149920407</v>
      </c>
      <c r="GS91" s="15">
        <f t="shared" si="37"/>
        <v>288.69507338513216</v>
      </c>
      <c r="GT91" s="2">
        <f t="shared" si="38"/>
        <v>0</v>
      </c>
      <c r="GU91" s="2">
        <f t="shared" si="39"/>
        <v>0</v>
      </c>
      <c r="GV91" s="2">
        <f t="shared" si="40"/>
        <v>1123.7148000000002</v>
      </c>
      <c r="GW91" s="2">
        <f t="shared" si="41"/>
        <v>0</v>
      </c>
      <c r="GX91" s="2"/>
      <c r="GY91" s="2"/>
      <c r="GZ91" s="2"/>
      <c r="HA91" s="2"/>
      <c r="HB91" s="2">
        <f t="shared" si="42"/>
        <v>0</v>
      </c>
      <c r="HC91" s="2">
        <f t="shared" si="43"/>
        <v>0</v>
      </c>
      <c r="HD91" s="2" t="s">
        <v>3</v>
      </c>
      <c r="HE91" s="2" t="s">
        <v>37</v>
      </c>
      <c r="HF91" s="2" t="s">
        <v>414</v>
      </c>
      <c r="HG91" s="2" t="s">
        <v>414</v>
      </c>
      <c r="HH91" s="2"/>
      <c r="HI91" s="2" t="s">
        <v>100</v>
      </c>
      <c r="HJ91" s="2" t="s">
        <v>3</v>
      </c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 t="s">
        <v>3</v>
      </c>
    </row>
    <row r="92" spans="1:268" ht="15.75" customHeight="1" x14ac:dyDescent="0.2">
      <c r="A92" s="13" t="s">
        <v>412</v>
      </c>
      <c r="B92" s="2" t="s">
        <v>99</v>
      </c>
      <c r="C92" s="2"/>
      <c r="D92" s="2"/>
      <c r="E92" s="2"/>
      <c r="F92" s="2" t="s">
        <v>79</v>
      </c>
      <c r="G92" s="2"/>
      <c r="H92" s="2"/>
      <c r="I92" s="2">
        <v>0</v>
      </c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>
        <v>0</v>
      </c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15">
        <v>166.31499999999997</v>
      </c>
      <c r="AZ92" s="2"/>
      <c r="BA92" s="2"/>
      <c r="BB92" s="2"/>
      <c r="BC92" s="2"/>
      <c r="BD92" s="2"/>
      <c r="BE92" s="2"/>
      <c r="BF92" s="2"/>
      <c r="BG92" s="4">
        <v>0.84490899798575025</v>
      </c>
      <c r="BH92" s="4">
        <v>5.7316598021826065E-2</v>
      </c>
      <c r="BI92" s="2"/>
      <c r="BJ92" s="2"/>
      <c r="BK92" s="2"/>
      <c r="BL92" s="2"/>
      <c r="BM92" s="2"/>
      <c r="BN92" s="15">
        <v>42.397044163184326</v>
      </c>
      <c r="BO92" s="15">
        <v>9.5176676788022743</v>
      </c>
      <c r="BP92" s="2"/>
      <c r="BQ92" s="2"/>
      <c r="BR92" s="2"/>
      <c r="BS92" s="2"/>
      <c r="BT92" s="2">
        <v>0</v>
      </c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>
        <v>0</v>
      </c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 t="s">
        <v>100</v>
      </c>
      <c r="DK92" s="2" t="s">
        <v>100</v>
      </c>
      <c r="DL92" s="2">
        <f t="shared" si="3"/>
        <v>0.84490899798575025</v>
      </c>
      <c r="DM92" s="2">
        <f t="shared" si="4"/>
        <v>5.7316598021826065E-2</v>
      </c>
      <c r="DN92" s="2" t="s">
        <v>413</v>
      </c>
      <c r="DO92" s="2" t="s">
        <v>3</v>
      </c>
      <c r="DP92" s="2">
        <f t="shared" si="5"/>
        <v>0</v>
      </c>
      <c r="DQ92" s="2">
        <f t="shared" ref="DQ92:DR92" si="1647">K92*$I92+AF92*$AD92+BA92*$AY92</f>
        <v>0</v>
      </c>
      <c r="DR92" s="2">
        <f t="shared" si="1647"/>
        <v>0</v>
      </c>
      <c r="DS92" s="2">
        <f t="shared" ref="DS92:DX92" si="1648">(M92*$I92+AH92*$AD92+BC92*$AY92)/100</f>
        <v>0</v>
      </c>
      <c r="DT92" s="2">
        <f t="shared" si="1648"/>
        <v>0</v>
      </c>
      <c r="DU92" s="2">
        <f t="shared" si="1648"/>
        <v>0</v>
      </c>
      <c r="DV92" s="2">
        <f t="shared" si="1648"/>
        <v>0</v>
      </c>
      <c r="DW92" s="2">
        <f t="shared" si="1648"/>
        <v>1.4052104000000003</v>
      </c>
      <c r="DX92" s="2">
        <f t="shared" si="1648"/>
        <v>9.5326099999999997E-2</v>
      </c>
      <c r="DY92" s="2">
        <f t="shared" ref="DY92:EC92" si="1649">S92*$I92+AN92*$AD92+BI92*$AY92</f>
        <v>0</v>
      </c>
      <c r="DZ92" s="2">
        <f t="shared" si="1649"/>
        <v>0</v>
      </c>
      <c r="EA92" s="2">
        <f t="shared" si="1649"/>
        <v>0</v>
      </c>
      <c r="EB92" s="2">
        <f t="shared" si="1649"/>
        <v>0</v>
      </c>
      <c r="EC92" s="2">
        <f t="shared" si="1649"/>
        <v>0</v>
      </c>
      <c r="ED92" s="2">
        <f t="shared" ref="ED92:EE92" si="1650">(X92*$I92+AS92*$AD92+BN92*$AY92)/100</f>
        <v>70.512643999999995</v>
      </c>
      <c r="EE92" s="2">
        <f t="shared" si="1650"/>
        <v>15.829309</v>
      </c>
      <c r="EF92" s="2"/>
      <c r="EG92" s="2">
        <f t="shared" si="10"/>
        <v>0</v>
      </c>
      <c r="EH92" s="2">
        <f t="shared" si="11"/>
        <v>0</v>
      </c>
      <c r="EI92" s="39">
        <f t="shared" si="12"/>
        <v>0</v>
      </c>
      <c r="EJ92" s="39">
        <f t="shared" ref="EJ92:EK92" si="1651">EJ$1*DQ92/1000000</f>
        <v>0</v>
      </c>
      <c r="EK92" s="39">
        <f t="shared" si="1651"/>
        <v>0</v>
      </c>
      <c r="EL92" s="39">
        <f t="shared" ref="EL92:EQ92" si="1652">EL$1*DS92</f>
        <v>0</v>
      </c>
      <c r="EM92" s="39">
        <f t="shared" si="1652"/>
        <v>0</v>
      </c>
      <c r="EN92" s="39">
        <f t="shared" si="1652"/>
        <v>0</v>
      </c>
      <c r="EO92" s="39">
        <f t="shared" si="1652"/>
        <v>0</v>
      </c>
      <c r="EP92" s="39">
        <f t="shared" si="1652"/>
        <v>18427.929185600005</v>
      </c>
      <c r="EQ92" s="39">
        <f t="shared" si="1652"/>
        <v>6922.5360067763986</v>
      </c>
      <c r="ER92" s="39">
        <f t="shared" ref="ER92:EV92" si="1653">ER$1*DY92/1000000</f>
        <v>0</v>
      </c>
      <c r="ES92" s="39">
        <f t="shared" si="1653"/>
        <v>0</v>
      </c>
      <c r="ET92" s="39">
        <f t="shared" si="1653"/>
        <v>0</v>
      </c>
      <c r="EU92" s="39">
        <f t="shared" si="1653"/>
        <v>0</v>
      </c>
      <c r="EV92" s="39">
        <f t="shared" si="1653"/>
        <v>0</v>
      </c>
      <c r="EW92" s="39">
        <f t="shared" ref="EW92:EX92" si="1654">EW$1*ED92</f>
        <v>19673.027675999998</v>
      </c>
      <c r="EX92" s="39">
        <f t="shared" si="1654"/>
        <v>1472.1257370000001</v>
      </c>
      <c r="EY92" s="2"/>
      <c r="EZ92" s="39">
        <f t="shared" si="17"/>
        <v>0</v>
      </c>
      <c r="FA92" s="39">
        <f t="shared" si="18"/>
        <v>0</v>
      </c>
      <c r="FB92" s="2">
        <f t="shared" si="19"/>
        <v>0</v>
      </c>
      <c r="FC92" s="2">
        <f t="shared" ref="FC92:FD92" si="1655">BV92*$BT92+CQ92*$CO92</f>
        <v>0</v>
      </c>
      <c r="FD92" s="2">
        <f t="shared" si="1655"/>
        <v>0</v>
      </c>
      <c r="FE92" s="2">
        <f t="shared" ref="FE92:FJ92" si="1656">(BX92*$BT92+CS92*$CO92)/100</f>
        <v>0</v>
      </c>
      <c r="FF92" s="2">
        <f t="shared" si="1656"/>
        <v>0</v>
      </c>
      <c r="FG92" s="2">
        <f t="shared" si="1656"/>
        <v>0</v>
      </c>
      <c r="FH92" s="2">
        <f t="shared" si="1656"/>
        <v>0</v>
      </c>
      <c r="FI92" s="2">
        <f t="shared" si="1656"/>
        <v>0</v>
      </c>
      <c r="FJ92" s="2">
        <f t="shared" si="1656"/>
        <v>0</v>
      </c>
      <c r="FK92" s="2">
        <f t="shared" ref="FK92:FO92" si="1657">CD92*$BT92+CY92*$CO92</f>
        <v>0</v>
      </c>
      <c r="FL92" s="2">
        <f t="shared" si="1657"/>
        <v>0</v>
      </c>
      <c r="FM92" s="2">
        <f t="shared" si="1657"/>
        <v>0</v>
      </c>
      <c r="FN92" s="2">
        <f t="shared" si="1657"/>
        <v>0</v>
      </c>
      <c r="FO92" s="2">
        <f t="shared" si="1657"/>
        <v>0</v>
      </c>
      <c r="FP92" s="2">
        <f t="shared" ref="FP92:FQ92" si="1658">(CI92*$BT92+DD92*$CO92)/100</f>
        <v>0</v>
      </c>
      <c r="FQ92" s="2">
        <f t="shared" si="1658"/>
        <v>0</v>
      </c>
      <c r="FR92" s="2"/>
      <c r="FS92" s="2">
        <f t="shared" si="24"/>
        <v>0</v>
      </c>
      <c r="FT92" s="2">
        <f t="shared" si="25"/>
        <v>0</v>
      </c>
      <c r="FU92" s="39">
        <f t="shared" si="26"/>
        <v>0</v>
      </c>
      <c r="FV92" s="39">
        <f t="shared" ref="FV92:FW92" si="1659">FV$1*FC92/1000000</f>
        <v>0</v>
      </c>
      <c r="FW92" s="39">
        <f t="shared" si="1659"/>
        <v>0</v>
      </c>
      <c r="FX92" s="39">
        <f t="shared" ref="FX92:GC92" si="1660">FX$1*FE92</f>
        <v>0</v>
      </c>
      <c r="FY92" s="39">
        <f t="shared" si="1660"/>
        <v>0</v>
      </c>
      <c r="FZ92" s="39">
        <f t="shared" si="1660"/>
        <v>0</v>
      </c>
      <c r="GA92" s="39">
        <f t="shared" si="1660"/>
        <v>0</v>
      </c>
      <c r="GB92" s="39">
        <f t="shared" si="1660"/>
        <v>0</v>
      </c>
      <c r="GC92" s="39">
        <f t="shared" si="1660"/>
        <v>0</v>
      </c>
      <c r="GD92" s="39">
        <f t="shared" ref="GD92:GH92" si="1661">GD$1*FK92/1000000</f>
        <v>0</v>
      </c>
      <c r="GE92" s="39">
        <f t="shared" si="1661"/>
        <v>0</v>
      </c>
      <c r="GF92" s="39">
        <f t="shared" si="1661"/>
        <v>0</v>
      </c>
      <c r="GG92" s="39">
        <f t="shared" si="1661"/>
        <v>0</v>
      </c>
      <c r="GH92" s="39">
        <f t="shared" si="1661"/>
        <v>0</v>
      </c>
      <c r="GI92" s="39">
        <f t="shared" ref="GI92:GJ92" si="1662">GI$1*FP92</f>
        <v>0</v>
      </c>
      <c r="GJ92" s="39">
        <f t="shared" si="1662"/>
        <v>0</v>
      </c>
      <c r="GK92" s="2"/>
      <c r="GL92" s="39">
        <f t="shared" si="31"/>
        <v>0</v>
      </c>
      <c r="GM92" s="39">
        <f t="shared" si="32"/>
        <v>0</v>
      </c>
      <c r="GN92" s="2" t="s">
        <v>3</v>
      </c>
      <c r="GO92" s="15">
        <f t="shared" si="33"/>
        <v>166.31499999999997</v>
      </c>
      <c r="GP92" s="4">
        <f t="shared" si="34"/>
        <v>0.84490899798575025</v>
      </c>
      <c r="GQ92" s="18">
        <f t="shared" si="35"/>
        <v>1405.2104000000004</v>
      </c>
      <c r="GR92" s="15">
        <f t="shared" si="36"/>
        <v>46495.618605376403</v>
      </c>
      <c r="GS92" s="15">
        <f t="shared" si="37"/>
        <v>279.56359080886517</v>
      </c>
      <c r="GT92" s="2">
        <f t="shared" si="38"/>
        <v>0</v>
      </c>
      <c r="GU92" s="2">
        <f t="shared" si="39"/>
        <v>0</v>
      </c>
      <c r="GV92" s="2">
        <f t="shared" si="40"/>
        <v>1405.2104000000004</v>
      </c>
      <c r="GW92" s="2">
        <f t="shared" si="41"/>
        <v>0</v>
      </c>
      <c r="GX92" s="2"/>
      <c r="GY92" s="2"/>
      <c r="GZ92" s="2"/>
      <c r="HA92" s="2"/>
      <c r="HB92" s="2">
        <f t="shared" si="42"/>
        <v>0</v>
      </c>
      <c r="HC92" s="2">
        <f t="shared" si="43"/>
        <v>0</v>
      </c>
      <c r="HD92" s="2" t="s">
        <v>3</v>
      </c>
      <c r="HE92" s="2" t="s">
        <v>37</v>
      </c>
      <c r="HF92" s="2" t="s">
        <v>414</v>
      </c>
      <c r="HG92" s="2" t="s">
        <v>414</v>
      </c>
      <c r="HH92" s="2"/>
      <c r="HI92" s="2" t="s">
        <v>100</v>
      </c>
      <c r="HJ92" s="2" t="s">
        <v>3</v>
      </c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 t="s">
        <v>3</v>
      </c>
    </row>
    <row r="93" spans="1:268" ht="15.75" customHeight="1" x14ac:dyDescent="0.2">
      <c r="A93" s="13" t="s">
        <v>217</v>
      </c>
      <c r="B93" s="2" t="s">
        <v>109</v>
      </c>
      <c r="C93" s="2"/>
      <c r="D93" s="2"/>
      <c r="E93" s="2"/>
      <c r="F93" s="2" t="s">
        <v>218</v>
      </c>
      <c r="G93" s="2"/>
      <c r="H93" s="2"/>
      <c r="I93" s="2">
        <f>13.9+0.5</f>
        <v>14.4</v>
      </c>
      <c r="J93" s="2"/>
      <c r="K93" s="2"/>
      <c r="L93" s="2"/>
      <c r="M93" s="2"/>
      <c r="N93" s="2"/>
      <c r="O93" s="2"/>
      <c r="P93" s="2"/>
      <c r="Q93" s="4">
        <f>(1.42*13.9+1.18*0.5)/I93</f>
        <v>1.4116666666666666</v>
      </c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>
        <f>38.1+7.5+4</f>
        <v>49.6</v>
      </c>
      <c r="AE93" s="2"/>
      <c r="AF93" s="2"/>
      <c r="AG93" s="2"/>
      <c r="AH93" s="2"/>
      <c r="AI93" s="2"/>
      <c r="AJ93" s="2"/>
      <c r="AK93" s="2"/>
      <c r="AL93" s="4">
        <f>(1.27*38.1+1.11*7.5+1.21*4)/AD93</f>
        <v>1.2409677419354839</v>
      </c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>
        <f>9.2+8.3</f>
        <v>17.5</v>
      </c>
      <c r="AZ93" s="2"/>
      <c r="BA93" s="2"/>
      <c r="BB93" s="2"/>
      <c r="BC93" s="2"/>
      <c r="BD93" s="2"/>
      <c r="BE93" s="2"/>
      <c r="BF93" s="2"/>
      <c r="BG93" s="4">
        <f>(1.34*9.2+1.19*8.3)/AY93</f>
        <v>1.2688571428571427</v>
      </c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>
        <v>13.9</v>
      </c>
      <c r="BU93" s="2"/>
      <c r="BV93" s="2"/>
      <c r="BW93" s="2"/>
      <c r="BX93" s="2"/>
      <c r="BY93" s="2"/>
      <c r="BZ93" s="2"/>
      <c r="CA93" s="2"/>
      <c r="CB93" s="2">
        <v>1.42</v>
      </c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>
        <v>38.1</v>
      </c>
      <c r="CP93" s="2"/>
      <c r="CQ93" s="2"/>
      <c r="CR93" s="2"/>
      <c r="CS93" s="2"/>
      <c r="CT93" s="2"/>
      <c r="CU93" s="2"/>
      <c r="CV93" s="2"/>
      <c r="CW93" s="2">
        <v>1.27</v>
      </c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 t="s">
        <v>81</v>
      </c>
      <c r="DK93" s="2"/>
      <c r="DL93" s="2">
        <f t="shared" si="3"/>
        <v>1.2771165644171778</v>
      </c>
      <c r="DM93" s="2">
        <f t="shared" si="4"/>
        <v>0</v>
      </c>
      <c r="DN93" s="2" t="s">
        <v>95</v>
      </c>
      <c r="DO93" s="2" t="s">
        <v>3</v>
      </c>
      <c r="DP93" s="2">
        <f t="shared" si="5"/>
        <v>0</v>
      </c>
      <c r="DQ93" s="2">
        <f t="shared" ref="DQ93:DR93" si="1663">K93*$I93+AF93*$AD93+BA93*$AY93</f>
        <v>0</v>
      </c>
      <c r="DR93" s="2">
        <f t="shared" si="1663"/>
        <v>0</v>
      </c>
      <c r="DS93" s="2">
        <f t="shared" ref="DS93:DX93" si="1664">(M93*$I93+AH93*$AD93+BC93*$AY93)/100</f>
        <v>0</v>
      </c>
      <c r="DT93" s="2">
        <f t="shared" si="1664"/>
        <v>0</v>
      </c>
      <c r="DU93" s="2">
        <f t="shared" si="1664"/>
        <v>0</v>
      </c>
      <c r="DV93" s="2">
        <f t="shared" si="1664"/>
        <v>0</v>
      </c>
      <c r="DW93" s="2">
        <f t="shared" si="1664"/>
        <v>1.0408499999999998</v>
      </c>
      <c r="DX93" s="2">
        <f t="shared" si="1664"/>
        <v>0</v>
      </c>
      <c r="DY93" s="2">
        <f t="shared" ref="DY93:EC93" si="1665">S93*$I93+AN93*$AD93+BI93*$AY93</f>
        <v>0</v>
      </c>
      <c r="DZ93" s="2">
        <f t="shared" si="1665"/>
        <v>0</v>
      </c>
      <c r="EA93" s="2">
        <f t="shared" si="1665"/>
        <v>0</v>
      </c>
      <c r="EB93" s="2">
        <f t="shared" si="1665"/>
        <v>0</v>
      </c>
      <c r="EC93" s="2">
        <f t="shared" si="1665"/>
        <v>0</v>
      </c>
      <c r="ED93" s="2">
        <f t="shared" ref="ED93:EE93" si="1666">(X93*$I93+AS93*$AD93+BN93*$AY93)/100</f>
        <v>0</v>
      </c>
      <c r="EE93" s="2">
        <f t="shared" si="1666"/>
        <v>0</v>
      </c>
      <c r="EF93" s="2"/>
      <c r="EG93" s="2">
        <f t="shared" si="10"/>
        <v>0</v>
      </c>
      <c r="EH93" s="2">
        <f t="shared" si="11"/>
        <v>0</v>
      </c>
      <c r="EI93" s="39">
        <f t="shared" si="12"/>
        <v>0</v>
      </c>
      <c r="EJ93" s="39">
        <f t="shared" ref="EJ93:EK93" si="1667">EJ$1*DQ93/1000000</f>
        <v>0</v>
      </c>
      <c r="EK93" s="39">
        <f t="shared" si="1667"/>
        <v>0</v>
      </c>
      <c r="EL93" s="39">
        <f t="shared" ref="EL93:EQ93" si="1668">EL$1*DS93</f>
        <v>0</v>
      </c>
      <c r="EM93" s="39">
        <f t="shared" si="1668"/>
        <v>0</v>
      </c>
      <c r="EN93" s="39">
        <f t="shared" si="1668"/>
        <v>0</v>
      </c>
      <c r="EO93" s="39">
        <f t="shared" si="1668"/>
        <v>0</v>
      </c>
      <c r="EP93" s="39">
        <f t="shared" si="1668"/>
        <v>13649.706899999997</v>
      </c>
      <c r="EQ93" s="39">
        <f t="shared" si="1668"/>
        <v>0</v>
      </c>
      <c r="ER93" s="39">
        <f t="shared" ref="ER93:EV93" si="1669">ER$1*DY93/1000000</f>
        <v>0</v>
      </c>
      <c r="ES93" s="39">
        <f t="shared" si="1669"/>
        <v>0</v>
      </c>
      <c r="ET93" s="39">
        <f t="shared" si="1669"/>
        <v>0</v>
      </c>
      <c r="EU93" s="39">
        <f t="shared" si="1669"/>
        <v>0</v>
      </c>
      <c r="EV93" s="39">
        <f t="shared" si="1669"/>
        <v>0</v>
      </c>
      <c r="EW93" s="39">
        <f t="shared" ref="EW93:EX93" si="1670">EW$1*ED93</f>
        <v>0</v>
      </c>
      <c r="EX93" s="39">
        <f t="shared" si="1670"/>
        <v>0</v>
      </c>
      <c r="EY93" s="2"/>
      <c r="EZ93" s="39">
        <f t="shared" si="17"/>
        <v>0</v>
      </c>
      <c r="FA93" s="39">
        <f t="shared" si="18"/>
        <v>0</v>
      </c>
      <c r="FB93" s="2">
        <f t="shared" si="19"/>
        <v>0</v>
      </c>
      <c r="FC93" s="2">
        <f t="shared" ref="FC93:FD93" si="1671">BV93*$BT93+CQ93*$CO93</f>
        <v>0</v>
      </c>
      <c r="FD93" s="2">
        <f t="shared" si="1671"/>
        <v>0</v>
      </c>
      <c r="FE93" s="2">
        <f t="shared" ref="FE93:FJ93" si="1672">(BX93*$BT93+CS93*$CO93)/100</f>
        <v>0</v>
      </c>
      <c r="FF93" s="2">
        <f t="shared" si="1672"/>
        <v>0</v>
      </c>
      <c r="FG93" s="2">
        <f t="shared" si="1672"/>
        <v>0</v>
      </c>
      <c r="FH93" s="2">
        <f t="shared" si="1672"/>
        <v>0</v>
      </c>
      <c r="FI93" s="2">
        <f t="shared" si="1672"/>
        <v>0.68125000000000002</v>
      </c>
      <c r="FJ93" s="2">
        <f t="shared" si="1672"/>
        <v>0</v>
      </c>
      <c r="FK93" s="2">
        <f t="shared" ref="FK93:FO93" si="1673">CD93*$BT93+CY93*$CO93</f>
        <v>0</v>
      </c>
      <c r="FL93" s="2">
        <f t="shared" si="1673"/>
        <v>0</v>
      </c>
      <c r="FM93" s="2">
        <f t="shared" si="1673"/>
        <v>0</v>
      </c>
      <c r="FN93" s="2">
        <f t="shared" si="1673"/>
        <v>0</v>
      </c>
      <c r="FO93" s="2">
        <f t="shared" si="1673"/>
        <v>0</v>
      </c>
      <c r="FP93" s="2">
        <f t="shared" ref="FP93:FQ93" si="1674">(CI93*$BT93+DD93*$CO93)/100</f>
        <v>0</v>
      </c>
      <c r="FQ93" s="2">
        <f t="shared" si="1674"/>
        <v>0</v>
      </c>
      <c r="FR93" s="2"/>
      <c r="FS93" s="2">
        <f t="shared" si="24"/>
        <v>0</v>
      </c>
      <c r="FT93" s="2">
        <f t="shared" si="25"/>
        <v>0</v>
      </c>
      <c r="FU93" s="39">
        <f t="shared" si="26"/>
        <v>0</v>
      </c>
      <c r="FV93" s="39">
        <f t="shared" ref="FV93:FW93" si="1675">FV$1*FC93/1000000</f>
        <v>0</v>
      </c>
      <c r="FW93" s="39">
        <f t="shared" si="1675"/>
        <v>0</v>
      </c>
      <c r="FX93" s="39">
        <f t="shared" ref="FX93:GC93" si="1676">FX$1*FE93</f>
        <v>0</v>
      </c>
      <c r="FY93" s="39">
        <f t="shared" si="1676"/>
        <v>0</v>
      </c>
      <c r="FZ93" s="39">
        <f t="shared" si="1676"/>
        <v>0</v>
      </c>
      <c r="GA93" s="39">
        <f t="shared" si="1676"/>
        <v>0</v>
      </c>
      <c r="GB93" s="39">
        <f t="shared" si="1676"/>
        <v>8933.9125000000004</v>
      </c>
      <c r="GC93" s="39">
        <f t="shared" si="1676"/>
        <v>0</v>
      </c>
      <c r="GD93" s="39">
        <f t="shared" ref="GD93:GH93" si="1677">GD$1*FK93/1000000</f>
        <v>0</v>
      </c>
      <c r="GE93" s="39">
        <f t="shared" si="1677"/>
        <v>0</v>
      </c>
      <c r="GF93" s="39">
        <f t="shared" si="1677"/>
        <v>0</v>
      </c>
      <c r="GG93" s="39">
        <f t="shared" si="1677"/>
        <v>0</v>
      </c>
      <c r="GH93" s="39">
        <f t="shared" si="1677"/>
        <v>0</v>
      </c>
      <c r="GI93" s="39">
        <f t="shared" ref="GI93:GJ93" si="1678">GI$1*FP93</f>
        <v>0</v>
      </c>
      <c r="GJ93" s="39">
        <f t="shared" si="1678"/>
        <v>0</v>
      </c>
      <c r="GK93" s="2"/>
      <c r="GL93" s="39">
        <f t="shared" si="31"/>
        <v>0</v>
      </c>
      <c r="GM93" s="39">
        <f t="shared" si="32"/>
        <v>0</v>
      </c>
      <c r="GN93" s="2" t="s">
        <v>3</v>
      </c>
      <c r="GO93" s="2">
        <f t="shared" si="33"/>
        <v>81.5</v>
      </c>
      <c r="GP93" s="4">
        <f t="shared" si="34"/>
        <v>1.2771165644171778</v>
      </c>
      <c r="GQ93" s="18">
        <f t="shared" si="35"/>
        <v>1040.8499999999999</v>
      </c>
      <c r="GR93" s="15">
        <f t="shared" si="36"/>
        <v>13649.706899999997</v>
      </c>
      <c r="GS93" s="15">
        <f t="shared" si="37"/>
        <v>167.48106625766869</v>
      </c>
      <c r="GT93" s="2">
        <f t="shared" si="38"/>
        <v>203.28</v>
      </c>
      <c r="GU93" s="2">
        <f t="shared" si="39"/>
        <v>615.52</v>
      </c>
      <c r="GV93" s="2">
        <f t="shared" si="40"/>
        <v>222.05</v>
      </c>
      <c r="GW93" s="2">
        <f t="shared" si="41"/>
        <v>52</v>
      </c>
      <c r="GX93" s="4">
        <f>(BT93*CB93+CO93*CW93)/GW93</f>
        <v>1.3100961538461537</v>
      </c>
      <c r="GY93" s="15">
        <f>1000*GW93*GX93/100</f>
        <v>681.25</v>
      </c>
      <c r="GZ93" s="15">
        <f>SUM(FU93:GM93)</f>
        <v>8933.9125000000004</v>
      </c>
      <c r="HA93" s="15">
        <f>GZ93/GW93</f>
        <v>171.80600961538462</v>
      </c>
      <c r="HB93" s="2">
        <f t="shared" si="42"/>
        <v>197.38</v>
      </c>
      <c r="HC93" s="2">
        <f t="shared" si="43"/>
        <v>483.87</v>
      </c>
      <c r="HD93" s="2" t="s">
        <v>3</v>
      </c>
      <c r="HE93" s="2" t="s">
        <v>37</v>
      </c>
      <c r="HF93" s="2" t="s">
        <v>219</v>
      </c>
      <c r="HG93" s="2" t="s">
        <v>219</v>
      </c>
      <c r="HH93" s="2"/>
      <c r="HI93" s="2" t="s">
        <v>81</v>
      </c>
      <c r="HJ93" s="2" t="s">
        <v>3</v>
      </c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 t="s">
        <v>3</v>
      </c>
    </row>
    <row r="94" spans="1:268" ht="15.75" customHeight="1" x14ac:dyDescent="0.2">
      <c r="A94" s="13" t="s">
        <v>336</v>
      </c>
      <c r="B94" s="2" t="s">
        <v>99</v>
      </c>
      <c r="C94" s="2"/>
      <c r="D94" s="2"/>
      <c r="E94" s="2"/>
      <c r="F94" s="2" t="s">
        <v>337</v>
      </c>
      <c r="G94" s="2"/>
      <c r="H94" s="2"/>
      <c r="I94" s="2">
        <v>0</v>
      </c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>
        <v>4.67</v>
      </c>
      <c r="AE94" s="2"/>
      <c r="AF94" s="2"/>
      <c r="AG94" s="2"/>
      <c r="AH94" s="2"/>
      <c r="AI94" s="2"/>
      <c r="AJ94" s="2"/>
      <c r="AK94" s="2"/>
      <c r="AL94" s="2">
        <v>0.39</v>
      </c>
      <c r="AM94" s="2">
        <v>0.03</v>
      </c>
      <c r="AN94" s="2"/>
      <c r="AO94" s="2"/>
      <c r="AP94" s="2"/>
      <c r="AQ94" s="2"/>
      <c r="AR94" s="2"/>
      <c r="AS94" s="2">
        <v>0.56999999999999995</v>
      </c>
      <c r="AT94" s="2"/>
      <c r="AU94" s="2"/>
      <c r="AV94" s="2"/>
      <c r="AW94" s="2"/>
      <c r="AX94" s="2"/>
      <c r="AY94" s="2">
        <v>3.883</v>
      </c>
      <c r="AZ94" s="2"/>
      <c r="BA94" s="2"/>
      <c r="BB94" s="2"/>
      <c r="BC94" s="2"/>
      <c r="BD94" s="2"/>
      <c r="BE94" s="2"/>
      <c r="BF94" s="2"/>
      <c r="BG94" s="2">
        <v>0.33</v>
      </c>
      <c r="BH94" s="2">
        <v>0.03</v>
      </c>
      <c r="BI94" s="2"/>
      <c r="BJ94" s="2"/>
      <c r="BK94" s="2"/>
      <c r="BL94" s="2"/>
      <c r="BM94" s="2"/>
      <c r="BN94" s="2">
        <v>0.47</v>
      </c>
      <c r="BO94" s="2"/>
      <c r="BP94" s="2"/>
      <c r="BQ94" s="2"/>
      <c r="BR94" s="2"/>
      <c r="BS94" s="2"/>
      <c r="BT94" s="2">
        <v>0</v>
      </c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>
        <v>0</v>
      </c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 t="s">
        <v>81</v>
      </c>
      <c r="DK94" s="2" t="s">
        <v>81</v>
      </c>
      <c r="DL94" s="2">
        <f t="shared" si="3"/>
        <v>0.36276043493511045</v>
      </c>
      <c r="DM94" s="2">
        <f t="shared" si="4"/>
        <v>2.9999999999999995E-2</v>
      </c>
      <c r="DN94" s="2" t="s">
        <v>338</v>
      </c>
      <c r="DO94" s="2" t="s">
        <v>3</v>
      </c>
      <c r="DP94" s="2">
        <f t="shared" si="5"/>
        <v>0</v>
      </c>
      <c r="DQ94" s="2">
        <f t="shared" ref="DQ94:DR94" si="1679">K94*$I94+AF94*$AD94+BA94*$AY94</f>
        <v>0</v>
      </c>
      <c r="DR94" s="2">
        <f t="shared" si="1679"/>
        <v>0</v>
      </c>
      <c r="DS94" s="2">
        <f t="shared" ref="DS94:DX94" si="1680">(M94*$I94+AH94*$AD94+BC94*$AY94)/100</f>
        <v>0</v>
      </c>
      <c r="DT94" s="2">
        <f t="shared" si="1680"/>
        <v>0</v>
      </c>
      <c r="DU94" s="2">
        <f t="shared" si="1680"/>
        <v>0</v>
      </c>
      <c r="DV94" s="2">
        <f t="shared" si="1680"/>
        <v>0</v>
      </c>
      <c r="DW94" s="2">
        <f t="shared" si="1680"/>
        <v>3.10269E-2</v>
      </c>
      <c r="DX94" s="2">
        <f t="shared" si="1680"/>
        <v>2.5658999999999999E-3</v>
      </c>
      <c r="DY94" s="2">
        <f t="shared" ref="DY94:EC94" si="1681">S94*$I94+AN94*$AD94+BI94*$AY94</f>
        <v>0</v>
      </c>
      <c r="DZ94" s="2">
        <f t="shared" si="1681"/>
        <v>0</v>
      </c>
      <c r="EA94" s="2">
        <f t="shared" si="1681"/>
        <v>0</v>
      </c>
      <c r="EB94" s="2">
        <f t="shared" si="1681"/>
        <v>0</v>
      </c>
      <c r="EC94" s="2">
        <f t="shared" si="1681"/>
        <v>0</v>
      </c>
      <c r="ED94" s="2">
        <f t="shared" ref="ED94:EE94" si="1682">(X94*$I94+AS94*$AD94+BN94*$AY94)/100</f>
        <v>4.4869100000000002E-2</v>
      </c>
      <c r="EE94" s="2">
        <f t="shared" si="1682"/>
        <v>0</v>
      </c>
      <c r="EF94" s="2"/>
      <c r="EG94" s="2">
        <f t="shared" si="10"/>
        <v>0</v>
      </c>
      <c r="EH94" s="2">
        <f t="shared" si="11"/>
        <v>0</v>
      </c>
      <c r="EI94" s="39">
        <f t="shared" si="12"/>
        <v>0</v>
      </c>
      <c r="EJ94" s="39">
        <f t="shared" ref="EJ94:EK94" si="1683">EJ$1*DQ94/1000000</f>
        <v>0</v>
      </c>
      <c r="EK94" s="39">
        <f t="shared" si="1683"/>
        <v>0</v>
      </c>
      <c r="EL94" s="39">
        <f t="shared" ref="EL94:EQ94" si="1684">EL$1*DS94</f>
        <v>0</v>
      </c>
      <c r="EM94" s="39">
        <f t="shared" si="1684"/>
        <v>0</v>
      </c>
      <c r="EN94" s="39">
        <f t="shared" si="1684"/>
        <v>0</v>
      </c>
      <c r="EO94" s="39">
        <f t="shared" si="1684"/>
        <v>0</v>
      </c>
      <c r="EP94" s="39">
        <f t="shared" si="1684"/>
        <v>406.88676659999999</v>
      </c>
      <c r="EQ94" s="39">
        <f t="shared" si="1684"/>
        <v>186.33443663159997</v>
      </c>
      <c r="ER94" s="39">
        <f t="shared" ref="ER94:EV94" si="1685">ER$1*DY94/1000000</f>
        <v>0</v>
      </c>
      <c r="ES94" s="39">
        <f t="shared" si="1685"/>
        <v>0</v>
      </c>
      <c r="ET94" s="39">
        <f t="shared" si="1685"/>
        <v>0</v>
      </c>
      <c r="EU94" s="39">
        <f t="shared" si="1685"/>
        <v>0</v>
      </c>
      <c r="EV94" s="39">
        <f t="shared" si="1685"/>
        <v>0</v>
      </c>
      <c r="EW94" s="39">
        <f t="shared" ref="EW94:EX94" si="1686">EW$1*ED94</f>
        <v>12.5184789</v>
      </c>
      <c r="EX94" s="39">
        <f t="shared" si="1686"/>
        <v>0</v>
      </c>
      <c r="EY94" s="2"/>
      <c r="EZ94" s="39">
        <f t="shared" si="17"/>
        <v>0</v>
      </c>
      <c r="FA94" s="39">
        <f t="shared" si="18"/>
        <v>0</v>
      </c>
      <c r="FB94" s="2">
        <f t="shared" si="19"/>
        <v>0</v>
      </c>
      <c r="FC94" s="2">
        <f t="shared" ref="FC94:FD94" si="1687">BV94*$BT94+CQ94*$CO94</f>
        <v>0</v>
      </c>
      <c r="FD94" s="2">
        <f t="shared" si="1687"/>
        <v>0</v>
      </c>
      <c r="FE94" s="2">
        <f t="shared" ref="FE94:FJ94" si="1688">(BX94*$BT94+CS94*$CO94)/100</f>
        <v>0</v>
      </c>
      <c r="FF94" s="2">
        <f t="shared" si="1688"/>
        <v>0</v>
      </c>
      <c r="FG94" s="2">
        <f t="shared" si="1688"/>
        <v>0</v>
      </c>
      <c r="FH94" s="2">
        <f t="shared" si="1688"/>
        <v>0</v>
      </c>
      <c r="FI94" s="2">
        <f t="shared" si="1688"/>
        <v>0</v>
      </c>
      <c r="FJ94" s="2">
        <f t="shared" si="1688"/>
        <v>0</v>
      </c>
      <c r="FK94" s="2">
        <f t="shared" ref="FK94:FO94" si="1689">CD94*$BT94+CY94*$CO94</f>
        <v>0</v>
      </c>
      <c r="FL94" s="2">
        <f t="shared" si="1689"/>
        <v>0</v>
      </c>
      <c r="FM94" s="2">
        <f t="shared" si="1689"/>
        <v>0</v>
      </c>
      <c r="FN94" s="2">
        <f t="shared" si="1689"/>
        <v>0</v>
      </c>
      <c r="FO94" s="2">
        <f t="shared" si="1689"/>
        <v>0</v>
      </c>
      <c r="FP94" s="2">
        <f t="shared" ref="FP94:FQ94" si="1690">(CI94*$BT94+DD94*$CO94)/100</f>
        <v>0</v>
      </c>
      <c r="FQ94" s="2">
        <f t="shared" si="1690"/>
        <v>0</v>
      </c>
      <c r="FR94" s="2"/>
      <c r="FS94" s="2">
        <f t="shared" si="24"/>
        <v>0</v>
      </c>
      <c r="FT94" s="2">
        <f t="shared" si="25"/>
        <v>0</v>
      </c>
      <c r="FU94" s="39">
        <f t="shared" si="26"/>
        <v>0</v>
      </c>
      <c r="FV94" s="39">
        <f t="shared" ref="FV94:FW94" si="1691">FV$1*FC94/1000000</f>
        <v>0</v>
      </c>
      <c r="FW94" s="39">
        <f t="shared" si="1691"/>
        <v>0</v>
      </c>
      <c r="FX94" s="39">
        <f t="shared" ref="FX94:GC94" si="1692">FX$1*FE94</f>
        <v>0</v>
      </c>
      <c r="FY94" s="39">
        <f t="shared" si="1692"/>
        <v>0</v>
      </c>
      <c r="FZ94" s="39">
        <f t="shared" si="1692"/>
        <v>0</v>
      </c>
      <c r="GA94" s="39">
        <f t="shared" si="1692"/>
        <v>0</v>
      </c>
      <c r="GB94" s="39">
        <f t="shared" si="1692"/>
        <v>0</v>
      </c>
      <c r="GC94" s="39">
        <f t="shared" si="1692"/>
        <v>0</v>
      </c>
      <c r="GD94" s="39">
        <f t="shared" ref="GD94:GH94" si="1693">GD$1*FK94/1000000</f>
        <v>0</v>
      </c>
      <c r="GE94" s="39">
        <f t="shared" si="1693"/>
        <v>0</v>
      </c>
      <c r="GF94" s="39">
        <f t="shared" si="1693"/>
        <v>0</v>
      </c>
      <c r="GG94" s="39">
        <f t="shared" si="1693"/>
        <v>0</v>
      </c>
      <c r="GH94" s="39">
        <f t="shared" si="1693"/>
        <v>0</v>
      </c>
      <c r="GI94" s="39">
        <f t="shared" ref="GI94:GJ94" si="1694">GI$1*FP94</f>
        <v>0</v>
      </c>
      <c r="GJ94" s="39">
        <f t="shared" si="1694"/>
        <v>0</v>
      </c>
      <c r="GK94" s="2"/>
      <c r="GL94" s="39">
        <f t="shared" si="31"/>
        <v>0</v>
      </c>
      <c r="GM94" s="39">
        <f t="shared" si="32"/>
        <v>0</v>
      </c>
      <c r="GN94" s="2" t="s">
        <v>3</v>
      </c>
      <c r="GO94" s="2">
        <f t="shared" si="33"/>
        <v>8.5530000000000008</v>
      </c>
      <c r="GP94" s="4">
        <f t="shared" si="34"/>
        <v>0.36276043493511045</v>
      </c>
      <c r="GQ94" s="15">
        <f t="shared" si="35"/>
        <v>31.026899999999998</v>
      </c>
      <c r="GR94" s="15">
        <f t="shared" si="36"/>
        <v>605.73968213159992</v>
      </c>
      <c r="GS94" s="15">
        <f t="shared" si="37"/>
        <v>70.821896659838643</v>
      </c>
      <c r="GT94" s="2">
        <f t="shared" si="38"/>
        <v>0</v>
      </c>
      <c r="GU94" s="2">
        <f t="shared" si="39"/>
        <v>18.213000000000001</v>
      </c>
      <c r="GV94" s="2">
        <f t="shared" si="40"/>
        <v>12.8139</v>
      </c>
      <c r="GW94" s="2">
        <f t="shared" si="41"/>
        <v>0</v>
      </c>
      <c r="GX94" s="2"/>
      <c r="GY94" s="2"/>
      <c r="GZ94" s="2"/>
      <c r="HA94" s="2"/>
      <c r="HB94" s="2">
        <f t="shared" si="42"/>
        <v>0</v>
      </c>
      <c r="HC94" s="2">
        <f t="shared" si="43"/>
        <v>0</v>
      </c>
      <c r="HD94" s="2" t="s">
        <v>3</v>
      </c>
      <c r="HE94" s="2" t="s">
        <v>37</v>
      </c>
      <c r="HF94" s="2" t="s">
        <v>1121</v>
      </c>
      <c r="HG94" s="2" t="s">
        <v>1121</v>
      </c>
      <c r="HH94" s="2"/>
      <c r="HI94" s="2" t="s">
        <v>81</v>
      </c>
      <c r="HJ94" s="2" t="s">
        <v>3</v>
      </c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 t="s">
        <v>3</v>
      </c>
    </row>
    <row r="95" spans="1:268" ht="15.75" customHeight="1" x14ac:dyDescent="0.2">
      <c r="A95" s="13" t="s">
        <v>1207</v>
      </c>
      <c r="B95" s="2" t="s">
        <v>99</v>
      </c>
      <c r="C95" s="2"/>
      <c r="D95" s="2"/>
      <c r="E95" s="2"/>
      <c r="F95" s="2" t="s">
        <v>79</v>
      </c>
      <c r="G95" s="2"/>
      <c r="H95" s="2"/>
      <c r="I95" s="2">
        <v>0</v>
      </c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>
        <v>0</v>
      </c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>
        <v>16.8</v>
      </c>
      <c r="AZ95" s="2"/>
      <c r="BA95" s="2"/>
      <c r="BB95" s="2"/>
      <c r="BC95" s="2"/>
      <c r="BD95" s="2"/>
      <c r="BE95" s="2"/>
      <c r="BF95" s="2"/>
      <c r="BG95" s="2">
        <v>0.6</v>
      </c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>
        <v>0</v>
      </c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>
        <v>0</v>
      </c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 t="s">
        <v>81</v>
      </c>
      <c r="DK95" s="2"/>
      <c r="DL95" s="2">
        <f t="shared" si="3"/>
        <v>0.6</v>
      </c>
      <c r="DM95" s="2">
        <f t="shared" si="4"/>
        <v>0</v>
      </c>
      <c r="DN95" s="2" t="s">
        <v>82</v>
      </c>
      <c r="DO95" s="2" t="s">
        <v>3</v>
      </c>
      <c r="DP95" s="2">
        <f t="shared" si="5"/>
        <v>0</v>
      </c>
      <c r="DQ95" s="2">
        <f t="shared" ref="DQ95:DR95" si="1695">K95*$I95+AF95*$AD95+BA95*$AY95</f>
        <v>0</v>
      </c>
      <c r="DR95" s="2">
        <f t="shared" si="1695"/>
        <v>0</v>
      </c>
      <c r="DS95" s="2">
        <f t="shared" ref="DS95:DX95" si="1696">(M95*$I95+AH95*$AD95+BC95*$AY95)/100</f>
        <v>0</v>
      </c>
      <c r="DT95" s="2">
        <f t="shared" si="1696"/>
        <v>0</v>
      </c>
      <c r="DU95" s="2">
        <f t="shared" si="1696"/>
        <v>0</v>
      </c>
      <c r="DV95" s="2">
        <f t="shared" si="1696"/>
        <v>0</v>
      </c>
      <c r="DW95" s="2">
        <f t="shared" si="1696"/>
        <v>0.1008</v>
      </c>
      <c r="DX95" s="2">
        <f t="shared" si="1696"/>
        <v>0</v>
      </c>
      <c r="DY95" s="2">
        <f t="shared" ref="DY95:EC95" si="1697">S95*$I95+AN95*$AD95+BI95*$AY95</f>
        <v>0</v>
      </c>
      <c r="DZ95" s="2">
        <f t="shared" si="1697"/>
        <v>0</v>
      </c>
      <c r="EA95" s="2">
        <f t="shared" si="1697"/>
        <v>0</v>
      </c>
      <c r="EB95" s="2">
        <f t="shared" si="1697"/>
        <v>0</v>
      </c>
      <c r="EC95" s="2">
        <f t="shared" si="1697"/>
        <v>0</v>
      </c>
      <c r="ED95" s="2">
        <f t="shared" ref="ED95:EE95" si="1698">(X95*$I95+AS95*$AD95+BN95*$AY95)/100</f>
        <v>0</v>
      </c>
      <c r="EE95" s="2">
        <f t="shared" si="1698"/>
        <v>0</v>
      </c>
      <c r="EF95" s="2"/>
      <c r="EG95" s="2">
        <f t="shared" si="10"/>
        <v>0</v>
      </c>
      <c r="EH95" s="2">
        <f t="shared" si="11"/>
        <v>0</v>
      </c>
      <c r="EI95" s="39">
        <f t="shared" si="12"/>
        <v>0</v>
      </c>
      <c r="EJ95" s="39">
        <f t="shared" ref="EJ95:EK95" si="1699">EJ$1*DQ95/1000000</f>
        <v>0</v>
      </c>
      <c r="EK95" s="39">
        <f t="shared" si="1699"/>
        <v>0</v>
      </c>
      <c r="EL95" s="39">
        <f t="shared" ref="EL95:EQ95" si="1700">EL$1*DS95</f>
        <v>0</v>
      </c>
      <c r="EM95" s="39">
        <f t="shared" si="1700"/>
        <v>0</v>
      </c>
      <c r="EN95" s="39">
        <f t="shared" si="1700"/>
        <v>0</v>
      </c>
      <c r="EO95" s="39">
        <f t="shared" si="1700"/>
        <v>0</v>
      </c>
      <c r="EP95" s="39">
        <f t="shared" si="1700"/>
        <v>1321.8912</v>
      </c>
      <c r="EQ95" s="39">
        <f t="shared" si="1700"/>
        <v>0</v>
      </c>
      <c r="ER95" s="39">
        <f t="shared" ref="ER95:EV95" si="1701">ER$1*DY95/1000000</f>
        <v>0</v>
      </c>
      <c r="ES95" s="39">
        <f t="shared" si="1701"/>
        <v>0</v>
      </c>
      <c r="ET95" s="39">
        <f t="shared" si="1701"/>
        <v>0</v>
      </c>
      <c r="EU95" s="39">
        <f t="shared" si="1701"/>
        <v>0</v>
      </c>
      <c r="EV95" s="39">
        <f t="shared" si="1701"/>
        <v>0</v>
      </c>
      <c r="EW95" s="39">
        <f t="shared" ref="EW95:EX95" si="1702">EW$1*ED95</f>
        <v>0</v>
      </c>
      <c r="EX95" s="39">
        <f t="shared" si="1702"/>
        <v>0</v>
      </c>
      <c r="EY95" s="2"/>
      <c r="EZ95" s="39">
        <f t="shared" si="17"/>
        <v>0</v>
      </c>
      <c r="FA95" s="39">
        <f t="shared" si="18"/>
        <v>0</v>
      </c>
      <c r="FB95" s="2">
        <f t="shared" si="19"/>
        <v>0</v>
      </c>
      <c r="FC95" s="2">
        <f t="shared" ref="FC95:FD95" si="1703">BV95*$BT95+CQ95*$CO95</f>
        <v>0</v>
      </c>
      <c r="FD95" s="2">
        <f t="shared" si="1703"/>
        <v>0</v>
      </c>
      <c r="FE95" s="2">
        <f t="shared" ref="FE95:FJ95" si="1704">(BX95*$BT95+CS95*$CO95)/100</f>
        <v>0</v>
      </c>
      <c r="FF95" s="2">
        <f t="shared" si="1704"/>
        <v>0</v>
      </c>
      <c r="FG95" s="2">
        <f t="shared" si="1704"/>
        <v>0</v>
      </c>
      <c r="FH95" s="2">
        <f t="shared" si="1704"/>
        <v>0</v>
      </c>
      <c r="FI95" s="2">
        <f t="shared" si="1704"/>
        <v>0</v>
      </c>
      <c r="FJ95" s="2">
        <f t="shared" si="1704"/>
        <v>0</v>
      </c>
      <c r="FK95" s="2">
        <f t="shared" ref="FK95:FO95" si="1705">CD95*$BT95+CY95*$CO95</f>
        <v>0</v>
      </c>
      <c r="FL95" s="2">
        <f t="shared" si="1705"/>
        <v>0</v>
      </c>
      <c r="FM95" s="2">
        <f t="shared" si="1705"/>
        <v>0</v>
      </c>
      <c r="FN95" s="2">
        <f t="shared" si="1705"/>
        <v>0</v>
      </c>
      <c r="FO95" s="2">
        <f t="shared" si="1705"/>
        <v>0</v>
      </c>
      <c r="FP95" s="2">
        <f t="shared" ref="FP95:FQ95" si="1706">(CI95*$BT95+DD95*$CO95)/100</f>
        <v>0</v>
      </c>
      <c r="FQ95" s="2">
        <f t="shared" si="1706"/>
        <v>0</v>
      </c>
      <c r="FR95" s="2"/>
      <c r="FS95" s="2">
        <f t="shared" si="24"/>
        <v>0</v>
      </c>
      <c r="FT95" s="2">
        <f t="shared" si="25"/>
        <v>0</v>
      </c>
      <c r="FU95" s="39">
        <f t="shared" si="26"/>
        <v>0</v>
      </c>
      <c r="FV95" s="39">
        <f t="shared" ref="FV95:FW95" si="1707">FV$1*FC95/1000000</f>
        <v>0</v>
      </c>
      <c r="FW95" s="39">
        <f t="shared" si="1707"/>
        <v>0</v>
      </c>
      <c r="FX95" s="39">
        <f t="shared" ref="FX95:GC95" si="1708">FX$1*FE95</f>
        <v>0</v>
      </c>
      <c r="FY95" s="39">
        <f t="shared" si="1708"/>
        <v>0</v>
      </c>
      <c r="FZ95" s="39">
        <f t="shared" si="1708"/>
        <v>0</v>
      </c>
      <c r="GA95" s="39">
        <f t="shared" si="1708"/>
        <v>0</v>
      </c>
      <c r="GB95" s="39">
        <f t="shared" si="1708"/>
        <v>0</v>
      </c>
      <c r="GC95" s="39">
        <f t="shared" si="1708"/>
        <v>0</v>
      </c>
      <c r="GD95" s="39">
        <f t="shared" ref="GD95:GH95" si="1709">GD$1*FK95/1000000</f>
        <v>0</v>
      </c>
      <c r="GE95" s="39">
        <f t="shared" si="1709"/>
        <v>0</v>
      </c>
      <c r="GF95" s="39">
        <f t="shared" si="1709"/>
        <v>0</v>
      </c>
      <c r="GG95" s="39">
        <f t="shared" si="1709"/>
        <v>0</v>
      </c>
      <c r="GH95" s="39">
        <f t="shared" si="1709"/>
        <v>0</v>
      </c>
      <c r="GI95" s="39">
        <f t="shared" ref="GI95:GJ95" si="1710">GI$1*FP95</f>
        <v>0</v>
      </c>
      <c r="GJ95" s="39">
        <f t="shared" si="1710"/>
        <v>0</v>
      </c>
      <c r="GK95" s="2"/>
      <c r="GL95" s="39">
        <f t="shared" si="31"/>
        <v>0</v>
      </c>
      <c r="GM95" s="39">
        <f t="shared" si="32"/>
        <v>0</v>
      </c>
      <c r="GN95" s="2" t="s">
        <v>3</v>
      </c>
      <c r="GO95" s="2">
        <f t="shared" si="33"/>
        <v>16.8</v>
      </c>
      <c r="GP95" s="2">
        <f t="shared" si="34"/>
        <v>0.6</v>
      </c>
      <c r="GQ95" s="15">
        <f t="shared" si="35"/>
        <v>100.8</v>
      </c>
      <c r="GR95" s="15">
        <f t="shared" si="36"/>
        <v>1321.8912</v>
      </c>
      <c r="GS95" s="15">
        <f t="shared" si="37"/>
        <v>78.683999999999997</v>
      </c>
      <c r="GT95" s="2">
        <f t="shared" si="38"/>
        <v>0</v>
      </c>
      <c r="GU95" s="2">
        <f t="shared" si="39"/>
        <v>0</v>
      </c>
      <c r="GV95" s="2">
        <f t="shared" si="40"/>
        <v>100.8</v>
      </c>
      <c r="GW95" s="2">
        <f t="shared" si="41"/>
        <v>0</v>
      </c>
      <c r="GX95" s="2"/>
      <c r="GY95" s="2"/>
      <c r="GZ95" s="2"/>
      <c r="HA95" s="2"/>
      <c r="HB95" s="2">
        <f t="shared" si="42"/>
        <v>0</v>
      </c>
      <c r="HC95" s="2">
        <f t="shared" si="43"/>
        <v>0</v>
      </c>
      <c r="HD95" s="2" t="s">
        <v>3</v>
      </c>
      <c r="HE95" s="2" t="s">
        <v>37</v>
      </c>
      <c r="HF95" s="2" t="s">
        <v>1121</v>
      </c>
      <c r="HG95" s="2"/>
      <c r="HH95" s="2"/>
      <c r="HI95" s="2" t="s">
        <v>81</v>
      </c>
      <c r="HJ95" s="2" t="s">
        <v>3</v>
      </c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 t="s">
        <v>3</v>
      </c>
    </row>
    <row r="96" spans="1:268" ht="15.75" customHeight="1" x14ac:dyDescent="0.2">
      <c r="A96" s="13" t="s">
        <v>924</v>
      </c>
      <c r="B96" s="2" t="s">
        <v>109</v>
      </c>
      <c r="C96" s="2"/>
      <c r="D96" s="2"/>
      <c r="E96" s="2"/>
      <c r="F96" s="2" t="s">
        <v>218</v>
      </c>
      <c r="G96" s="2"/>
      <c r="H96" s="2"/>
      <c r="I96" s="2">
        <v>0</v>
      </c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>
        <f>8.3+1.6</f>
        <v>9.9</v>
      </c>
      <c r="AE96" s="2"/>
      <c r="AF96" s="2"/>
      <c r="AG96" s="2"/>
      <c r="AH96" s="2"/>
      <c r="AI96" s="2"/>
      <c r="AJ96" s="2"/>
      <c r="AK96" s="2"/>
      <c r="AL96" s="4">
        <f>(1.26*8.3+1.27*1.6)/AD96</f>
        <v>1.2616161616161616</v>
      </c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>
        <v>5.3</v>
      </c>
      <c r="AZ96" s="2"/>
      <c r="BA96" s="2"/>
      <c r="BB96" s="2"/>
      <c r="BC96" s="2"/>
      <c r="BD96" s="2"/>
      <c r="BE96" s="2"/>
      <c r="BF96" s="2"/>
      <c r="BG96" s="2">
        <v>1.21</v>
      </c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>
        <v>0</v>
      </c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>
        <v>8.3000000000000007</v>
      </c>
      <c r="CP96" s="2"/>
      <c r="CQ96" s="2"/>
      <c r="CR96" s="2"/>
      <c r="CS96" s="2"/>
      <c r="CT96" s="2"/>
      <c r="CU96" s="2"/>
      <c r="CV96" s="2"/>
      <c r="CW96" s="2">
        <v>1.26</v>
      </c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 t="s">
        <v>81</v>
      </c>
      <c r="DK96" s="2"/>
      <c r="DL96" s="2">
        <f t="shared" si="3"/>
        <v>1.2436184210526315</v>
      </c>
      <c r="DM96" s="2">
        <f t="shared" si="4"/>
        <v>0</v>
      </c>
      <c r="DN96" s="2" t="s">
        <v>95</v>
      </c>
      <c r="DO96" s="2" t="s">
        <v>3</v>
      </c>
      <c r="DP96" s="2">
        <f t="shared" si="5"/>
        <v>0</v>
      </c>
      <c r="DQ96" s="2">
        <f t="shared" ref="DQ96:DR96" si="1711">K96*$I96+AF96*$AD96+BA96*$AY96</f>
        <v>0</v>
      </c>
      <c r="DR96" s="2">
        <f t="shared" si="1711"/>
        <v>0</v>
      </c>
      <c r="DS96" s="2">
        <f t="shared" ref="DS96:DX96" si="1712">(M96*$I96+AH96*$AD96+BC96*$AY96)/100</f>
        <v>0</v>
      </c>
      <c r="DT96" s="2">
        <f t="shared" si="1712"/>
        <v>0</v>
      </c>
      <c r="DU96" s="2">
        <f t="shared" si="1712"/>
        <v>0</v>
      </c>
      <c r="DV96" s="2">
        <f t="shared" si="1712"/>
        <v>0</v>
      </c>
      <c r="DW96" s="2">
        <f t="shared" si="1712"/>
        <v>0.18902999999999998</v>
      </c>
      <c r="DX96" s="2">
        <f t="shared" si="1712"/>
        <v>0</v>
      </c>
      <c r="DY96" s="2">
        <f t="shared" ref="DY96:EC96" si="1713">S96*$I96+AN96*$AD96+BI96*$AY96</f>
        <v>0</v>
      </c>
      <c r="DZ96" s="2">
        <f t="shared" si="1713"/>
        <v>0</v>
      </c>
      <c r="EA96" s="2">
        <f t="shared" si="1713"/>
        <v>0</v>
      </c>
      <c r="EB96" s="2">
        <f t="shared" si="1713"/>
        <v>0</v>
      </c>
      <c r="EC96" s="2">
        <f t="shared" si="1713"/>
        <v>0</v>
      </c>
      <c r="ED96" s="2">
        <f t="shared" ref="ED96:EE96" si="1714">(X96*$I96+AS96*$AD96+BN96*$AY96)/100</f>
        <v>0</v>
      </c>
      <c r="EE96" s="2">
        <f t="shared" si="1714"/>
        <v>0</v>
      </c>
      <c r="EF96" s="2"/>
      <c r="EG96" s="2">
        <f t="shared" si="10"/>
        <v>0</v>
      </c>
      <c r="EH96" s="2">
        <f t="shared" si="11"/>
        <v>0</v>
      </c>
      <c r="EI96" s="39">
        <f t="shared" si="12"/>
        <v>0</v>
      </c>
      <c r="EJ96" s="39">
        <f t="shared" ref="EJ96:EK96" si="1715">EJ$1*DQ96/1000000</f>
        <v>0</v>
      </c>
      <c r="EK96" s="39">
        <f t="shared" si="1715"/>
        <v>0</v>
      </c>
      <c r="EL96" s="39">
        <f t="shared" ref="EL96:EQ96" si="1716">EL$1*DS96</f>
        <v>0</v>
      </c>
      <c r="EM96" s="39">
        <f t="shared" si="1716"/>
        <v>0</v>
      </c>
      <c r="EN96" s="39">
        <f t="shared" si="1716"/>
        <v>0</v>
      </c>
      <c r="EO96" s="39">
        <f t="shared" si="1716"/>
        <v>0</v>
      </c>
      <c r="EP96" s="39">
        <f t="shared" si="1716"/>
        <v>2478.9394199999997</v>
      </c>
      <c r="EQ96" s="39">
        <f t="shared" si="1716"/>
        <v>0</v>
      </c>
      <c r="ER96" s="39">
        <f t="shared" ref="ER96:EV96" si="1717">ER$1*DY96/1000000</f>
        <v>0</v>
      </c>
      <c r="ES96" s="39">
        <f t="shared" si="1717"/>
        <v>0</v>
      </c>
      <c r="ET96" s="39">
        <f t="shared" si="1717"/>
        <v>0</v>
      </c>
      <c r="EU96" s="39">
        <f t="shared" si="1717"/>
        <v>0</v>
      </c>
      <c r="EV96" s="39">
        <f t="shared" si="1717"/>
        <v>0</v>
      </c>
      <c r="EW96" s="39">
        <f t="shared" ref="EW96:EX96" si="1718">EW$1*ED96</f>
        <v>0</v>
      </c>
      <c r="EX96" s="39">
        <f t="shared" si="1718"/>
        <v>0</v>
      </c>
      <c r="EY96" s="2"/>
      <c r="EZ96" s="39">
        <f t="shared" si="17"/>
        <v>0</v>
      </c>
      <c r="FA96" s="39">
        <f t="shared" si="18"/>
        <v>0</v>
      </c>
      <c r="FB96" s="2">
        <f t="shared" si="19"/>
        <v>0</v>
      </c>
      <c r="FC96" s="2">
        <f t="shared" ref="FC96:FD96" si="1719">BV96*$BT96+CQ96*$CO96</f>
        <v>0</v>
      </c>
      <c r="FD96" s="2">
        <f t="shared" si="1719"/>
        <v>0</v>
      </c>
      <c r="FE96" s="2">
        <f t="shared" ref="FE96:FJ96" si="1720">(BX96*$BT96+CS96*$CO96)/100</f>
        <v>0</v>
      </c>
      <c r="FF96" s="2">
        <f t="shared" si="1720"/>
        <v>0</v>
      </c>
      <c r="FG96" s="2">
        <f t="shared" si="1720"/>
        <v>0</v>
      </c>
      <c r="FH96" s="2">
        <f t="shared" si="1720"/>
        <v>0</v>
      </c>
      <c r="FI96" s="2">
        <f t="shared" si="1720"/>
        <v>0.10458000000000001</v>
      </c>
      <c r="FJ96" s="2">
        <f t="shared" si="1720"/>
        <v>0</v>
      </c>
      <c r="FK96" s="2">
        <f t="shared" ref="FK96:FO96" si="1721">CD96*$BT96+CY96*$CO96</f>
        <v>0</v>
      </c>
      <c r="FL96" s="2">
        <f t="shared" si="1721"/>
        <v>0</v>
      </c>
      <c r="FM96" s="2">
        <f t="shared" si="1721"/>
        <v>0</v>
      </c>
      <c r="FN96" s="2">
        <f t="shared" si="1721"/>
        <v>0</v>
      </c>
      <c r="FO96" s="2">
        <f t="shared" si="1721"/>
        <v>0</v>
      </c>
      <c r="FP96" s="2">
        <f t="shared" ref="FP96:FQ96" si="1722">(CI96*$BT96+DD96*$CO96)/100</f>
        <v>0</v>
      </c>
      <c r="FQ96" s="2">
        <f t="shared" si="1722"/>
        <v>0</v>
      </c>
      <c r="FR96" s="2"/>
      <c r="FS96" s="2">
        <f t="shared" si="24"/>
        <v>0</v>
      </c>
      <c r="FT96" s="2">
        <f t="shared" si="25"/>
        <v>0</v>
      </c>
      <c r="FU96" s="39">
        <f t="shared" si="26"/>
        <v>0</v>
      </c>
      <c r="FV96" s="39">
        <f t="shared" ref="FV96:FW96" si="1723">FV$1*FC96/1000000</f>
        <v>0</v>
      </c>
      <c r="FW96" s="39">
        <f t="shared" si="1723"/>
        <v>0</v>
      </c>
      <c r="FX96" s="39">
        <f t="shared" ref="FX96:GC96" si="1724">FX$1*FE96</f>
        <v>0</v>
      </c>
      <c r="FY96" s="39">
        <f t="shared" si="1724"/>
        <v>0</v>
      </c>
      <c r="FZ96" s="39">
        <f t="shared" si="1724"/>
        <v>0</v>
      </c>
      <c r="GA96" s="39">
        <f t="shared" si="1724"/>
        <v>0</v>
      </c>
      <c r="GB96" s="39">
        <f t="shared" si="1724"/>
        <v>1371.4621200000001</v>
      </c>
      <c r="GC96" s="39">
        <f t="shared" si="1724"/>
        <v>0</v>
      </c>
      <c r="GD96" s="39">
        <f t="shared" ref="GD96:GH96" si="1725">GD$1*FK96/1000000</f>
        <v>0</v>
      </c>
      <c r="GE96" s="39">
        <f t="shared" si="1725"/>
        <v>0</v>
      </c>
      <c r="GF96" s="39">
        <f t="shared" si="1725"/>
        <v>0</v>
      </c>
      <c r="GG96" s="39">
        <f t="shared" si="1725"/>
        <v>0</v>
      </c>
      <c r="GH96" s="39">
        <f t="shared" si="1725"/>
        <v>0</v>
      </c>
      <c r="GI96" s="39">
        <f t="shared" ref="GI96:GJ96" si="1726">GI$1*FP96</f>
        <v>0</v>
      </c>
      <c r="GJ96" s="39">
        <f t="shared" si="1726"/>
        <v>0</v>
      </c>
      <c r="GK96" s="2"/>
      <c r="GL96" s="39">
        <f t="shared" si="31"/>
        <v>0</v>
      </c>
      <c r="GM96" s="39">
        <f t="shared" si="32"/>
        <v>0</v>
      </c>
      <c r="GN96" s="2" t="s">
        <v>3</v>
      </c>
      <c r="GO96" s="2">
        <f t="shared" si="33"/>
        <v>15.2</v>
      </c>
      <c r="GP96" s="4">
        <f t="shared" si="34"/>
        <v>1.2436184210526315</v>
      </c>
      <c r="GQ96" s="15">
        <f t="shared" si="35"/>
        <v>189.03</v>
      </c>
      <c r="GR96" s="15">
        <f t="shared" si="36"/>
        <v>2478.9394199999997</v>
      </c>
      <c r="GS96" s="15">
        <f t="shared" si="37"/>
        <v>163.08811973684209</v>
      </c>
      <c r="GT96" s="2">
        <f t="shared" si="38"/>
        <v>0</v>
      </c>
      <c r="GU96" s="2">
        <f t="shared" si="39"/>
        <v>124.9</v>
      </c>
      <c r="GV96" s="2">
        <f t="shared" si="40"/>
        <v>64.13</v>
      </c>
      <c r="GW96" s="2">
        <f t="shared" si="41"/>
        <v>8.3000000000000007</v>
      </c>
      <c r="GX96" s="4">
        <f>(BT96*CB96+CO96*CW96)/GW96</f>
        <v>1.26</v>
      </c>
      <c r="GY96" s="15">
        <f>1000*GW96*GX96/100</f>
        <v>104.58</v>
      </c>
      <c r="GZ96" s="15">
        <f>SUM(FU96:GM96)</f>
        <v>1371.4621200000001</v>
      </c>
      <c r="HA96" s="15">
        <f>GZ96/GW96</f>
        <v>165.2364</v>
      </c>
      <c r="HB96" s="2">
        <f t="shared" si="42"/>
        <v>0</v>
      </c>
      <c r="HC96" s="2">
        <f t="shared" si="43"/>
        <v>104.58</v>
      </c>
      <c r="HD96" s="2" t="s">
        <v>3</v>
      </c>
      <c r="HE96" s="2" t="s">
        <v>37</v>
      </c>
      <c r="HF96" s="2" t="s">
        <v>396</v>
      </c>
      <c r="HG96" s="2" t="s">
        <v>396</v>
      </c>
      <c r="HH96" s="2"/>
      <c r="HI96" s="2" t="s">
        <v>81</v>
      </c>
      <c r="HJ96" s="2" t="s">
        <v>3</v>
      </c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 t="s">
        <v>3</v>
      </c>
    </row>
    <row r="97" spans="1:268" ht="15.75" customHeight="1" x14ac:dyDescent="0.2">
      <c r="A97" s="13" t="s">
        <v>394</v>
      </c>
      <c r="B97" s="2" t="s">
        <v>99</v>
      </c>
      <c r="C97" s="2"/>
      <c r="D97" s="2"/>
      <c r="E97" s="2"/>
      <c r="F97" s="2" t="s">
        <v>395</v>
      </c>
      <c r="G97" s="2"/>
      <c r="H97" s="2"/>
      <c r="I97" s="2">
        <v>0</v>
      </c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15">
        <v>3</v>
      </c>
      <c r="AE97" s="2"/>
      <c r="AF97" s="2"/>
      <c r="AG97" s="2"/>
      <c r="AH97" s="2"/>
      <c r="AI97" s="2"/>
      <c r="AJ97" s="2"/>
      <c r="AK97" s="2"/>
      <c r="AL97" s="2">
        <v>1.49</v>
      </c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>
        <v>3.2</v>
      </c>
      <c r="AZ97" s="2"/>
      <c r="BA97" s="2"/>
      <c r="BB97" s="2"/>
      <c r="BC97" s="2"/>
      <c r="BD97" s="2"/>
      <c r="BE97" s="2"/>
      <c r="BF97" s="2"/>
      <c r="BG97" s="2">
        <v>1.5</v>
      </c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>
        <v>0</v>
      </c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>
        <v>0</v>
      </c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 t="s">
        <v>81</v>
      </c>
      <c r="DK97" s="2"/>
      <c r="DL97" s="2">
        <f t="shared" si="3"/>
        <v>1.4951612903225806</v>
      </c>
      <c r="DM97" s="2">
        <f t="shared" si="4"/>
        <v>0</v>
      </c>
      <c r="DN97" s="2" t="s">
        <v>211</v>
      </c>
      <c r="DO97" s="2" t="s">
        <v>3</v>
      </c>
      <c r="DP97" s="2">
        <f t="shared" si="5"/>
        <v>0</v>
      </c>
      <c r="DQ97" s="2">
        <f t="shared" ref="DQ97:DR97" si="1727">K97*$I97+AF97*$AD97+BA97*$AY97</f>
        <v>0</v>
      </c>
      <c r="DR97" s="2">
        <f t="shared" si="1727"/>
        <v>0</v>
      </c>
      <c r="DS97" s="2">
        <f t="shared" ref="DS97:DX97" si="1728">(M97*$I97+AH97*$AD97+BC97*$AY97)/100</f>
        <v>0</v>
      </c>
      <c r="DT97" s="2">
        <f t="shared" si="1728"/>
        <v>0</v>
      </c>
      <c r="DU97" s="2">
        <f t="shared" si="1728"/>
        <v>0</v>
      </c>
      <c r="DV97" s="2">
        <f t="shared" si="1728"/>
        <v>0</v>
      </c>
      <c r="DW97" s="2">
        <f t="shared" si="1728"/>
        <v>9.2699999999999991E-2</v>
      </c>
      <c r="DX97" s="2">
        <f t="shared" si="1728"/>
        <v>0</v>
      </c>
      <c r="DY97" s="2">
        <f t="shared" ref="DY97:EC97" si="1729">S97*$I97+AN97*$AD97+BI97*$AY97</f>
        <v>0</v>
      </c>
      <c r="DZ97" s="2">
        <f t="shared" si="1729"/>
        <v>0</v>
      </c>
      <c r="EA97" s="2">
        <f t="shared" si="1729"/>
        <v>0</v>
      </c>
      <c r="EB97" s="2">
        <f t="shared" si="1729"/>
        <v>0</v>
      </c>
      <c r="EC97" s="2">
        <f t="shared" si="1729"/>
        <v>0</v>
      </c>
      <c r="ED97" s="2">
        <f t="shared" ref="ED97:EE97" si="1730">(X97*$I97+AS97*$AD97+BN97*$AY97)/100</f>
        <v>0</v>
      </c>
      <c r="EE97" s="2">
        <f t="shared" si="1730"/>
        <v>0</v>
      </c>
      <c r="EF97" s="2"/>
      <c r="EG97" s="2">
        <f t="shared" si="10"/>
        <v>0</v>
      </c>
      <c r="EH97" s="2">
        <f t="shared" si="11"/>
        <v>0</v>
      </c>
      <c r="EI97" s="39">
        <f t="shared" si="12"/>
        <v>0</v>
      </c>
      <c r="EJ97" s="39">
        <f t="shared" ref="EJ97:EK97" si="1731">EJ$1*DQ97/1000000</f>
        <v>0</v>
      </c>
      <c r="EK97" s="39">
        <f t="shared" si="1731"/>
        <v>0</v>
      </c>
      <c r="EL97" s="39">
        <f t="shared" ref="EL97:EQ97" si="1732">EL$1*DS97</f>
        <v>0</v>
      </c>
      <c r="EM97" s="39">
        <f t="shared" si="1732"/>
        <v>0</v>
      </c>
      <c r="EN97" s="39">
        <f t="shared" si="1732"/>
        <v>0</v>
      </c>
      <c r="EO97" s="39">
        <f t="shared" si="1732"/>
        <v>0</v>
      </c>
      <c r="EP97" s="39">
        <f t="shared" si="1732"/>
        <v>1215.6677999999999</v>
      </c>
      <c r="EQ97" s="39">
        <f t="shared" si="1732"/>
        <v>0</v>
      </c>
      <c r="ER97" s="39">
        <f t="shared" ref="ER97:EV97" si="1733">ER$1*DY97/1000000</f>
        <v>0</v>
      </c>
      <c r="ES97" s="39">
        <f t="shared" si="1733"/>
        <v>0</v>
      </c>
      <c r="ET97" s="39">
        <f t="shared" si="1733"/>
        <v>0</v>
      </c>
      <c r="EU97" s="39">
        <f t="shared" si="1733"/>
        <v>0</v>
      </c>
      <c r="EV97" s="39">
        <f t="shared" si="1733"/>
        <v>0</v>
      </c>
      <c r="EW97" s="39">
        <f t="shared" ref="EW97:EX97" si="1734">EW$1*ED97</f>
        <v>0</v>
      </c>
      <c r="EX97" s="39">
        <f t="shared" si="1734"/>
        <v>0</v>
      </c>
      <c r="EY97" s="2"/>
      <c r="EZ97" s="39">
        <f t="shared" si="17"/>
        <v>0</v>
      </c>
      <c r="FA97" s="39">
        <f t="shared" si="18"/>
        <v>0</v>
      </c>
      <c r="FB97" s="2">
        <f t="shared" si="19"/>
        <v>0</v>
      </c>
      <c r="FC97" s="2">
        <f t="shared" ref="FC97:FD97" si="1735">BV97*$BT97+CQ97*$CO97</f>
        <v>0</v>
      </c>
      <c r="FD97" s="2">
        <f t="shared" si="1735"/>
        <v>0</v>
      </c>
      <c r="FE97" s="2">
        <f t="shared" ref="FE97:FJ97" si="1736">(BX97*$BT97+CS97*$CO97)/100</f>
        <v>0</v>
      </c>
      <c r="FF97" s="2">
        <f t="shared" si="1736"/>
        <v>0</v>
      </c>
      <c r="FG97" s="2">
        <f t="shared" si="1736"/>
        <v>0</v>
      </c>
      <c r="FH97" s="2">
        <f t="shared" si="1736"/>
        <v>0</v>
      </c>
      <c r="FI97" s="2">
        <f t="shared" si="1736"/>
        <v>0</v>
      </c>
      <c r="FJ97" s="2">
        <f t="shared" si="1736"/>
        <v>0</v>
      </c>
      <c r="FK97" s="2">
        <f t="shared" ref="FK97:FO97" si="1737">CD97*$BT97+CY97*$CO97</f>
        <v>0</v>
      </c>
      <c r="FL97" s="2">
        <f t="shared" si="1737"/>
        <v>0</v>
      </c>
      <c r="FM97" s="2">
        <f t="shared" si="1737"/>
        <v>0</v>
      </c>
      <c r="FN97" s="2">
        <f t="shared" si="1737"/>
        <v>0</v>
      </c>
      <c r="FO97" s="2">
        <f t="shared" si="1737"/>
        <v>0</v>
      </c>
      <c r="FP97" s="2">
        <f t="shared" ref="FP97:FQ97" si="1738">(CI97*$BT97+DD97*$CO97)/100</f>
        <v>0</v>
      </c>
      <c r="FQ97" s="2">
        <f t="shared" si="1738"/>
        <v>0</v>
      </c>
      <c r="FR97" s="2"/>
      <c r="FS97" s="2">
        <f t="shared" si="24"/>
        <v>0</v>
      </c>
      <c r="FT97" s="2">
        <f t="shared" si="25"/>
        <v>0</v>
      </c>
      <c r="FU97" s="39">
        <f t="shared" si="26"/>
        <v>0</v>
      </c>
      <c r="FV97" s="39">
        <f t="shared" ref="FV97:FW97" si="1739">FV$1*FC97/1000000</f>
        <v>0</v>
      </c>
      <c r="FW97" s="39">
        <f t="shared" si="1739"/>
        <v>0</v>
      </c>
      <c r="FX97" s="39">
        <f t="shared" ref="FX97:GC97" si="1740">FX$1*FE97</f>
        <v>0</v>
      </c>
      <c r="FY97" s="39">
        <f t="shared" si="1740"/>
        <v>0</v>
      </c>
      <c r="FZ97" s="39">
        <f t="shared" si="1740"/>
        <v>0</v>
      </c>
      <c r="GA97" s="39">
        <f t="shared" si="1740"/>
        <v>0</v>
      </c>
      <c r="GB97" s="39">
        <f t="shared" si="1740"/>
        <v>0</v>
      </c>
      <c r="GC97" s="39">
        <f t="shared" si="1740"/>
        <v>0</v>
      </c>
      <c r="GD97" s="39">
        <f t="shared" ref="GD97:GH97" si="1741">GD$1*FK97/1000000</f>
        <v>0</v>
      </c>
      <c r="GE97" s="39">
        <f t="shared" si="1741"/>
        <v>0</v>
      </c>
      <c r="GF97" s="39">
        <f t="shared" si="1741"/>
        <v>0</v>
      </c>
      <c r="GG97" s="39">
        <f t="shared" si="1741"/>
        <v>0</v>
      </c>
      <c r="GH97" s="39">
        <f t="shared" si="1741"/>
        <v>0</v>
      </c>
      <c r="GI97" s="39">
        <f t="shared" ref="GI97:GJ97" si="1742">GI$1*FP97</f>
        <v>0</v>
      </c>
      <c r="GJ97" s="39">
        <f t="shared" si="1742"/>
        <v>0</v>
      </c>
      <c r="GK97" s="2"/>
      <c r="GL97" s="39">
        <f t="shared" si="31"/>
        <v>0</v>
      </c>
      <c r="GM97" s="39">
        <f t="shared" si="32"/>
        <v>0</v>
      </c>
      <c r="GN97" s="2" t="s">
        <v>3</v>
      </c>
      <c r="GO97" s="15">
        <f t="shared" si="33"/>
        <v>6.2</v>
      </c>
      <c r="GP97" s="4">
        <f t="shared" si="34"/>
        <v>1.4951612903225806</v>
      </c>
      <c r="GQ97" s="15">
        <f t="shared" si="35"/>
        <v>92.7</v>
      </c>
      <c r="GR97" s="15">
        <f t="shared" si="36"/>
        <v>1215.6677999999999</v>
      </c>
      <c r="GS97" s="15">
        <f t="shared" si="37"/>
        <v>196.07545161290321</v>
      </c>
      <c r="GT97" s="2">
        <f t="shared" si="38"/>
        <v>0</v>
      </c>
      <c r="GU97" s="2">
        <f t="shared" si="39"/>
        <v>44.7</v>
      </c>
      <c r="GV97" s="2">
        <f t="shared" si="40"/>
        <v>48.000000000000007</v>
      </c>
      <c r="GW97" s="2">
        <f t="shared" si="41"/>
        <v>0</v>
      </c>
      <c r="GX97" s="2"/>
      <c r="GY97" s="2"/>
      <c r="GZ97" s="2"/>
      <c r="HA97" s="2"/>
      <c r="HB97" s="2">
        <f t="shared" si="42"/>
        <v>0</v>
      </c>
      <c r="HC97" s="2">
        <f t="shared" si="43"/>
        <v>0</v>
      </c>
      <c r="HD97" s="2" t="s">
        <v>3</v>
      </c>
      <c r="HE97" s="2" t="s">
        <v>37</v>
      </c>
      <c r="HF97" s="2" t="s">
        <v>396</v>
      </c>
      <c r="HG97" s="2" t="s">
        <v>396</v>
      </c>
      <c r="HH97" s="2"/>
      <c r="HI97" s="2" t="s">
        <v>81</v>
      </c>
      <c r="HJ97" s="2" t="s">
        <v>3</v>
      </c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 t="s">
        <v>3</v>
      </c>
    </row>
    <row r="98" spans="1:268" ht="15.75" customHeight="1" x14ac:dyDescent="0.2">
      <c r="A98" s="13" t="s">
        <v>155</v>
      </c>
      <c r="B98" s="2" t="s">
        <v>99</v>
      </c>
      <c r="C98" s="2"/>
      <c r="D98" s="2"/>
      <c r="E98" s="2"/>
      <c r="F98" s="2" t="s">
        <v>156</v>
      </c>
      <c r="G98" s="2"/>
      <c r="H98" s="2"/>
      <c r="I98" s="2">
        <v>18.167999999999999</v>
      </c>
      <c r="J98" s="2"/>
      <c r="K98" s="2"/>
      <c r="L98" s="2"/>
      <c r="M98" s="2"/>
      <c r="N98" s="2"/>
      <c r="O98" s="2"/>
      <c r="P98" s="2"/>
      <c r="Q98" s="2">
        <v>1.44</v>
      </c>
      <c r="R98" s="2">
        <v>0.05</v>
      </c>
      <c r="S98" s="2"/>
      <c r="T98" s="2"/>
      <c r="U98" s="2"/>
      <c r="V98" s="2"/>
      <c r="W98" s="2"/>
      <c r="X98" s="2"/>
      <c r="Y98" s="2">
        <v>16.260000000000002</v>
      </c>
      <c r="Z98" s="2"/>
      <c r="AA98" s="2"/>
      <c r="AB98" s="2"/>
      <c r="AC98" s="2"/>
      <c r="AD98" s="15">
        <v>101.169</v>
      </c>
      <c r="AE98" s="2"/>
      <c r="AF98" s="2"/>
      <c r="AG98" s="2"/>
      <c r="AH98" s="2"/>
      <c r="AI98" s="2"/>
      <c r="AJ98" s="2"/>
      <c r="AK98" s="2"/>
      <c r="AL98" s="2">
        <v>1.25</v>
      </c>
      <c r="AM98" s="2">
        <v>0.06</v>
      </c>
      <c r="AN98" s="2"/>
      <c r="AO98" s="2"/>
      <c r="AP98" s="2"/>
      <c r="AQ98" s="2"/>
      <c r="AR98" s="2"/>
      <c r="AS98" s="2"/>
      <c r="AT98" s="2">
        <v>19.39</v>
      </c>
      <c r="AU98" s="2"/>
      <c r="AV98" s="2"/>
      <c r="AW98" s="2"/>
      <c r="AX98" s="2"/>
      <c r="AY98" s="2">
        <v>12.92</v>
      </c>
      <c r="AZ98" s="2"/>
      <c r="BA98" s="2"/>
      <c r="BB98" s="2"/>
      <c r="BC98" s="2"/>
      <c r="BD98" s="2"/>
      <c r="BE98" s="2"/>
      <c r="BF98" s="2"/>
      <c r="BG98" s="2">
        <v>1.19</v>
      </c>
      <c r="BH98" s="2">
        <v>0.06</v>
      </c>
      <c r="BI98" s="2"/>
      <c r="BJ98" s="2"/>
      <c r="BK98" s="2"/>
      <c r="BL98" s="2"/>
      <c r="BM98" s="2"/>
      <c r="BN98" s="2"/>
      <c r="BO98" s="2">
        <v>20.21</v>
      </c>
      <c r="BP98" s="2"/>
      <c r="BQ98" s="2"/>
      <c r="BR98" s="2"/>
      <c r="BS98" s="2"/>
      <c r="BT98" s="2">
        <v>0</v>
      </c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>
        <v>0</v>
      </c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 t="s">
        <v>81</v>
      </c>
      <c r="DK98" s="2" t="s">
        <v>81</v>
      </c>
      <c r="DL98" s="2">
        <f t="shared" si="3"/>
        <v>1.2702387775316242</v>
      </c>
      <c r="DM98" s="2">
        <f t="shared" si="4"/>
        <v>5.8626310894697456E-2</v>
      </c>
      <c r="DN98" s="2" t="s">
        <v>157</v>
      </c>
      <c r="DO98" s="2" t="s">
        <v>3</v>
      </c>
      <c r="DP98" s="2">
        <f t="shared" si="5"/>
        <v>0</v>
      </c>
      <c r="DQ98" s="2">
        <f t="shared" ref="DQ98:DR98" si="1743">K98*$I98+AF98*$AD98+BA98*$AY98</f>
        <v>0</v>
      </c>
      <c r="DR98" s="2">
        <f t="shared" si="1743"/>
        <v>0</v>
      </c>
      <c r="DS98" s="2">
        <f t="shared" ref="DS98:DX98" si="1744">(M98*$I98+AH98*$AD98+BC98*$AY98)/100</f>
        <v>0</v>
      </c>
      <c r="DT98" s="2">
        <f t="shared" si="1744"/>
        <v>0</v>
      </c>
      <c r="DU98" s="2">
        <f t="shared" si="1744"/>
        <v>0</v>
      </c>
      <c r="DV98" s="2">
        <f t="shared" si="1744"/>
        <v>0</v>
      </c>
      <c r="DW98" s="2">
        <f t="shared" si="1744"/>
        <v>1.6799796999999999</v>
      </c>
      <c r="DX98" s="2">
        <f t="shared" si="1744"/>
        <v>7.7537399999999992E-2</v>
      </c>
      <c r="DY98" s="2">
        <f t="shared" ref="DY98:EC98" si="1745">S98*$I98+AN98*$AD98+BI98*$AY98</f>
        <v>0</v>
      </c>
      <c r="DZ98" s="2">
        <f t="shared" si="1745"/>
        <v>0</v>
      </c>
      <c r="EA98" s="2">
        <f t="shared" si="1745"/>
        <v>0</v>
      </c>
      <c r="EB98" s="2">
        <f t="shared" si="1745"/>
        <v>0</v>
      </c>
      <c r="EC98" s="2">
        <f t="shared" si="1745"/>
        <v>0</v>
      </c>
      <c r="ED98" s="2">
        <f t="shared" ref="ED98:EE98" si="1746">(X98*$I98+AS98*$AD98+BN98*$AY98)/100</f>
        <v>0</v>
      </c>
      <c r="EE98" s="2">
        <f t="shared" si="1746"/>
        <v>25.181917899999998</v>
      </c>
      <c r="EF98" s="2"/>
      <c r="EG98" s="2">
        <f t="shared" si="10"/>
        <v>0</v>
      </c>
      <c r="EH98" s="2">
        <f t="shared" si="11"/>
        <v>0</v>
      </c>
      <c r="EI98" s="39">
        <f t="shared" si="12"/>
        <v>0</v>
      </c>
      <c r="EJ98" s="39">
        <f t="shared" ref="EJ98:EK98" si="1747">EJ$1*DQ98/1000000</f>
        <v>0</v>
      </c>
      <c r="EK98" s="39">
        <f t="shared" si="1747"/>
        <v>0</v>
      </c>
      <c r="EL98" s="39">
        <f t="shared" ref="EL98:EQ98" si="1748">EL$1*DS98</f>
        <v>0</v>
      </c>
      <c r="EM98" s="39">
        <f t="shared" si="1748"/>
        <v>0</v>
      </c>
      <c r="EN98" s="39">
        <f t="shared" si="1748"/>
        <v>0</v>
      </c>
      <c r="EO98" s="39">
        <f t="shared" si="1748"/>
        <v>0</v>
      </c>
      <c r="EP98" s="39">
        <f t="shared" si="1748"/>
        <v>22031.2537858</v>
      </c>
      <c r="EQ98" s="39">
        <f t="shared" si="1748"/>
        <v>5630.7290801975987</v>
      </c>
      <c r="ER98" s="39">
        <f t="shared" ref="ER98:EV98" si="1749">ER$1*DY98/1000000</f>
        <v>0</v>
      </c>
      <c r="ES98" s="39">
        <f t="shared" si="1749"/>
        <v>0</v>
      </c>
      <c r="ET98" s="39">
        <f t="shared" si="1749"/>
        <v>0</v>
      </c>
      <c r="EU98" s="39">
        <f t="shared" si="1749"/>
        <v>0</v>
      </c>
      <c r="EV98" s="39">
        <f t="shared" si="1749"/>
        <v>0</v>
      </c>
      <c r="EW98" s="39">
        <f t="shared" ref="EW98:EX98" si="1750">EW$1*ED98</f>
        <v>0</v>
      </c>
      <c r="EX98" s="39">
        <f t="shared" si="1750"/>
        <v>2341.9183647</v>
      </c>
      <c r="EY98" s="2"/>
      <c r="EZ98" s="39">
        <f t="shared" si="17"/>
        <v>0</v>
      </c>
      <c r="FA98" s="39">
        <f t="shared" si="18"/>
        <v>0</v>
      </c>
      <c r="FB98" s="2">
        <f t="shared" si="19"/>
        <v>0</v>
      </c>
      <c r="FC98" s="2">
        <f t="shared" ref="FC98:FD98" si="1751">BV98*$BT98+CQ98*$CO98</f>
        <v>0</v>
      </c>
      <c r="FD98" s="2">
        <f t="shared" si="1751"/>
        <v>0</v>
      </c>
      <c r="FE98" s="2">
        <f t="shared" ref="FE98:FJ98" si="1752">(BX98*$BT98+CS98*$CO98)/100</f>
        <v>0</v>
      </c>
      <c r="FF98" s="2">
        <f t="shared" si="1752"/>
        <v>0</v>
      </c>
      <c r="FG98" s="2">
        <f t="shared" si="1752"/>
        <v>0</v>
      </c>
      <c r="FH98" s="2">
        <f t="shared" si="1752"/>
        <v>0</v>
      </c>
      <c r="FI98" s="2">
        <f t="shared" si="1752"/>
        <v>0</v>
      </c>
      <c r="FJ98" s="2">
        <f t="shared" si="1752"/>
        <v>0</v>
      </c>
      <c r="FK98" s="2">
        <f t="shared" ref="FK98:FO98" si="1753">CD98*$BT98+CY98*$CO98</f>
        <v>0</v>
      </c>
      <c r="FL98" s="2">
        <f t="shared" si="1753"/>
        <v>0</v>
      </c>
      <c r="FM98" s="2">
        <f t="shared" si="1753"/>
        <v>0</v>
      </c>
      <c r="FN98" s="2">
        <f t="shared" si="1753"/>
        <v>0</v>
      </c>
      <c r="FO98" s="2">
        <f t="shared" si="1753"/>
        <v>0</v>
      </c>
      <c r="FP98" s="2">
        <f t="shared" ref="FP98:FQ98" si="1754">(CI98*$BT98+DD98*$CO98)/100</f>
        <v>0</v>
      </c>
      <c r="FQ98" s="2">
        <f t="shared" si="1754"/>
        <v>0</v>
      </c>
      <c r="FR98" s="2"/>
      <c r="FS98" s="2">
        <f t="shared" si="24"/>
        <v>0</v>
      </c>
      <c r="FT98" s="2">
        <f t="shared" si="25"/>
        <v>0</v>
      </c>
      <c r="FU98" s="39">
        <f t="shared" si="26"/>
        <v>0</v>
      </c>
      <c r="FV98" s="39">
        <f t="shared" ref="FV98:FW98" si="1755">FV$1*FC98/1000000</f>
        <v>0</v>
      </c>
      <c r="FW98" s="39">
        <f t="shared" si="1755"/>
        <v>0</v>
      </c>
      <c r="FX98" s="39">
        <f t="shared" ref="FX98:GC98" si="1756">FX$1*FE98</f>
        <v>0</v>
      </c>
      <c r="FY98" s="39">
        <f t="shared" si="1756"/>
        <v>0</v>
      </c>
      <c r="FZ98" s="39">
        <f t="shared" si="1756"/>
        <v>0</v>
      </c>
      <c r="GA98" s="39">
        <f t="shared" si="1756"/>
        <v>0</v>
      </c>
      <c r="GB98" s="39">
        <f t="shared" si="1756"/>
        <v>0</v>
      </c>
      <c r="GC98" s="39">
        <f t="shared" si="1756"/>
        <v>0</v>
      </c>
      <c r="GD98" s="39">
        <f t="shared" ref="GD98:GH98" si="1757">GD$1*FK98/1000000</f>
        <v>0</v>
      </c>
      <c r="GE98" s="39">
        <f t="shared" si="1757"/>
        <v>0</v>
      </c>
      <c r="GF98" s="39">
        <f t="shared" si="1757"/>
        <v>0</v>
      </c>
      <c r="GG98" s="39">
        <f t="shared" si="1757"/>
        <v>0</v>
      </c>
      <c r="GH98" s="39">
        <f t="shared" si="1757"/>
        <v>0</v>
      </c>
      <c r="GI98" s="39">
        <f t="shared" ref="GI98:GJ98" si="1758">GI$1*FP98</f>
        <v>0</v>
      </c>
      <c r="GJ98" s="39">
        <f t="shared" si="1758"/>
        <v>0</v>
      </c>
      <c r="GK98" s="2"/>
      <c r="GL98" s="39">
        <f t="shared" si="31"/>
        <v>0</v>
      </c>
      <c r="GM98" s="39">
        <f t="shared" si="32"/>
        <v>0</v>
      </c>
      <c r="GN98" s="2" t="s">
        <v>3</v>
      </c>
      <c r="GO98" s="15">
        <f t="shared" si="33"/>
        <v>132.25699999999998</v>
      </c>
      <c r="GP98" s="4">
        <f t="shared" si="34"/>
        <v>1.2702387775316242</v>
      </c>
      <c r="GQ98" s="18">
        <f t="shared" si="35"/>
        <v>1679.9796999999996</v>
      </c>
      <c r="GR98" s="15">
        <f t="shared" si="36"/>
        <v>30003.901230697596</v>
      </c>
      <c r="GS98" s="15">
        <f t="shared" si="37"/>
        <v>226.86059135393666</v>
      </c>
      <c r="GT98" s="2">
        <f t="shared" si="38"/>
        <v>261.61919999999998</v>
      </c>
      <c r="GU98" s="2">
        <f t="shared" si="39"/>
        <v>1264.6125</v>
      </c>
      <c r="GV98" s="2">
        <f t="shared" si="40"/>
        <v>153.74799999999999</v>
      </c>
      <c r="GW98" s="2">
        <f t="shared" si="41"/>
        <v>0</v>
      </c>
      <c r="GX98" s="2"/>
      <c r="GY98" s="2"/>
      <c r="GZ98" s="2"/>
      <c r="HA98" s="2"/>
      <c r="HB98" s="2">
        <f t="shared" si="42"/>
        <v>0</v>
      </c>
      <c r="HC98" s="2">
        <f t="shared" si="43"/>
        <v>0</v>
      </c>
      <c r="HD98" s="2" t="s">
        <v>3</v>
      </c>
      <c r="HE98" s="2" t="s">
        <v>37</v>
      </c>
      <c r="HF98" s="2" t="s">
        <v>106</v>
      </c>
      <c r="HG98" s="2" t="s">
        <v>106</v>
      </c>
      <c r="HH98" s="2"/>
      <c r="HI98" s="2" t="s">
        <v>81</v>
      </c>
      <c r="HJ98" s="2" t="s">
        <v>3</v>
      </c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 t="s">
        <v>3</v>
      </c>
    </row>
    <row r="99" spans="1:268" ht="15.75" customHeight="1" x14ac:dyDescent="0.2">
      <c r="A99" s="13" t="s">
        <v>964</v>
      </c>
      <c r="B99" s="2" t="s">
        <v>109</v>
      </c>
      <c r="C99" s="2"/>
      <c r="D99" s="2"/>
      <c r="E99" s="2"/>
      <c r="F99" s="2" t="s">
        <v>200</v>
      </c>
      <c r="G99" s="2"/>
      <c r="H99" s="2"/>
      <c r="I99" s="2">
        <v>60.7</v>
      </c>
      <c r="J99" s="2"/>
      <c r="K99" s="2"/>
      <c r="L99" s="2"/>
      <c r="M99" s="2"/>
      <c r="N99" s="2"/>
      <c r="O99" s="2"/>
      <c r="P99" s="2"/>
      <c r="Q99" s="2">
        <v>1.66</v>
      </c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>
        <v>53.1</v>
      </c>
      <c r="AE99" s="2"/>
      <c r="AF99" s="2"/>
      <c r="AG99" s="2"/>
      <c r="AH99" s="2"/>
      <c r="AI99" s="2"/>
      <c r="AJ99" s="2"/>
      <c r="AK99" s="2"/>
      <c r="AL99" s="2">
        <v>1.38</v>
      </c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>
        <v>0</v>
      </c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>
        <v>60.7</v>
      </c>
      <c r="BU99" s="2"/>
      <c r="BV99" s="2"/>
      <c r="BW99" s="2"/>
      <c r="BX99" s="2"/>
      <c r="BY99" s="2"/>
      <c r="BZ99" s="2"/>
      <c r="CA99" s="2"/>
      <c r="CB99" s="2">
        <v>1.66</v>
      </c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>
        <v>53.1</v>
      </c>
      <c r="CP99" s="2"/>
      <c r="CQ99" s="2"/>
      <c r="CR99" s="2"/>
      <c r="CS99" s="2"/>
      <c r="CT99" s="2"/>
      <c r="CU99" s="2"/>
      <c r="CV99" s="2"/>
      <c r="CW99" s="2">
        <v>1.38</v>
      </c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 t="s">
        <v>81</v>
      </c>
      <c r="DK99" s="2"/>
      <c r="DL99" s="2">
        <f t="shared" si="3"/>
        <v>1.5293497363796131</v>
      </c>
      <c r="DM99" s="2">
        <f t="shared" si="4"/>
        <v>0</v>
      </c>
      <c r="DN99" s="2" t="s">
        <v>965</v>
      </c>
      <c r="DO99" s="2" t="s">
        <v>3</v>
      </c>
      <c r="DP99" s="2">
        <f t="shared" si="5"/>
        <v>0</v>
      </c>
      <c r="DQ99" s="2">
        <f t="shared" ref="DQ99:DR99" si="1759">K99*$I99+AF99*$AD99+BA99*$AY99</f>
        <v>0</v>
      </c>
      <c r="DR99" s="2">
        <f t="shared" si="1759"/>
        <v>0</v>
      </c>
      <c r="DS99" s="2">
        <f t="shared" ref="DS99:DX99" si="1760">(M99*$I99+AH99*$AD99+BC99*$AY99)/100</f>
        <v>0</v>
      </c>
      <c r="DT99" s="2">
        <f t="shared" si="1760"/>
        <v>0</v>
      </c>
      <c r="DU99" s="2">
        <f t="shared" si="1760"/>
        <v>0</v>
      </c>
      <c r="DV99" s="2">
        <f t="shared" si="1760"/>
        <v>0</v>
      </c>
      <c r="DW99" s="2">
        <f t="shared" si="1760"/>
        <v>1.7403999999999999</v>
      </c>
      <c r="DX99" s="2">
        <f t="shared" si="1760"/>
        <v>0</v>
      </c>
      <c r="DY99" s="2">
        <f t="shared" ref="DY99:EC99" si="1761">S99*$I99+AN99*$AD99+BI99*$AY99</f>
        <v>0</v>
      </c>
      <c r="DZ99" s="2">
        <f t="shared" si="1761"/>
        <v>0</v>
      </c>
      <c r="EA99" s="2">
        <f t="shared" si="1761"/>
        <v>0</v>
      </c>
      <c r="EB99" s="2">
        <f t="shared" si="1761"/>
        <v>0</v>
      </c>
      <c r="EC99" s="2">
        <f t="shared" si="1761"/>
        <v>0</v>
      </c>
      <c r="ED99" s="2">
        <f t="shared" ref="ED99:EE99" si="1762">(X99*$I99+AS99*$AD99+BN99*$AY99)/100</f>
        <v>0</v>
      </c>
      <c r="EE99" s="2">
        <f t="shared" si="1762"/>
        <v>0</v>
      </c>
      <c r="EF99" s="2"/>
      <c r="EG99" s="2">
        <f t="shared" si="10"/>
        <v>0</v>
      </c>
      <c r="EH99" s="2">
        <f t="shared" si="11"/>
        <v>0</v>
      </c>
      <c r="EI99" s="39">
        <f t="shared" si="12"/>
        <v>0</v>
      </c>
      <c r="EJ99" s="39">
        <f t="shared" ref="EJ99:EK99" si="1763">EJ$1*DQ99/1000000</f>
        <v>0</v>
      </c>
      <c r="EK99" s="39">
        <f t="shared" si="1763"/>
        <v>0</v>
      </c>
      <c r="EL99" s="39">
        <f t="shared" ref="EL99:EQ99" si="1764">EL$1*DS99</f>
        <v>0</v>
      </c>
      <c r="EM99" s="39">
        <f t="shared" si="1764"/>
        <v>0</v>
      </c>
      <c r="EN99" s="39">
        <f t="shared" si="1764"/>
        <v>0</v>
      </c>
      <c r="EO99" s="39">
        <f t="shared" si="1764"/>
        <v>0</v>
      </c>
      <c r="EP99" s="39">
        <f t="shared" si="1764"/>
        <v>22823.605599999999</v>
      </c>
      <c r="EQ99" s="39">
        <f t="shared" si="1764"/>
        <v>0</v>
      </c>
      <c r="ER99" s="39">
        <f t="shared" ref="ER99:EV99" si="1765">ER$1*DY99/1000000</f>
        <v>0</v>
      </c>
      <c r="ES99" s="39">
        <f t="shared" si="1765"/>
        <v>0</v>
      </c>
      <c r="ET99" s="39">
        <f t="shared" si="1765"/>
        <v>0</v>
      </c>
      <c r="EU99" s="39">
        <f t="shared" si="1765"/>
        <v>0</v>
      </c>
      <c r="EV99" s="39">
        <f t="shared" si="1765"/>
        <v>0</v>
      </c>
      <c r="EW99" s="39">
        <f t="shared" ref="EW99:EX99" si="1766">EW$1*ED99</f>
        <v>0</v>
      </c>
      <c r="EX99" s="39">
        <f t="shared" si="1766"/>
        <v>0</v>
      </c>
      <c r="EY99" s="2"/>
      <c r="EZ99" s="39">
        <f t="shared" si="17"/>
        <v>0</v>
      </c>
      <c r="FA99" s="39">
        <f t="shared" si="18"/>
        <v>0</v>
      </c>
      <c r="FB99" s="2">
        <f t="shared" si="19"/>
        <v>0</v>
      </c>
      <c r="FC99" s="2">
        <f t="shared" ref="FC99:FD99" si="1767">BV99*$BT99+CQ99*$CO99</f>
        <v>0</v>
      </c>
      <c r="FD99" s="2">
        <f t="shared" si="1767"/>
        <v>0</v>
      </c>
      <c r="FE99" s="2">
        <f t="shared" ref="FE99:FJ99" si="1768">(BX99*$BT99+CS99*$CO99)/100</f>
        <v>0</v>
      </c>
      <c r="FF99" s="2">
        <f t="shared" si="1768"/>
        <v>0</v>
      </c>
      <c r="FG99" s="2">
        <f t="shared" si="1768"/>
        <v>0</v>
      </c>
      <c r="FH99" s="2">
        <f t="shared" si="1768"/>
        <v>0</v>
      </c>
      <c r="FI99" s="2">
        <f t="shared" si="1768"/>
        <v>1.7403999999999999</v>
      </c>
      <c r="FJ99" s="2">
        <f t="shared" si="1768"/>
        <v>0</v>
      </c>
      <c r="FK99" s="2">
        <f t="shared" ref="FK99:FO99" si="1769">CD99*$BT99+CY99*$CO99</f>
        <v>0</v>
      </c>
      <c r="FL99" s="2">
        <f t="shared" si="1769"/>
        <v>0</v>
      </c>
      <c r="FM99" s="2">
        <f t="shared" si="1769"/>
        <v>0</v>
      </c>
      <c r="FN99" s="2">
        <f t="shared" si="1769"/>
        <v>0</v>
      </c>
      <c r="FO99" s="2">
        <f t="shared" si="1769"/>
        <v>0</v>
      </c>
      <c r="FP99" s="2">
        <f t="shared" ref="FP99:FQ99" si="1770">(CI99*$BT99+DD99*$CO99)/100</f>
        <v>0</v>
      </c>
      <c r="FQ99" s="2">
        <f t="shared" si="1770"/>
        <v>0</v>
      </c>
      <c r="FR99" s="2"/>
      <c r="FS99" s="2">
        <f t="shared" si="24"/>
        <v>0</v>
      </c>
      <c r="FT99" s="2">
        <f t="shared" si="25"/>
        <v>0</v>
      </c>
      <c r="FU99" s="39">
        <f t="shared" si="26"/>
        <v>0</v>
      </c>
      <c r="FV99" s="39">
        <f t="shared" ref="FV99:FW99" si="1771">FV$1*FC99/1000000</f>
        <v>0</v>
      </c>
      <c r="FW99" s="39">
        <f t="shared" si="1771"/>
        <v>0</v>
      </c>
      <c r="FX99" s="39">
        <f t="shared" ref="FX99:GC99" si="1772">FX$1*FE99</f>
        <v>0</v>
      </c>
      <c r="FY99" s="39">
        <f t="shared" si="1772"/>
        <v>0</v>
      </c>
      <c r="FZ99" s="39">
        <f t="shared" si="1772"/>
        <v>0</v>
      </c>
      <c r="GA99" s="39">
        <f t="shared" si="1772"/>
        <v>0</v>
      </c>
      <c r="GB99" s="39">
        <f t="shared" si="1772"/>
        <v>22823.605599999999</v>
      </c>
      <c r="GC99" s="39">
        <f t="shared" si="1772"/>
        <v>0</v>
      </c>
      <c r="GD99" s="39">
        <f t="shared" ref="GD99:GH99" si="1773">GD$1*FK99/1000000</f>
        <v>0</v>
      </c>
      <c r="GE99" s="39">
        <f t="shared" si="1773"/>
        <v>0</v>
      </c>
      <c r="GF99" s="39">
        <f t="shared" si="1773"/>
        <v>0</v>
      </c>
      <c r="GG99" s="39">
        <f t="shared" si="1773"/>
        <v>0</v>
      </c>
      <c r="GH99" s="39">
        <f t="shared" si="1773"/>
        <v>0</v>
      </c>
      <c r="GI99" s="39">
        <f t="shared" ref="GI99:GJ99" si="1774">GI$1*FP99</f>
        <v>0</v>
      </c>
      <c r="GJ99" s="39">
        <f t="shared" si="1774"/>
        <v>0</v>
      </c>
      <c r="GK99" s="2"/>
      <c r="GL99" s="39">
        <f t="shared" si="31"/>
        <v>0</v>
      </c>
      <c r="GM99" s="39">
        <f t="shared" si="32"/>
        <v>0</v>
      </c>
      <c r="GN99" s="2" t="s">
        <v>3</v>
      </c>
      <c r="GO99" s="2">
        <f t="shared" si="33"/>
        <v>113.80000000000001</v>
      </c>
      <c r="GP99" s="4">
        <f t="shared" si="34"/>
        <v>1.5293497363796131</v>
      </c>
      <c r="GQ99" s="18">
        <f t="shared" si="35"/>
        <v>1740.4</v>
      </c>
      <c r="GR99" s="15">
        <f t="shared" si="36"/>
        <v>22823.605599999999</v>
      </c>
      <c r="GS99" s="15">
        <f t="shared" si="37"/>
        <v>200.55892442882248</v>
      </c>
      <c r="GT99" s="2">
        <f t="shared" si="38"/>
        <v>1007.62</v>
      </c>
      <c r="GU99" s="2">
        <f t="shared" si="39"/>
        <v>732.77999999999986</v>
      </c>
      <c r="GV99" s="2">
        <f t="shared" si="40"/>
        <v>0</v>
      </c>
      <c r="GW99" s="2">
        <f t="shared" si="41"/>
        <v>113.80000000000001</v>
      </c>
      <c r="GX99" s="4">
        <f>(BT99*CB99+CO99*CW99)/GW99</f>
        <v>1.5293497363796131</v>
      </c>
      <c r="GY99" s="18">
        <f>1000*GW99*GX99/100</f>
        <v>1740.4</v>
      </c>
      <c r="GZ99" s="15">
        <f>SUM(FU99:GM99)</f>
        <v>22823.605599999999</v>
      </c>
      <c r="HA99" s="15">
        <f>GZ99/GW99</f>
        <v>200.55892442882248</v>
      </c>
      <c r="HB99" s="2">
        <f t="shared" si="42"/>
        <v>1007.62</v>
      </c>
      <c r="HC99" s="2">
        <f t="shared" si="43"/>
        <v>732.77999999999986</v>
      </c>
      <c r="HD99" s="2" t="s">
        <v>3</v>
      </c>
      <c r="HE99" s="2" t="s">
        <v>37</v>
      </c>
      <c r="HF99" s="2" t="s">
        <v>106</v>
      </c>
      <c r="HG99" s="2" t="s">
        <v>106</v>
      </c>
      <c r="HH99" s="2"/>
      <c r="HI99" s="2" t="s">
        <v>81</v>
      </c>
      <c r="HJ99" s="2" t="s">
        <v>3</v>
      </c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 t="s">
        <v>3</v>
      </c>
    </row>
    <row r="100" spans="1:268" ht="15.75" customHeight="1" x14ac:dyDescent="0.2">
      <c r="A100" s="13" t="s">
        <v>954</v>
      </c>
      <c r="B100" s="2" t="s">
        <v>99</v>
      </c>
      <c r="C100" s="2"/>
      <c r="D100" s="2"/>
      <c r="E100" s="2"/>
      <c r="F100" s="2" t="s">
        <v>79</v>
      </c>
      <c r="G100" s="2"/>
      <c r="H100" s="2"/>
      <c r="I100" s="2">
        <v>0</v>
      </c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>
        <v>0</v>
      </c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>
        <v>46</v>
      </c>
      <c r="AZ100" s="2"/>
      <c r="BA100" s="2"/>
      <c r="BB100" s="2"/>
      <c r="BC100" s="2"/>
      <c r="BD100" s="2"/>
      <c r="BE100" s="2"/>
      <c r="BF100" s="2"/>
      <c r="BG100" s="2">
        <v>1.45</v>
      </c>
      <c r="BH100" s="2">
        <v>0.03</v>
      </c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>
        <v>0</v>
      </c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>
        <v>0</v>
      </c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 t="s">
        <v>81</v>
      </c>
      <c r="DK100" s="2" t="s">
        <v>81</v>
      </c>
      <c r="DL100" s="2">
        <f t="shared" si="3"/>
        <v>1.45</v>
      </c>
      <c r="DM100" s="2">
        <f t="shared" si="4"/>
        <v>0.03</v>
      </c>
      <c r="DN100" s="2" t="s">
        <v>622</v>
      </c>
      <c r="DO100" s="2" t="s">
        <v>3</v>
      </c>
      <c r="DP100" s="2">
        <f t="shared" si="5"/>
        <v>0</v>
      </c>
      <c r="DQ100" s="2">
        <f t="shared" ref="DQ100:DR100" si="1775">K100*$I100+AF100*$AD100+BA100*$AY100</f>
        <v>0</v>
      </c>
      <c r="DR100" s="2">
        <f t="shared" si="1775"/>
        <v>0</v>
      </c>
      <c r="DS100" s="2">
        <f t="shared" ref="DS100:DX100" si="1776">(M100*$I100+AH100*$AD100+BC100*$AY100)/100</f>
        <v>0</v>
      </c>
      <c r="DT100" s="2">
        <f t="shared" si="1776"/>
        <v>0</v>
      </c>
      <c r="DU100" s="2">
        <f t="shared" si="1776"/>
        <v>0</v>
      </c>
      <c r="DV100" s="2">
        <f t="shared" si="1776"/>
        <v>0</v>
      </c>
      <c r="DW100" s="2">
        <f t="shared" si="1776"/>
        <v>0.66700000000000004</v>
      </c>
      <c r="DX100" s="2">
        <f t="shared" si="1776"/>
        <v>1.38E-2</v>
      </c>
      <c r="DY100" s="2">
        <f t="shared" ref="DY100:EC100" si="1777">S100*$I100+AN100*$AD100+BI100*$AY100</f>
        <v>0</v>
      </c>
      <c r="DZ100" s="2">
        <f t="shared" si="1777"/>
        <v>0</v>
      </c>
      <c r="EA100" s="2">
        <f t="shared" si="1777"/>
        <v>0</v>
      </c>
      <c r="EB100" s="2">
        <f t="shared" si="1777"/>
        <v>0</v>
      </c>
      <c r="EC100" s="2">
        <f t="shared" si="1777"/>
        <v>0</v>
      </c>
      <c r="ED100" s="2">
        <f t="shared" ref="ED100:EE100" si="1778">(X100*$I100+AS100*$AD100+BN100*$AY100)/100</f>
        <v>0</v>
      </c>
      <c r="EE100" s="2">
        <f t="shared" si="1778"/>
        <v>0</v>
      </c>
      <c r="EF100" s="2"/>
      <c r="EG100" s="2">
        <f t="shared" si="10"/>
        <v>0</v>
      </c>
      <c r="EH100" s="2">
        <f t="shared" si="11"/>
        <v>0</v>
      </c>
      <c r="EI100" s="39">
        <f t="shared" si="12"/>
        <v>0</v>
      </c>
      <c r="EJ100" s="39">
        <f t="shared" ref="EJ100:EK100" si="1779">EJ$1*DQ100/1000000</f>
        <v>0</v>
      </c>
      <c r="EK100" s="39">
        <f t="shared" si="1779"/>
        <v>0</v>
      </c>
      <c r="EL100" s="39">
        <f t="shared" ref="EL100:EQ100" si="1780">EL$1*DS100</f>
        <v>0</v>
      </c>
      <c r="EM100" s="39">
        <f t="shared" si="1780"/>
        <v>0</v>
      </c>
      <c r="EN100" s="39">
        <f t="shared" si="1780"/>
        <v>0</v>
      </c>
      <c r="EO100" s="39">
        <f t="shared" si="1780"/>
        <v>0</v>
      </c>
      <c r="EP100" s="39">
        <f t="shared" si="1780"/>
        <v>8747.0380000000005</v>
      </c>
      <c r="EQ100" s="39">
        <f t="shared" si="1780"/>
        <v>1002.1494311999999</v>
      </c>
      <c r="ER100" s="39">
        <f t="shared" ref="ER100:EV100" si="1781">ER$1*DY100/1000000</f>
        <v>0</v>
      </c>
      <c r="ES100" s="39">
        <f t="shared" si="1781"/>
        <v>0</v>
      </c>
      <c r="ET100" s="39">
        <f t="shared" si="1781"/>
        <v>0</v>
      </c>
      <c r="EU100" s="39">
        <f t="shared" si="1781"/>
        <v>0</v>
      </c>
      <c r="EV100" s="39">
        <f t="shared" si="1781"/>
        <v>0</v>
      </c>
      <c r="EW100" s="39">
        <f t="shared" ref="EW100:EX100" si="1782">EW$1*ED100</f>
        <v>0</v>
      </c>
      <c r="EX100" s="39">
        <f t="shared" si="1782"/>
        <v>0</v>
      </c>
      <c r="EY100" s="2"/>
      <c r="EZ100" s="39">
        <f t="shared" si="17"/>
        <v>0</v>
      </c>
      <c r="FA100" s="39">
        <f t="shared" si="18"/>
        <v>0</v>
      </c>
      <c r="FB100" s="2">
        <f t="shared" si="19"/>
        <v>0</v>
      </c>
      <c r="FC100" s="2">
        <f t="shared" ref="FC100:FD100" si="1783">BV100*$BT100+CQ100*$CO100</f>
        <v>0</v>
      </c>
      <c r="FD100" s="2">
        <f t="shared" si="1783"/>
        <v>0</v>
      </c>
      <c r="FE100" s="2">
        <f t="shared" ref="FE100:FJ100" si="1784">(BX100*$BT100+CS100*$CO100)/100</f>
        <v>0</v>
      </c>
      <c r="FF100" s="2">
        <f t="shared" si="1784"/>
        <v>0</v>
      </c>
      <c r="FG100" s="2">
        <f t="shared" si="1784"/>
        <v>0</v>
      </c>
      <c r="FH100" s="2">
        <f t="shared" si="1784"/>
        <v>0</v>
      </c>
      <c r="FI100" s="2">
        <f t="shared" si="1784"/>
        <v>0</v>
      </c>
      <c r="FJ100" s="2">
        <f t="shared" si="1784"/>
        <v>0</v>
      </c>
      <c r="FK100" s="2">
        <f t="shared" ref="FK100:FO100" si="1785">CD100*$BT100+CY100*$CO100</f>
        <v>0</v>
      </c>
      <c r="FL100" s="2">
        <f t="shared" si="1785"/>
        <v>0</v>
      </c>
      <c r="FM100" s="2">
        <f t="shared" si="1785"/>
        <v>0</v>
      </c>
      <c r="FN100" s="2">
        <f t="shared" si="1785"/>
        <v>0</v>
      </c>
      <c r="FO100" s="2">
        <f t="shared" si="1785"/>
        <v>0</v>
      </c>
      <c r="FP100" s="2">
        <f t="shared" ref="FP100:FQ100" si="1786">(CI100*$BT100+DD100*$CO100)/100</f>
        <v>0</v>
      </c>
      <c r="FQ100" s="2">
        <f t="shared" si="1786"/>
        <v>0</v>
      </c>
      <c r="FR100" s="2"/>
      <c r="FS100" s="2">
        <f t="shared" si="24"/>
        <v>0</v>
      </c>
      <c r="FT100" s="2">
        <f t="shared" si="25"/>
        <v>0</v>
      </c>
      <c r="FU100" s="39">
        <f t="shared" si="26"/>
        <v>0</v>
      </c>
      <c r="FV100" s="39">
        <f t="shared" ref="FV100:FW100" si="1787">FV$1*FC100/1000000</f>
        <v>0</v>
      </c>
      <c r="FW100" s="39">
        <f t="shared" si="1787"/>
        <v>0</v>
      </c>
      <c r="FX100" s="39">
        <f t="shared" ref="FX100:GC100" si="1788">FX$1*FE100</f>
        <v>0</v>
      </c>
      <c r="FY100" s="39">
        <f t="shared" si="1788"/>
        <v>0</v>
      </c>
      <c r="FZ100" s="39">
        <f t="shared" si="1788"/>
        <v>0</v>
      </c>
      <c r="GA100" s="39">
        <f t="shared" si="1788"/>
        <v>0</v>
      </c>
      <c r="GB100" s="39">
        <f t="shared" si="1788"/>
        <v>0</v>
      </c>
      <c r="GC100" s="39">
        <f t="shared" si="1788"/>
        <v>0</v>
      </c>
      <c r="GD100" s="39">
        <f t="shared" ref="GD100:GH100" si="1789">GD$1*FK100/1000000</f>
        <v>0</v>
      </c>
      <c r="GE100" s="39">
        <f t="shared" si="1789"/>
        <v>0</v>
      </c>
      <c r="GF100" s="39">
        <f t="shared" si="1789"/>
        <v>0</v>
      </c>
      <c r="GG100" s="39">
        <f t="shared" si="1789"/>
        <v>0</v>
      </c>
      <c r="GH100" s="39">
        <f t="shared" si="1789"/>
        <v>0</v>
      </c>
      <c r="GI100" s="39">
        <f t="shared" ref="GI100:GJ100" si="1790">GI$1*FP100</f>
        <v>0</v>
      </c>
      <c r="GJ100" s="39">
        <f t="shared" si="1790"/>
        <v>0</v>
      </c>
      <c r="GK100" s="2"/>
      <c r="GL100" s="39">
        <f t="shared" si="31"/>
        <v>0</v>
      </c>
      <c r="GM100" s="39">
        <f t="shared" si="32"/>
        <v>0</v>
      </c>
      <c r="GN100" s="2" t="s">
        <v>3</v>
      </c>
      <c r="GO100" s="2">
        <f t="shared" si="33"/>
        <v>46</v>
      </c>
      <c r="GP100" s="2">
        <f t="shared" si="34"/>
        <v>1.45</v>
      </c>
      <c r="GQ100" s="15">
        <f t="shared" si="35"/>
        <v>667</v>
      </c>
      <c r="GR100" s="15">
        <f t="shared" si="36"/>
        <v>9749.1874312</v>
      </c>
      <c r="GS100" s="15">
        <f t="shared" si="37"/>
        <v>211.9388572</v>
      </c>
      <c r="GT100" s="2">
        <f t="shared" si="38"/>
        <v>0</v>
      </c>
      <c r="GU100" s="2">
        <f t="shared" si="39"/>
        <v>0</v>
      </c>
      <c r="GV100" s="2">
        <f t="shared" si="40"/>
        <v>667</v>
      </c>
      <c r="GW100" s="2">
        <f t="shared" si="41"/>
        <v>0</v>
      </c>
      <c r="GX100" s="2"/>
      <c r="GY100" s="2"/>
      <c r="GZ100" s="2"/>
      <c r="HA100" s="2"/>
      <c r="HB100" s="2">
        <f t="shared" si="42"/>
        <v>0</v>
      </c>
      <c r="HC100" s="2">
        <f t="shared" si="43"/>
        <v>0</v>
      </c>
      <c r="HD100" s="2" t="s">
        <v>3</v>
      </c>
      <c r="HE100" s="2" t="s">
        <v>37</v>
      </c>
      <c r="HF100" s="2" t="s">
        <v>106</v>
      </c>
      <c r="HG100" s="2" t="s">
        <v>106</v>
      </c>
      <c r="HH100" s="2"/>
      <c r="HI100" s="2" t="s">
        <v>81</v>
      </c>
      <c r="HJ100" s="2" t="s">
        <v>3</v>
      </c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 t="s">
        <v>3</v>
      </c>
    </row>
    <row r="101" spans="1:268" ht="15.75" customHeight="1" x14ac:dyDescent="0.2">
      <c r="A101" s="13" t="s">
        <v>1279</v>
      </c>
      <c r="B101" s="2" t="s">
        <v>99</v>
      </c>
      <c r="C101" s="2"/>
      <c r="D101" s="2"/>
      <c r="E101" s="2"/>
      <c r="F101" s="2" t="s">
        <v>79</v>
      </c>
      <c r="G101" s="2"/>
      <c r="H101" s="2"/>
      <c r="I101" s="2">
        <v>0</v>
      </c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>
        <v>0</v>
      </c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>
        <v>38</v>
      </c>
      <c r="AZ101" s="2"/>
      <c r="BA101" s="2"/>
      <c r="BB101" s="2"/>
      <c r="BC101" s="2"/>
      <c r="BD101" s="2"/>
      <c r="BE101" s="2"/>
      <c r="BF101" s="2"/>
      <c r="BG101" s="2">
        <v>1.38</v>
      </c>
      <c r="BH101" s="2">
        <v>0.04</v>
      </c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>
        <v>0</v>
      </c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>
        <v>0</v>
      </c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 t="s">
        <v>81</v>
      </c>
      <c r="DK101" s="2" t="s">
        <v>81</v>
      </c>
      <c r="DL101" s="2">
        <f t="shared" si="3"/>
        <v>1.38</v>
      </c>
      <c r="DM101" s="2">
        <f t="shared" si="4"/>
        <v>0.04</v>
      </c>
      <c r="DN101" s="2" t="s">
        <v>622</v>
      </c>
      <c r="DO101" s="2" t="s">
        <v>3</v>
      </c>
      <c r="DP101" s="2">
        <f t="shared" si="5"/>
        <v>0</v>
      </c>
      <c r="DQ101" s="2">
        <f t="shared" ref="DQ101:DR101" si="1791">K101*$I101+AF101*$AD101+BA101*$AY101</f>
        <v>0</v>
      </c>
      <c r="DR101" s="2">
        <f t="shared" si="1791"/>
        <v>0</v>
      </c>
      <c r="DS101" s="2">
        <f t="shared" ref="DS101:DX101" si="1792">(M101*$I101+AH101*$AD101+BC101*$AY101)/100</f>
        <v>0</v>
      </c>
      <c r="DT101" s="2">
        <f t="shared" si="1792"/>
        <v>0</v>
      </c>
      <c r="DU101" s="2">
        <f t="shared" si="1792"/>
        <v>0</v>
      </c>
      <c r="DV101" s="2">
        <f t="shared" si="1792"/>
        <v>0</v>
      </c>
      <c r="DW101" s="2">
        <f t="shared" si="1792"/>
        <v>0.52439999999999998</v>
      </c>
      <c r="DX101" s="2">
        <f t="shared" si="1792"/>
        <v>1.52E-2</v>
      </c>
      <c r="DY101" s="2">
        <f t="shared" ref="DY101:EC101" si="1793">S101*$I101+AN101*$AD101+BI101*$AY101</f>
        <v>0</v>
      </c>
      <c r="DZ101" s="2">
        <f t="shared" si="1793"/>
        <v>0</v>
      </c>
      <c r="EA101" s="2">
        <f t="shared" si="1793"/>
        <v>0</v>
      </c>
      <c r="EB101" s="2">
        <f t="shared" si="1793"/>
        <v>0</v>
      </c>
      <c r="EC101" s="2">
        <f t="shared" si="1793"/>
        <v>0</v>
      </c>
      <c r="ED101" s="2">
        <f t="shared" ref="ED101:EE101" si="1794">(X101*$I101+AS101*$AD101+BN101*$AY101)/100</f>
        <v>0</v>
      </c>
      <c r="EE101" s="2">
        <f t="shared" si="1794"/>
        <v>0</v>
      </c>
      <c r="EF101" s="2"/>
      <c r="EG101" s="2">
        <f t="shared" si="10"/>
        <v>0</v>
      </c>
      <c r="EH101" s="2">
        <f t="shared" si="11"/>
        <v>0</v>
      </c>
      <c r="EI101" s="39">
        <f t="shared" si="12"/>
        <v>0</v>
      </c>
      <c r="EJ101" s="39">
        <f t="shared" ref="EJ101:EK101" si="1795">EJ$1*DQ101/1000000</f>
        <v>0</v>
      </c>
      <c r="EK101" s="39">
        <f t="shared" si="1795"/>
        <v>0</v>
      </c>
      <c r="EL101" s="39">
        <f t="shared" ref="EL101:EQ101" si="1796">EL$1*DS101</f>
        <v>0</v>
      </c>
      <c r="EM101" s="39">
        <f t="shared" si="1796"/>
        <v>0</v>
      </c>
      <c r="EN101" s="39">
        <f t="shared" si="1796"/>
        <v>0</v>
      </c>
      <c r="EO101" s="39">
        <f t="shared" si="1796"/>
        <v>0</v>
      </c>
      <c r="EP101" s="39">
        <f t="shared" si="1796"/>
        <v>6876.9816000000001</v>
      </c>
      <c r="EQ101" s="39">
        <f t="shared" si="1796"/>
        <v>1103.8167647999999</v>
      </c>
      <c r="ER101" s="39">
        <f t="shared" ref="ER101:EV101" si="1797">ER$1*DY101/1000000</f>
        <v>0</v>
      </c>
      <c r="ES101" s="39">
        <f t="shared" si="1797"/>
        <v>0</v>
      </c>
      <c r="ET101" s="39">
        <f t="shared" si="1797"/>
        <v>0</v>
      </c>
      <c r="EU101" s="39">
        <f t="shared" si="1797"/>
        <v>0</v>
      </c>
      <c r="EV101" s="39">
        <f t="shared" si="1797"/>
        <v>0</v>
      </c>
      <c r="EW101" s="39">
        <f t="shared" ref="EW101:EX101" si="1798">EW$1*ED101</f>
        <v>0</v>
      </c>
      <c r="EX101" s="39">
        <f t="shared" si="1798"/>
        <v>0</v>
      </c>
      <c r="EY101" s="2"/>
      <c r="EZ101" s="39">
        <f t="shared" si="17"/>
        <v>0</v>
      </c>
      <c r="FA101" s="39">
        <f t="shared" si="18"/>
        <v>0</v>
      </c>
      <c r="FB101" s="2">
        <f t="shared" si="19"/>
        <v>0</v>
      </c>
      <c r="FC101" s="2">
        <f t="shared" ref="FC101:FD101" si="1799">BV101*$BT101+CQ101*$CO101</f>
        <v>0</v>
      </c>
      <c r="FD101" s="2">
        <f t="shared" si="1799"/>
        <v>0</v>
      </c>
      <c r="FE101" s="2">
        <f t="shared" ref="FE101:FJ101" si="1800">(BX101*$BT101+CS101*$CO101)/100</f>
        <v>0</v>
      </c>
      <c r="FF101" s="2">
        <f t="shared" si="1800"/>
        <v>0</v>
      </c>
      <c r="FG101" s="2">
        <f t="shared" si="1800"/>
        <v>0</v>
      </c>
      <c r="FH101" s="2">
        <f t="shared" si="1800"/>
        <v>0</v>
      </c>
      <c r="FI101" s="2">
        <f t="shared" si="1800"/>
        <v>0</v>
      </c>
      <c r="FJ101" s="2">
        <f t="shared" si="1800"/>
        <v>0</v>
      </c>
      <c r="FK101" s="2">
        <f t="shared" ref="FK101:FO101" si="1801">CD101*$BT101+CY101*$CO101</f>
        <v>0</v>
      </c>
      <c r="FL101" s="2">
        <f t="shared" si="1801"/>
        <v>0</v>
      </c>
      <c r="FM101" s="2">
        <f t="shared" si="1801"/>
        <v>0</v>
      </c>
      <c r="FN101" s="2">
        <f t="shared" si="1801"/>
        <v>0</v>
      </c>
      <c r="FO101" s="2">
        <f t="shared" si="1801"/>
        <v>0</v>
      </c>
      <c r="FP101" s="2">
        <f t="shared" ref="FP101:FQ101" si="1802">(CI101*$BT101+DD101*$CO101)/100</f>
        <v>0</v>
      </c>
      <c r="FQ101" s="2">
        <f t="shared" si="1802"/>
        <v>0</v>
      </c>
      <c r="FR101" s="2"/>
      <c r="FS101" s="2">
        <f t="shared" si="24"/>
        <v>0</v>
      </c>
      <c r="FT101" s="2">
        <f t="shared" si="25"/>
        <v>0</v>
      </c>
      <c r="FU101" s="39">
        <f t="shared" si="26"/>
        <v>0</v>
      </c>
      <c r="FV101" s="39">
        <f t="shared" ref="FV101:FW101" si="1803">FV$1*FC101/1000000</f>
        <v>0</v>
      </c>
      <c r="FW101" s="39">
        <f t="shared" si="1803"/>
        <v>0</v>
      </c>
      <c r="FX101" s="39">
        <f t="shared" ref="FX101:GC101" si="1804">FX$1*FE101</f>
        <v>0</v>
      </c>
      <c r="FY101" s="39">
        <f t="shared" si="1804"/>
        <v>0</v>
      </c>
      <c r="FZ101" s="39">
        <f t="shared" si="1804"/>
        <v>0</v>
      </c>
      <c r="GA101" s="39">
        <f t="shared" si="1804"/>
        <v>0</v>
      </c>
      <c r="GB101" s="39">
        <f t="shared" si="1804"/>
        <v>0</v>
      </c>
      <c r="GC101" s="39">
        <f t="shared" si="1804"/>
        <v>0</v>
      </c>
      <c r="GD101" s="39">
        <f t="shared" ref="GD101:GH101" si="1805">GD$1*FK101/1000000</f>
        <v>0</v>
      </c>
      <c r="GE101" s="39">
        <f t="shared" si="1805"/>
        <v>0</v>
      </c>
      <c r="GF101" s="39">
        <f t="shared" si="1805"/>
        <v>0</v>
      </c>
      <c r="GG101" s="39">
        <f t="shared" si="1805"/>
        <v>0</v>
      </c>
      <c r="GH101" s="39">
        <f t="shared" si="1805"/>
        <v>0</v>
      </c>
      <c r="GI101" s="39">
        <f t="shared" ref="GI101:GJ101" si="1806">GI$1*FP101</f>
        <v>0</v>
      </c>
      <c r="GJ101" s="39">
        <f t="shared" si="1806"/>
        <v>0</v>
      </c>
      <c r="GK101" s="2"/>
      <c r="GL101" s="39">
        <f t="shared" si="31"/>
        <v>0</v>
      </c>
      <c r="GM101" s="39">
        <f t="shared" si="32"/>
        <v>0</v>
      </c>
      <c r="GN101" s="2" t="s">
        <v>3</v>
      </c>
      <c r="GO101" s="2">
        <f t="shared" si="33"/>
        <v>38</v>
      </c>
      <c r="GP101" s="2">
        <f t="shared" si="34"/>
        <v>1.38</v>
      </c>
      <c r="GQ101" s="15">
        <f t="shared" si="35"/>
        <v>524.4</v>
      </c>
      <c r="GR101" s="15">
        <f t="shared" si="36"/>
        <v>7980.7983647999999</v>
      </c>
      <c r="GS101" s="15">
        <f t="shared" si="37"/>
        <v>210.02100959999999</v>
      </c>
      <c r="GT101" s="2">
        <f t="shared" si="38"/>
        <v>0</v>
      </c>
      <c r="GU101" s="2">
        <f t="shared" si="39"/>
        <v>0</v>
      </c>
      <c r="GV101" s="2">
        <f t="shared" si="40"/>
        <v>524.4</v>
      </c>
      <c r="GW101" s="2">
        <f t="shared" si="41"/>
        <v>0</v>
      </c>
      <c r="GX101" s="2"/>
      <c r="GY101" s="2"/>
      <c r="GZ101" s="2"/>
      <c r="HA101" s="2"/>
      <c r="HB101" s="2">
        <f t="shared" si="42"/>
        <v>0</v>
      </c>
      <c r="HC101" s="2">
        <f t="shared" si="43"/>
        <v>0</v>
      </c>
      <c r="HD101" s="2" t="s">
        <v>3</v>
      </c>
      <c r="HE101" s="2" t="s">
        <v>37</v>
      </c>
      <c r="HF101" s="2" t="s">
        <v>106</v>
      </c>
      <c r="HG101" s="2" t="s">
        <v>106</v>
      </c>
      <c r="HH101" s="2"/>
      <c r="HI101" s="2" t="s">
        <v>81</v>
      </c>
      <c r="HJ101" s="2" t="s">
        <v>3</v>
      </c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 t="s">
        <v>3</v>
      </c>
    </row>
    <row r="102" spans="1:268" ht="15.75" customHeight="1" x14ac:dyDescent="0.2">
      <c r="A102" s="13" t="s">
        <v>457</v>
      </c>
      <c r="B102" s="2" t="s">
        <v>109</v>
      </c>
      <c r="C102" s="2"/>
      <c r="D102" s="2"/>
      <c r="E102" s="2"/>
      <c r="F102" s="2" t="s">
        <v>458</v>
      </c>
      <c r="G102" s="2"/>
      <c r="H102" s="2"/>
      <c r="I102" s="2">
        <v>40.5</v>
      </c>
      <c r="J102" s="2"/>
      <c r="K102" s="2"/>
      <c r="L102" s="2"/>
      <c r="M102" s="2"/>
      <c r="N102" s="2"/>
      <c r="O102" s="2"/>
      <c r="P102" s="2"/>
      <c r="Q102" s="2">
        <v>1.42</v>
      </c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>
        <v>31.1</v>
      </c>
      <c r="AE102" s="2"/>
      <c r="AF102" s="2"/>
      <c r="AG102" s="2"/>
      <c r="AH102" s="2"/>
      <c r="AI102" s="2"/>
      <c r="AJ102" s="2"/>
      <c r="AK102" s="2"/>
      <c r="AL102" s="2">
        <v>1.53</v>
      </c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>
        <v>4.9000000000000004</v>
      </c>
      <c r="AZ102" s="2"/>
      <c r="BA102" s="2"/>
      <c r="BB102" s="2"/>
      <c r="BC102" s="2"/>
      <c r="BD102" s="2"/>
      <c r="BE102" s="2"/>
      <c r="BF102" s="2"/>
      <c r="BG102" s="4">
        <v>1.4</v>
      </c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>
        <v>44.9</v>
      </c>
      <c r="BU102" s="2"/>
      <c r="BV102" s="2"/>
      <c r="BW102" s="2"/>
      <c r="BX102" s="2"/>
      <c r="BY102" s="2"/>
      <c r="BZ102" s="2"/>
      <c r="CA102" s="2"/>
      <c r="CB102" s="2">
        <v>1.28</v>
      </c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>
        <v>26.3</v>
      </c>
      <c r="CP102" s="2"/>
      <c r="CQ102" s="2"/>
      <c r="CR102" s="2"/>
      <c r="CS102" s="2"/>
      <c r="CT102" s="2"/>
      <c r="CU102" s="2"/>
      <c r="CV102" s="2"/>
      <c r="CW102" s="2">
        <v>1.36</v>
      </c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 t="s">
        <v>81</v>
      </c>
      <c r="DK102" s="2"/>
      <c r="DL102" s="2">
        <f t="shared" si="3"/>
        <v>1.4634379084967322</v>
      </c>
      <c r="DM102" s="2">
        <f t="shared" si="4"/>
        <v>0</v>
      </c>
      <c r="DN102" s="2" t="s">
        <v>95</v>
      </c>
      <c r="DO102" s="2" t="s">
        <v>3</v>
      </c>
      <c r="DP102" s="2">
        <f t="shared" si="5"/>
        <v>0</v>
      </c>
      <c r="DQ102" s="2">
        <f t="shared" ref="DQ102:DR102" si="1807">K102*$I102+AF102*$AD102+BA102*$AY102</f>
        <v>0</v>
      </c>
      <c r="DR102" s="2">
        <f t="shared" si="1807"/>
        <v>0</v>
      </c>
      <c r="DS102" s="2">
        <f t="shared" ref="DS102:DX102" si="1808">(M102*$I102+AH102*$AD102+BC102*$AY102)/100</f>
        <v>0</v>
      </c>
      <c r="DT102" s="2">
        <f t="shared" si="1808"/>
        <v>0</v>
      </c>
      <c r="DU102" s="2">
        <f t="shared" si="1808"/>
        <v>0</v>
      </c>
      <c r="DV102" s="2">
        <f t="shared" si="1808"/>
        <v>0</v>
      </c>
      <c r="DW102" s="2">
        <f t="shared" si="1808"/>
        <v>1.1195300000000001</v>
      </c>
      <c r="DX102" s="2">
        <f t="shared" si="1808"/>
        <v>0</v>
      </c>
      <c r="DY102" s="2">
        <f t="shared" ref="DY102:EC102" si="1809">S102*$I102+AN102*$AD102+BI102*$AY102</f>
        <v>0</v>
      </c>
      <c r="DZ102" s="2">
        <f t="shared" si="1809"/>
        <v>0</v>
      </c>
      <c r="EA102" s="2">
        <f t="shared" si="1809"/>
        <v>0</v>
      </c>
      <c r="EB102" s="2">
        <f t="shared" si="1809"/>
        <v>0</v>
      </c>
      <c r="EC102" s="2">
        <f t="shared" si="1809"/>
        <v>0</v>
      </c>
      <c r="ED102" s="2">
        <f t="shared" ref="ED102:EE102" si="1810">(X102*$I102+AS102*$AD102+BN102*$AY102)/100</f>
        <v>0</v>
      </c>
      <c r="EE102" s="2">
        <f t="shared" si="1810"/>
        <v>0</v>
      </c>
      <c r="EF102" s="2"/>
      <c r="EG102" s="2">
        <f t="shared" si="10"/>
        <v>0</v>
      </c>
      <c r="EH102" s="2">
        <f t="shared" si="11"/>
        <v>0</v>
      </c>
      <c r="EI102" s="39">
        <f t="shared" si="12"/>
        <v>0</v>
      </c>
      <c r="EJ102" s="39">
        <f t="shared" ref="EJ102:EK102" si="1811">EJ$1*DQ102/1000000</f>
        <v>0</v>
      </c>
      <c r="EK102" s="39">
        <f t="shared" si="1811"/>
        <v>0</v>
      </c>
      <c r="EL102" s="39">
        <f t="shared" ref="EL102:EQ102" si="1812">EL$1*DS102</f>
        <v>0</v>
      </c>
      <c r="EM102" s="39">
        <f t="shared" si="1812"/>
        <v>0</v>
      </c>
      <c r="EN102" s="39">
        <f t="shared" si="1812"/>
        <v>0</v>
      </c>
      <c r="EO102" s="39">
        <f t="shared" si="1812"/>
        <v>0</v>
      </c>
      <c r="EP102" s="39">
        <f t="shared" si="1812"/>
        <v>14681.516420000002</v>
      </c>
      <c r="EQ102" s="39">
        <f t="shared" si="1812"/>
        <v>0</v>
      </c>
      <c r="ER102" s="39">
        <f t="shared" ref="ER102:EV102" si="1813">ER$1*DY102/1000000</f>
        <v>0</v>
      </c>
      <c r="ES102" s="39">
        <f t="shared" si="1813"/>
        <v>0</v>
      </c>
      <c r="ET102" s="39">
        <f t="shared" si="1813"/>
        <v>0</v>
      </c>
      <c r="EU102" s="39">
        <f t="shared" si="1813"/>
        <v>0</v>
      </c>
      <c r="EV102" s="39">
        <f t="shared" si="1813"/>
        <v>0</v>
      </c>
      <c r="EW102" s="39">
        <f t="shared" ref="EW102:EX102" si="1814">EW$1*ED102</f>
        <v>0</v>
      </c>
      <c r="EX102" s="39">
        <f t="shared" si="1814"/>
        <v>0</v>
      </c>
      <c r="EY102" s="2"/>
      <c r="EZ102" s="39">
        <f t="shared" si="17"/>
        <v>0</v>
      </c>
      <c r="FA102" s="39">
        <f t="shared" si="18"/>
        <v>0</v>
      </c>
      <c r="FB102" s="2">
        <f t="shared" si="19"/>
        <v>0</v>
      </c>
      <c r="FC102" s="2">
        <f t="shared" ref="FC102:FD102" si="1815">BV102*$BT102+CQ102*$CO102</f>
        <v>0</v>
      </c>
      <c r="FD102" s="2">
        <f t="shared" si="1815"/>
        <v>0</v>
      </c>
      <c r="FE102" s="2">
        <f t="shared" ref="FE102:FJ102" si="1816">(BX102*$BT102+CS102*$CO102)/100</f>
        <v>0</v>
      </c>
      <c r="FF102" s="2">
        <f t="shared" si="1816"/>
        <v>0</v>
      </c>
      <c r="FG102" s="2">
        <f t="shared" si="1816"/>
        <v>0</v>
      </c>
      <c r="FH102" s="2">
        <f t="shared" si="1816"/>
        <v>0</v>
      </c>
      <c r="FI102" s="2">
        <f t="shared" si="1816"/>
        <v>0.93240000000000012</v>
      </c>
      <c r="FJ102" s="2">
        <f t="shared" si="1816"/>
        <v>0</v>
      </c>
      <c r="FK102" s="2">
        <f t="shared" ref="FK102:FO102" si="1817">CD102*$BT102+CY102*$CO102</f>
        <v>0</v>
      </c>
      <c r="FL102" s="2">
        <f t="shared" si="1817"/>
        <v>0</v>
      </c>
      <c r="FM102" s="2">
        <f t="shared" si="1817"/>
        <v>0</v>
      </c>
      <c r="FN102" s="2">
        <f t="shared" si="1817"/>
        <v>0</v>
      </c>
      <c r="FO102" s="2">
        <f t="shared" si="1817"/>
        <v>0</v>
      </c>
      <c r="FP102" s="2">
        <f t="shared" ref="FP102:FQ102" si="1818">(CI102*$BT102+DD102*$CO102)/100</f>
        <v>0</v>
      </c>
      <c r="FQ102" s="2">
        <f t="shared" si="1818"/>
        <v>0</v>
      </c>
      <c r="FR102" s="2"/>
      <c r="FS102" s="2">
        <f t="shared" si="24"/>
        <v>0</v>
      </c>
      <c r="FT102" s="2">
        <f t="shared" si="25"/>
        <v>0</v>
      </c>
      <c r="FU102" s="39">
        <f t="shared" si="26"/>
        <v>0</v>
      </c>
      <c r="FV102" s="39">
        <f t="shared" ref="FV102:FW102" si="1819">FV$1*FC102/1000000</f>
        <v>0</v>
      </c>
      <c r="FW102" s="39">
        <f t="shared" si="1819"/>
        <v>0</v>
      </c>
      <c r="FX102" s="39">
        <f t="shared" ref="FX102:GC102" si="1820">FX$1*FE102</f>
        <v>0</v>
      </c>
      <c r="FY102" s="39">
        <f t="shared" si="1820"/>
        <v>0</v>
      </c>
      <c r="FZ102" s="39">
        <f t="shared" si="1820"/>
        <v>0</v>
      </c>
      <c r="GA102" s="39">
        <f t="shared" si="1820"/>
        <v>0</v>
      </c>
      <c r="GB102" s="39">
        <f t="shared" si="1820"/>
        <v>12227.493600000002</v>
      </c>
      <c r="GC102" s="39">
        <f t="shared" si="1820"/>
        <v>0</v>
      </c>
      <c r="GD102" s="39">
        <f t="shared" ref="GD102:GH102" si="1821">GD$1*FK102/1000000</f>
        <v>0</v>
      </c>
      <c r="GE102" s="39">
        <f t="shared" si="1821"/>
        <v>0</v>
      </c>
      <c r="GF102" s="39">
        <f t="shared" si="1821"/>
        <v>0</v>
      </c>
      <c r="GG102" s="39">
        <f t="shared" si="1821"/>
        <v>0</v>
      </c>
      <c r="GH102" s="39">
        <f t="shared" si="1821"/>
        <v>0</v>
      </c>
      <c r="GI102" s="39">
        <f t="shared" ref="GI102:GJ102" si="1822">GI$1*FP102</f>
        <v>0</v>
      </c>
      <c r="GJ102" s="39">
        <f t="shared" si="1822"/>
        <v>0</v>
      </c>
      <c r="GK102" s="2"/>
      <c r="GL102" s="39">
        <f t="shared" si="31"/>
        <v>0</v>
      </c>
      <c r="GM102" s="39">
        <f t="shared" si="32"/>
        <v>0</v>
      </c>
      <c r="GN102" s="2" t="s">
        <v>3</v>
      </c>
      <c r="GO102" s="2">
        <f t="shared" si="33"/>
        <v>76.5</v>
      </c>
      <c r="GP102" s="4">
        <f t="shared" si="34"/>
        <v>1.4634379084967322</v>
      </c>
      <c r="GQ102" s="18">
        <f t="shared" si="35"/>
        <v>1119.5300000000002</v>
      </c>
      <c r="GR102" s="15">
        <f t="shared" si="36"/>
        <v>14681.516420000002</v>
      </c>
      <c r="GS102" s="15">
        <f t="shared" si="37"/>
        <v>191.91524732026147</v>
      </c>
      <c r="GT102" s="2">
        <f t="shared" si="38"/>
        <v>575.1</v>
      </c>
      <c r="GU102" s="2">
        <f t="shared" si="39"/>
        <v>475.8300000000001</v>
      </c>
      <c r="GV102" s="2">
        <f t="shared" si="40"/>
        <v>68.599999999999994</v>
      </c>
      <c r="GW102" s="2">
        <f t="shared" si="41"/>
        <v>71.2</v>
      </c>
      <c r="GX102" s="4">
        <f t="shared" ref="GX102:GX105" si="1823">(BT102*CB102+CO102*CW102)/GW102</f>
        <v>1.309550561797753</v>
      </c>
      <c r="GY102" s="15">
        <f t="shared" ref="GY102:GY105" si="1824">1000*GW102*GX102/100</f>
        <v>932.40000000000009</v>
      </c>
      <c r="GZ102" s="15">
        <f t="shared" ref="GZ102:GZ105" si="1825">SUM(FU102:GM102)</f>
        <v>12227.493600000002</v>
      </c>
      <c r="HA102" s="15">
        <f t="shared" ref="HA102:HA105" si="1826">GZ102/GW102</f>
        <v>171.73446067415733</v>
      </c>
      <c r="HB102" s="2">
        <f t="shared" si="42"/>
        <v>574.72</v>
      </c>
      <c r="HC102" s="2">
        <f t="shared" si="43"/>
        <v>357.68</v>
      </c>
      <c r="HD102" s="2" t="s">
        <v>3</v>
      </c>
      <c r="HE102" s="2" t="s">
        <v>37</v>
      </c>
      <c r="HF102" s="2" t="s">
        <v>106</v>
      </c>
      <c r="HG102" s="2" t="s">
        <v>106</v>
      </c>
      <c r="HH102" s="2"/>
      <c r="HI102" s="2" t="s">
        <v>81</v>
      </c>
      <c r="HJ102" s="2" t="s">
        <v>3</v>
      </c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 t="s">
        <v>3</v>
      </c>
    </row>
    <row r="103" spans="1:268" ht="15.75" customHeight="1" x14ac:dyDescent="0.2">
      <c r="A103" s="13" t="s">
        <v>1161</v>
      </c>
      <c r="B103" s="2" t="s">
        <v>109</v>
      </c>
      <c r="C103" s="2"/>
      <c r="D103" s="2"/>
      <c r="E103" s="2" t="s">
        <v>78</v>
      </c>
      <c r="F103" s="2" t="s">
        <v>200</v>
      </c>
      <c r="G103" s="2"/>
      <c r="H103" s="2" t="s">
        <v>111</v>
      </c>
      <c r="I103" s="2">
        <v>101.8</v>
      </c>
      <c r="J103" s="2"/>
      <c r="K103" s="2"/>
      <c r="L103" s="2"/>
      <c r="M103" s="2"/>
      <c r="N103" s="2"/>
      <c r="O103" s="2"/>
      <c r="P103" s="2"/>
      <c r="Q103" s="2">
        <v>1.76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>
        <v>14.7</v>
      </c>
      <c r="AE103" s="2"/>
      <c r="AF103" s="2"/>
      <c r="AG103" s="2"/>
      <c r="AH103" s="2"/>
      <c r="AI103" s="2"/>
      <c r="AJ103" s="2"/>
      <c r="AK103" s="2"/>
      <c r="AL103" s="2">
        <v>1.64</v>
      </c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>
        <v>0</v>
      </c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>
        <v>101.8</v>
      </c>
      <c r="BU103" s="2"/>
      <c r="BV103" s="2"/>
      <c r="BW103" s="2"/>
      <c r="BX103" s="2"/>
      <c r="BY103" s="2"/>
      <c r="BZ103" s="2"/>
      <c r="CA103" s="2"/>
      <c r="CB103" s="2">
        <v>1.76</v>
      </c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>
        <v>14.7</v>
      </c>
      <c r="CP103" s="2"/>
      <c r="CQ103" s="2"/>
      <c r="CR103" s="2"/>
      <c r="CS103" s="2"/>
      <c r="CT103" s="2"/>
      <c r="CU103" s="2"/>
      <c r="CV103" s="2"/>
      <c r="CW103" s="2">
        <v>1.64</v>
      </c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 t="s">
        <v>81</v>
      </c>
      <c r="DK103" s="2"/>
      <c r="DL103" s="2">
        <f t="shared" si="3"/>
        <v>1.7448583690987125</v>
      </c>
      <c r="DM103" s="2">
        <f t="shared" si="4"/>
        <v>0</v>
      </c>
      <c r="DN103" s="2" t="s">
        <v>211</v>
      </c>
      <c r="DO103" s="2" t="s">
        <v>3</v>
      </c>
      <c r="DP103" s="2">
        <f t="shared" si="5"/>
        <v>0</v>
      </c>
      <c r="DQ103" s="2">
        <f t="shared" ref="DQ103:DR103" si="1827">K103*$I103+AF103*$AD103+BA103*$AY103</f>
        <v>0</v>
      </c>
      <c r="DR103" s="2">
        <f t="shared" si="1827"/>
        <v>0</v>
      </c>
      <c r="DS103" s="2">
        <f t="shared" ref="DS103:DX103" si="1828">(M103*$I103+AH103*$AD103+BC103*$AY103)/100</f>
        <v>0</v>
      </c>
      <c r="DT103" s="2">
        <f t="shared" si="1828"/>
        <v>0</v>
      </c>
      <c r="DU103" s="2">
        <f t="shared" si="1828"/>
        <v>0</v>
      </c>
      <c r="DV103" s="2">
        <f t="shared" si="1828"/>
        <v>0</v>
      </c>
      <c r="DW103" s="2">
        <f t="shared" si="1828"/>
        <v>2.0327600000000001</v>
      </c>
      <c r="DX103" s="2">
        <f t="shared" si="1828"/>
        <v>0</v>
      </c>
      <c r="DY103" s="2">
        <f t="shared" ref="DY103:EC103" si="1829">S103*$I103+AN103*$AD103+BI103*$AY103</f>
        <v>0</v>
      </c>
      <c r="DZ103" s="2">
        <f t="shared" si="1829"/>
        <v>0</v>
      </c>
      <c r="EA103" s="2">
        <f t="shared" si="1829"/>
        <v>0</v>
      </c>
      <c r="EB103" s="2">
        <f t="shared" si="1829"/>
        <v>0</v>
      </c>
      <c r="EC103" s="2">
        <f t="shared" si="1829"/>
        <v>0</v>
      </c>
      <c r="ED103" s="2">
        <f t="shared" ref="ED103:EE103" si="1830">(X103*$I103+AS103*$AD103+BN103*$AY103)/100</f>
        <v>0</v>
      </c>
      <c r="EE103" s="2">
        <f t="shared" si="1830"/>
        <v>0</v>
      </c>
      <c r="EF103" s="2"/>
      <c r="EG103" s="2">
        <f t="shared" si="10"/>
        <v>0</v>
      </c>
      <c r="EH103" s="2">
        <f t="shared" si="11"/>
        <v>0</v>
      </c>
      <c r="EI103" s="39">
        <f t="shared" si="12"/>
        <v>0</v>
      </c>
      <c r="EJ103" s="39">
        <f t="shared" ref="EJ103:EK103" si="1831">EJ$1*DQ103/1000000</f>
        <v>0</v>
      </c>
      <c r="EK103" s="39">
        <f t="shared" si="1831"/>
        <v>0</v>
      </c>
      <c r="EL103" s="39">
        <f t="shared" ref="EL103:EQ103" si="1832">EL$1*DS103</f>
        <v>0</v>
      </c>
      <c r="EM103" s="39">
        <f t="shared" si="1832"/>
        <v>0</v>
      </c>
      <c r="EN103" s="39">
        <f t="shared" si="1832"/>
        <v>0</v>
      </c>
      <c r="EO103" s="39">
        <f t="shared" si="1832"/>
        <v>0</v>
      </c>
      <c r="EP103" s="39">
        <f t="shared" si="1832"/>
        <v>26657.614640000003</v>
      </c>
      <c r="EQ103" s="39">
        <f t="shared" si="1832"/>
        <v>0</v>
      </c>
      <c r="ER103" s="39">
        <f t="shared" ref="ER103:EV103" si="1833">ER$1*DY103/1000000</f>
        <v>0</v>
      </c>
      <c r="ES103" s="39">
        <f t="shared" si="1833"/>
        <v>0</v>
      </c>
      <c r="ET103" s="39">
        <f t="shared" si="1833"/>
        <v>0</v>
      </c>
      <c r="EU103" s="39">
        <f t="shared" si="1833"/>
        <v>0</v>
      </c>
      <c r="EV103" s="39">
        <f t="shared" si="1833"/>
        <v>0</v>
      </c>
      <c r="EW103" s="39">
        <f t="shared" ref="EW103:EX103" si="1834">EW$1*ED103</f>
        <v>0</v>
      </c>
      <c r="EX103" s="39">
        <f t="shared" si="1834"/>
        <v>0</v>
      </c>
      <c r="EY103" s="2"/>
      <c r="EZ103" s="39">
        <f t="shared" si="17"/>
        <v>0</v>
      </c>
      <c r="FA103" s="39">
        <f t="shared" si="18"/>
        <v>0</v>
      </c>
      <c r="FB103" s="2">
        <f t="shared" si="19"/>
        <v>0</v>
      </c>
      <c r="FC103" s="2">
        <f t="shared" ref="FC103:FD103" si="1835">BV103*$BT103+CQ103*$CO103</f>
        <v>0</v>
      </c>
      <c r="FD103" s="2">
        <f t="shared" si="1835"/>
        <v>0</v>
      </c>
      <c r="FE103" s="2">
        <f t="shared" ref="FE103:FJ103" si="1836">(BX103*$BT103+CS103*$CO103)/100</f>
        <v>0</v>
      </c>
      <c r="FF103" s="2">
        <f t="shared" si="1836"/>
        <v>0</v>
      </c>
      <c r="FG103" s="2">
        <f t="shared" si="1836"/>
        <v>0</v>
      </c>
      <c r="FH103" s="2">
        <f t="shared" si="1836"/>
        <v>0</v>
      </c>
      <c r="FI103" s="2">
        <f t="shared" si="1836"/>
        <v>2.0327600000000001</v>
      </c>
      <c r="FJ103" s="2">
        <f t="shared" si="1836"/>
        <v>0</v>
      </c>
      <c r="FK103" s="2">
        <f t="shared" ref="FK103:FO103" si="1837">CD103*$BT103+CY103*$CO103</f>
        <v>0</v>
      </c>
      <c r="FL103" s="2">
        <f t="shared" si="1837"/>
        <v>0</v>
      </c>
      <c r="FM103" s="2">
        <f t="shared" si="1837"/>
        <v>0</v>
      </c>
      <c r="FN103" s="2">
        <f t="shared" si="1837"/>
        <v>0</v>
      </c>
      <c r="FO103" s="2">
        <f t="shared" si="1837"/>
        <v>0</v>
      </c>
      <c r="FP103" s="2">
        <f t="shared" ref="FP103:FQ103" si="1838">(CI103*$BT103+DD103*$CO103)/100</f>
        <v>0</v>
      </c>
      <c r="FQ103" s="2">
        <f t="shared" si="1838"/>
        <v>0</v>
      </c>
      <c r="FR103" s="2"/>
      <c r="FS103" s="2">
        <f t="shared" si="24"/>
        <v>0</v>
      </c>
      <c r="FT103" s="2">
        <f t="shared" si="25"/>
        <v>0</v>
      </c>
      <c r="FU103" s="39">
        <f t="shared" si="26"/>
        <v>0</v>
      </c>
      <c r="FV103" s="39">
        <f t="shared" ref="FV103:FW103" si="1839">FV$1*FC103/1000000</f>
        <v>0</v>
      </c>
      <c r="FW103" s="39">
        <f t="shared" si="1839"/>
        <v>0</v>
      </c>
      <c r="FX103" s="39">
        <f t="shared" ref="FX103:GC103" si="1840">FX$1*FE103</f>
        <v>0</v>
      </c>
      <c r="FY103" s="39">
        <f t="shared" si="1840"/>
        <v>0</v>
      </c>
      <c r="FZ103" s="39">
        <f t="shared" si="1840"/>
        <v>0</v>
      </c>
      <c r="GA103" s="39">
        <f t="shared" si="1840"/>
        <v>0</v>
      </c>
      <c r="GB103" s="39">
        <f t="shared" si="1840"/>
        <v>26657.614640000003</v>
      </c>
      <c r="GC103" s="39">
        <f t="shared" si="1840"/>
        <v>0</v>
      </c>
      <c r="GD103" s="39">
        <f t="shared" ref="GD103:GH103" si="1841">GD$1*FK103/1000000</f>
        <v>0</v>
      </c>
      <c r="GE103" s="39">
        <f t="shared" si="1841"/>
        <v>0</v>
      </c>
      <c r="GF103" s="39">
        <f t="shared" si="1841"/>
        <v>0</v>
      </c>
      <c r="GG103" s="39">
        <f t="shared" si="1841"/>
        <v>0</v>
      </c>
      <c r="GH103" s="39">
        <f t="shared" si="1841"/>
        <v>0</v>
      </c>
      <c r="GI103" s="39">
        <f t="shared" ref="GI103:GJ103" si="1842">GI$1*FP103</f>
        <v>0</v>
      </c>
      <c r="GJ103" s="39">
        <f t="shared" si="1842"/>
        <v>0</v>
      </c>
      <c r="GK103" s="2"/>
      <c r="GL103" s="39">
        <f t="shared" si="31"/>
        <v>0</v>
      </c>
      <c r="GM103" s="39">
        <f t="shared" si="32"/>
        <v>0</v>
      </c>
      <c r="GN103" s="2" t="s">
        <v>3</v>
      </c>
      <c r="GO103" s="2">
        <f t="shared" si="33"/>
        <v>116.5</v>
      </c>
      <c r="GP103" s="4">
        <f t="shared" si="34"/>
        <v>1.7448583690987125</v>
      </c>
      <c r="GQ103" s="18">
        <f t="shared" si="35"/>
        <v>2032.76</v>
      </c>
      <c r="GR103" s="15">
        <f t="shared" si="36"/>
        <v>26657.614640000003</v>
      </c>
      <c r="GS103" s="15">
        <f t="shared" si="37"/>
        <v>228.82072652360517</v>
      </c>
      <c r="GT103" s="2">
        <f t="shared" si="38"/>
        <v>1791.68</v>
      </c>
      <c r="GU103" s="2">
        <f t="shared" si="39"/>
        <v>241.07999999999996</v>
      </c>
      <c r="GV103" s="2">
        <f t="shared" si="40"/>
        <v>0</v>
      </c>
      <c r="GW103" s="2">
        <f t="shared" si="41"/>
        <v>116.5</v>
      </c>
      <c r="GX103" s="4">
        <f t="shared" si="1823"/>
        <v>1.7448583690987125</v>
      </c>
      <c r="GY103" s="18">
        <f t="shared" si="1824"/>
        <v>2032.76</v>
      </c>
      <c r="GZ103" s="15">
        <f t="shared" si="1825"/>
        <v>26657.614640000003</v>
      </c>
      <c r="HA103" s="15">
        <f t="shared" si="1826"/>
        <v>228.82072652360517</v>
      </c>
      <c r="HB103" s="2">
        <f t="shared" si="42"/>
        <v>1791.68</v>
      </c>
      <c r="HC103" s="2">
        <f t="shared" si="43"/>
        <v>241.07999999999996</v>
      </c>
      <c r="HD103" s="2" t="s">
        <v>3</v>
      </c>
      <c r="HE103" s="2" t="s">
        <v>37</v>
      </c>
      <c r="HF103" s="2" t="s">
        <v>106</v>
      </c>
      <c r="HG103" s="2" t="s">
        <v>106</v>
      </c>
      <c r="HH103" s="2"/>
      <c r="HI103" s="2" t="s">
        <v>81</v>
      </c>
      <c r="HJ103" s="2" t="s">
        <v>3</v>
      </c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 t="s">
        <v>3</v>
      </c>
    </row>
    <row r="104" spans="1:268" ht="15.75" customHeight="1" x14ac:dyDescent="0.2">
      <c r="A104" s="13" t="s">
        <v>666</v>
      </c>
      <c r="B104" s="2" t="s">
        <v>109</v>
      </c>
      <c r="C104" s="2"/>
      <c r="D104" s="2"/>
      <c r="E104" s="2" t="s">
        <v>78</v>
      </c>
      <c r="F104" s="2" t="s">
        <v>667</v>
      </c>
      <c r="G104" s="2"/>
      <c r="H104" s="2" t="s">
        <v>111</v>
      </c>
      <c r="I104" s="2">
        <v>12.8</v>
      </c>
      <c r="J104" s="2"/>
      <c r="K104" s="2"/>
      <c r="L104" s="2"/>
      <c r="M104" s="2"/>
      <c r="N104" s="2"/>
      <c r="O104" s="2"/>
      <c r="P104" s="2"/>
      <c r="Q104" s="2">
        <v>2.48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>
        <v>43.6</v>
      </c>
      <c r="AE104" s="2"/>
      <c r="AF104" s="2"/>
      <c r="AG104" s="2"/>
      <c r="AH104" s="2"/>
      <c r="AI104" s="2"/>
      <c r="AJ104" s="2"/>
      <c r="AK104" s="2"/>
      <c r="AL104" s="4">
        <v>2.4</v>
      </c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>
        <v>83</v>
      </c>
      <c r="AZ104" s="2"/>
      <c r="BA104" s="2"/>
      <c r="BB104" s="2"/>
      <c r="BC104" s="2"/>
      <c r="BD104" s="2"/>
      <c r="BE104" s="2"/>
      <c r="BF104" s="2"/>
      <c r="BG104" s="2">
        <v>2.5</v>
      </c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>
        <v>11.7</v>
      </c>
      <c r="BU104" s="2"/>
      <c r="BV104" s="2"/>
      <c r="BW104" s="2"/>
      <c r="BX104" s="2"/>
      <c r="BY104" s="2"/>
      <c r="BZ104" s="2"/>
      <c r="CA104" s="2"/>
      <c r="CB104" s="2">
        <v>2.27</v>
      </c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>
        <v>30.1</v>
      </c>
      <c r="CP104" s="2"/>
      <c r="CQ104" s="2"/>
      <c r="CR104" s="2"/>
      <c r="CS104" s="2"/>
      <c r="CT104" s="2"/>
      <c r="CU104" s="2"/>
      <c r="CV104" s="2"/>
      <c r="CW104" s="4">
        <v>2.2000000000000002</v>
      </c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 t="s">
        <v>81</v>
      </c>
      <c r="DK104" s="2"/>
      <c r="DL104" s="2">
        <f t="shared" si="3"/>
        <v>2.4668866571018651</v>
      </c>
      <c r="DM104" s="2">
        <f t="shared" si="4"/>
        <v>0</v>
      </c>
      <c r="DN104" s="2" t="s">
        <v>211</v>
      </c>
      <c r="DO104" s="2" t="s">
        <v>3</v>
      </c>
      <c r="DP104" s="2">
        <f t="shared" si="5"/>
        <v>0</v>
      </c>
      <c r="DQ104" s="2">
        <f t="shared" ref="DQ104:DR104" si="1843">K104*$I104+AF104*$AD104+BA104*$AY104</f>
        <v>0</v>
      </c>
      <c r="DR104" s="2">
        <f t="shared" si="1843"/>
        <v>0</v>
      </c>
      <c r="DS104" s="2">
        <f t="shared" ref="DS104:DX104" si="1844">(M104*$I104+AH104*$AD104+BC104*$AY104)/100</f>
        <v>0</v>
      </c>
      <c r="DT104" s="2">
        <f t="shared" si="1844"/>
        <v>0</v>
      </c>
      <c r="DU104" s="2">
        <f t="shared" si="1844"/>
        <v>0</v>
      </c>
      <c r="DV104" s="2">
        <f t="shared" si="1844"/>
        <v>0</v>
      </c>
      <c r="DW104" s="2">
        <f t="shared" si="1844"/>
        <v>3.4388400000000003</v>
      </c>
      <c r="DX104" s="2">
        <f t="shared" si="1844"/>
        <v>0</v>
      </c>
      <c r="DY104" s="2">
        <f t="shared" ref="DY104:EC104" si="1845">S104*$I104+AN104*$AD104+BI104*$AY104</f>
        <v>0</v>
      </c>
      <c r="DZ104" s="2">
        <f t="shared" si="1845"/>
        <v>0</v>
      </c>
      <c r="EA104" s="2">
        <f t="shared" si="1845"/>
        <v>0</v>
      </c>
      <c r="EB104" s="2">
        <f t="shared" si="1845"/>
        <v>0</v>
      </c>
      <c r="EC104" s="2">
        <f t="shared" si="1845"/>
        <v>0</v>
      </c>
      <c r="ED104" s="2">
        <f t="shared" ref="ED104:EE104" si="1846">(X104*$I104+AS104*$AD104+BN104*$AY104)/100</f>
        <v>0</v>
      </c>
      <c r="EE104" s="2">
        <f t="shared" si="1846"/>
        <v>0</v>
      </c>
      <c r="EF104" s="2"/>
      <c r="EG104" s="2">
        <f t="shared" si="10"/>
        <v>0</v>
      </c>
      <c r="EH104" s="2">
        <f t="shared" si="11"/>
        <v>0</v>
      </c>
      <c r="EI104" s="39">
        <f t="shared" si="12"/>
        <v>0</v>
      </c>
      <c r="EJ104" s="39">
        <f t="shared" ref="EJ104:EK104" si="1847">EJ$1*DQ104/1000000</f>
        <v>0</v>
      </c>
      <c r="EK104" s="39">
        <f t="shared" si="1847"/>
        <v>0</v>
      </c>
      <c r="EL104" s="39">
        <f t="shared" ref="EL104:EQ104" si="1848">EL$1*DS104</f>
        <v>0</v>
      </c>
      <c r="EM104" s="39">
        <f t="shared" si="1848"/>
        <v>0</v>
      </c>
      <c r="EN104" s="39">
        <f t="shared" si="1848"/>
        <v>0</v>
      </c>
      <c r="EO104" s="39">
        <f t="shared" si="1848"/>
        <v>0</v>
      </c>
      <c r="EP104" s="39">
        <f t="shared" si="1848"/>
        <v>45096.947760000003</v>
      </c>
      <c r="EQ104" s="39">
        <f t="shared" si="1848"/>
        <v>0</v>
      </c>
      <c r="ER104" s="39">
        <f t="shared" ref="ER104:EV104" si="1849">ER$1*DY104/1000000</f>
        <v>0</v>
      </c>
      <c r="ES104" s="39">
        <f t="shared" si="1849"/>
        <v>0</v>
      </c>
      <c r="ET104" s="39">
        <f t="shared" si="1849"/>
        <v>0</v>
      </c>
      <c r="EU104" s="39">
        <f t="shared" si="1849"/>
        <v>0</v>
      </c>
      <c r="EV104" s="39">
        <f t="shared" si="1849"/>
        <v>0</v>
      </c>
      <c r="EW104" s="39">
        <f t="shared" ref="EW104:EX104" si="1850">EW$1*ED104</f>
        <v>0</v>
      </c>
      <c r="EX104" s="39">
        <f t="shared" si="1850"/>
        <v>0</v>
      </c>
      <c r="EY104" s="2"/>
      <c r="EZ104" s="39">
        <f t="shared" si="17"/>
        <v>0</v>
      </c>
      <c r="FA104" s="39">
        <f t="shared" si="18"/>
        <v>0</v>
      </c>
      <c r="FB104" s="2">
        <f t="shared" si="19"/>
        <v>0</v>
      </c>
      <c r="FC104" s="2">
        <f t="shared" ref="FC104:FD104" si="1851">BV104*$BT104+CQ104*$CO104</f>
        <v>0</v>
      </c>
      <c r="FD104" s="2">
        <f t="shared" si="1851"/>
        <v>0</v>
      </c>
      <c r="FE104" s="2">
        <f t="shared" ref="FE104:FJ104" si="1852">(BX104*$BT104+CS104*$CO104)/100</f>
        <v>0</v>
      </c>
      <c r="FF104" s="2">
        <f t="shared" si="1852"/>
        <v>0</v>
      </c>
      <c r="FG104" s="2">
        <f t="shared" si="1852"/>
        <v>0</v>
      </c>
      <c r="FH104" s="2">
        <f t="shared" si="1852"/>
        <v>0</v>
      </c>
      <c r="FI104" s="2">
        <f t="shared" si="1852"/>
        <v>0.92779000000000011</v>
      </c>
      <c r="FJ104" s="2">
        <f t="shared" si="1852"/>
        <v>0</v>
      </c>
      <c r="FK104" s="2">
        <f t="shared" ref="FK104:FO104" si="1853">CD104*$BT104+CY104*$CO104</f>
        <v>0</v>
      </c>
      <c r="FL104" s="2">
        <f t="shared" si="1853"/>
        <v>0</v>
      </c>
      <c r="FM104" s="2">
        <f t="shared" si="1853"/>
        <v>0</v>
      </c>
      <c r="FN104" s="2">
        <f t="shared" si="1853"/>
        <v>0</v>
      </c>
      <c r="FO104" s="2">
        <f t="shared" si="1853"/>
        <v>0</v>
      </c>
      <c r="FP104" s="2">
        <f t="shared" ref="FP104:FQ104" si="1854">(CI104*$BT104+DD104*$CO104)/100</f>
        <v>0</v>
      </c>
      <c r="FQ104" s="2">
        <f t="shared" si="1854"/>
        <v>0</v>
      </c>
      <c r="FR104" s="2"/>
      <c r="FS104" s="2">
        <f t="shared" si="24"/>
        <v>0</v>
      </c>
      <c r="FT104" s="2">
        <f t="shared" si="25"/>
        <v>0</v>
      </c>
      <c r="FU104" s="39">
        <f t="shared" si="26"/>
        <v>0</v>
      </c>
      <c r="FV104" s="39">
        <f t="shared" ref="FV104:FW104" si="1855">FV$1*FC104/1000000</f>
        <v>0</v>
      </c>
      <c r="FW104" s="39">
        <f t="shared" si="1855"/>
        <v>0</v>
      </c>
      <c r="FX104" s="39">
        <f t="shared" ref="FX104:GC104" si="1856">FX$1*FE104</f>
        <v>0</v>
      </c>
      <c r="FY104" s="39">
        <f t="shared" si="1856"/>
        <v>0</v>
      </c>
      <c r="FZ104" s="39">
        <f t="shared" si="1856"/>
        <v>0</v>
      </c>
      <c r="GA104" s="39">
        <f t="shared" si="1856"/>
        <v>0</v>
      </c>
      <c r="GB104" s="39">
        <f t="shared" si="1856"/>
        <v>12167.038060000001</v>
      </c>
      <c r="GC104" s="39">
        <f t="shared" si="1856"/>
        <v>0</v>
      </c>
      <c r="GD104" s="39">
        <f t="shared" ref="GD104:GH104" si="1857">GD$1*FK104/1000000</f>
        <v>0</v>
      </c>
      <c r="GE104" s="39">
        <f t="shared" si="1857"/>
        <v>0</v>
      </c>
      <c r="GF104" s="39">
        <f t="shared" si="1857"/>
        <v>0</v>
      </c>
      <c r="GG104" s="39">
        <f t="shared" si="1857"/>
        <v>0</v>
      </c>
      <c r="GH104" s="39">
        <f t="shared" si="1857"/>
        <v>0</v>
      </c>
      <c r="GI104" s="39">
        <f t="shared" ref="GI104:GJ104" si="1858">GI$1*FP104</f>
        <v>0</v>
      </c>
      <c r="GJ104" s="39">
        <f t="shared" si="1858"/>
        <v>0</v>
      </c>
      <c r="GK104" s="2"/>
      <c r="GL104" s="39">
        <f t="shared" si="31"/>
        <v>0</v>
      </c>
      <c r="GM104" s="39">
        <f t="shared" si="32"/>
        <v>0</v>
      </c>
      <c r="GN104" s="2" t="s">
        <v>3</v>
      </c>
      <c r="GO104" s="2">
        <f t="shared" si="33"/>
        <v>139.4</v>
      </c>
      <c r="GP104" s="4">
        <f t="shared" si="34"/>
        <v>2.4668866571018651</v>
      </c>
      <c r="GQ104" s="18">
        <f t="shared" si="35"/>
        <v>3438.84</v>
      </c>
      <c r="GR104" s="15">
        <f t="shared" si="36"/>
        <v>45096.947760000003</v>
      </c>
      <c r="GS104" s="15">
        <f t="shared" si="37"/>
        <v>323.5075162123386</v>
      </c>
      <c r="GT104" s="2">
        <f t="shared" si="38"/>
        <v>317.44</v>
      </c>
      <c r="GU104" s="2">
        <f t="shared" si="39"/>
        <v>1046.4000000000001</v>
      </c>
      <c r="GV104" s="2">
        <f t="shared" si="40"/>
        <v>2075</v>
      </c>
      <c r="GW104" s="2">
        <f t="shared" si="41"/>
        <v>41.8</v>
      </c>
      <c r="GX104" s="4">
        <f t="shared" si="1823"/>
        <v>2.219593301435407</v>
      </c>
      <c r="GY104" s="15">
        <f t="shared" si="1824"/>
        <v>927.79000000000019</v>
      </c>
      <c r="GZ104" s="15">
        <f t="shared" si="1825"/>
        <v>12167.038060000001</v>
      </c>
      <c r="HA104" s="15">
        <f t="shared" si="1826"/>
        <v>291.07746555023925</v>
      </c>
      <c r="HB104" s="2">
        <f t="shared" si="42"/>
        <v>265.58999999999997</v>
      </c>
      <c r="HC104" s="2">
        <f t="shared" si="43"/>
        <v>662.20000000000016</v>
      </c>
      <c r="HD104" s="2" t="s">
        <v>3</v>
      </c>
      <c r="HE104" s="2" t="s">
        <v>37</v>
      </c>
      <c r="HF104" s="2" t="s">
        <v>106</v>
      </c>
      <c r="HG104" s="2" t="s">
        <v>106</v>
      </c>
      <c r="HH104" s="2"/>
      <c r="HI104" s="2" t="s">
        <v>81</v>
      </c>
      <c r="HJ104" s="2" t="s">
        <v>3</v>
      </c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 t="s">
        <v>3</v>
      </c>
    </row>
    <row r="105" spans="1:268" ht="15.75" customHeight="1" x14ac:dyDescent="0.2">
      <c r="A105" s="13" t="s">
        <v>422</v>
      </c>
      <c r="B105" s="2" t="s">
        <v>109</v>
      </c>
      <c r="C105" s="2"/>
      <c r="D105" s="2"/>
      <c r="E105" s="2" t="s">
        <v>78</v>
      </c>
      <c r="F105" s="2" t="s">
        <v>423</v>
      </c>
      <c r="G105" s="2"/>
      <c r="H105" s="2" t="s">
        <v>111</v>
      </c>
      <c r="I105" s="2">
        <v>39.4</v>
      </c>
      <c r="J105" s="2"/>
      <c r="K105" s="2"/>
      <c r="L105" s="2"/>
      <c r="M105" s="2"/>
      <c r="N105" s="2"/>
      <c r="O105" s="2"/>
      <c r="P105" s="2"/>
      <c r="Q105" s="2">
        <v>2.39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>
        <v>65.7</v>
      </c>
      <c r="AE105" s="2"/>
      <c r="AF105" s="2"/>
      <c r="AG105" s="2"/>
      <c r="AH105" s="2"/>
      <c r="AI105" s="2"/>
      <c r="AJ105" s="2"/>
      <c r="AK105" s="2"/>
      <c r="AL105" s="2">
        <v>2.42</v>
      </c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>
        <v>84.5</v>
      </c>
      <c r="AZ105" s="2"/>
      <c r="BA105" s="2"/>
      <c r="BB105" s="2"/>
      <c r="BC105" s="2"/>
      <c r="BD105" s="2"/>
      <c r="BE105" s="2"/>
      <c r="BF105" s="2"/>
      <c r="BG105" s="2">
        <v>2.4300000000000002</v>
      </c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>
        <v>17.100000000000001</v>
      </c>
      <c r="BU105" s="2"/>
      <c r="BV105" s="2"/>
      <c r="BW105" s="2"/>
      <c r="BX105" s="2"/>
      <c r="BY105" s="2"/>
      <c r="BZ105" s="2"/>
      <c r="CA105" s="2"/>
      <c r="CB105" s="2">
        <v>2.61</v>
      </c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>
        <v>19.2</v>
      </c>
      <c r="CP105" s="2"/>
      <c r="CQ105" s="2"/>
      <c r="CR105" s="2"/>
      <c r="CS105" s="2"/>
      <c r="CT105" s="2"/>
      <c r="CU105" s="2"/>
      <c r="CV105" s="2"/>
      <c r="CW105" s="2">
        <v>2.46</v>
      </c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 t="s">
        <v>81</v>
      </c>
      <c r="DK105" s="2"/>
      <c r="DL105" s="2">
        <f t="shared" si="3"/>
        <v>2.4182225738396625</v>
      </c>
      <c r="DM105" s="2">
        <f t="shared" si="4"/>
        <v>0</v>
      </c>
      <c r="DN105" s="2" t="s">
        <v>211</v>
      </c>
      <c r="DO105" s="2" t="s">
        <v>3</v>
      </c>
      <c r="DP105" s="2">
        <f t="shared" si="5"/>
        <v>0</v>
      </c>
      <c r="DQ105" s="2">
        <f t="shared" ref="DQ105:DR105" si="1859">K105*$I105+AF105*$AD105+BA105*$AY105</f>
        <v>0</v>
      </c>
      <c r="DR105" s="2">
        <f t="shared" si="1859"/>
        <v>0</v>
      </c>
      <c r="DS105" s="2">
        <f t="shared" ref="DS105:DX105" si="1860">(M105*$I105+AH105*$AD105+BC105*$AY105)/100</f>
        <v>0</v>
      </c>
      <c r="DT105" s="2">
        <f t="shared" si="1860"/>
        <v>0</v>
      </c>
      <c r="DU105" s="2">
        <f t="shared" si="1860"/>
        <v>0</v>
      </c>
      <c r="DV105" s="2">
        <f t="shared" si="1860"/>
        <v>0</v>
      </c>
      <c r="DW105" s="2">
        <f t="shared" si="1860"/>
        <v>4.5849500000000001</v>
      </c>
      <c r="DX105" s="2">
        <f t="shared" si="1860"/>
        <v>0</v>
      </c>
      <c r="DY105" s="2">
        <f t="shared" ref="DY105:EC105" si="1861">S105*$I105+AN105*$AD105+BI105*$AY105</f>
        <v>0</v>
      </c>
      <c r="DZ105" s="2">
        <f t="shared" si="1861"/>
        <v>0</v>
      </c>
      <c r="EA105" s="2">
        <f t="shared" si="1861"/>
        <v>0</v>
      </c>
      <c r="EB105" s="2">
        <f t="shared" si="1861"/>
        <v>0</v>
      </c>
      <c r="EC105" s="2">
        <f t="shared" si="1861"/>
        <v>0</v>
      </c>
      <c r="ED105" s="2">
        <f t="shared" ref="ED105:EE105" si="1862">(X105*$I105+AS105*$AD105+BN105*$AY105)/100</f>
        <v>0</v>
      </c>
      <c r="EE105" s="2">
        <f t="shared" si="1862"/>
        <v>0</v>
      </c>
      <c r="EF105" s="2"/>
      <c r="EG105" s="2">
        <f t="shared" si="10"/>
        <v>0</v>
      </c>
      <c r="EH105" s="2">
        <f t="shared" si="11"/>
        <v>0</v>
      </c>
      <c r="EI105" s="39">
        <f t="shared" si="12"/>
        <v>0</v>
      </c>
      <c r="EJ105" s="39">
        <f t="shared" ref="EJ105:EK105" si="1863">EJ$1*DQ105/1000000</f>
        <v>0</v>
      </c>
      <c r="EK105" s="39">
        <f t="shared" si="1863"/>
        <v>0</v>
      </c>
      <c r="EL105" s="39">
        <f t="shared" ref="EL105:EQ105" si="1864">EL$1*DS105</f>
        <v>0</v>
      </c>
      <c r="EM105" s="39">
        <f t="shared" si="1864"/>
        <v>0</v>
      </c>
      <c r="EN105" s="39">
        <f t="shared" si="1864"/>
        <v>0</v>
      </c>
      <c r="EO105" s="39">
        <f t="shared" si="1864"/>
        <v>0</v>
      </c>
      <c r="EP105" s="39">
        <f t="shared" si="1864"/>
        <v>60127.034299999999</v>
      </c>
      <c r="EQ105" s="39">
        <f t="shared" si="1864"/>
        <v>0</v>
      </c>
      <c r="ER105" s="39">
        <f t="shared" ref="ER105:EV105" si="1865">ER$1*DY105/1000000</f>
        <v>0</v>
      </c>
      <c r="ES105" s="39">
        <f t="shared" si="1865"/>
        <v>0</v>
      </c>
      <c r="ET105" s="39">
        <f t="shared" si="1865"/>
        <v>0</v>
      </c>
      <c r="EU105" s="39">
        <f t="shared" si="1865"/>
        <v>0</v>
      </c>
      <c r="EV105" s="39">
        <f t="shared" si="1865"/>
        <v>0</v>
      </c>
      <c r="EW105" s="39">
        <f t="shared" ref="EW105:EX105" si="1866">EW$1*ED105</f>
        <v>0</v>
      </c>
      <c r="EX105" s="39">
        <f t="shared" si="1866"/>
        <v>0</v>
      </c>
      <c r="EY105" s="2"/>
      <c r="EZ105" s="39">
        <f t="shared" si="17"/>
        <v>0</v>
      </c>
      <c r="FA105" s="39">
        <f t="shared" si="18"/>
        <v>0</v>
      </c>
      <c r="FB105" s="2">
        <f t="shared" si="19"/>
        <v>0</v>
      </c>
      <c r="FC105" s="2">
        <f t="shared" ref="FC105:FD105" si="1867">BV105*$BT105+CQ105*$CO105</f>
        <v>0</v>
      </c>
      <c r="FD105" s="2">
        <f t="shared" si="1867"/>
        <v>0</v>
      </c>
      <c r="FE105" s="2">
        <f t="shared" ref="FE105:FJ105" si="1868">(BX105*$BT105+CS105*$CO105)/100</f>
        <v>0</v>
      </c>
      <c r="FF105" s="2">
        <f t="shared" si="1868"/>
        <v>0</v>
      </c>
      <c r="FG105" s="2">
        <f t="shared" si="1868"/>
        <v>0</v>
      </c>
      <c r="FH105" s="2">
        <f t="shared" si="1868"/>
        <v>0</v>
      </c>
      <c r="FI105" s="2">
        <f t="shared" si="1868"/>
        <v>0.91862999999999995</v>
      </c>
      <c r="FJ105" s="2">
        <f t="shared" si="1868"/>
        <v>0</v>
      </c>
      <c r="FK105" s="2">
        <f t="shared" ref="FK105:FO105" si="1869">CD105*$BT105+CY105*$CO105</f>
        <v>0</v>
      </c>
      <c r="FL105" s="2">
        <f t="shared" si="1869"/>
        <v>0</v>
      </c>
      <c r="FM105" s="2">
        <f t="shared" si="1869"/>
        <v>0</v>
      </c>
      <c r="FN105" s="2">
        <f t="shared" si="1869"/>
        <v>0</v>
      </c>
      <c r="FO105" s="2">
        <f t="shared" si="1869"/>
        <v>0</v>
      </c>
      <c r="FP105" s="2">
        <f t="shared" ref="FP105:FQ105" si="1870">(CI105*$BT105+DD105*$CO105)/100</f>
        <v>0</v>
      </c>
      <c r="FQ105" s="2">
        <f t="shared" si="1870"/>
        <v>0</v>
      </c>
      <c r="FR105" s="2"/>
      <c r="FS105" s="2">
        <f t="shared" si="24"/>
        <v>0</v>
      </c>
      <c r="FT105" s="2">
        <f t="shared" si="25"/>
        <v>0</v>
      </c>
      <c r="FU105" s="39">
        <f t="shared" si="26"/>
        <v>0</v>
      </c>
      <c r="FV105" s="39">
        <f t="shared" ref="FV105:FW105" si="1871">FV$1*FC105/1000000</f>
        <v>0</v>
      </c>
      <c r="FW105" s="39">
        <f t="shared" si="1871"/>
        <v>0</v>
      </c>
      <c r="FX105" s="39">
        <f t="shared" ref="FX105:GC105" si="1872">FX$1*FE105</f>
        <v>0</v>
      </c>
      <c r="FY105" s="39">
        <f t="shared" si="1872"/>
        <v>0</v>
      </c>
      <c r="FZ105" s="39">
        <f t="shared" si="1872"/>
        <v>0</v>
      </c>
      <c r="GA105" s="39">
        <f t="shared" si="1872"/>
        <v>0</v>
      </c>
      <c r="GB105" s="39">
        <f t="shared" si="1872"/>
        <v>12046.91382</v>
      </c>
      <c r="GC105" s="39">
        <f t="shared" si="1872"/>
        <v>0</v>
      </c>
      <c r="GD105" s="39">
        <f t="shared" ref="GD105:GH105" si="1873">GD$1*FK105/1000000</f>
        <v>0</v>
      </c>
      <c r="GE105" s="39">
        <f t="shared" si="1873"/>
        <v>0</v>
      </c>
      <c r="GF105" s="39">
        <f t="shared" si="1873"/>
        <v>0</v>
      </c>
      <c r="GG105" s="39">
        <f t="shared" si="1873"/>
        <v>0</v>
      </c>
      <c r="GH105" s="39">
        <f t="shared" si="1873"/>
        <v>0</v>
      </c>
      <c r="GI105" s="39">
        <f t="shared" ref="GI105:GJ105" si="1874">GI$1*FP105</f>
        <v>0</v>
      </c>
      <c r="GJ105" s="39">
        <f t="shared" si="1874"/>
        <v>0</v>
      </c>
      <c r="GK105" s="2"/>
      <c r="GL105" s="39">
        <f t="shared" si="31"/>
        <v>0</v>
      </c>
      <c r="GM105" s="39">
        <f t="shared" si="32"/>
        <v>0</v>
      </c>
      <c r="GN105" s="2" t="s">
        <v>3</v>
      </c>
      <c r="GO105" s="2">
        <f t="shared" si="33"/>
        <v>189.6</v>
      </c>
      <c r="GP105" s="4">
        <f t="shared" si="34"/>
        <v>2.4182225738396625</v>
      </c>
      <c r="GQ105" s="18">
        <f t="shared" si="35"/>
        <v>4584.95</v>
      </c>
      <c r="GR105" s="15">
        <f t="shared" si="36"/>
        <v>60127.034299999999</v>
      </c>
      <c r="GS105" s="15">
        <f t="shared" si="37"/>
        <v>317.12570833333336</v>
      </c>
      <c r="GT105" s="2">
        <f t="shared" si="38"/>
        <v>941.66</v>
      </c>
      <c r="GU105" s="2">
        <f t="shared" si="39"/>
        <v>1589.94</v>
      </c>
      <c r="GV105" s="2">
        <f t="shared" si="40"/>
        <v>2053.35</v>
      </c>
      <c r="GW105" s="2">
        <f t="shared" si="41"/>
        <v>36.299999999999997</v>
      </c>
      <c r="GX105" s="4">
        <f t="shared" si="1823"/>
        <v>2.5306611570247934</v>
      </c>
      <c r="GY105" s="15">
        <f t="shared" si="1824"/>
        <v>918.63</v>
      </c>
      <c r="GZ105" s="15">
        <f t="shared" si="1825"/>
        <v>12046.91382</v>
      </c>
      <c r="HA105" s="15">
        <f t="shared" si="1826"/>
        <v>331.87090413223143</v>
      </c>
      <c r="HB105" s="2">
        <f t="shared" si="42"/>
        <v>446.31</v>
      </c>
      <c r="HC105" s="2">
        <f t="shared" si="43"/>
        <v>472.32</v>
      </c>
      <c r="HD105" s="2" t="s">
        <v>3</v>
      </c>
      <c r="HE105" s="2" t="s">
        <v>37</v>
      </c>
      <c r="HF105" s="2" t="s">
        <v>106</v>
      </c>
      <c r="HG105" s="2" t="s">
        <v>106</v>
      </c>
      <c r="HH105" s="2"/>
      <c r="HI105" s="2" t="s">
        <v>81</v>
      </c>
      <c r="HJ105" s="2" t="s">
        <v>3</v>
      </c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 t="s">
        <v>3</v>
      </c>
    </row>
    <row r="106" spans="1:268" ht="15.75" customHeight="1" x14ac:dyDescent="0.2">
      <c r="A106" s="13" t="s">
        <v>227</v>
      </c>
      <c r="B106" s="2" t="s">
        <v>109</v>
      </c>
      <c r="C106" s="2"/>
      <c r="D106" s="2"/>
      <c r="E106" s="2" t="s">
        <v>78</v>
      </c>
      <c r="F106" s="2" t="s">
        <v>228</v>
      </c>
      <c r="G106" s="2"/>
      <c r="H106" s="2" t="s">
        <v>141</v>
      </c>
      <c r="I106" s="2">
        <v>0</v>
      </c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>
        <v>0</v>
      </c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>
        <v>9.1300000000000008</v>
      </c>
      <c r="AZ106" s="2"/>
      <c r="BA106" s="2"/>
      <c r="BB106" s="2"/>
      <c r="BC106" s="2"/>
      <c r="BD106" s="2"/>
      <c r="BE106" s="2"/>
      <c r="BF106" s="2"/>
      <c r="BG106" s="2">
        <v>1.55</v>
      </c>
      <c r="BH106" s="2">
        <v>0.08</v>
      </c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>
        <v>0</v>
      </c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>
        <v>0</v>
      </c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 t="s">
        <v>81</v>
      </c>
      <c r="DK106" s="2"/>
      <c r="DL106" s="2">
        <f t="shared" si="3"/>
        <v>1.55</v>
      </c>
      <c r="DM106" s="2">
        <f t="shared" si="4"/>
        <v>0.08</v>
      </c>
      <c r="DN106" s="2" t="s">
        <v>82</v>
      </c>
      <c r="DO106" s="2" t="s">
        <v>3</v>
      </c>
      <c r="DP106" s="2">
        <f t="shared" si="5"/>
        <v>0</v>
      </c>
      <c r="DQ106" s="2">
        <f t="shared" ref="DQ106:DR106" si="1875">K106*$I106+AF106*$AD106+BA106*$AY106</f>
        <v>0</v>
      </c>
      <c r="DR106" s="2">
        <f t="shared" si="1875"/>
        <v>0</v>
      </c>
      <c r="DS106" s="2">
        <f t="shared" ref="DS106:DX106" si="1876">(M106*$I106+AH106*$AD106+BC106*$AY106)/100</f>
        <v>0</v>
      </c>
      <c r="DT106" s="2">
        <f t="shared" si="1876"/>
        <v>0</v>
      </c>
      <c r="DU106" s="2">
        <f t="shared" si="1876"/>
        <v>0</v>
      </c>
      <c r="DV106" s="2">
        <f t="shared" si="1876"/>
        <v>0</v>
      </c>
      <c r="DW106" s="2">
        <f t="shared" si="1876"/>
        <v>0.14151500000000003</v>
      </c>
      <c r="DX106" s="2">
        <f t="shared" si="1876"/>
        <v>7.3040000000000006E-3</v>
      </c>
      <c r="DY106" s="2">
        <f t="shared" ref="DY106:EC106" si="1877">S106*$I106+AN106*$AD106+BI106*$AY106</f>
        <v>0</v>
      </c>
      <c r="DZ106" s="2">
        <f t="shared" si="1877"/>
        <v>0</v>
      </c>
      <c r="EA106" s="2">
        <f t="shared" si="1877"/>
        <v>0</v>
      </c>
      <c r="EB106" s="2">
        <f t="shared" si="1877"/>
        <v>0</v>
      </c>
      <c r="EC106" s="2">
        <f t="shared" si="1877"/>
        <v>0</v>
      </c>
      <c r="ED106" s="2">
        <f t="shared" ref="ED106:EE106" si="1878">(X106*$I106+AS106*$AD106+BN106*$AY106)/100</f>
        <v>0</v>
      </c>
      <c r="EE106" s="2">
        <f t="shared" si="1878"/>
        <v>0</v>
      </c>
      <c r="EF106" s="2"/>
      <c r="EG106" s="2">
        <f t="shared" si="10"/>
        <v>0</v>
      </c>
      <c r="EH106" s="2">
        <f t="shared" si="11"/>
        <v>0</v>
      </c>
      <c r="EI106" s="39">
        <f t="shared" si="12"/>
        <v>0</v>
      </c>
      <c r="EJ106" s="39">
        <f t="shared" ref="EJ106:EK106" si="1879">EJ$1*DQ106/1000000</f>
        <v>0</v>
      </c>
      <c r="EK106" s="39">
        <f t="shared" si="1879"/>
        <v>0</v>
      </c>
      <c r="EL106" s="39">
        <f t="shared" ref="EL106:EQ106" si="1880">EL$1*DS106</f>
        <v>0</v>
      </c>
      <c r="EM106" s="39">
        <f t="shared" si="1880"/>
        <v>0</v>
      </c>
      <c r="EN106" s="39">
        <f t="shared" si="1880"/>
        <v>0</v>
      </c>
      <c r="EO106" s="39">
        <f t="shared" si="1880"/>
        <v>0</v>
      </c>
      <c r="EP106" s="39">
        <f t="shared" si="1880"/>
        <v>1855.8277100000005</v>
      </c>
      <c r="EQ106" s="39">
        <f t="shared" si="1880"/>
        <v>530.41300329599994</v>
      </c>
      <c r="ER106" s="39">
        <f t="shared" ref="ER106:EV106" si="1881">ER$1*DY106/1000000</f>
        <v>0</v>
      </c>
      <c r="ES106" s="39">
        <f t="shared" si="1881"/>
        <v>0</v>
      </c>
      <c r="ET106" s="39">
        <f t="shared" si="1881"/>
        <v>0</v>
      </c>
      <c r="EU106" s="39">
        <f t="shared" si="1881"/>
        <v>0</v>
      </c>
      <c r="EV106" s="39">
        <f t="shared" si="1881"/>
        <v>0</v>
      </c>
      <c r="EW106" s="39">
        <f t="shared" ref="EW106:EX106" si="1882">EW$1*ED106</f>
        <v>0</v>
      </c>
      <c r="EX106" s="39">
        <f t="shared" si="1882"/>
        <v>0</v>
      </c>
      <c r="EY106" s="2"/>
      <c r="EZ106" s="39">
        <f t="shared" si="17"/>
        <v>0</v>
      </c>
      <c r="FA106" s="39">
        <f t="shared" si="18"/>
        <v>0</v>
      </c>
      <c r="FB106" s="2">
        <f t="shared" si="19"/>
        <v>0</v>
      </c>
      <c r="FC106" s="2">
        <f t="shared" ref="FC106:FD106" si="1883">BV106*$BT106+CQ106*$CO106</f>
        <v>0</v>
      </c>
      <c r="FD106" s="2">
        <f t="shared" si="1883"/>
        <v>0</v>
      </c>
      <c r="FE106" s="2">
        <f t="shared" ref="FE106:FJ106" si="1884">(BX106*$BT106+CS106*$CO106)/100</f>
        <v>0</v>
      </c>
      <c r="FF106" s="2">
        <f t="shared" si="1884"/>
        <v>0</v>
      </c>
      <c r="FG106" s="2">
        <f t="shared" si="1884"/>
        <v>0</v>
      </c>
      <c r="FH106" s="2">
        <f t="shared" si="1884"/>
        <v>0</v>
      </c>
      <c r="FI106" s="2">
        <f t="shared" si="1884"/>
        <v>0</v>
      </c>
      <c r="FJ106" s="2">
        <f t="shared" si="1884"/>
        <v>0</v>
      </c>
      <c r="FK106" s="2">
        <f t="shared" ref="FK106:FO106" si="1885">CD106*$BT106+CY106*$CO106</f>
        <v>0</v>
      </c>
      <c r="FL106" s="2">
        <f t="shared" si="1885"/>
        <v>0</v>
      </c>
      <c r="FM106" s="2">
        <f t="shared" si="1885"/>
        <v>0</v>
      </c>
      <c r="FN106" s="2">
        <f t="shared" si="1885"/>
        <v>0</v>
      </c>
      <c r="FO106" s="2">
        <f t="shared" si="1885"/>
        <v>0</v>
      </c>
      <c r="FP106" s="2">
        <f t="shared" ref="FP106:FQ106" si="1886">(CI106*$BT106+DD106*$CO106)/100</f>
        <v>0</v>
      </c>
      <c r="FQ106" s="2">
        <f t="shared" si="1886"/>
        <v>0</v>
      </c>
      <c r="FR106" s="2"/>
      <c r="FS106" s="2">
        <f t="shared" si="24"/>
        <v>0</v>
      </c>
      <c r="FT106" s="2">
        <f t="shared" si="25"/>
        <v>0</v>
      </c>
      <c r="FU106" s="39">
        <f t="shared" si="26"/>
        <v>0</v>
      </c>
      <c r="FV106" s="39">
        <f t="shared" ref="FV106:FW106" si="1887">FV$1*FC106/1000000</f>
        <v>0</v>
      </c>
      <c r="FW106" s="39">
        <f t="shared" si="1887"/>
        <v>0</v>
      </c>
      <c r="FX106" s="39">
        <f t="shared" ref="FX106:GC106" si="1888">FX$1*FE106</f>
        <v>0</v>
      </c>
      <c r="FY106" s="39">
        <f t="shared" si="1888"/>
        <v>0</v>
      </c>
      <c r="FZ106" s="39">
        <f t="shared" si="1888"/>
        <v>0</v>
      </c>
      <c r="GA106" s="39">
        <f t="shared" si="1888"/>
        <v>0</v>
      </c>
      <c r="GB106" s="39">
        <f t="shared" si="1888"/>
        <v>0</v>
      </c>
      <c r="GC106" s="39">
        <f t="shared" si="1888"/>
        <v>0</v>
      </c>
      <c r="GD106" s="39">
        <f t="shared" ref="GD106:GH106" si="1889">GD$1*FK106/1000000</f>
        <v>0</v>
      </c>
      <c r="GE106" s="39">
        <f t="shared" si="1889"/>
        <v>0</v>
      </c>
      <c r="GF106" s="39">
        <f t="shared" si="1889"/>
        <v>0</v>
      </c>
      <c r="GG106" s="39">
        <f t="shared" si="1889"/>
        <v>0</v>
      </c>
      <c r="GH106" s="39">
        <f t="shared" si="1889"/>
        <v>0</v>
      </c>
      <c r="GI106" s="39">
        <f t="shared" ref="GI106:GJ106" si="1890">GI$1*FP106</f>
        <v>0</v>
      </c>
      <c r="GJ106" s="39">
        <f t="shared" si="1890"/>
        <v>0</v>
      </c>
      <c r="GK106" s="2"/>
      <c r="GL106" s="39">
        <f t="shared" si="31"/>
        <v>0</v>
      </c>
      <c r="GM106" s="39">
        <f t="shared" si="32"/>
        <v>0</v>
      </c>
      <c r="GN106" s="2" t="s">
        <v>3</v>
      </c>
      <c r="GO106" s="2">
        <f t="shared" si="33"/>
        <v>9.1300000000000008</v>
      </c>
      <c r="GP106" s="4">
        <f t="shared" si="34"/>
        <v>1.55</v>
      </c>
      <c r="GQ106" s="15">
        <f t="shared" si="35"/>
        <v>141.51499999999999</v>
      </c>
      <c r="GR106" s="15">
        <f t="shared" si="36"/>
        <v>2386.2407132960006</v>
      </c>
      <c r="GS106" s="15">
        <f t="shared" si="37"/>
        <v>261.36261920000004</v>
      </c>
      <c r="GT106" s="2">
        <f t="shared" si="38"/>
        <v>0</v>
      </c>
      <c r="GU106" s="2">
        <f t="shared" si="39"/>
        <v>0</v>
      </c>
      <c r="GV106" s="2">
        <f t="shared" si="40"/>
        <v>141.51500000000001</v>
      </c>
      <c r="GW106" s="2">
        <f t="shared" si="41"/>
        <v>0</v>
      </c>
      <c r="GX106" s="2"/>
      <c r="GY106" s="2"/>
      <c r="GZ106" s="2"/>
      <c r="HA106" s="2"/>
      <c r="HB106" s="2">
        <f t="shared" si="42"/>
        <v>0</v>
      </c>
      <c r="HC106" s="2">
        <f t="shared" si="43"/>
        <v>0</v>
      </c>
      <c r="HD106" s="2" t="s">
        <v>3</v>
      </c>
      <c r="HE106" s="2" t="s">
        <v>37</v>
      </c>
      <c r="HF106" s="2" t="s">
        <v>229</v>
      </c>
      <c r="HG106" s="2" t="s">
        <v>106</v>
      </c>
      <c r="HH106" s="2"/>
      <c r="HI106" s="2" t="s">
        <v>81</v>
      </c>
      <c r="HJ106" s="2" t="s">
        <v>3</v>
      </c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 t="s">
        <v>3</v>
      </c>
    </row>
    <row r="107" spans="1:268" ht="15.75" customHeight="1" x14ac:dyDescent="0.2">
      <c r="A107" s="13" t="s">
        <v>849</v>
      </c>
      <c r="B107" s="2" t="s">
        <v>99</v>
      </c>
      <c r="C107" s="2"/>
      <c r="D107" s="2"/>
      <c r="E107" s="2" t="s">
        <v>78</v>
      </c>
      <c r="F107" s="2" t="s">
        <v>228</v>
      </c>
      <c r="G107" s="2"/>
      <c r="H107" s="2" t="s">
        <v>141</v>
      </c>
      <c r="I107" s="2">
        <v>0</v>
      </c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>
        <v>0</v>
      </c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>
        <v>43</v>
      </c>
      <c r="AZ107" s="2"/>
      <c r="BA107" s="2"/>
      <c r="BB107" s="2"/>
      <c r="BC107" s="2"/>
      <c r="BD107" s="2"/>
      <c r="BE107" s="2"/>
      <c r="BF107" s="2"/>
      <c r="BG107" s="2">
        <v>0.8</v>
      </c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>
        <v>0</v>
      </c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>
        <v>0</v>
      </c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 t="s">
        <v>81</v>
      </c>
      <c r="DK107" s="2"/>
      <c r="DL107" s="2">
        <f t="shared" si="3"/>
        <v>0.79999999999999993</v>
      </c>
      <c r="DM107" s="2">
        <f t="shared" si="4"/>
        <v>0</v>
      </c>
      <c r="DN107" s="2" t="s">
        <v>82</v>
      </c>
      <c r="DO107" s="2" t="s">
        <v>3</v>
      </c>
      <c r="DP107" s="2">
        <f t="shared" si="5"/>
        <v>0</v>
      </c>
      <c r="DQ107" s="2">
        <f t="shared" ref="DQ107:DR107" si="1891">K107*$I107+AF107*$AD107+BA107*$AY107</f>
        <v>0</v>
      </c>
      <c r="DR107" s="2">
        <f t="shared" si="1891"/>
        <v>0</v>
      </c>
      <c r="DS107" s="2">
        <f t="shared" ref="DS107:DX107" si="1892">(M107*$I107+AH107*$AD107+BC107*$AY107)/100</f>
        <v>0</v>
      </c>
      <c r="DT107" s="2">
        <f t="shared" si="1892"/>
        <v>0</v>
      </c>
      <c r="DU107" s="2">
        <f t="shared" si="1892"/>
        <v>0</v>
      </c>
      <c r="DV107" s="2">
        <f t="shared" si="1892"/>
        <v>0</v>
      </c>
      <c r="DW107" s="2">
        <f t="shared" si="1892"/>
        <v>0.34399999999999997</v>
      </c>
      <c r="DX107" s="2">
        <f t="shared" si="1892"/>
        <v>0</v>
      </c>
      <c r="DY107" s="2">
        <f t="shared" ref="DY107:EC107" si="1893">S107*$I107+AN107*$AD107+BI107*$AY107</f>
        <v>0</v>
      </c>
      <c r="DZ107" s="2">
        <f t="shared" si="1893"/>
        <v>0</v>
      </c>
      <c r="EA107" s="2">
        <f t="shared" si="1893"/>
        <v>0</v>
      </c>
      <c r="EB107" s="2">
        <f t="shared" si="1893"/>
        <v>0</v>
      </c>
      <c r="EC107" s="2">
        <f t="shared" si="1893"/>
        <v>0</v>
      </c>
      <c r="ED107" s="2">
        <f t="shared" ref="ED107:EE107" si="1894">(X107*$I107+AS107*$AD107+BN107*$AY107)/100</f>
        <v>0</v>
      </c>
      <c r="EE107" s="2">
        <f t="shared" si="1894"/>
        <v>0</v>
      </c>
      <c r="EF107" s="2"/>
      <c r="EG107" s="2">
        <f t="shared" si="10"/>
        <v>0</v>
      </c>
      <c r="EH107" s="2">
        <f t="shared" si="11"/>
        <v>0</v>
      </c>
      <c r="EI107" s="39">
        <f t="shared" si="12"/>
        <v>0</v>
      </c>
      <c r="EJ107" s="39">
        <f t="shared" ref="EJ107:EK107" si="1895">EJ$1*DQ107/1000000</f>
        <v>0</v>
      </c>
      <c r="EK107" s="39">
        <f t="shared" si="1895"/>
        <v>0</v>
      </c>
      <c r="EL107" s="39">
        <f t="shared" ref="EL107:EQ107" si="1896">EL$1*DS107</f>
        <v>0</v>
      </c>
      <c r="EM107" s="39">
        <f t="shared" si="1896"/>
        <v>0</v>
      </c>
      <c r="EN107" s="39">
        <f t="shared" si="1896"/>
        <v>0</v>
      </c>
      <c r="EO107" s="39">
        <f t="shared" si="1896"/>
        <v>0</v>
      </c>
      <c r="EP107" s="39">
        <f t="shared" si="1896"/>
        <v>4511.2159999999994</v>
      </c>
      <c r="EQ107" s="39">
        <f t="shared" si="1896"/>
        <v>0</v>
      </c>
      <c r="ER107" s="39">
        <f t="shared" ref="ER107:EV107" si="1897">ER$1*DY107/1000000</f>
        <v>0</v>
      </c>
      <c r="ES107" s="39">
        <f t="shared" si="1897"/>
        <v>0</v>
      </c>
      <c r="ET107" s="39">
        <f t="shared" si="1897"/>
        <v>0</v>
      </c>
      <c r="EU107" s="39">
        <f t="shared" si="1897"/>
        <v>0</v>
      </c>
      <c r="EV107" s="39">
        <f t="shared" si="1897"/>
        <v>0</v>
      </c>
      <c r="EW107" s="39">
        <f t="shared" ref="EW107:EX107" si="1898">EW$1*ED107</f>
        <v>0</v>
      </c>
      <c r="EX107" s="39">
        <f t="shared" si="1898"/>
        <v>0</v>
      </c>
      <c r="EY107" s="2"/>
      <c r="EZ107" s="39">
        <f t="shared" si="17"/>
        <v>0</v>
      </c>
      <c r="FA107" s="39">
        <f t="shared" si="18"/>
        <v>0</v>
      </c>
      <c r="FB107" s="2">
        <f t="shared" si="19"/>
        <v>0</v>
      </c>
      <c r="FC107" s="2">
        <f t="shared" ref="FC107:FD107" si="1899">BV107*$BT107+CQ107*$CO107</f>
        <v>0</v>
      </c>
      <c r="FD107" s="2">
        <f t="shared" si="1899"/>
        <v>0</v>
      </c>
      <c r="FE107" s="2">
        <f t="shared" ref="FE107:FJ107" si="1900">(BX107*$BT107+CS107*$CO107)/100</f>
        <v>0</v>
      </c>
      <c r="FF107" s="2">
        <f t="shared" si="1900"/>
        <v>0</v>
      </c>
      <c r="FG107" s="2">
        <f t="shared" si="1900"/>
        <v>0</v>
      </c>
      <c r="FH107" s="2">
        <f t="shared" si="1900"/>
        <v>0</v>
      </c>
      <c r="FI107" s="2">
        <f t="shared" si="1900"/>
        <v>0</v>
      </c>
      <c r="FJ107" s="2">
        <f t="shared" si="1900"/>
        <v>0</v>
      </c>
      <c r="FK107" s="2">
        <f t="shared" ref="FK107:FO107" si="1901">CD107*$BT107+CY107*$CO107</f>
        <v>0</v>
      </c>
      <c r="FL107" s="2">
        <f t="shared" si="1901"/>
        <v>0</v>
      </c>
      <c r="FM107" s="2">
        <f t="shared" si="1901"/>
        <v>0</v>
      </c>
      <c r="FN107" s="2">
        <f t="shared" si="1901"/>
        <v>0</v>
      </c>
      <c r="FO107" s="2">
        <f t="shared" si="1901"/>
        <v>0</v>
      </c>
      <c r="FP107" s="2">
        <f t="shared" ref="FP107:FQ107" si="1902">(CI107*$BT107+DD107*$CO107)/100</f>
        <v>0</v>
      </c>
      <c r="FQ107" s="2">
        <f t="shared" si="1902"/>
        <v>0</v>
      </c>
      <c r="FR107" s="2"/>
      <c r="FS107" s="2">
        <f t="shared" si="24"/>
        <v>0</v>
      </c>
      <c r="FT107" s="2">
        <f t="shared" si="25"/>
        <v>0</v>
      </c>
      <c r="FU107" s="39">
        <f t="shared" si="26"/>
        <v>0</v>
      </c>
      <c r="FV107" s="39">
        <f t="shared" ref="FV107:FW107" si="1903">FV$1*FC107/1000000</f>
        <v>0</v>
      </c>
      <c r="FW107" s="39">
        <f t="shared" si="1903"/>
        <v>0</v>
      </c>
      <c r="FX107" s="39">
        <f t="shared" ref="FX107:GC107" si="1904">FX$1*FE107</f>
        <v>0</v>
      </c>
      <c r="FY107" s="39">
        <f t="shared" si="1904"/>
        <v>0</v>
      </c>
      <c r="FZ107" s="39">
        <f t="shared" si="1904"/>
        <v>0</v>
      </c>
      <c r="GA107" s="39">
        <f t="shared" si="1904"/>
        <v>0</v>
      </c>
      <c r="GB107" s="39">
        <f t="shared" si="1904"/>
        <v>0</v>
      </c>
      <c r="GC107" s="39">
        <f t="shared" si="1904"/>
        <v>0</v>
      </c>
      <c r="GD107" s="39">
        <f t="shared" ref="GD107:GH107" si="1905">GD$1*FK107/1000000</f>
        <v>0</v>
      </c>
      <c r="GE107" s="39">
        <f t="shared" si="1905"/>
        <v>0</v>
      </c>
      <c r="GF107" s="39">
        <f t="shared" si="1905"/>
        <v>0</v>
      </c>
      <c r="GG107" s="39">
        <f t="shared" si="1905"/>
        <v>0</v>
      </c>
      <c r="GH107" s="39">
        <f t="shared" si="1905"/>
        <v>0</v>
      </c>
      <c r="GI107" s="39">
        <f t="shared" ref="GI107:GJ107" si="1906">GI$1*FP107</f>
        <v>0</v>
      </c>
      <c r="GJ107" s="39">
        <f t="shared" si="1906"/>
        <v>0</v>
      </c>
      <c r="GK107" s="2"/>
      <c r="GL107" s="39">
        <f t="shared" si="31"/>
        <v>0</v>
      </c>
      <c r="GM107" s="39">
        <f t="shared" si="32"/>
        <v>0</v>
      </c>
      <c r="GN107" s="2" t="s">
        <v>3</v>
      </c>
      <c r="GO107" s="2">
        <f t="shared" si="33"/>
        <v>43</v>
      </c>
      <c r="GP107" s="4">
        <f t="shared" si="34"/>
        <v>0.79999999999999993</v>
      </c>
      <c r="GQ107" s="15">
        <f t="shared" si="35"/>
        <v>344</v>
      </c>
      <c r="GR107" s="15">
        <f t="shared" si="36"/>
        <v>4511.2159999999994</v>
      </c>
      <c r="GS107" s="15">
        <f t="shared" si="37"/>
        <v>104.91199999999999</v>
      </c>
      <c r="GT107" s="2">
        <f t="shared" si="38"/>
        <v>0</v>
      </c>
      <c r="GU107" s="2">
        <f t="shared" si="39"/>
        <v>0</v>
      </c>
      <c r="GV107" s="2">
        <f t="shared" si="40"/>
        <v>344</v>
      </c>
      <c r="GW107" s="2">
        <f t="shared" si="41"/>
        <v>0</v>
      </c>
      <c r="GX107" s="2"/>
      <c r="GY107" s="2"/>
      <c r="GZ107" s="2"/>
      <c r="HA107" s="2"/>
      <c r="HB107" s="2">
        <f t="shared" si="42"/>
        <v>0</v>
      </c>
      <c r="HC107" s="2">
        <f t="shared" si="43"/>
        <v>0</v>
      </c>
      <c r="HD107" s="2" t="s">
        <v>3</v>
      </c>
      <c r="HE107" s="2" t="s">
        <v>37</v>
      </c>
      <c r="HF107" s="2" t="s">
        <v>229</v>
      </c>
      <c r="HG107" s="2" t="s">
        <v>106</v>
      </c>
      <c r="HH107" s="2"/>
      <c r="HI107" s="2" t="s">
        <v>81</v>
      </c>
      <c r="HJ107" s="2" t="s">
        <v>3</v>
      </c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 t="s">
        <v>3</v>
      </c>
    </row>
    <row r="108" spans="1:268" ht="15.75" customHeight="1" x14ac:dyDescent="0.2">
      <c r="A108" s="13" t="s">
        <v>531</v>
      </c>
      <c r="B108" s="2" t="s">
        <v>109</v>
      </c>
      <c r="C108" s="2"/>
      <c r="D108" s="2"/>
      <c r="E108" s="2" t="s">
        <v>78</v>
      </c>
      <c r="F108" s="2" t="s">
        <v>304</v>
      </c>
      <c r="G108" s="2"/>
      <c r="H108" s="2" t="s">
        <v>141</v>
      </c>
      <c r="I108" s="2">
        <v>0</v>
      </c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4">
        <f>7.617+9.108</f>
        <v>16.725000000000001</v>
      </c>
      <c r="AE108" s="2"/>
      <c r="AF108" s="2"/>
      <c r="AG108" s="2"/>
      <c r="AH108" s="2"/>
      <c r="AI108" s="2"/>
      <c r="AJ108" s="2"/>
      <c r="AK108" s="2"/>
      <c r="AL108" s="4">
        <f>(1.28*7.617+1.06*9.108)/AD108</f>
        <v>1.1601937219730942</v>
      </c>
      <c r="AM108" s="2"/>
      <c r="AN108" s="2"/>
      <c r="AO108" s="2"/>
      <c r="AP108" s="2"/>
      <c r="AQ108" s="2"/>
      <c r="AR108" s="2"/>
      <c r="AS108" s="2"/>
      <c r="AT108" s="4">
        <f>(12.43*7.617+40.46*9.108)/AD108</f>
        <v>27.694408968609864</v>
      </c>
      <c r="AU108" s="2"/>
      <c r="AV108" s="2"/>
      <c r="AW108" s="2"/>
      <c r="AX108" s="4">
        <f>100*((11.55+13.965)-(7.617+9.108))/(11.55+13.965)</f>
        <v>34.450323339212225</v>
      </c>
      <c r="AY108" s="4">
        <f>1.879+0.933</f>
        <v>2.8120000000000003</v>
      </c>
      <c r="AZ108" s="2"/>
      <c r="BA108" s="2"/>
      <c r="BB108" s="2"/>
      <c r="BC108" s="2"/>
      <c r="BD108" s="2"/>
      <c r="BE108" s="2"/>
      <c r="BF108" s="2"/>
      <c r="BG108" s="4">
        <f>(1.24*1.879+1.13*0.933)/AY108</f>
        <v>1.2035028449502132</v>
      </c>
      <c r="BH108" s="2"/>
      <c r="BI108" s="2"/>
      <c r="BJ108" s="2"/>
      <c r="BK108" s="2"/>
      <c r="BL108" s="2"/>
      <c r="BM108" s="2"/>
      <c r="BN108" s="2"/>
      <c r="BO108" s="4">
        <f>(12.15*1.879+37.74*0.933)/AY108</f>
        <v>20.640565433854906</v>
      </c>
      <c r="BP108" s="2"/>
      <c r="BQ108" s="2"/>
      <c r="BR108" s="2"/>
      <c r="BS108" s="4">
        <f>100*((2.891+1.436)-(1.879+0.933))/(2.891+1.436)</f>
        <v>35.012710885139811</v>
      </c>
      <c r="BT108" s="2">
        <v>0</v>
      </c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4">
        <f>0.938+2.02</f>
        <v>2.9580000000000002</v>
      </c>
      <c r="CP108" s="2"/>
      <c r="CQ108" s="2"/>
      <c r="CR108" s="2"/>
      <c r="CS108" s="2"/>
      <c r="CT108" s="2"/>
      <c r="CU108" s="2"/>
      <c r="CV108" s="2"/>
      <c r="CW108" s="4">
        <f>(1.5*0.938+1.09*2.02)/CO108</f>
        <v>1.2200135226504394</v>
      </c>
      <c r="CX108" s="2"/>
      <c r="CY108" s="2"/>
      <c r="CZ108" s="2"/>
      <c r="DA108" s="2"/>
      <c r="DB108" s="2"/>
      <c r="DC108" s="2"/>
      <c r="DD108" s="2"/>
      <c r="DE108" s="4">
        <f>(12.9*0.938+41.62*2.02)/CO108</f>
        <v>32.512711291413119</v>
      </c>
      <c r="DF108" s="2"/>
      <c r="DG108" s="2"/>
      <c r="DH108" s="2"/>
      <c r="DI108" s="4">
        <f>100*((1.437+3.072)-(0.938+2.02))/(1.437+3.072)</f>
        <v>34.397870924817035</v>
      </c>
      <c r="DJ108" s="2" t="s">
        <v>81</v>
      </c>
      <c r="DK108" s="2"/>
      <c r="DL108" s="2">
        <f t="shared" si="3"/>
        <v>1.1664272918052925</v>
      </c>
      <c r="DM108" s="2">
        <f t="shared" si="4"/>
        <v>0</v>
      </c>
      <c r="DN108" s="2" t="s">
        <v>211</v>
      </c>
      <c r="DO108" s="2" t="s">
        <v>3</v>
      </c>
      <c r="DP108" s="2">
        <f t="shared" si="5"/>
        <v>0</v>
      </c>
      <c r="DQ108" s="2">
        <f t="shared" ref="DQ108:DR108" si="1907">K108*$I108+AF108*$AD108+BA108*$AY108</f>
        <v>0</v>
      </c>
      <c r="DR108" s="2">
        <f t="shared" si="1907"/>
        <v>0</v>
      </c>
      <c r="DS108" s="2">
        <f t="shared" ref="DS108:DX108" si="1908">(M108*$I108+AH108*$AD108+BC108*$AY108)/100</f>
        <v>0</v>
      </c>
      <c r="DT108" s="2">
        <f t="shared" si="1908"/>
        <v>0</v>
      </c>
      <c r="DU108" s="2">
        <f t="shared" si="1908"/>
        <v>0</v>
      </c>
      <c r="DV108" s="2">
        <f t="shared" si="1908"/>
        <v>0</v>
      </c>
      <c r="DW108" s="2">
        <f t="shared" si="1908"/>
        <v>0.22788490000000003</v>
      </c>
      <c r="DX108" s="2">
        <f t="shared" si="1908"/>
        <v>0</v>
      </c>
      <c r="DY108" s="2">
        <f t="shared" ref="DY108:EC108" si="1909">S108*$I108+AN108*$AD108+BI108*$AY108</f>
        <v>0</v>
      </c>
      <c r="DZ108" s="2">
        <f t="shared" si="1909"/>
        <v>0</v>
      </c>
      <c r="EA108" s="2">
        <f t="shared" si="1909"/>
        <v>0</v>
      </c>
      <c r="EB108" s="2">
        <f t="shared" si="1909"/>
        <v>0</v>
      </c>
      <c r="EC108" s="2">
        <f t="shared" si="1909"/>
        <v>0</v>
      </c>
      <c r="ED108" s="2">
        <f t="shared" ref="ED108:EE108" si="1910">(X108*$I108+AS108*$AD108+BN108*$AY108)/100</f>
        <v>0</v>
      </c>
      <c r="EE108" s="2">
        <f t="shared" si="1910"/>
        <v>5.2123026000000001</v>
      </c>
      <c r="EF108" s="2"/>
      <c r="EG108" s="2">
        <f t="shared" si="10"/>
        <v>0</v>
      </c>
      <c r="EH108" s="2">
        <f t="shared" si="11"/>
        <v>0</v>
      </c>
      <c r="EI108" s="39">
        <f t="shared" si="12"/>
        <v>0</v>
      </c>
      <c r="EJ108" s="39">
        <f t="shared" ref="EJ108:EK108" si="1911">EJ$1*DQ108/1000000</f>
        <v>0</v>
      </c>
      <c r="EK108" s="39">
        <f t="shared" si="1911"/>
        <v>0</v>
      </c>
      <c r="EL108" s="39">
        <f t="shared" ref="EL108:EQ108" si="1912">EL$1*DS108</f>
        <v>0</v>
      </c>
      <c r="EM108" s="39">
        <f t="shared" si="1912"/>
        <v>0</v>
      </c>
      <c r="EN108" s="39">
        <f t="shared" si="1912"/>
        <v>0</v>
      </c>
      <c r="EO108" s="39">
        <f t="shared" si="1912"/>
        <v>0</v>
      </c>
      <c r="EP108" s="39">
        <f t="shared" si="1912"/>
        <v>2988.4825786000006</v>
      </c>
      <c r="EQ108" s="39">
        <f t="shared" si="1912"/>
        <v>0</v>
      </c>
      <c r="ER108" s="39">
        <f t="shared" ref="ER108:EV108" si="1913">ER$1*DY108/1000000</f>
        <v>0</v>
      </c>
      <c r="ES108" s="39">
        <f t="shared" si="1913"/>
        <v>0</v>
      </c>
      <c r="ET108" s="39">
        <f t="shared" si="1913"/>
        <v>0</v>
      </c>
      <c r="EU108" s="39">
        <f t="shared" si="1913"/>
        <v>0</v>
      </c>
      <c r="EV108" s="39">
        <f t="shared" si="1913"/>
        <v>0</v>
      </c>
      <c r="EW108" s="39">
        <f t="shared" ref="EW108:EX108" si="1914">EW$1*ED108</f>
        <v>0</v>
      </c>
      <c r="EX108" s="39">
        <f t="shared" si="1914"/>
        <v>484.74414180000002</v>
      </c>
      <c r="EY108" s="2"/>
      <c r="EZ108" s="39">
        <f t="shared" si="17"/>
        <v>0</v>
      </c>
      <c r="FA108" s="39">
        <f t="shared" si="18"/>
        <v>0</v>
      </c>
      <c r="FB108" s="2">
        <f t="shared" si="19"/>
        <v>0</v>
      </c>
      <c r="FC108" s="2">
        <f t="shared" ref="FC108:FD108" si="1915">BV108*$BT108+CQ108*$CO108</f>
        <v>0</v>
      </c>
      <c r="FD108" s="2">
        <f t="shared" si="1915"/>
        <v>0</v>
      </c>
      <c r="FE108" s="2">
        <f t="shared" ref="FE108:FJ108" si="1916">(BX108*$BT108+CS108*$CO108)/100</f>
        <v>0</v>
      </c>
      <c r="FF108" s="2">
        <f t="shared" si="1916"/>
        <v>0</v>
      </c>
      <c r="FG108" s="2">
        <f t="shared" si="1916"/>
        <v>0</v>
      </c>
      <c r="FH108" s="2">
        <f t="shared" si="1916"/>
        <v>0</v>
      </c>
      <c r="FI108" s="2">
        <f t="shared" si="1916"/>
        <v>3.6088000000000002E-2</v>
      </c>
      <c r="FJ108" s="2">
        <f t="shared" si="1916"/>
        <v>0</v>
      </c>
      <c r="FK108" s="2">
        <f t="shared" ref="FK108:FO108" si="1917">CD108*$BT108+CY108*$CO108</f>
        <v>0</v>
      </c>
      <c r="FL108" s="2">
        <f t="shared" si="1917"/>
        <v>0</v>
      </c>
      <c r="FM108" s="2">
        <f t="shared" si="1917"/>
        <v>0</v>
      </c>
      <c r="FN108" s="2">
        <f t="shared" si="1917"/>
        <v>0</v>
      </c>
      <c r="FO108" s="2">
        <f t="shared" si="1917"/>
        <v>0</v>
      </c>
      <c r="FP108" s="2">
        <f t="shared" ref="FP108:FQ108" si="1918">(CI108*$BT108+DD108*$CO108)/100</f>
        <v>0</v>
      </c>
      <c r="FQ108" s="2">
        <f t="shared" si="1918"/>
        <v>0.96172600000000019</v>
      </c>
      <c r="FR108" s="2"/>
      <c r="FS108" s="2">
        <f t="shared" si="24"/>
        <v>0</v>
      </c>
      <c r="FT108" s="2">
        <f t="shared" si="25"/>
        <v>0</v>
      </c>
      <c r="FU108" s="39">
        <f t="shared" si="26"/>
        <v>0</v>
      </c>
      <c r="FV108" s="39">
        <f t="shared" ref="FV108:FW108" si="1919">FV$1*FC108/1000000</f>
        <v>0</v>
      </c>
      <c r="FW108" s="39">
        <f t="shared" si="1919"/>
        <v>0</v>
      </c>
      <c r="FX108" s="39">
        <f t="shared" ref="FX108:GC108" si="1920">FX$1*FE108</f>
        <v>0</v>
      </c>
      <c r="FY108" s="39">
        <f t="shared" si="1920"/>
        <v>0</v>
      </c>
      <c r="FZ108" s="39">
        <f t="shared" si="1920"/>
        <v>0</v>
      </c>
      <c r="GA108" s="39">
        <f t="shared" si="1920"/>
        <v>0</v>
      </c>
      <c r="GB108" s="39">
        <f t="shared" si="1920"/>
        <v>473.25803200000001</v>
      </c>
      <c r="GC108" s="39">
        <f t="shared" si="1920"/>
        <v>0</v>
      </c>
      <c r="GD108" s="39">
        <f t="shared" ref="GD108:GH108" si="1921">GD$1*FK108/1000000</f>
        <v>0</v>
      </c>
      <c r="GE108" s="39">
        <f t="shared" si="1921"/>
        <v>0</v>
      </c>
      <c r="GF108" s="39">
        <f t="shared" si="1921"/>
        <v>0</v>
      </c>
      <c r="GG108" s="39">
        <f t="shared" si="1921"/>
        <v>0</v>
      </c>
      <c r="GH108" s="39">
        <f t="shared" si="1921"/>
        <v>0</v>
      </c>
      <c r="GI108" s="39">
        <f t="shared" ref="GI108:GJ108" si="1922">GI$1*FP108</f>
        <v>0</v>
      </c>
      <c r="GJ108" s="39">
        <f t="shared" si="1922"/>
        <v>89.440518000000012</v>
      </c>
      <c r="GK108" s="2"/>
      <c r="GL108" s="39">
        <f t="shared" si="31"/>
        <v>0</v>
      </c>
      <c r="GM108" s="39">
        <f t="shared" si="32"/>
        <v>0</v>
      </c>
      <c r="GN108" s="2" t="s">
        <v>3</v>
      </c>
      <c r="GO108" s="4">
        <f t="shared" si="33"/>
        <v>19.537000000000003</v>
      </c>
      <c r="GP108" s="4">
        <f t="shared" si="34"/>
        <v>1.1664272918052925</v>
      </c>
      <c r="GQ108" s="15">
        <f t="shared" si="35"/>
        <v>227.88490000000002</v>
      </c>
      <c r="GR108" s="15">
        <f t="shared" si="36"/>
        <v>3473.2267204000004</v>
      </c>
      <c r="GS108" s="15">
        <f t="shared" si="37"/>
        <v>177.77687057378307</v>
      </c>
      <c r="GT108" s="2">
        <f t="shared" si="38"/>
        <v>0</v>
      </c>
      <c r="GU108" s="2">
        <f t="shared" si="39"/>
        <v>194.04240000000001</v>
      </c>
      <c r="GV108" s="2">
        <f t="shared" si="40"/>
        <v>33.842499999999994</v>
      </c>
      <c r="GW108" s="4">
        <f t="shared" si="41"/>
        <v>2.9580000000000002</v>
      </c>
      <c r="GX108" s="4">
        <f>(BT108*CB108+CO108*CW108)/GW108</f>
        <v>1.2200135226504394</v>
      </c>
      <c r="GY108" s="15">
        <f>1000*GW108*GX108/100</f>
        <v>36.087999999999994</v>
      </c>
      <c r="GZ108" s="15">
        <f>SUM(FU108:GM108)</f>
        <v>562.69855000000007</v>
      </c>
      <c r="HA108" s="15">
        <f>GZ108/GW108</f>
        <v>190.22939486139285</v>
      </c>
      <c r="HB108" s="2">
        <f t="shared" si="42"/>
        <v>0</v>
      </c>
      <c r="HC108" s="2">
        <f t="shared" si="43"/>
        <v>36.088000000000001</v>
      </c>
      <c r="HD108" s="2" t="s">
        <v>3</v>
      </c>
      <c r="HE108" s="2" t="s">
        <v>37</v>
      </c>
      <c r="HF108" s="2" t="s">
        <v>229</v>
      </c>
      <c r="HG108" s="2" t="s">
        <v>106</v>
      </c>
      <c r="HH108" s="2"/>
      <c r="HI108" s="2" t="s">
        <v>81</v>
      </c>
      <c r="HJ108" s="2" t="s">
        <v>3</v>
      </c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 t="s">
        <v>3</v>
      </c>
    </row>
    <row r="109" spans="1:268" ht="15.75" customHeight="1" x14ac:dyDescent="0.2">
      <c r="A109" s="13" t="s">
        <v>103</v>
      </c>
      <c r="B109" s="2" t="s">
        <v>99</v>
      </c>
      <c r="C109" s="2"/>
      <c r="D109" s="2"/>
      <c r="E109" s="2" t="s">
        <v>78</v>
      </c>
      <c r="F109" s="2" t="s">
        <v>104</v>
      </c>
      <c r="G109" s="2"/>
      <c r="H109" s="2" t="s">
        <v>80</v>
      </c>
      <c r="I109" s="2">
        <v>0.78</v>
      </c>
      <c r="J109" s="2"/>
      <c r="K109" s="2"/>
      <c r="L109" s="2"/>
      <c r="M109" s="2"/>
      <c r="N109" s="2"/>
      <c r="O109" s="2"/>
      <c r="P109" s="2"/>
      <c r="Q109" s="2">
        <v>1.1000000000000001</v>
      </c>
      <c r="R109" s="2">
        <v>0.06</v>
      </c>
      <c r="S109" s="2"/>
      <c r="T109" s="2"/>
      <c r="U109" s="2"/>
      <c r="V109" s="2"/>
      <c r="W109" s="2"/>
      <c r="X109" s="2"/>
      <c r="Y109" s="2">
        <v>23</v>
      </c>
      <c r="Z109" s="2">
        <v>30</v>
      </c>
      <c r="AA109" s="2"/>
      <c r="AB109" s="2"/>
      <c r="AC109" s="2"/>
      <c r="AD109" s="2">
        <v>42</v>
      </c>
      <c r="AE109" s="2"/>
      <c r="AF109" s="2"/>
      <c r="AG109" s="2"/>
      <c r="AH109" s="2"/>
      <c r="AI109" s="2"/>
      <c r="AJ109" s="2"/>
      <c r="AK109" s="2"/>
      <c r="AL109" s="15">
        <v>1</v>
      </c>
      <c r="AM109" s="2">
        <v>0.05</v>
      </c>
      <c r="AN109" s="2"/>
      <c r="AO109" s="2"/>
      <c r="AP109" s="2"/>
      <c r="AQ109" s="2"/>
      <c r="AR109" s="2"/>
      <c r="AS109" s="2"/>
      <c r="AT109" s="2">
        <v>22</v>
      </c>
      <c r="AU109" s="2">
        <v>29</v>
      </c>
      <c r="AV109" s="2"/>
      <c r="AW109" s="2"/>
      <c r="AX109" s="2"/>
      <c r="AY109" s="2">
        <v>2.4</v>
      </c>
      <c r="AZ109" s="2"/>
      <c r="BA109" s="2"/>
      <c r="BB109" s="2"/>
      <c r="BC109" s="2"/>
      <c r="BD109" s="2"/>
      <c r="BE109" s="2"/>
      <c r="BF109" s="2"/>
      <c r="BG109" s="15">
        <v>1</v>
      </c>
      <c r="BH109" s="2">
        <v>0.04</v>
      </c>
      <c r="BI109" s="2"/>
      <c r="BJ109" s="2"/>
      <c r="BK109" s="2"/>
      <c r="BL109" s="2"/>
      <c r="BM109" s="2"/>
      <c r="BN109" s="2"/>
      <c r="BO109" s="2">
        <v>20</v>
      </c>
      <c r="BP109" s="2">
        <v>33</v>
      </c>
      <c r="BQ109" s="2"/>
      <c r="BR109" s="2"/>
      <c r="BS109" s="2"/>
      <c r="BT109" s="2">
        <v>0</v>
      </c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>
        <v>0</v>
      </c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 t="s">
        <v>81</v>
      </c>
      <c r="DK109" s="2" t="s">
        <v>81</v>
      </c>
      <c r="DL109" s="2">
        <f t="shared" si="3"/>
        <v>1.0017264276228419</v>
      </c>
      <c r="DM109" s="2">
        <f t="shared" si="4"/>
        <v>4.9641434262948217E-2</v>
      </c>
      <c r="DN109" s="2" t="s">
        <v>105</v>
      </c>
      <c r="DO109" s="2" t="s">
        <v>3</v>
      </c>
      <c r="DP109" s="2">
        <f t="shared" si="5"/>
        <v>0</v>
      </c>
      <c r="DQ109" s="2">
        <f t="shared" ref="DQ109:DR109" si="1923">K109*$I109+AF109*$AD109+BA109*$AY109</f>
        <v>0</v>
      </c>
      <c r="DR109" s="2">
        <f t="shared" si="1923"/>
        <v>0</v>
      </c>
      <c r="DS109" s="2">
        <f t="shared" ref="DS109:DX109" si="1924">(M109*$I109+AH109*$AD109+BC109*$AY109)/100</f>
        <v>0</v>
      </c>
      <c r="DT109" s="2">
        <f t="shared" si="1924"/>
        <v>0</v>
      </c>
      <c r="DU109" s="2">
        <f t="shared" si="1924"/>
        <v>0</v>
      </c>
      <c r="DV109" s="2">
        <f t="shared" si="1924"/>
        <v>0</v>
      </c>
      <c r="DW109" s="2">
        <f t="shared" si="1924"/>
        <v>0.45257999999999998</v>
      </c>
      <c r="DX109" s="2">
        <f t="shared" si="1924"/>
        <v>2.2428000000000003E-2</v>
      </c>
      <c r="DY109" s="2">
        <f t="shared" ref="DY109:EC109" si="1925">S109*$I109+AN109*$AD109+BI109*$AY109</f>
        <v>0</v>
      </c>
      <c r="DZ109" s="2">
        <f t="shared" si="1925"/>
        <v>0</v>
      </c>
      <c r="EA109" s="2">
        <f t="shared" si="1925"/>
        <v>0</v>
      </c>
      <c r="EB109" s="2">
        <f t="shared" si="1925"/>
        <v>0</v>
      </c>
      <c r="EC109" s="2">
        <f t="shared" si="1925"/>
        <v>0</v>
      </c>
      <c r="ED109" s="2">
        <f t="shared" ref="ED109:EE109" si="1926">(X109*$I109+AS109*$AD109+BN109*$AY109)/100</f>
        <v>0</v>
      </c>
      <c r="EE109" s="2">
        <f t="shared" si="1926"/>
        <v>9.8994</v>
      </c>
      <c r="EF109" s="2"/>
      <c r="EG109" s="2">
        <f t="shared" si="10"/>
        <v>0</v>
      </c>
      <c r="EH109" s="2">
        <f t="shared" si="11"/>
        <v>0</v>
      </c>
      <c r="EI109" s="39">
        <f t="shared" si="12"/>
        <v>0</v>
      </c>
      <c r="EJ109" s="39">
        <f t="shared" ref="EJ109:EK109" si="1927">EJ$1*DQ109/1000000</f>
        <v>0</v>
      </c>
      <c r="EK109" s="39">
        <f t="shared" si="1927"/>
        <v>0</v>
      </c>
      <c r="EL109" s="39">
        <f t="shared" ref="EL109:EQ109" si="1928">EL$1*DS109</f>
        <v>0</v>
      </c>
      <c r="EM109" s="39">
        <f t="shared" si="1928"/>
        <v>0</v>
      </c>
      <c r="EN109" s="39">
        <f t="shared" si="1928"/>
        <v>0</v>
      </c>
      <c r="EO109" s="39">
        <f t="shared" si="1928"/>
        <v>0</v>
      </c>
      <c r="EP109" s="39">
        <f t="shared" si="1928"/>
        <v>5935.1341199999997</v>
      </c>
      <c r="EQ109" s="39">
        <f t="shared" si="1928"/>
        <v>1628.710684272</v>
      </c>
      <c r="ER109" s="39">
        <f t="shared" ref="ER109:EV109" si="1929">ER$1*DY109/1000000</f>
        <v>0</v>
      </c>
      <c r="ES109" s="39">
        <f t="shared" si="1929"/>
        <v>0</v>
      </c>
      <c r="ET109" s="39">
        <f t="shared" si="1929"/>
        <v>0</v>
      </c>
      <c r="EU109" s="39">
        <f t="shared" si="1929"/>
        <v>0</v>
      </c>
      <c r="EV109" s="39">
        <f t="shared" si="1929"/>
        <v>0</v>
      </c>
      <c r="EW109" s="39">
        <f t="shared" ref="EW109:EX109" si="1930">EW$1*ED109</f>
        <v>0</v>
      </c>
      <c r="EX109" s="39">
        <f t="shared" si="1930"/>
        <v>920.64419999999996</v>
      </c>
      <c r="EY109" s="2"/>
      <c r="EZ109" s="39">
        <f t="shared" si="17"/>
        <v>0</v>
      </c>
      <c r="FA109" s="39">
        <f t="shared" si="18"/>
        <v>0</v>
      </c>
      <c r="FB109" s="2">
        <f t="shared" si="19"/>
        <v>0</v>
      </c>
      <c r="FC109" s="2">
        <f t="shared" ref="FC109:FD109" si="1931">BV109*$BT109+CQ109*$CO109</f>
        <v>0</v>
      </c>
      <c r="FD109" s="2">
        <f t="shared" si="1931"/>
        <v>0</v>
      </c>
      <c r="FE109" s="2">
        <f t="shared" ref="FE109:FJ109" si="1932">(BX109*$BT109+CS109*$CO109)/100</f>
        <v>0</v>
      </c>
      <c r="FF109" s="2">
        <f t="shared" si="1932"/>
        <v>0</v>
      </c>
      <c r="FG109" s="2">
        <f t="shared" si="1932"/>
        <v>0</v>
      </c>
      <c r="FH109" s="2">
        <f t="shared" si="1932"/>
        <v>0</v>
      </c>
      <c r="FI109" s="2">
        <f t="shared" si="1932"/>
        <v>0</v>
      </c>
      <c r="FJ109" s="2">
        <f t="shared" si="1932"/>
        <v>0</v>
      </c>
      <c r="FK109" s="2">
        <f t="shared" ref="FK109:FO109" si="1933">CD109*$BT109+CY109*$CO109</f>
        <v>0</v>
      </c>
      <c r="FL109" s="2">
        <f t="shared" si="1933"/>
        <v>0</v>
      </c>
      <c r="FM109" s="2">
        <f t="shared" si="1933"/>
        <v>0</v>
      </c>
      <c r="FN109" s="2">
        <f t="shared" si="1933"/>
        <v>0</v>
      </c>
      <c r="FO109" s="2">
        <f t="shared" si="1933"/>
        <v>0</v>
      </c>
      <c r="FP109" s="2">
        <f t="shared" ref="FP109:FQ109" si="1934">(CI109*$BT109+DD109*$CO109)/100</f>
        <v>0</v>
      </c>
      <c r="FQ109" s="2">
        <f t="shared" si="1934"/>
        <v>0</v>
      </c>
      <c r="FR109" s="2"/>
      <c r="FS109" s="2">
        <f t="shared" si="24"/>
        <v>0</v>
      </c>
      <c r="FT109" s="2">
        <f t="shared" si="25"/>
        <v>0</v>
      </c>
      <c r="FU109" s="39">
        <f t="shared" si="26"/>
        <v>0</v>
      </c>
      <c r="FV109" s="39">
        <f t="shared" ref="FV109:FW109" si="1935">FV$1*FC109/1000000</f>
        <v>0</v>
      </c>
      <c r="FW109" s="39">
        <f t="shared" si="1935"/>
        <v>0</v>
      </c>
      <c r="FX109" s="39">
        <f t="shared" ref="FX109:GC109" si="1936">FX$1*FE109</f>
        <v>0</v>
      </c>
      <c r="FY109" s="39">
        <f t="shared" si="1936"/>
        <v>0</v>
      </c>
      <c r="FZ109" s="39">
        <f t="shared" si="1936"/>
        <v>0</v>
      </c>
      <c r="GA109" s="39">
        <f t="shared" si="1936"/>
        <v>0</v>
      </c>
      <c r="GB109" s="39">
        <f t="shared" si="1936"/>
        <v>0</v>
      </c>
      <c r="GC109" s="39">
        <f t="shared" si="1936"/>
        <v>0</v>
      </c>
      <c r="GD109" s="39">
        <f t="shared" ref="GD109:GH109" si="1937">GD$1*FK109/1000000</f>
        <v>0</v>
      </c>
      <c r="GE109" s="39">
        <f t="shared" si="1937"/>
        <v>0</v>
      </c>
      <c r="GF109" s="39">
        <f t="shared" si="1937"/>
        <v>0</v>
      </c>
      <c r="GG109" s="39">
        <f t="shared" si="1937"/>
        <v>0</v>
      </c>
      <c r="GH109" s="39">
        <f t="shared" si="1937"/>
        <v>0</v>
      </c>
      <c r="GI109" s="39">
        <f t="shared" ref="GI109:GJ109" si="1938">GI$1*FP109</f>
        <v>0</v>
      </c>
      <c r="GJ109" s="39">
        <f t="shared" si="1938"/>
        <v>0</v>
      </c>
      <c r="GK109" s="2"/>
      <c r="GL109" s="39">
        <f t="shared" si="31"/>
        <v>0</v>
      </c>
      <c r="GM109" s="39">
        <f t="shared" si="32"/>
        <v>0</v>
      </c>
      <c r="GN109" s="2" t="s">
        <v>3</v>
      </c>
      <c r="GO109" s="2">
        <f t="shared" si="33"/>
        <v>45.18</v>
      </c>
      <c r="GP109" s="4">
        <f t="shared" si="34"/>
        <v>1.0017264276228419</v>
      </c>
      <c r="GQ109" s="15">
        <f t="shared" si="35"/>
        <v>452.58</v>
      </c>
      <c r="GR109" s="15">
        <f t="shared" si="36"/>
        <v>8484.4890042719999</v>
      </c>
      <c r="GS109" s="15">
        <f t="shared" si="37"/>
        <v>187.79302798300134</v>
      </c>
      <c r="GT109" s="2">
        <f t="shared" si="38"/>
        <v>8.5800000000000018</v>
      </c>
      <c r="GU109" s="2">
        <f t="shared" si="39"/>
        <v>420</v>
      </c>
      <c r="GV109" s="2">
        <f t="shared" si="40"/>
        <v>24</v>
      </c>
      <c r="GW109" s="2">
        <f t="shared" si="41"/>
        <v>0</v>
      </c>
      <c r="GX109" s="2"/>
      <c r="GY109" s="2"/>
      <c r="GZ109" s="2"/>
      <c r="HA109" s="2"/>
      <c r="HB109" s="2">
        <f t="shared" si="42"/>
        <v>0</v>
      </c>
      <c r="HC109" s="2">
        <f t="shared" si="43"/>
        <v>0</v>
      </c>
      <c r="HD109" s="2" t="s">
        <v>3</v>
      </c>
      <c r="HE109" s="2" t="s">
        <v>37</v>
      </c>
      <c r="HF109" s="2" t="s">
        <v>106</v>
      </c>
      <c r="HG109" s="2" t="s">
        <v>106</v>
      </c>
      <c r="HH109" s="2"/>
      <c r="HI109" s="2" t="s">
        <v>81</v>
      </c>
      <c r="HJ109" s="2" t="s">
        <v>3</v>
      </c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 t="s">
        <v>3</v>
      </c>
    </row>
    <row r="110" spans="1:268" ht="15.75" customHeight="1" x14ac:dyDescent="0.2">
      <c r="A110" s="13" t="s">
        <v>138</v>
      </c>
      <c r="B110" s="2" t="s">
        <v>139</v>
      </c>
      <c r="C110" s="2"/>
      <c r="D110" s="2"/>
      <c r="E110" s="2" t="s">
        <v>78</v>
      </c>
      <c r="F110" s="2" t="s">
        <v>140</v>
      </c>
      <c r="G110" s="2"/>
      <c r="H110" s="2" t="s">
        <v>141</v>
      </c>
      <c r="I110" s="2">
        <v>1.782</v>
      </c>
      <c r="J110" s="2"/>
      <c r="K110" s="2"/>
      <c r="L110" s="2"/>
      <c r="M110" s="2"/>
      <c r="N110" s="2"/>
      <c r="O110" s="2"/>
      <c r="P110" s="2"/>
      <c r="Q110" s="2">
        <v>1.34</v>
      </c>
      <c r="R110" s="2">
        <v>3.1E-2</v>
      </c>
      <c r="S110" s="2"/>
      <c r="T110" s="2"/>
      <c r="U110" s="2"/>
      <c r="V110" s="2"/>
      <c r="W110" s="2"/>
      <c r="X110" s="2"/>
      <c r="Y110" s="2">
        <v>13.7</v>
      </c>
      <c r="Z110" s="2"/>
      <c r="AA110" s="2"/>
      <c r="AB110" s="2"/>
      <c r="AC110" s="2"/>
      <c r="AD110" s="2">
        <v>0.64600000000000002</v>
      </c>
      <c r="AE110" s="2"/>
      <c r="AF110" s="2"/>
      <c r="AG110" s="2"/>
      <c r="AH110" s="2"/>
      <c r="AI110" s="2"/>
      <c r="AJ110" s="2"/>
      <c r="AK110" s="2"/>
      <c r="AL110" s="2">
        <v>1.22</v>
      </c>
      <c r="AM110" s="2">
        <v>3.9E-2</v>
      </c>
      <c r="AN110" s="2"/>
      <c r="AO110" s="2"/>
      <c r="AP110" s="2"/>
      <c r="AQ110" s="2"/>
      <c r="AR110" s="2"/>
      <c r="AS110" s="2"/>
      <c r="AT110" s="2">
        <v>17.600000000000001</v>
      </c>
      <c r="AU110" s="2"/>
      <c r="AV110" s="2"/>
      <c r="AW110" s="2"/>
      <c r="AX110" s="2"/>
      <c r="AY110" s="2">
        <v>0.29299999999999998</v>
      </c>
      <c r="AZ110" s="2"/>
      <c r="BA110" s="2"/>
      <c r="BB110" s="2"/>
      <c r="BC110" s="2"/>
      <c r="BD110" s="2"/>
      <c r="BE110" s="2"/>
      <c r="BF110" s="2"/>
      <c r="BG110" s="2">
        <v>1.23</v>
      </c>
      <c r="BH110" s="2">
        <v>4.3999999999999997E-2</v>
      </c>
      <c r="BI110" s="2"/>
      <c r="BJ110" s="2"/>
      <c r="BK110" s="2"/>
      <c r="BL110" s="2"/>
      <c r="BM110" s="2"/>
      <c r="BN110" s="2"/>
      <c r="BO110" s="2">
        <v>19.100000000000001</v>
      </c>
      <c r="BP110" s="2"/>
      <c r="BQ110" s="2"/>
      <c r="BR110" s="2"/>
      <c r="BS110" s="2"/>
      <c r="BT110" s="2">
        <v>0</v>
      </c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>
        <v>0</v>
      </c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 t="s">
        <v>81</v>
      </c>
      <c r="DK110" s="2" t="s">
        <v>81</v>
      </c>
      <c r="DL110" s="2">
        <f t="shared" si="3"/>
        <v>1.2996655641308341</v>
      </c>
      <c r="DM110" s="2">
        <f t="shared" si="4"/>
        <v>3.4299154722528487E-2</v>
      </c>
      <c r="DN110" s="2" t="s">
        <v>142</v>
      </c>
      <c r="DO110" s="2" t="s">
        <v>3</v>
      </c>
      <c r="DP110" s="2">
        <f t="shared" si="5"/>
        <v>0</v>
      </c>
      <c r="DQ110" s="2">
        <f t="shared" ref="DQ110:DR110" si="1939">K110*$I110+AF110*$AD110+BA110*$AY110</f>
        <v>0</v>
      </c>
      <c r="DR110" s="2">
        <f t="shared" si="1939"/>
        <v>0</v>
      </c>
      <c r="DS110" s="2">
        <f t="shared" ref="DS110:DX110" si="1940">(M110*$I110+AH110*$AD110+BC110*$AY110)/100</f>
        <v>0</v>
      </c>
      <c r="DT110" s="2">
        <f t="shared" si="1940"/>
        <v>0</v>
      </c>
      <c r="DU110" s="2">
        <f t="shared" si="1940"/>
        <v>0</v>
      </c>
      <c r="DV110" s="2">
        <f t="shared" si="1940"/>
        <v>0</v>
      </c>
      <c r="DW110" s="2">
        <f t="shared" si="1940"/>
        <v>3.5363899999999997E-2</v>
      </c>
      <c r="DX110" s="2">
        <f t="shared" si="1940"/>
        <v>9.3328000000000009E-4</v>
      </c>
      <c r="DY110" s="2">
        <f t="shared" ref="DY110:EC110" si="1941">S110*$I110+AN110*$AD110+BI110*$AY110</f>
        <v>0</v>
      </c>
      <c r="DZ110" s="2">
        <f t="shared" si="1941"/>
        <v>0</v>
      </c>
      <c r="EA110" s="2">
        <f t="shared" si="1941"/>
        <v>0</v>
      </c>
      <c r="EB110" s="2">
        <f t="shared" si="1941"/>
        <v>0</v>
      </c>
      <c r="EC110" s="2">
        <f t="shared" si="1941"/>
        <v>0</v>
      </c>
      <c r="ED110" s="2">
        <f t="shared" ref="ED110:EE110" si="1942">(X110*$I110+AS110*$AD110+BN110*$AY110)/100</f>
        <v>0</v>
      </c>
      <c r="EE110" s="2">
        <f t="shared" si="1942"/>
        <v>0.41379300000000002</v>
      </c>
      <c r="EF110" s="2"/>
      <c r="EG110" s="2">
        <f t="shared" si="10"/>
        <v>0</v>
      </c>
      <c r="EH110" s="2">
        <f t="shared" si="11"/>
        <v>0</v>
      </c>
      <c r="EI110" s="39">
        <f t="shared" si="12"/>
        <v>0</v>
      </c>
      <c r="EJ110" s="39">
        <f t="shared" ref="EJ110:EK110" si="1943">EJ$1*DQ110/1000000</f>
        <v>0</v>
      </c>
      <c r="EK110" s="39">
        <f t="shared" si="1943"/>
        <v>0</v>
      </c>
      <c r="EL110" s="39">
        <f t="shared" ref="EL110:EQ110" si="1944">EL$1*DS110</f>
        <v>0</v>
      </c>
      <c r="EM110" s="39">
        <f t="shared" si="1944"/>
        <v>0</v>
      </c>
      <c r="EN110" s="39">
        <f t="shared" si="1944"/>
        <v>0</v>
      </c>
      <c r="EO110" s="39">
        <f t="shared" si="1944"/>
        <v>0</v>
      </c>
      <c r="EP110" s="39">
        <f t="shared" si="1944"/>
        <v>463.76218459999996</v>
      </c>
      <c r="EQ110" s="39">
        <f t="shared" si="1944"/>
        <v>67.774349358720002</v>
      </c>
      <c r="ER110" s="39">
        <f t="shared" ref="ER110:EV110" si="1945">ER$1*DY110/1000000</f>
        <v>0</v>
      </c>
      <c r="ES110" s="39">
        <f t="shared" si="1945"/>
        <v>0</v>
      </c>
      <c r="ET110" s="39">
        <f t="shared" si="1945"/>
        <v>0</v>
      </c>
      <c r="EU110" s="39">
        <f t="shared" si="1945"/>
        <v>0</v>
      </c>
      <c r="EV110" s="39">
        <f t="shared" si="1945"/>
        <v>0</v>
      </c>
      <c r="EW110" s="39">
        <f t="shared" ref="EW110:EX110" si="1946">EW$1*ED110</f>
        <v>0</v>
      </c>
      <c r="EX110" s="39">
        <f t="shared" si="1946"/>
        <v>38.482749000000005</v>
      </c>
      <c r="EY110" s="2"/>
      <c r="EZ110" s="39">
        <f t="shared" si="17"/>
        <v>0</v>
      </c>
      <c r="FA110" s="39">
        <f t="shared" si="18"/>
        <v>0</v>
      </c>
      <c r="FB110" s="2">
        <f t="shared" si="19"/>
        <v>0</v>
      </c>
      <c r="FC110" s="2">
        <f t="shared" ref="FC110:FD110" si="1947">BV110*$BT110+CQ110*$CO110</f>
        <v>0</v>
      </c>
      <c r="FD110" s="2">
        <f t="shared" si="1947"/>
        <v>0</v>
      </c>
      <c r="FE110" s="2">
        <f t="shared" ref="FE110:FJ110" si="1948">(BX110*$BT110+CS110*$CO110)/100</f>
        <v>0</v>
      </c>
      <c r="FF110" s="2">
        <f t="shared" si="1948"/>
        <v>0</v>
      </c>
      <c r="FG110" s="2">
        <f t="shared" si="1948"/>
        <v>0</v>
      </c>
      <c r="FH110" s="2">
        <f t="shared" si="1948"/>
        <v>0</v>
      </c>
      <c r="FI110" s="2">
        <f t="shared" si="1948"/>
        <v>0</v>
      </c>
      <c r="FJ110" s="2">
        <f t="shared" si="1948"/>
        <v>0</v>
      </c>
      <c r="FK110" s="2">
        <f t="shared" ref="FK110:FO110" si="1949">CD110*$BT110+CY110*$CO110</f>
        <v>0</v>
      </c>
      <c r="FL110" s="2">
        <f t="shared" si="1949"/>
        <v>0</v>
      </c>
      <c r="FM110" s="2">
        <f t="shared" si="1949"/>
        <v>0</v>
      </c>
      <c r="FN110" s="2">
        <f t="shared" si="1949"/>
        <v>0</v>
      </c>
      <c r="FO110" s="2">
        <f t="shared" si="1949"/>
        <v>0</v>
      </c>
      <c r="FP110" s="2">
        <f t="shared" ref="FP110:FQ110" si="1950">(CI110*$BT110+DD110*$CO110)/100</f>
        <v>0</v>
      </c>
      <c r="FQ110" s="2">
        <f t="shared" si="1950"/>
        <v>0</v>
      </c>
      <c r="FR110" s="2"/>
      <c r="FS110" s="2">
        <f t="shared" si="24"/>
        <v>0</v>
      </c>
      <c r="FT110" s="2">
        <f t="shared" si="25"/>
        <v>0</v>
      </c>
      <c r="FU110" s="39">
        <f t="shared" si="26"/>
        <v>0</v>
      </c>
      <c r="FV110" s="39">
        <f t="shared" ref="FV110:FW110" si="1951">FV$1*FC110/1000000</f>
        <v>0</v>
      </c>
      <c r="FW110" s="39">
        <f t="shared" si="1951"/>
        <v>0</v>
      </c>
      <c r="FX110" s="39">
        <f t="shared" ref="FX110:GC110" si="1952">FX$1*FE110</f>
        <v>0</v>
      </c>
      <c r="FY110" s="39">
        <f t="shared" si="1952"/>
        <v>0</v>
      </c>
      <c r="FZ110" s="39">
        <f t="shared" si="1952"/>
        <v>0</v>
      </c>
      <c r="GA110" s="39">
        <f t="shared" si="1952"/>
        <v>0</v>
      </c>
      <c r="GB110" s="39">
        <f t="shared" si="1952"/>
        <v>0</v>
      </c>
      <c r="GC110" s="39">
        <f t="shared" si="1952"/>
        <v>0</v>
      </c>
      <c r="GD110" s="39">
        <f t="shared" ref="GD110:GH110" si="1953">GD$1*FK110/1000000</f>
        <v>0</v>
      </c>
      <c r="GE110" s="39">
        <f t="shared" si="1953"/>
        <v>0</v>
      </c>
      <c r="GF110" s="39">
        <f t="shared" si="1953"/>
        <v>0</v>
      </c>
      <c r="GG110" s="39">
        <f t="shared" si="1953"/>
        <v>0</v>
      </c>
      <c r="GH110" s="39">
        <f t="shared" si="1953"/>
        <v>0</v>
      </c>
      <c r="GI110" s="39">
        <f t="shared" ref="GI110:GJ110" si="1954">GI$1*FP110</f>
        <v>0</v>
      </c>
      <c r="GJ110" s="39">
        <f t="shared" si="1954"/>
        <v>0</v>
      </c>
      <c r="GK110" s="2"/>
      <c r="GL110" s="39">
        <f t="shared" si="31"/>
        <v>0</v>
      </c>
      <c r="GM110" s="39">
        <f t="shared" si="32"/>
        <v>0</v>
      </c>
      <c r="GN110" s="2" t="s">
        <v>3</v>
      </c>
      <c r="GO110" s="2">
        <f t="shared" si="33"/>
        <v>2.7210000000000001</v>
      </c>
      <c r="GP110" s="4">
        <f t="shared" si="34"/>
        <v>1.2996655641308341</v>
      </c>
      <c r="GQ110" s="15">
        <f t="shared" si="35"/>
        <v>35.363899999999994</v>
      </c>
      <c r="GR110" s="15">
        <f t="shared" si="36"/>
        <v>570.01928295871994</v>
      </c>
      <c r="GS110" s="15">
        <f t="shared" si="37"/>
        <v>209.48889487641304</v>
      </c>
      <c r="GT110" s="2">
        <f t="shared" si="38"/>
        <v>23.878800000000002</v>
      </c>
      <c r="GU110" s="2">
        <f t="shared" si="39"/>
        <v>7.8811999999999998</v>
      </c>
      <c r="GV110" s="2">
        <f t="shared" si="40"/>
        <v>3.6038999999999999</v>
      </c>
      <c r="GW110" s="2">
        <f t="shared" si="41"/>
        <v>0</v>
      </c>
      <c r="GX110" s="2"/>
      <c r="GY110" s="2"/>
      <c r="GZ110" s="2"/>
      <c r="HA110" s="2"/>
      <c r="HB110" s="2">
        <f t="shared" si="42"/>
        <v>0</v>
      </c>
      <c r="HC110" s="2">
        <f t="shared" si="43"/>
        <v>0</v>
      </c>
      <c r="HD110" s="2" t="s">
        <v>3</v>
      </c>
      <c r="HE110" s="2" t="s">
        <v>37</v>
      </c>
      <c r="HF110" s="2" t="s">
        <v>106</v>
      </c>
      <c r="HG110" s="2" t="s">
        <v>106</v>
      </c>
      <c r="HH110" s="2"/>
      <c r="HI110" s="2" t="s">
        <v>81</v>
      </c>
      <c r="HJ110" s="2" t="s">
        <v>3</v>
      </c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 t="s">
        <v>3</v>
      </c>
    </row>
    <row r="111" spans="1:268" ht="15.75" customHeight="1" x14ac:dyDescent="0.2">
      <c r="A111" s="13" t="s">
        <v>1041</v>
      </c>
      <c r="B111" s="2" t="s">
        <v>99</v>
      </c>
      <c r="C111" s="2"/>
      <c r="D111" s="2"/>
      <c r="E111" s="2" t="s">
        <v>78</v>
      </c>
      <c r="F111" s="2" t="s">
        <v>319</v>
      </c>
      <c r="G111" s="2"/>
      <c r="H111" s="2" t="s">
        <v>141</v>
      </c>
      <c r="I111" s="2">
        <v>0</v>
      </c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>
        <v>9.0670000000000002</v>
      </c>
      <c r="AE111" s="2"/>
      <c r="AF111" s="2"/>
      <c r="AG111" s="2"/>
      <c r="AH111" s="2"/>
      <c r="AI111" s="2"/>
      <c r="AJ111" s="2"/>
      <c r="AK111" s="2"/>
      <c r="AL111" s="2">
        <v>1.07</v>
      </c>
      <c r="AM111" s="2"/>
      <c r="AN111" s="2"/>
      <c r="AO111" s="2"/>
      <c r="AP111" s="2"/>
      <c r="AQ111" s="2"/>
      <c r="AR111" s="2"/>
      <c r="AS111" s="2"/>
      <c r="AT111" s="15">
        <f>100*3.8/9.067</f>
        <v>41.910223888827616</v>
      </c>
      <c r="AU111" s="2"/>
      <c r="AV111" s="2"/>
      <c r="AW111" s="2"/>
      <c r="AX111" s="2"/>
      <c r="AY111" s="2">
        <v>0</v>
      </c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>
        <v>0</v>
      </c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>
        <v>0</v>
      </c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 t="s">
        <v>81</v>
      </c>
      <c r="DK111" s="2"/>
      <c r="DL111" s="2">
        <f t="shared" si="3"/>
        <v>1.07</v>
      </c>
      <c r="DM111" s="2">
        <f t="shared" si="4"/>
        <v>0</v>
      </c>
      <c r="DN111" s="2" t="s">
        <v>320</v>
      </c>
      <c r="DO111" s="2" t="s">
        <v>3</v>
      </c>
      <c r="DP111" s="2">
        <f t="shared" si="5"/>
        <v>0</v>
      </c>
      <c r="DQ111" s="2">
        <f t="shared" ref="DQ111:DR111" si="1955">K111*$I111+AF111*$AD111+BA111*$AY111</f>
        <v>0</v>
      </c>
      <c r="DR111" s="2">
        <f t="shared" si="1955"/>
        <v>0</v>
      </c>
      <c r="DS111" s="2">
        <f t="shared" ref="DS111:DX111" si="1956">(M111*$I111+AH111*$AD111+BC111*$AY111)/100</f>
        <v>0</v>
      </c>
      <c r="DT111" s="2">
        <f t="shared" si="1956"/>
        <v>0</v>
      </c>
      <c r="DU111" s="2">
        <f t="shared" si="1956"/>
        <v>0</v>
      </c>
      <c r="DV111" s="2">
        <f t="shared" si="1956"/>
        <v>0</v>
      </c>
      <c r="DW111" s="2">
        <f t="shared" si="1956"/>
        <v>9.7016900000000017E-2</v>
      </c>
      <c r="DX111" s="2">
        <f t="shared" si="1956"/>
        <v>0</v>
      </c>
      <c r="DY111" s="2">
        <f t="shared" ref="DY111:EC111" si="1957">S111*$I111+AN111*$AD111+BI111*$AY111</f>
        <v>0</v>
      </c>
      <c r="DZ111" s="2">
        <f t="shared" si="1957"/>
        <v>0</v>
      </c>
      <c r="EA111" s="2">
        <f t="shared" si="1957"/>
        <v>0</v>
      </c>
      <c r="EB111" s="2">
        <f t="shared" si="1957"/>
        <v>0</v>
      </c>
      <c r="EC111" s="2">
        <f t="shared" si="1957"/>
        <v>0</v>
      </c>
      <c r="ED111" s="2">
        <f t="shared" ref="ED111:EE111" si="1958">(X111*$I111+AS111*$AD111+BN111*$AY111)/100</f>
        <v>0</v>
      </c>
      <c r="EE111" s="2">
        <f t="shared" si="1958"/>
        <v>3.8</v>
      </c>
      <c r="EF111" s="2"/>
      <c r="EG111" s="2">
        <f t="shared" si="10"/>
        <v>0</v>
      </c>
      <c r="EH111" s="2">
        <f t="shared" si="11"/>
        <v>0</v>
      </c>
      <c r="EI111" s="39">
        <f t="shared" si="12"/>
        <v>0</v>
      </c>
      <c r="EJ111" s="39">
        <f t="shared" ref="EJ111:EK111" si="1959">EJ$1*DQ111/1000000</f>
        <v>0</v>
      </c>
      <c r="EK111" s="39">
        <f t="shared" si="1959"/>
        <v>0</v>
      </c>
      <c r="EL111" s="39">
        <f t="shared" ref="EL111:EQ111" si="1960">EL$1*DS111</f>
        <v>0</v>
      </c>
      <c r="EM111" s="39">
        <f t="shared" si="1960"/>
        <v>0</v>
      </c>
      <c r="EN111" s="39">
        <f t="shared" si="1960"/>
        <v>0</v>
      </c>
      <c r="EO111" s="39">
        <f t="shared" si="1960"/>
        <v>0</v>
      </c>
      <c r="EP111" s="39">
        <f t="shared" si="1960"/>
        <v>1272.2796266000003</v>
      </c>
      <c r="EQ111" s="39">
        <f t="shared" si="1960"/>
        <v>0</v>
      </c>
      <c r="ER111" s="39">
        <f t="shared" ref="ER111:EV111" si="1961">ER$1*DY111/1000000</f>
        <v>0</v>
      </c>
      <c r="ES111" s="39">
        <f t="shared" si="1961"/>
        <v>0</v>
      </c>
      <c r="ET111" s="39">
        <f t="shared" si="1961"/>
        <v>0</v>
      </c>
      <c r="EU111" s="39">
        <f t="shared" si="1961"/>
        <v>0</v>
      </c>
      <c r="EV111" s="39">
        <f t="shared" si="1961"/>
        <v>0</v>
      </c>
      <c r="EW111" s="39">
        <f t="shared" ref="EW111:EX111" si="1962">EW$1*ED111</f>
        <v>0</v>
      </c>
      <c r="EX111" s="39">
        <f t="shared" si="1962"/>
        <v>353.4</v>
      </c>
      <c r="EY111" s="2"/>
      <c r="EZ111" s="39">
        <f t="shared" si="17"/>
        <v>0</v>
      </c>
      <c r="FA111" s="39">
        <f t="shared" si="18"/>
        <v>0</v>
      </c>
      <c r="FB111" s="2">
        <f t="shared" si="19"/>
        <v>0</v>
      </c>
      <c r="FC111" s="2">
        <f t="shared" ref="FC111:FD111" si="1963">BV111*$BT111+CQ111*$CO111</f>
        <v>0</v>
      </c>
      <c r="FD111" s="2">
        <f t="shared" si="1963"/>
        <v>0</v>
      </c>
      <c r="FE111" s="2">
        <f t="shared" ref="FE111:FJ111" si="1964">(BX111*$BT111+CS111*$CO111)/100</f>
        <v>0</v>
      </c>
      <c r="FF111" s="2">
        <f t="shared" si="1964"/>
        <v>0</v>
      </c>
      <c r="FG111" s="2">
        <f t="shared" si="1964"/>
        <v>0</v>
      </c>
      <c r="FH111" s="2">
        <f t="shared" si="1964"/>
        <v>0</v>
      </c>
      <c r="FI111" s="2">
        <f t="shared" si="1964"/>
        <v>0</v>
      </c>
      <c r="FJ111" s="2">
        <f t="shared" si="1964"/>
        <v>0</v>
      </c>
      <c r="FK111" s="2">
        <f t="shared" ref="FK111:FO111" si="1965">CD111*$BT111+CY111*$CO111</f>
        <v>0</v>
      </c>
      <c r="FL111" s="2">
        <f t="shared" si="1965"/>
        <v>0</v>
      </c>
      <c r="FM111" s="2">
        <f t="shared" si="1965"/>
        <v>0</v>
      </c>
      <c r="FN111" s="2">
        <f t="shared" si="1965"/>
        <v>0</v>
      </c>
      <c r="FO111" s="2">
        <f t="shared" si="1965"/>
        <v>0</v>
      </c>
      <c r="FP111" s="2">
        <f t="shared" ref="FP111:FQ111" si="1966">(CI111*$BT111+DD111*$CO111)/100</f>
        <v>0</v>
      </c>
      <c r="FQ111" s="2">
        <f t="shared" si="1966"/>
        <v>0</v>
      </c>
      <c r="FR111" s="2"/>
      <c r="FS111" s="2">
        <f t="shared" si="24"/>
        <v>0</v>
      </c>
      <c r="FT111" s="2">
        <f t="shared" si="25"/>
        <v>0</v>
      </c>
      <c r="FU111" s="39">
        <f t="shared" si="26"/>
        <v>0</v>
      </c>
      <c r="FV111" s="39">
        <f t="shared" ref="FV111:FW111" si="1967">FV$1*FC111/1000000</f>
        <v>0</v>
      </c>
      <c r="FW111" s="39">
        <f t="shared" si="1967"/>
        <v>0</v>
      </c>
      <c r="FX111" s="39">
        <f t="shared" ref="FX111:GC111" si="1968">FX$1*FE111</f>
        <v>0</v>
      </c>
      <c r="FY111" s="39">
        <f t="shared" si="1968"/>
        <v>0</v>
      </c>
      <c r="FZ111" s="39">
        <f t="shared" si="1968"/>
        <v>0</v>
      </c>
      <c r="GA111" s="39">
        <f t="shared" si="1968"/>
        <v>0</v>
      </c>
      <c r="GB111" s="39">
        <f t="shared" si="1968"/>
        <v>0</v>
      </c>
      <c r="GC111" s="39">
        <f t="shared" si="1968"/>
        <v>0</v>
      </c>
      <c r="GD111" s="39">
        <f t="shared" ref="GD111:GH111" si="1969">GD$1*FK111/1000000</f>
        <v>0</v>
      </c>
      <c r="GE111" s="39">
        <f t="shared" si="1969"/>
        <v>0</v>
      </c>
      <c r="GF111" s="39">
        <f t="shared" si="1969"/>
        <v>0</v>
      </c>
      <c r="GG111" s="39">
        <f t="shared" si="1969"/>
        <v>0</v>
      </c>
      <c r="GH111" s="39">
        <f t="shared" si="1969"/>
        <v>0</v>
      </c>
      <c r="GI111" s="39">
        <f t="shared" ref="GI111:GJ111" si="1970">GI$1*FP111</f>
        <v>0</v>
      </c>
      <c r="GJ111" s="39">
        <f t="shared" si="1970"/>
        <v>0</v>
      </c>
      <c r="GK111" s="2"/>
      <c r="GL111" s="39">
        <f t="shared" si="31"/>
        <v>0</v>
      </c>
      <c r="GM111" s="39">
        <f t="shared" si="32"/>
        <v>0</v>
      </c>
      <c r="GN111" s="2" t="s">
        <v>3</v>
      </c>
      <c r="GO111" s="2">
        <f t="shared" si="33"/>
        <v>9.0670000000000002</v>
      </c>
      <c r="GP111" s="4">
        <f t="shared" si="34"/>
        <v>1.07</v>
      </c>
      <c r="GQ111" s="15">
        <f t="shared" si="35"/>
        <v>97.016900000000007</v>
      </c>
      <c r="GR111" s="15">
        <f t="shared" si="36"/>
        <v>1625.6796266000001</v>
      </c>
      <c r="GS111" s="15">
        <f t="shared" si="37"/>
        <v>179.2963082166097</v>
      </c>
      <c r="GT111" s="2">
        <f t="shared" si="38"/>
        <v>0</v>
      </c>
      <c r="GU111" s="2">
        <f t="shared" si="39"/>
        <v>97.016900000000007</v>
      </c>
      <c r="GV111" s="2">
        <f t="shared" si="40"/>
        <v>0</v>
      </c>
      <c r="GW111" s="2">
        <f t="shared" si="41"/>
        <v>0</v>
      </c>
      <c r="GX111" s="2"/>
      <c r="GY111" s="2"/>
      <c r="GZ111" s="2"/>
      <c r="HA111" s="2"/>
      <c r="HB111" s="2">
        <f t="shared" si="42"/>
        <v>0</v>
      </c>
      <c r="HC111" s="2">
        <f t="shared" si="43"/>
        <v>0</v>
      </c>
      <c r="HD111" s="2" t="s">
        <v>3</v>
      </c>
      <c r="HE111" s="2" t="s">
        <v>37</v>
      </c>
      <c r="HF111" s="2" t="s">
        <v>229</v>
      </c>
      <c r="HG111" s="2" t="s">
        <v>106</v>
      </c>
      <c r="HH111" s="2"/>
      <c r="HI111" s="2" t="s">
        <v>81</v>
      </c>
      <c r="HJ111" s="2" t="s">
        <v>3</v>
      </c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 t="s">
        <v>3</v>
      </c>
    </row>
    <row r="112" spans="1:268" ht="15.75" customHeight="1" x14ac:dyDescent="0.2">
      <c r="A112" s="13" t="s">
        <v>1050</v>
      </c>
      <c r="B112" s="2" t="s">
        <v>109</v>
      </c>
      <c r="C112" s="2"/>
      <c r="D112" s="2"/>
      <c r="E112" s="2" t="s">
        <v>78</v>
      </c>
      <c r="F112" s="2" t="s">
        <v>1051</v>
      </c>
      <c r="G112" s="2"/>
      <c r="H112" s="2" t="s">
        <v>1052</v>
      </c>
      <c r="I112" s="2">
        <v>0</v>
      </c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4">
        <f>15.685+36.073</f>
        <v>51.758000000000003</v>
      </c>
      <c r="AE112" s="2"/>
      <c r="AF112" s="2"/>
      <c r="AG112" s="2"/>
      <c r="AH112" s="2"/>
      <c r="AI112" s="2"/>
      <c r="AJ112" s="2"/>
      <c r="AK112" s="2"/>
      <c r="AL112" s="4">
        <f>(1.62*15.685+1.11*36.073)/AD112</f>
        <v>1.2645529193554621</v>
      </c>
      <c r="AM112" s="2"/>
      <c r="AN112" s="2"/>
      <c r="AO112" s="2"/>
      <c r="AP112" s="2"/>
      <c r="AQ112" s="2"/>
      <c r="AR112" s="2"/>
      <c r="AS112" s="2"/>
      <c r="AT112" s="4">
        <f>(13.5*15.685+35.9*36.073)/AD112</f>
        <v>29.11179334595618</v>
      </c>
      <c r="AU112" s="2"/>
      <c r="AV112" s="2"/>
      <c r="AW112" s="2"/>
      <c r="AX112" s="4">
        <f>100*((24.959+51.861)-(15.685+36.073))/(24.959+51.861)</f>
        <v>32.624316584222846</v>
      </c>
      <c r="AY112" s="4">
        <f>9.566+0.039</f>
        <v>9.6050000000000004</v>
      </c>
      <c r="AZ112" s="2"/>
      <c r="BA112" s="2"/>
      <c r="BB112" s="2"/>
      <c r="BC112" s="2"/>
      <c r="BD112" s="2"/>
      <c r="BE112" s="2"/>
      <c r="BF112" s="2"/>
      <c r="BG112" s="4">
        <f>(1.64*9.566+1.26*0.039)/AY112</f>
        <v>1.6384570536179073</v>
      </c>
      <c r="BH112" s="2"/>
      <c r="BI112" s="2"/>
      <c r="BJ112" s="2"/>
      <c r="BK112" s="2"/>
      <c r="BL112" s="2"/>
      <c r="BM112" s="2"/>
      <c r="BN112" s="2"/>
      <c r="BO112" s="4">
        <f>(11.97*9.566+38.57*0.039)/AY112</f>
        <v>12.078006246746488</v>
      </c>
      <c r="BP112" s="2"/>
      <c r="BQ112" s="2"/>
      <c r="BR112" s="2"/>
      <c r="BS112" s="4">
        <f>100*((15.259+0.056)-(9.566+0.039))/(15.259+0.056)</f>
        <v>37.283708782239628</v>
      </c>
      <c r="BT112" s="2">
        <v>0</v>
      </c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4">
        <f>14.04+34.814</f>
        <v>48.853999999999999</v>
      </c>
      <c r="CP112" s="2"/>
      <c r="CQ112" s="2"/>
      <c r="CR112" s="2"/>
      <c r="CS112" s="2"/>
      <c r="CT112" s="2"/>
      <c r="CU112" s="2"/>
      <c r="CV112" s="2"/>
      <c r="CW112" s="4">
        <f>(1.5*14.04+1.08*34.814)/CO112</f>
        <v>1.2007025013304951</v>
      </c>
      <c r="CX112" s="2"/>
      <c r="CY112" s="2"/>
      <c r="CZ112" s="2"/>
      <c r="DA112" s="2"/>
      <c r="DB112" s="2"/>
      <c r="DC112" s="2"/>
      <c r="DD112" s="2"/>
      <c r="DE112" s="4">
        <f>(13.71*14.04+35.47*34.814)/CO112</f>
        <v>29.216460883448644</v>
      </c>
      <c r="DF112" s="2"/>
      <c r="DG112" s="2"/>
      <c r="DH112" s="2"/>
      <c r="DI112" s="4">
        <f>100*((21.103+49.876)-(14.04+34.814))/(21.103+49.876)</f>
        <v>31.171191479169895</v>
      </c>
      <c r="DJ112" s="2" t="s">
        <v>81</v>
      </c>
      <c r="DK112" s="2"/>
      <c r="DL112" s="2">
        <f t="shared" si="3"/>
        <v>1.3230792171178074</v>
      </c>
      <c r="DM112" s="2">
        <f t="shared" si="4"/>
        <v>0</v>
      </c>
      <c r="DN112" s="2" t="s">
        <v>211</v>
      </c>
      <c r="DO112" s="2" t="s">
        <v>3</v>
      </c>
      <c r="DP112" s="2">
        <f t="shared" si="5"/>
        <v>0</v>
      </c>
      <c r="DQ112" s="2">
        <f t="shared" ref="DQ112:DR112" si="1971">K112*$I112+AF112*$AD112+BA112*$AY112</f>
        <v>0</v>
      </c>
      <c r="DR112" s="2">
        <f t="shared" si="1971"/>
        <v>0</v>
      </c>
      <c r="DS112" s="2">
        <f t="shared" ref="DS112:DX112" si="1972">(M112*$I112+AH112*$AD112+BC112*$AY112)/100</f>
        <v>0</v>
      </c>
      <c r="DT112" s="2">
        <f t="shared" si="1972"/>
        <v>0</v>
      </c>
      <c r="DU112" s="2">
        <f t="shared" si="1972"/>
        <v>0</v>
      </c>
      <c r="DV112" s="2">
        <f t="shared" si="1972"/>
        <v>0</v>
      </c>
      <c r="DW112" s="2">
        <f t="shared" si="1972"/>
        <v>0.81188110000000013</v>
      </c>
      <c r="DX112" s="2">
        <f t="shared" si="1972"/>
        <v>0</v>
      </c>
      <c r="DY112" s="2">
        <f t="shared" ref="DY112:EC112" si="1973">S112*$I112+AN112*$AD112+BI112*$AY112</f>
        <v>0</v>
      </c>
      <c r="DZ112" s="2">
        <f t="shared" si="1973"/>
        <v>0</v>
      </c>
      <c r="EA112" s="2">
        <f t="shared" si="1973"/>
        <v>0</v>
      </c>
      <c r="EB112" s="2">
        <f t="shared" si="1973"/>
        <v>0</v>
      </c>
      <c r="EC112" s="2">
        <f t="shared" si="1973"/>
        <v>0</v>
      </c>
      <c r="ED112" s="2">
        <f t="shared" ref="ED112:EE112" si="1974">(X112*$I112+AS112*$AD112+BN112*$AY112)/100</f>
        <v>0</v>
      </c>
      <c r="EE112" s="2">
        <f t="shared" si="1974"/>
        <v>16.227774499999999</v>
      </c>
      <c r="EF112" s="2"/>
      <c r="EG112" s="2">
        <f t="shared" si="10"/>
        <v>0</v>
      </c>
      <c r="EH112" s="2">
        <f t="shared" si="11"/>
        <v>0</v>
      </c>
      <c r="EI112" s="39">
        <f t="shared" si="12"/>
        <v>0</v>
      </c>
      <c r="EJ112" s="39">
        <f t="shared" ref="EJ112:EK112" si="1975">EJ$1*DQ112/1000000</f>
        <v>0</v>
      </c>
      <c r="EK112" s="39">
        <f t="shared" si="1975"/>
        <v>0</v>
      </c>
      <c r="EL112" s="39">
        <f t="shared" ref="EL112:EQ112" si="1976">EL$1*DS112</f>
        <v>0</v>
      </c>
      <c r="EM112" s="39">
        <f t="shared" si="1976"/>
        <v>0</v>
      </c>
      <c r="EN112" s="39">
        <f t="shared" si="1976"/>
        <v>0</v>
      </c>
      <c r="EO112" s="39">
        <f t="shared" si="1976"/>
        <v>0</v>
      </c>
      <c r="EP112" s="39">
        <f t="shared" si="1976"/>
        <v>10647.008745400002</v>
      </c>
      <c r="EQ112" s="39">
        <f t="shared" si="1976"/>
        <v>0</v>
      </c>
      <c r="ER112" s="39">
        <f t="shared" ref="ER112:EV112" si="1977">ER$1*DY112/1000000</f>
        <v>0</v>
      </c>
      <c r="ES112" s="39">
        <f t="shared" si="1977"/>
        <v>0</v>
      </c>
      <c r="ET112" s="39">
        <f t="shared" si="1977"/>
        <v>0</v>
      </c>
      <c r="EU112" s="39">
        <f t="shared" si="1977"/>
        <v>0</v>
      </c>
      <c r="EV112" s="39">
        <f t="shared" si="1977"/>
        <v>0</v>
      </c>
      <c r="EW112" s="39">
        <f t="shared" ref="EW112:EX112" si="1978">EW$1*ED112</f>
        <v>0</v>
      </c>
      <c r="EX112" s="39">
        <f t="shared" si="1978"/>
        <v>1509.1830284999999</v>
      </c>
      <c r="EY112" s="2"/>
      <c r="EZ112" s="39">
        <f t="shared" si="17"/>
        <v>0</v>
      </c>
      <c r="FA112" s="39">
        <f t="shared" si="18"/>
        <v>0</v>
      </c>
      <c r="FB112" s="2">
        <f t="shared" si="19"/>
        <v>0</v>
      </c>
      <c r="FC112" s="2">
        <f t="shared" ref="FC112:FD112" si="1979">BV112*$BT112+CQ112*$CO112</f>
        <v>0</v>
      </c>
      <c r="FD112" s="2">
        <f t="shared" si="1979"/>
        <v>0</v>
      </c>
      <c r="FE112" s="2">
        <f t="shared" ref="FE112:FJ112" si="1980">(BX112*$BT112+CS112*$CO112)/100</f>
        <v>0</v>
      </c>
      <c r="FF112" s="2">
        <f t="shared" si="1980"/>
        <v>0</v>
      </c>
      <c r="FG112" s="2">
        <f t="shared" si="1980"/>
        <v>0</v>
      </c>
      <c r="FH112" s="2">
        <f t="shared" si="1980"/>
        <v>0</v>
      </c>
      <c r="FI112" s="2">
        <f t="shared" si="1980"/>
        <v>0.58659119999999998</v>
      </c>
      <c r="FJ112" s="2">
        <f t="shared" si="1980"/>
        <v>0</v>
      </c>
      <c r="FK112" s="2">
        <f t="shared" ref="FK112:FO112" si="1981">CD112*$BT112+CY112*$CO112</f>
        <v>0</v>
      </c>
      <c r="FL112" s="2">
        <f t="shared" si="1981"/>
        <v>0</v>
      </c>
      <c r="FM112" s="2">
        <f t="shared" si="1981"/>
        <v>0</v>
      </c>
      <c r="FN112" s="2">
        <f t="shared" si="1981"/>
        <v>0</v>
      </c>
      <c r="FO112" s="2">
        <f t="shared" si="1981"/>
        <v>0</v>
      </c>
      <c r="FP112" s="2">
        <f t="shared" ref="FP112:FQ112" si="1982">(CI112*$BT112+DD112*$CO112)/100</f>
        <v>0</v>
      </c>
      <c r="FQ112" s="2">
        <f t="shared" si="1982"/>
        <v>14.2734098</v>
      </c>
      <c r="FR112" s="2"/>
      <c r="FS112" s="2">
        <f t="shared" si="24"/>
        <v>0</v>
      </c>
      <c r="FT112" s="2">
        <f t="shared" si="25"/>
        <v>0</v>
      </c>
      <c r="FU112" s="39">
        <f t="shared" si="26"/>
        <v>0</v>
      </c>
      <c r="FV112" s="39">
        <f t="shared" ref="FV112:FW112" si="1983">FV$1*FC112/1000000</f>
        <v>0</v>
      </c>
      <c r="FW112" s="39">
        <f t="shared" si="1983"/>
        <v>0</v>
      </c>
      <c r="FX112" s="39">
        <f t="shared" ref="FX112:GC112" si="1984">FX$1*FE112</f>
        <v>0</v>
      </c>
      <c r="FY112" s="39">
        <f t="shared" si="1984"/>
        <v>0</v>
      </c>
      <c r="FZ112" s="39">
        <f t="shared" si="1984"/>
        <v>0</v>
      </c>
      <c r="GA112" s="39">
        <f t="shared" si="1984"/>
        <v>0</v>
      </c>
      <c r="GB112" s="39">
        <f t="shared" si="1984"/>
        <v>7692.5569968</v>
      </c>
      <c r="GC112" s="39">
        <f t="shared" si="1984"/>
        <v>0</v>
      </c>
      <c r="GD112" s="39">
        <f t="shared" ref="GD112:GH112" si="1985">GD$1*FK112/1000000</f>
        <v>0</v>
      </c>
      <c r="GE112" s="39">
        <f t="shared" si="1985"/>
        <v>0</v>
      </c>
      <c r="GF112" s="39">
        <f t="shared" si="1985"/>
        <v>0</v>
      </c>
      <c r="GG112" s="39">
        <f t="shared" si="1985"/>
        <v>0</v>
      </c>
      <c r="GH112" s="39">
        <f t="shared" si="1985"/>
        <v>0</v>
      </c>
      <c r="GI112" s="39">
        <f t="shared" ref="GI112:GJ112" si="1986">GI$1*FP112</f>
        <v>0</v>
      </c>
      <c r="GJ112" s="39">
        <f t="shared" si="1986"/>
        <v>1327.4271114000001</v>
      </c>
      <c r="GK112" s="2"/>
      <c r="GL112" s="39">
        <f t="shared" si="31"/>
        <v>0</v>
      </c>
      <c r="GM112" s="39">
        <f t="shared" si="32"/>
        <v>0</v>
      </c>
      <c r="GN112" s="2" t="s">
        <v>3</v>
      </c>
      <c r="GO112" s="4">
        <f t="shared" si="33"/>
        <v>61.363</v>
      </c>
      <c r="GP112" s="4">
        <f t="shared" si="34"/>
        <v>1.3230792171178074</v>
      </c>
      <c r="GQ112" s="15">
        <f t="shared" si="35"/>
        <v>811.88110000000017</v>
      </c>
      <c r="GR112" s="15">
        <f t="shared" si="36"/>
        <v>12156.191773900002</v>
      </c>
      <c r="GS112" s="15">
        <f t="shared" si="37"/>
        <v>198.10295738311365</v>
      </c>
      <c r="GT112" s="2">
        <f t="shared" si="38"/>
        <v>0</v>
      </c>
      <c r="GU112" s="2">
        <f t="shared" si="39"/>
        <v>654.5073000000001</v>
      </c>
      <c r="GV112" s="2">
        <f t="shared" si="40"/>
        <v>157.37379999999999</v>
      </c>
      <c r="GW112" s="4">
        <f t="shared" si="41"/>
        <v>48.853999999999999</v>
      </c>
      <c r="GX112" s="4">
        <f>(BT112*CB112+CO112*CW112)/GW112</f>
        <v>1.2007025013304951</v>
      </c>
      <c r="GY112" s="15">
        <f>1000*GW112*GX112/100</f>
        <v>586.59120000000007</v>
      </c>
      <c r="GZ112" s="15">
        <f>SUM(FU112:GM112)</f>
        <v>9019.9841082000003</v>
      </c>
      <c r="HA112" s="15">
        <f>GZ112/GW112</f>
        <v>184.63143464608837</v>
      </c>
      <c r="HB112" s="2">
        <f t="shared" si="42"/>
        <v>0</v>
      </c>
      <c r="HC112" s="2">
        <f t="shared" si="43"/>
        <v>586.59120000000007</v>
      </c>
      <c r="HD112" s="2" t="s">
        <v>3</v>
      </c>
      <c r="HE112" s="2" t="s">
        <v>37</v>
      </c>
      <c r="HF112" s="2" t="s">
        <v>229</v>
      </c>
      <c r="HG112" s="2" t="s">
        <v>106</v>
      </c>
      <c r="HH112" s="2"/>
      <c r="HI112" s="2" t="s">
        <v>81</v>
      </c>
      <c r="HJ112" s="2" t="s">
        <v>3</v>
      </c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 t="s">
        <v>3</v>
      </c>
    </row>
    <row r="113" spans="1:268" ht="15.75" customHeight="1" x14ac:dyDescent="0.2">
      <c r="A113" s="13" t="s">
        <v>1241</v>
      </c>
      <c r="B113" s="2" t="s">
        <v>99</v>
      </c>
      <c r="C113" s="2"/>
      <c r="D113" s="2"/>
      <c r="E113" s="2" t="s">
        <v>78</v>
      </c>
      <c r="F113" s="2" t="s">
        <v>1021</v>
      </c>
      <c r="G113" s="2"/>
      <c r="H113" s="2" t="s">
        <v>141</v>
      </c>
      <c r="I113" s="19">
        <v>11.217919</v>
      </c>
      <c r="J113" s="2"/>
      <c r="K113" s="2"/>
      <c r="L113" s="2"/>
      <c r="M113" s="2"/>
      <c r="N113" s="2"/>
      <c r="O113" s="2"/>
      <c r="P113" s="2"/>
      <c r="Q113" s="4">
        <v>1.6</v>
      </c>
      <c r="R113" s="2">
        <v>0.06</v>
      </c>
      <c r="S113" s="2"/>
      <c r="T113" s="2"/>
      <c r="U113" s="2"/>
      <c r="V113" s="2"/>
      <c r="W113" s="2"/>
      <c r="X113" s="2"/>
      <c r="Y113" s="2">
        <v>21.26</v>
      </c>
      <c r="Z113" s="2"/>
      <c r="AA113" s="2"/>
      <c r="AB113" s="2"/>
      <c r="AC113" s="2"/>
      <c r="AD113" s="19">
        <v>14.439299999999999</v>
      </c>
      <c r="AE113" s="2"/>
      <c r="AF113" s="2"/>
      <c r="AG113" s="2"/>
      <c r="AH113" s="2"/>
      <c r="AI113" s="2"/>
      <c r="AJ113" s="2"/>
      <c r="AK113" s="2"/>
      <c r="AL113" s="2">
        <v>1.57</v>
      </c>
      <c r="AM113" s="2">
        <v>0.04</v>
      </c>
      <c r="AN113" s="2"/>
      <c r="AO113" s="2"/>
      <c r="AP113" s="2"/>
      <c r="AQ113" s="2"/>
      <c r="AR113" s="2"/>
      <c r="AS113" s="2"/>
      <c r="AT113" s="2">
        <v>13.62</v>
      </c>
      <c r="AU113" s="2"/>
      <c r="AV113" s="2"/>
      <c r="AW113" s="2"/>
      <c r="AX113" s="2"/>
      <c r="AY113" s="19">
        <v>19.232123000000001</v>
      </c>
      <c r="AZ113" s="2"/>
      <c r="BA113" s="2"/>
      <c r="BB113" s="2"/>
      <c r="BC113" s="2"/>
      <c r="BD113" s="2"/>
      <c r="BE113" s="2"/>
      <c r="BF113" s="2"/>
      <c r="BG113" s="2">
        <v>1.51</v>
      </c>
      <c r="BH113" s="2">
        <v>0.03</v>
      </c>
      <c r="BI113" s="2"/>
      <c r="BJ113" s="2"/>
      <c r="BK113" s="2"/>
      <c r="BL113" s="2"/>
      <c r="BM113" s="2"/>
      <c r="BN113" s="2"/>
      <c r="BO113" s="2">
        <v>13.11</v>
      </c>
      <c r="BP113" s="2"/>
      <c r="BQ113" s="2"/>
      <c r="BR113" s="2"/>
      <c r="BS113" s="2"/>
      <c r="BT113" s="2">
        <v>0</v>
      </c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>
        <v>0</v>
      </c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 t="s">
        <v>81</v>
      </c>
      <c r="DK113" s="2" t="s">
        <v>81</v>
      </c>
      <c r="DL113" s="2">
        <f t="shared" si="3"/>
        <v>1.5517910048670351</v>
      </c>
      <c r="DM113" s="2">
        <f t="shared" si="4"/>
        <v>4.0713691682092372E-2</v>
      </c>
      <c r="DN113" s="2" t="s">
        <v>1022</v>
      </c>
      <c r="DO113" s="2" t="s">
        <v>3</v>
      </c>
      <c r="DP113" s="2">
        <f t="shared" si="5"/>
        <v>0</v>
      </c>
      <c r="DQ113" s="2">
        <f t="shared" ref="DQ113:DR113" si="1987">K113*$I113+AF113*$AD113+BA113*$AY113</f>
        <v>0</v>
      </c>
      <c r="DR113" s="2">
        <f t="shared" si="1987"/>
        <v>0</v>
      </c>
      <c r="DS113" s="2">
        <f t="shared" ref="DS113:DX113" si="1988">(M113*$I113+AH113*$AD113+BC113*$AY113)/100</f>
        <v>0</v>
      </c>
      <c r="DT113" s="2">
        <f t="shared" si="1988"/>
        <v>0</v>
      </c>
      <c r="DU113" s="2">
        <f t="shared" si="1988"/>
        <v>0</v>
      </c>
      <c r="DV113" s="2">
        <f t="shared" si="1988"/>
        <v>0</v>
      </c>
      <c r="DW113" s="2">
        <f t="shared" si="1988"/>
        <v>0.69658877130000008</v>
      </c>
      <c r="DX113" s="2">
        <f t="shared" si="1988"/>
        <v>1.8276108299999996E-2</v>
      </c>
      <c r="DY113" s="2">
        <f t="shared" ref="DY113:EC113" si="1989">S113*$I113+AN113*$AD113+BI113*$AY113</f>
        <v>0</v>
      </c>
      <c r="DZ113" s="2">
        <f t="shared" si="1989"/>
        <v>0</v>
      </c>
      <c r="EA113" s="2">
        <f t="shared" si="1989"/>
        <v>0</v>
      </c>
      <c r="EB113" s="2">
        <f t="shared" si="1989"/>
        <v>0</v>
      </c>
      <c r="EC113" s="2">
        <f t="shared" si="1989"/>
        <v>0</v>
      </c>
      <c r="ED113" s="2">
        <f t="shared" ref="ED113:EE113" si="1990">(X113*$I113+AS113*$AD113+BN113*$AY113)/100</f>
        <v>0</v>
      </c>
      <c r="EE113" s="2">
        <f t="shared" si="1990"/>
        <v>6.8728935647</v>
      </c>
      <c r="EF113" s="2"/>
      <c r="EG113" s="2">
        <f t="shared" si="10"/>
        <v>0</v>
      </c>
      <c r="EH113" s="2">
        <f t="shared" si="11"/>
        <v>0</v>
      </c>
      <c r="EI113" s="39">
        <f t="shared" si="12"/>
        <v>0</v>
      </c>
      <c r="EJ113" s="39">
        <f t="shared" ref="EJ113:EK113" si="1991">EJ$1*DQ113/1000000</f>
        <v>0</v>
      </c>
      <c r="EK113" s="39">
        <f t="shared" si="1991"/>
        <v>0</v>
      </c>
      <c r="EL113" s="39">
        <f t="shared" ref="EL113:EQ113" si="1992">EL$1*DS113</f>
        <v>0</v>
      </c>
      <c r="EM113" s="39">
        <f t="shared" si="1992"/>
        <v>0</v>
      </c>
      <c r="EN113" s="39">
        <f t="shared" si="1992"/>
        <v>0</v>
      </c>
      <c r="EO113" s="39">
        <f t="shared" si="1992"/>
        <v>0</v>
      </c>
      <c r="EP113" s="39">
        <f t="shared" si="1992"/>
        <v>9135.0651468282013</v>
      </c>
      <c r="EQ113" s="39">
        <f t="shared" si="1992"/>
        <v>1327.2022853184487</v>
      </c>
      <c r="ER113" s="39">
        <f t="shared" ref="ER113:EV113" si="1993">ER$1*DY113/1000000</f>
        <v>0</v>
      </c>
      <c r="ES113" s="39">
        <f t="shared" si="1993"/>
        <v>0</v>
      </c>
      <c r="ET113" s="39">
        <f t="shared" si="1993"/>
        <v>0</v>
      </c>
      <c r="EU113" s="39">
        <f t="shared" si="1993"/>
        <v>0</v>
      </c>
      <c r="EV113" s="39">
        <f t="shared" si="1993"/>
        <v>0</v>
      </c>
      <c r="EW113" s="39">
        <f t="shared" ref="EW113:EX113" si="1994">EW$1*ED113</f>
        <v>0</v>
      </c>
      <c r="EX113" s="39">
        <f t="shared" si="1994"/>
        <v>639.17910151709998</v>
      </c>
      <c r="EY113" s="2"/>
      <c r="EZ113" s="39">
        <f t="shared" si="17"/>
        <v>0</v>
      </c>
      <c r="FA113" s="39">
        <f t="shared" si="18"/>
        <v>0</v>
      </c>
      <c r="FB113" s="2">
        <f t="shared" si="19"/>
        <v>0</v>
      </c>
      <c r="FC113" s="2">
        <f t="shared" ref="FC113:FD113" si="1995">BV113*$BT113+CQ113*$CO113</f>
        <v>0</v>
      </c>
      <c r="FD113" s="2">
        <f t="shared" si="1995"/>
        <v>0</v>
      </c>
      <c r="FE113" s="2">
        <f t="shared" ref="FE113:FJ113" si="1996">(BX113*$BT113+CS113*$CO113)/100</f>
        <v>0</v>
      </c>
      <c r="FF113" s="2">
        <f t="shared" si="1996"/>
        <v>0</v>
      </c>
      <c r="FG113" s="2">
        <f t="shared" si="1996"/>
        <v>0</v>
      </c>
      <c r="FH113" s="2">
        <f t="shared" si="1996"/>
        <v>0</v>
      </c>
      <c r="FI113" s="2">
        <f t="shared" si="1996"/>
        <v>0</v>
      </c>
      <c r="FJ113" s="2">
        <f t="shared" si="1996"/>
        <v>0</v>
      </c>
      <c r="FK113" s="2">
        <f t="shared" ref="FK113:FO113" si="1997">CD113*$BT113+CY113*$CO113</f>
        <v>0</v>
      </c>
      <c r="FL113" s="2">
        <f t="shared" si="1997"/>
        <v>0</v>
      </c>
      <c r="FM113" s="2">
        <f t="shared" si="1997"/>
        <v>0</v>
      </c>
      <c r="FN113" s="2">
        <f t="shared" si="1997"/>
        <v>0</v>
      </c>
      <c r="FO113" s="2">
        <f t="shared" si="1997"/>
        <v>0</v>
      </c>
      <c r="FP113" s="2">
        <f t="shared" ref="FP113:FQ113" si="1998">(CI113*$BT113+DD113*$CO113)/100</f>
        <v>0</v>
      </c>
      <c r="FQ113" s="2">
        <f t="shared" si="1998"/>
        <v>0</v>
      </c>
      <c r="FR113" s="2"/>
      <c r="FS113" s="2">
        <f t="shared" si="24"/>
        <v>0</v>
      </c>
      <c r="FT113" s="2">
        <f t="shared" si="25"/>
        <v>0</v>
      </c>
      <c r="FU113" s="39">
        <f t="shared" si="26"/>
        <v>0</v>
      </c>
      <c r="FV113" s="39">
        <f t="shared" ref="FV113:FW113" si="1999">FV$1*FC113/1000000</f>
        <v>0</v>
      </c>
      <c r="FW113" s="39">
        <f t="shared" si="1999"/>
        <v>0</v>
      </c>
      <c r="FX113" s="39">
        <f t="shared" ref="FX113:GC113" si="2000">FX$1*FE113</f>
        <v>0</v>
      </c>
      <c r="FY113" s="39">
        <f t="shared" si="2000"/>
        <v>0</v>
      </c>
      <c r="FZ113" s="39">
        <f t="shared" si="2000"/>
        <v>0</v>
      </c>
      <c r="GA113" s="39">
        <f t="shared" si="2000"/>
        <v>0</v>
      </c>
      <c r="GB113" s="39">
        <f t="shared" si="2000"/>
        <v>0</v>
      </c>
      <c r="GC113" s="39">
        <f t="shared" si="2000"/>
        <v>0</v>
      </c>
      <c r="GD113" s="39">
        <f t="shared" ref="GD113:GH113" si="2001">GD$1*FK113/1000000</f>
        <v>0</v>
      </c>
      <c r="GE113" s="39">
        <f t="shared" si="2001"/>
        <v>0</v>
      </c>
      <c r="GF113" s="39">
        <f t="shared" si="2001"/>
        <v>0</v>
      </c>
      <c r="GG113" s="39">
        <f t="shared" si="2001"/>
        <v>0</v>
      </c>
      <c r="GH113" s="39">
        <f t="shared" si="2001"/>
        <v>0</v>
      </c>
      <c r="GI113" s="39">
        <f t="shared" ref="GI113:GJ113" si="2002">GI$1*FP113</f>
        <v>0</v>
      </c>
      <c r="GJ113" s="39">
        <f t="shared" si="2002"/>
        <v>0</v>
      </c>
      <c r="GK113" s="2"/>
      <c r="GL113" s="39">
        <f t="shared" si="31"/>
        <v>0</v>
      </c>
      <c r="GM113" s="39">
        <f t="shared" si="32"/>
        <v>0</v>
      </c>
      <c r="GN113" s="2" t="s">
        <v>3</v>
      </c>
      <c r="GO113" s="4">
        <f t="shared" si="33"/>
        <v>44.889341999999999</v>
      </c>
      <c r="GP113" s="4">
        <f t="shared" si="34"/>
        <v>1.5517910048670351</v>
      </c>
      <c r="GQ113" s="15">
        <f t="shared" si="35"/>
        <v>696.58877129999996</v>
      </c>
      <c r="GR113" s="15">
        <f t="shared" si="36"/>
        <v>11101.44653366375</v>
      </c>
      <c r="GS113" s="15">
        <f t="shared" si="37"/>
        <v>247.3069561515014</v>
      </c>
      <c r="GT113" s="2">
        <f t="shared" si="38"/>
        <v>179.48670400000003</v>
      </c>
      <c r="GU113" s="2">
        <f t="shared" si="39"/>
        <v>226.69701000000001</v>
      </c>
      <c r="GV113" s="2">
        <f t="shared" si="40"/>
        <v>290.40505730000007</v>
      </c>
      <c r="GW113" s="2">
        <f t="shared" si="41"/>
        <v>0</v>
      </c>
      <c r="GX113" s="2"/>
      <c r="GY113" s="2"/>
      <c r="GZ113" s="2"/>
      <c r="HA113" s="2"/>
      <c r="HB113" s="2">
        <f t="shared" si="42"/>
        <v>0</v>
      </c>
      <c r="HC113" s="2">
        <f t="shared" si="43"/>
        <v>0</v>
      </c>
      <c r="HD113" s="2" t="s">
        <v>3</v>
      </c>
      <c r="HE113" s="2" t="s">
        <v>37</v>
      </c>
      <c r="HF113" s="2" t="s">
        <v>229</v>
      </c>
      <c r="HG113" s="2" t="s">
        <v>229</v>
      </c>
      <c r="HH113" s="2"/>
      <c r="HI113" s="2" t="s">
        <v>81</v>
      </c>
      <c r="HJ113" s="2" t="s">
        <v>3</v>
      </c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 t="s">
        <v>3</v>
      </c>
    </row>
    <row r="114" spans="1:268" ht="15.75" customHeight="1" x14ac:dyDescent="0.2">
      <c r="A114" s="13" t="s">
        <v>1020</v>
      </c>
      <c r="B114" s="2" t="s">
        <v>99</v>
      </c>
      <c r="C114" s="2"/>
      <c r="D114" s="2"/>
      <c r="E114" s="2" t="s">
        <v>78</v>
      </c>
      <c r="F114" s="2" t="s">
        <v>1021</v>
      </c>
      <c r="G114" s="2"/>
      <c r="H114" s="2" t="s">
        <v>141</v>
      </c>
      <c r="I114" s="19">
        <v>4.6422860000000004</v>
      </c>
      <c r="J114" s="2"/>
      <c r="K114" s="2"/>
      <c r="L114" s="2"/>
      <c r="M114" s="2"/>
      <c r="N114" s="2"/>
      <c r="O114" s="2"/>
      <c r="P114" s="2"/>
      <c r="Q114" s="2">
        <v>1.43</v>
      </c>
      <c r="R114" s="2">
        <v>0.08</v>
      </c>
      <c r="S114" s="2"/>
      <c r="T114" s="2"/>
      <c r="U114" s="2"/>
      <c r="V114" s="2"/>
      <c r="W114" s="2"/>
      <c r="X114" s="2"/>
      <c r="Y114" s="2">
        <v>34.299999999999997</v>
      </c>
      <c r="Z114" s="2"/>
      <c r="AA114" s="2"/>
      <c r="AB114" s="2"/>
      <c r="AC114" s="2"/>
      <c r="AD114" s="19">
        <v>3.1234989999999998</v>
      </c>
      <c r="AE114" s="2"/>
      <c r="AF114" s="2"/>
      <c r="AG114" s="2"/>
      <c r="AH114" s="2"/>
      <c r="AI114" s="2"/>
      <c r="AJ114" s="2"/>
      <c r="AK114" s="2"/>
      <c r="AL114" s="2">
        <v>1.58</v>
      </c>
      <c r="AM114" s="2">
        <v>0.06</v>
      </c>
      <c r="AN114" s="2"/>
      <c r="AO114" s="2"/>
      <c r="AP114" s="2"/>
      <c r="AQ114" s="2"/>
      <c r="AR114" s="2"/>
      <c r="AS114" s="2"/>
      <c r="AT114" s="2">
        <v>21.86</v>
      </c>
      <c r="AU114" s="2"/>
      <c r="AV114" s="2"/>
      <c r="AW114" s="2"/>
      <c r="AX114" s="2"/>
      <c r="AY114" s="19">
        <v>1.8940399999999999</v>
      </c>
      <c r="AZ114" s="2"/>
      <c r="BA114" s="2"/>
      <c r="BB114" s="2"/>
      <c r="BC114" s="2"/>
      <c r="BD114" s="2"/>
      <c r="BE114" s="2"/>
      <c r="BF114" s="2"/>
      <c r="BG114" s="2">
        <v>1.59</v>
      </c>
      <c r="BH114" s="2">
        <v>0.06</v>
      </c>
      <c r="BI114" s="2"/>
      <c r="BJ114" s="2"/>
      <c r="BK114" s="2"/>
      <c r="BL114" s="2"/>
      <c r="BM114" s="2"/>
      <c r="BN114" s="2"/>
      <c r="BO114" s="2">
        <v>19.75</v>
      </c>
      <c r="BP114" s="2"/>
      <c r="BQ114" s="2"/>
      <c r="BR114" s="2"/>
      <c r="BS114" s="2"/>
      <c r="BT114" s="2">
        <v>0</v>
      </c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>
        <v>0</v>
      </c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 t="s">
        <v>81</v>
      </c>
      <c r="DK114" s="2" t="s">
        <v>81</v>
      </c>
      <c r="DL114" s="2">
        <f t="shared" si="3"/>
        <v>1.5098742472042714</v>
      </c>
      <c r="DM114" s="2">
        <f t="shared" si="4"/>
        <v>6.9611532300015794E-2</v>
      </c>
      <c r="DN114" s="2" t="s">
        <v>1022</v>
      </c>
      <c r="DO114" s="2" t="s">
        <v>3</v>
      </c>
      <c r="DP114" s="2">
        <f t="shared" si="5"/>
        <v>0</v>
      </c>
      <c r="DQ114" s="2">
        <f t="shared" ref="DQ114:DR114" si="2003">K114*$I114+AF114*$AD114+BA114*$AY114</f>
        <v>0</v>
      </c>
      <c r="DR114" s="2">
        <f t="shared" si="2003"/>
        <v>0</v>
      </c>
      <c r="DS114" s="2">
        <f t="shared" ref="DS114:DX114" si="2004">(M114*$I114+AH114*$AD114+BC114*$AY114)/100</f>
        <v>0</v>
      </c>
      <c r="DT114" s="2">
        <f t="shared" si="2004"/>
        <v>0</v>
      </c>
      <c r="DU114" s="2">
        <f t="shared" si="2004"/>
        <v>0</v>
      </c>
      <c r="DV114" s="2">
        <f t="shared" si="2004"/>
        <v>0</v>
      </c>
      <c r="DW114" s="2">
        <f t="shared" si="2004"/>
        <v>0.14585121000000001</v>
      </c>
      <c r="DX114" s="2">
        <f t="shared" si="2004"/>
        <v>6.7243522000000003E-3</v>
      </c>
      <c r="DY114" s="2">
        <f t="shared" ref="DY114:EC114" si="2005">S114*$I114+AN114*$AD114+BI114*$AY114</f>
        <v>0</v>
      </c>
      <c r="DZ114" s="2">
        <f t="shared" si="2005"/>
        <v>0</v>
      </c>
      <c r="EA114" s="2">
        <f t="shared" si="2005"/>
        <v>0</v>
      </c>
      <c r="EB114" s="2">
        <f t="shared" si="2005"/>
        <v>0</v>
      </c>
      <c r="EC114" s="2">
        <f t="shared" si="2005"/>
        <v>0</v>
      </c>
      <c r="ED114" s="2">
        <f t="shared" ref="ED114:EE114" si="2006">(X114*$I114+AS114*$AD114+BN114*$AY114)/100</f>
        <v>0</v>
      </c>
      <c r="EE114" s="2">
        <f t="shared" si="2006"/>
        <v>2.6491738793999997</v>
      </c>
      <c r="EF114" s="2"/>
      <c r="EG114" s="2">
        <f t="shared" si="10"/>
        <v>0</v>
      </c>
      <c r="EH114" s="2">
        <f t="shared" si="11"/>
        <v>0</v>
      </c>
      <c r="EI114" s="39">
        <f t="shared" si="12"/>
        <v>0</v>
      </c>
      <c r="EJ114" s="39">
        <f t="shared" ref="EJ114:EK114" si="2007">EJ$1*DQ114/1000000</f>
        <v>0</v>
      </c>
      <c r="EK114" s="39">
        <f t="shared" si="2007"/>
        <v>0</v>
      </c>
      <c r="EL114" s="39">
        <f t="shared" ref="EL114:EQ114" si="2008">EL$1*DS114</f>
        <v>0</v>
      </c>
      <c r="EM114" s="39">
        <f t="shared" si="2008"/>
        <v>0</v>
      </c>
      <c r="EN114" s="39">
        <f t="shared" si="2008"/>
        <v>0</v>
      </c>
      <c r="EO114" s="39">
        <f t="shared" si="2008"/>
        <v>0</v>
      </c>
      <c r="EP114" s="39">
        <f t="shared" si="2008"/>
        <v>1912.6927679400001</v>
      </c>
      <c r="EQ114" s="39">
        <f t="shared" si="2008"/>
        <v>488.31925597235278</v>
      </c>
      <c r="ER114" s="39">
        <f t="shared" ref="ER114:EV114" si="2009">ER$1*DY114/1000000</f>
        <v>0</v>
      </c>
      <c r="ES114" s="39">
        <f t="shared" si="2009"/>
        <v>0</v>
      </c>
      <c r="ET114" s="39">
        <f t="shared" si="2009"/>
        <v>0</v>
      </c>
      <c r="EU114" s="39">
        <f t="shared" si="2009"/>
        <v>0</v>
      </c>
      <c r="EV114" s="39">
        <f t="shared" si="2009"/>
        <v>0</v>
      </c>
      <c r="EW114" s="39">
        <f t="shared" ref="EW114:EX114" si="2010">EW$1*ED114</f>
        <v>0</v>
      </c>
      <c r="EX114" s="39">
        <f t="shared" si="2010"/>
        <v>246.37317078419997</v>
      </c>
      <c r="EY114" s="2"/>
      <c r="EZ114" s="39">
        <f t="shared" si="17"/>
        <v>0</v>
      </c>
      <c r="FA114" s="39">
        <f t="shared" si="18"/>
        <v>0</v>
      </c>
      <c r="FB114" s="2">
        <f t="shared" si="19"/>
        <v>0</v>
      </c>
      <c r="FC114" s="2">
        <f t="shared" ref="FC114:FD114" si="2011">BV114*$BT114+CQ114*$CO114</f>
        <v>0</v>
      </c>
      <c r="FD114" s="2">
        <f t="shared" si="2011"/>
        <v>0</v>
      </c>
      <c r="FE114" s="2">
        <f t="shared" ref="FE114:FJ114" si="2012">(BX114*$BT114+CS114*$CO114)/100</f>
        <v>0</v>
      </c>
      <c r="FF114" s="2">
        <f t="shared" si="2012"/>
        <v>0</v>
      </c>
      <c r="FG114" s="2">
        <f t="shared" si="2012"/>
        <v>0</v>
      </c>
      <c r="FH114" s="2">
        <f t="shared" si="2012"/>
        <v>0</v>
      </c>
      <c r="FI114" s="2">
        <f t="shared" si="2012"/>
        <v>0</v>
      </c>
      <c r="FJ114" s="2">
        <f t="shared" si="2012"/>
        <v>0</v>
      </c>
      <c r="FK114" s="2">
        <f t="shared" ref="FK114:FO114" si="2013">CD114*$BT114+CY114*$CO114</f>
        <v>0</v>
      </c>
      <c r="FL114" s="2">
        <f t="shared" si="2013"/>
        <v>0</v>
      </c>
      <c r="FM114" s="2">
        <f t="shared" si="2013"/>
        <v>0</v>
      </c>
      <c r="FN114" s="2">
        <f t="shared" si="2013"/>
        <v>0</v>
      </c>
      <c r="FO114" s="2">
        <f t="shared" si="2013"/>
        <v>0</v>
      </c>
      <c r="FP114" s="2">
        <f t="shared" ref="FP114:FQ114" si="2014">(CI114*$BT114+DD114*$CO114)/100</f>
        <v>0</v>
      </c>
      <c r="FQ114" s="2">
        <f t="shared" si="2014"/>
        <v>0</v>
      </c>
      <c r="FR114" s="2"/>
      <c r="FS114" s="2">
        <f t="shared" si="24"/>
        <v>0</v>
      </c>
      <c r="FT114" s="2">
        <f t="shared" si="25"/>
        <v>0</v>
      </c>
      <c r="FU114" s="39">
        <f t="shared" si="26"/>
        <v>0</v>
      </c>
      <c r="FV114" s="39">
        <f t="shared" ref="FV114:FW114" si="2015">FV$1*FC114/1000000</f>
        <v>0</v>
      </c>
      <c r="FW114" s="39">
        <f t="shared" si="2015"/>
        <v>0</v>
      </c>
      <c r="FX114" s="39">
        <f t="shared" ref="FX114:GC114" si="2016">FX$1*FE114</f>
        <v>0</v>
      </c>
      <c r="FY114" s="39">
        <f t="shared" si="2016"/>
        <v>0</v>
      </c>
      <c r="FZ114" s="39">
        <f t="shared" si="2016"/>
        <v>0</v>
      </c>
      <c r="GA114" s="39">
        <f t="shared" si="2016"/>
        <v>0</v>
      </c>
      <c r="GB114" s="39">
        <f t="shared" si="2016"/>
        <v>0</v>
      </c>
      <c r="GC114" s="39">
        <f t="shared" si="2016"/>
        <v>0</v>
      </c>
      <c r="GD114" s="39">
        <f t="shared" ref="GD114:GH114" si="2017">GD$1*FK114/1000000</f>
        <v>0</v>
      </c>
      <c r="GE114" s="39">
        <f t="shared" si="2017"/>
        <v>0</v>
      </c>
      <c r="GF114" s="39">
        <f t="shared" si="2017"/>
        <v>0</v>
      </c>
      <c r="GG114" s="39">
        <f t="shared" si="2017"/>
        <v>0</v>
      </c>
      <c r="GH114" s="39">
        <f t="shared" si="2017"/>
        <v>0</v>
      </c>
      <c r="GI114" s="39">
        <f t="shared" ref="GI114:GJ114" si="2018">GI$1*FP114</f>
        <v>0</v>
      </c>
      <c r="GJ114" s="39">
        <f t="shared" si="2018"/>
        <v>0</v>
      </c>
      <c r="GK114" s="2"/>
      <c r="GL114" s="39">
        <f t="shared" si="31"/>
        <v>0</v>
      </c>
      <c r="GM114" s="39">
        <f t="shared" si="32"/>
        <v>0</v>
      </c>
      <c r="GN114" s="2" t="s">
        <v>3</v>
      </c>
      <c r="GO114" s="19">
        <f t="shared" si="33"/>
        <v>9.6598249999999997</v>
      </c>
      <c r="GP114" s="4">
        <f t="shared" si="34"/>
        <v>1.5098742472042714</v>
      </c>
      <c r="GQ114" s="15">
        <f t="shared" si="35"/>
        <v>145.85120999999998</v>
      </c>
      <c r="GR114" s="15">
        <f t="shared" si="36"/>
        <v>2647.3851946965528</v>
      </c>
      <c r="GS114" s="15">
        <f t="shared" si="37"/>
        <v>274.06140325487809</v>
      </c>
      <c r="GT114" s="2">
        <f t="shared" si="38"/>
        <v>66.38468979999999</v>
      </c>
      <c r="GU114" s="2">
        <f t="shared" si="39"/>
        <v>49.351284200000002</v>
      </c>
      <c r="GV114" s="2">
        <f t="shared" si="40"/>
        <v>30.115235999999999</v>
      </c>
      <c r="GW114" s="2">
        <f t="shared" si="41"/>
        <v>0</v>
      </c>
      <c r="GX114" s="2"/>
      <c r="GY114" s="2"/>
      <c r="GZ114" s="2"/>
      <c r="HA114" s="2"/>
      <c r="HB114" s="2">
        <f t="shared" si="42"/>
        <v>0</v>
      </c>
      <c r="HC114" s="2">
        <f t="shared" si="43"/>
        <v>0</v>
      </c>
      <c r="HD114" s="2" t="s">
        <v>3</v>
      </c>
      <c r="HE114" s="2" t="s">
        <v>37</v>
      </c>
      <c r="HF114" s="2" t="s">
        <v>229</v>
      </c>
      <c r="HG114" s="2" t="s">
        <v>229</v>
      </c>
      <c r="HH114" s="2"/>
      <c r="HI114" s="2" t="s">
        <v>81</v>
      </c>
      <c r="HJ114" s="2" t="s">
        <v>3</v>
      </c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 t="s">
        <v>3</v>
      </c>
    </row>
    <row r="115" spans="1:268" ht="15.75" customHeight="1" x14ac:dyDescent="0.2">
      <c r="A115" s="13" t="s">
        <v>1125</v>
      </c>
      <c r="B115" s="2" t="s">
        <v>99</v>
      </c>
      <c r="C115" s="2"/>
      <c r="D115" s="2"/>
      <c r="E115" s="2"/>
      <c r="F115" s="2" t="s">
        <v>156</v>
      </c>
      <c r="G115" s="2"/>
      <c r="H115" s="2"/>
      <c r="I115" s="2">
        <v>14.295999999999999</v>
      </c>
      <c r="J115" s="2"/>
      <c r="K115" s="2"/>
      <c r="L115" s="2"/>
      <c r="M115" s="2"/>
      <c r="N115" s="2"/>
      <c r="O115" s="2"/>
      <c r="P115" s="2"/>
      <c r="Q115" s="2">
        <v>1.31</v>
      </c>
      <c r="R115" s="2">
        <v>0.05</v>
      </c>
      <c r="S115" s="2"/>
      <c r="T115" s="2"/>
      <c r="U115" s="2"/>
      <c r="V115" s="2"/>
      <c r="W115" s="2"/>
      <c r="X115" s="2"/>
      <c r="Y115" s="2">
        <v>16.420000000000002</v>
      </c>
      <c r="Z115" s="2">
        <v>41.27</v>
      </c>
      <c r="AA115" s="2"/>
      <c r="AB115" s="2"/>
      <c r="AC115" s="2"/>
      <c r="AD115" s="2">
        <v>55.970999999999997</v>
      </c>
      <c r="AE115" s="2"/>
      <c r="AF115" s="2"/>
      <c r="AG115" s="2"/>
      <c r="AH115" s="2"/>
      <c r="AI115" s="2"/>
      <c r="AJ115" s="2"/>
      <c r="AK115" s="2"/>
      <c r="AL115" s="4">
        <v>1.2</v>
      </c>
      <c r="AM115" s="2">
        <v>0.05</v>
      </c>
      <c r="AN115" s="2"/>
      <c r="AO115" s="2"/>
      <c r="AP115" s="2"/>
      <c r="AQ115" s="2"/>
      <c r="AR115" s="2"/>
      <c r="AS115" s="2"/>
      <c r="AT115" s="2">
        <v>17.02</v>
      </c>
      <c r="AU115" s="2">
        <v>40.619999999999997</v>
      </c>
      <c r="AV115" s="2"/>
      <c r="AW115" s="2"/>
      <c r="AX115" s="2"/>
      <c r="AY115" s="2">
        <v>2.68</v>
      </c>
      <c r="AZ115" s="2"/>
      <c r="BA115" s="2"/>
      <c r="BB115" s="2"/>
      <c r="BC115" s="2"/>
      <c r="BD115" s="2"/>
      <c r="BE115" s="2"/>
      <c r="BF115" s="2"/>
      <c r="BG115" s="2">
        <v>1.1399999999999999</v>
      </c>
      <c r="BH115" s="2">
        <v>0.06</v>
      </c>
      <c r="BI115" s="2"/>
      <c r="BJ115" s="2"/>
      <c r="BK115" s="2"/>
      <c r="BL115" s="2"/>
      <c r="BM115" s="2"/>
      <c r="BN115" s="2"/>
      <c r="BO115" s="2">
        <v>22.32</v>
      </c>
      <c r="BP115" s="2">
        <v>35.869999999999997</v>
      </c>
      <c r="BQ115" s="2"/>
      <c r="BR115" s="2"/>
      <c r="BS115" s="2"/>
      <c r="BT115" s="2">
        <v>0</v>
      </c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>
        <v>0</v>
      </c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 t="s">
        <v>81</v>
      </c>
      <c r="DK115" s="2" t="s">
        <v>81</v>
      </c>
      <c r="DL115" s="2">
        <f t="shared" si="3"/>
        <v>1.2193532290567124</v>
      </c>
      <c r="DM115" s="2">
        <f t="shared" si="4"/>
        <v>5.0367390022893331E-2</v>
      </c>
      <c r="DN115" s="2" t="s">
        <v>627</v>
      </c>
      <c r="DO115" s="2" t="s">
        <v>3</v>
      </c>
      <c r="DP115" s="2">
        <f t="shared" si="5"/>
        <v>0</v>
      </c>
      <c r="DQ115" s="2">
        <f t="shared" ref="DQ115:DR115" si="2019">K115*$I115+AF115*$AD115+BA115*$AY115</f>
        <v>0</v>
      </c>
      <c r="DR115" s="2">
        <f t="shared" si="2019"/>
        <v>0</v>
      </c>
      <c r="DS115" s="2">
        <f t="shared" ref="DS115:DX115" si="2020">(M115*$I115+AH115*$AD115+BC115*$AY115)/100</f>
        <v>0</v>
      </c>
      <c r="DT115" s="2">
        <f t="shared" si="2020"/>
        <v>0</v>
      </c>
      <c r="DU115" s="2">
        <f t="shared" si="2020"/>
        <v>0</v>
      </c>
      <c r="DV115" s="2">
        <f t="shared" si="2020"/>
        <v>0</v>
      </c>
      <c r="DW115" s="2">
        <f t="shared" si="2020"/>
        <v>0.88948159999999998</v>
      </c>
      <c r="DX115" s="2">
        <f t="shared" si="2020"/>
        <v>3.6741500000000003E-2</v>
      </c>
      <c r="DY115" s="2">
        <f t="shared" ref="DY115:EC115" si="2021">S115*$I115+AN115*$AD115+BI115*$AY115</f>
        <v>0</v>
      </c>
      <c r="DZ115" s="2">
        <f t="shared" si="2021"/>
        <v>0</v>
      </c>
      <c r="EA115" s="2">
        <f t="shared" si="2021"/>
        <v>0</v>
      </c>
      <c r="EB115" s="2">
        <f t="shared" si="2021"/>
        <v>0</v>
      </c>
      <c r="EC115" s="2">
        <f t="shared" si="2021"/>
        <v>0</v>
      </c>
      <c r="ED115" s="2">
        <f t="shared" ref="ED115:EE115" si="2022">(X115*$I115+AS115*$AD115+BN115*$AY115)/100</f>
        <v>0</v>
      </c>
      <c r="EE115" s="2">
        <f t="shared" si="2022"/>
        <v>12.471843400000001</v>
      </c>
      <c r="EF115" s="2"/>
      <c r="EG115" s="2">
        <f t="shared" si="10"/>
        <v>0</v>
      </c>
      <c r="EH115" s="2">
        <f t="shared" si="11"/>
        <v>0</v>
      </c>
      <c r="EI115" s="39">
        <f t="shared" si="12"/>
        <v>0</v>
      </c>
      <c r="EJ115" s="39">
        <f t="shared" ref="EJ115:EK115" si="2023">EJ$1*DQ115/1000000</f>
        <v>0</v>
      </c>
      <c r="EK115" s="39">
        <f t="shared" si="2023"/>
        <v>0</v>
      </c>
      <c r="EL115" s="39">
        <f t="shared" ref="EL115:EQ115" si="2024">EL$1*DS115</f>
        <v>0</v>
      </c>
      <c r="EM115" s="39">
        <f t="shared" si="2024"/>
        <v>0</v>
      </c>
      <c r="EN115" s="39">
        <f t="shared" si="2024"/>
        <v>0</v>
      </c>
      <c r="EO115" s="39">
        <f t="shared" si="2024"/>
        <v>0</v>
      </c>
      <c r="EP115" s="39">
        <f t="shared" si="2024"/>
        <v>11664.661702400001</v>
      </c>
      <c r="EQ115" s="39">
        <f t="shared" si="2024"/>
        <v>2668.1502410459998</v>
      </c>
      <c r="ER115" s="39">
        <f t="shared" ref="ER115:EV115" si="2025">ER$1*DY115/1000000</f>
        <v>0</v>
      </c>
      <c r="ES115" s="39">
        <f t="shared" si="2025"/>
        <v>0</v>
      </c>
      <c r="ET115" s="39">
        <f t="shared" si="2025"/>
        <v>0</v>
      </c>
      <c r="EU115" s="39">
        <f t="shared" si="2025"/>
        <v>0</v>
      </c>
      <c r="EV115" s="39">
        <f t="shared" si="2025"/>
        <v>0</v>
      </c>
      <c r="EW115" s="39">
        <f t="shared" ref="EW115:EX115" si="2026">EW$1*ED115</f>
        <v>0</v>
      </c>
      <c r="EX115" s="39">
        <f t="shared" si="2026"/>
        <v>1159.8814362000001</v>
      </c>
      <c r="EY115" s="2"/>
      <c r="EZ115" s="39">
        <f t="shared" si="17"/>
        <v>0</v>
      </c>
      <c r="FA115" s="39">
        <f t="shared" si="18"/>
        <v>0</v>
      </c>
      <c r="FB115" s="2">
        <f t="shared" si="19"/>
        <v>0</v>
      </c>
      <c r="FC115" s="2">
        <f t="shared" ref="FC115:FD115" si="2027">BV115*$BT115+CQ115*$CO115</f>
        <v>0</v>
      </c>
      <c r="FD115" s="2">
        <f t="shared" si="2027"/>
        <v>0</v>
      </c>
      <c r="FE115" s="2">
        <f t="shared" ref="FE115:FJ115" si="2028">(BX115*$BT115+CS115*$CO115)/100</f>
        <v>0</v>
      </c>
      <c r="FF115" s="2">
        <f t="shared" si="2028"/>
        <v>0</v>
      </c>
      <c r="FG115" s="2">
        <f t="shared" si="2028"/>
        <v>0</v>
      </c>
      <c r="FH115" s="2">
        <f t="shared" si="2028"/>
        <v>0</v>
      </c>
      <c r="FI115" s="2">
        <f t="shared" si="2028"/>
        <v>0</v>
      </c>
      <c r="FJ115" s="2">
        <f t="shared" si="2028"/>
        <v>0</v>
      </c>
      <c r="FK115" s="2">
        <f t="shared" ref="FK115:FO115" si="2029">CD115*$BT115+CY115*$CO115</f>
        <v>0</v>
      </c>
      <c r="FL115" s="2">
        <f t="shared" si="2029"/>
        <v>0</v>
      </c>
      <c r="FM115" s="2">
        <f t="shared" si="2029"/>
        <v>0</v>
      </c>
      <c r="FN115" s="2">
        <f t="shared" si="2029"/>
        <v>0</v>
      </c>
      <c r="FO115" s="2">
        <f t="shared" si="2029"/>
        <v>0</v>
      </c>
      <c r="FP115" s="2">
        <f t="shared" ref="FP115:FQ115" si="2030">(CI115*$BT115+DD115*$CO115)/100</f>
        <v>0</v>
      </c>
      <c r="FQ115" s="2">
        <f t="shared" si="2030"/>
        <v>0</v>
      </c>
      <c r="FR115" s="2"/>
      <c r="FS115" s="2">
        <f t="shared" si="24"/>
        <v>0</v>
      </c>
      <c r="FT115" s="2">
        <f t="shared" si="25"/>
        <v>0</v>
      </c>
      <c r="FU115" s="39">
        <f t="shared" si="26"/>
        <v>0</v>
      </c>
      <c r="FV115" s="39">
        <f t="shared" ref="FV115:FW115" si="2031">FV$1*FC115/1000000</f>
        <v>0</v>
      </c>
      <c r="FW115" s="39">
        <f t="shared" si="2031"/>
        <v>0</v>
      </c>
      <c r="FX115" s="39">
        <f t="shared" ref="FX115:GC115" si="2032">FX$1*FE115</f>
        <v>0</v>
      </c>
      <c r="FY115" s="39">
        <f t="shared" si="2032"/>
        <v>0</v>
      </c>
      <c r="FZ115" s="39">
        <f t="shared" si="2032"/>
        <v>0</v>
      </c>
      <c r="GA115" s="39">
        <f t="shared" si="2032"/>
        <v>0</v>
      </c>
      <c r="GB115" s="39">
        <f t="shared" si="2032"/>
        <v>0</v>
      </c>
      <c r="GC115" s="39">
        <f t="shared" si="2032"/>
        <v>0</v>
      </c>
      <c r="GD115" s="39">
        <f t="shared" ref="GD115:GH115" si="2033">GD$1*FK115/1000000</f>
        <v>0</v>
      </c>
      <c r="GE115" s="39">
        <f t="shared" si="2033"/>
        <v>0</v>
      </c>
      <c r="GF115" s="39">
        <f t="shared" si="2033"/>
        <v>0</v>
      </c>
      <c r="GG115" s="39">
        <f t="shared" si="2033"/>
        <v>0</v>
      </c>
      <c r="GH115" s="39">
        <f t="shared" si="2033"/>
        <v>0</v>
      </c>
      <c r="GI115" s="39">
        <f t="shared" ref="GI115:GJ115" si="2034">GI$1*FP115</f>
        <v>0</v>
      </c>
      <c r="GJ115" s="39">
        <f t="shared" si="2034"/>
        <v>0</v>
      </c>
      <c r="GK115" s="2"/>
      <c r="GL115" s="39">
        <f t="shared" si="31"/>
        <v>0</v>
      </c>
      <c r="GM115" s="39">
        <f t="shared" si="32"/>
        <v>0</v>
      </c>
      <c r="GN115" s="2" t="s">
        <v>3</v>
      </c>
      <c r="GO115" s="4">
        <f t="shared" si="33"/>
        <v>72.947000000000003</v>
      </c>
      <c r="GP115" s="4">
        <f t="shared" si="34"/>
        <v>1.2193532290567124</v>
      </c>
      <c r="GQ115" s="15">
        <f t="shared" si="35"/>
        <v>889.48160000000007</v>
      </c>
      <c r="GR115" s="15">
        <f t="shared" si="36"/>
        <v>15492.693379646</v>
      </c>
      <c r="GS115" s="15">
        <f t="shared" si="37"/>
        <v>212.38287221744554</v>
      </c>
      <c r="GT115" s="2">
        <f t="shared" si="38"/>
        <v>187.27759999999998</v>
      </c>
      <c r="GU115" s="2">
        <f t="shared" si="39"/>
        <v>671.65199999999993</v>
      </c>
      <c r="GV115" s="2">
        <f t="shared" si="40"/>
        <v>30.552000000000003</v>
      </c>
      <c r="GW115" s="2">
        <f t="shared" si="41"/>
        <v>0</v>
      </c>
      <c r="GX115" s="2"/>
      <c r="GY115" s="2"/>
      <c r="GZ115" s="2"/>
      <c r="HA115" s="2"/>
      <c r="HB115" s="2">
        <f t="shared" si="42"/>
        <v>0</v>
      </c>
      <c r="HC115" s="2">
        <f t="shared" si="43"/>
        <v>0</v>
      </c>
      <c r="HD115" s="2" t="s">
        <v>3</v>
      </c>
      <c r="HE115" s="2" t="s">
        <v>37</v>
      </c>
      <c r="HF115" s="2" t="s">
        <v>106</v>
      </c>
      <c r="HG115" s="2"/>
      <c r="HH115" s="2"/>
      <c r="HI115" s="2" t="s">
        <v>81</v>
      </c>
      <c r="HJ115" s="2" t="s">
        <v>3</v>
      </c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 t="s">
        <v>3</v>
      </c>
    </row>
    <row r="116" spans="1:268" ht="15.75" customHeight="1" x14ac:dyDescent="0.2">
      <c r="A116" s="13" t="s">
        <v>443</v>
      </c>
      <c r="B116" s="2" t="s">
        <v>109</v>
      </c>
      <c r="C116" s="2"/>
      <c r="D116" s="2"/>
      <c r="E116" s="2"/>
      <c r="F116" s="2" t="s">
        <v>442</v>
      </c>
      <c r="G116" s="2"/>
      <c r="H116" s="2" t="s">
        <v>111</v>
      </c>
      <c r="I116" s="2">
        <f>14.76+8.91+33.3+25.06</f>
        <v>82.03</v>
      </c>
      <c r="J116" s="2"/>
      <c r="K116" s="2"/>
      <c r="L116" s="2"/>
      <c r="M116" s="2"/>
      <c r="N116" s="2"/>
      <c r="O116" s="2"/>
      <c r="P116" s="2"/>
      <c r="Q116" s="4">
        <f>(2.11*14.76+1.94*8.91+2.07*33.3+1.81*25.06)/I116</f>
        <v>1.9836474460563207</v>
      </c>
      <c r="R116" s="4">
        <f>(0.05*14.76+0.03*8.91+0.03*33.3+0.03*25.06)/I116</f>
        <v>3.3598683408509078E-2</v>
      </c>
      <c r="S116" s="2"/>
      <c r="T116" s="2"/>
      <c r="U116" s="2"/>
      <c r="V116" s="2"/>
      <c r="W116" s="2"/>
      <c r="X116" s="2"/>
      <c r="Y116" s="4">
        <f>(15.47*14.76+12.4*8.91+10.74*33.3+11.55*25.06)/I116</f>
        <v>12.018849201511641</v>
      </c>
      <c r="Z116" s="4">
        <f>(37.22*14.76+41.42*8.91+42.06*33.3+41.31*25.06)/I116</f>
        <v>40.890479093014747</v>
      </c>
      <c r="AA116" s="2"/>
      <c r="AB116" s="2"/>
      <c r="AC116" s="2"/>
      <c r="AD116" s="2">
        <f>0.95+6.09+16.49+69.71</f>
        <v>93.24</v>
      </c>
      <c r="AE116" s="2"/>
      <c r="AF116" s="2"/>
      <c r="AG116" s="2"/>
      <c r="AH116" s="2"/>
      <c r="AI116" s="2"/>
      <c r="AJ116" s="2"/>
      <c r="AK116" s="2"/>
      <c r="AL116" s="4">
        <f>(2.04*0.95+1.98*6.09+1.98*16.49+1.81*69.71)/AD116</f>
        <v>1.8535124410124411</v>
      </c>
      <c r="AM116" s="4">
        <f>(0.05*0.95+0.03*6.09+0.03*16.49+0.03*69.71)/AD116</f>
        <v>3.0203775203775204E-2</v>
      </c>
      <c r="AN116" s="2"/>
      <c r="AO116" s="2"/>
      <c r="AP116" s="2"/>
      <c r="AQ116" s="2"/>
      <c r="AR116" s="2"/>
      <c r="AS116" s="2"/>
      <c r="AT116" s="4">
        <f>(14.78*0.95+11.18*6.09+11.19*16.49+11.96*69.71)/AD116</f>
        <v>11.801607679107677</v>
      </c>
      <c r="AU116" s="4">
        <f>(39.84*0.95+41.49*6.09+43.13*16.49+41.09*69.71)/AD116</f>
        <v>41.464175246675246</v>
      </c>
      <c r="AV116" s="2"/>
      <c r="AW116" s="2"/>
      <c r="AX116" s="2"/>
      <c r="AY116" s="2">
        <f>0.42+14.76+0.16+95.99</f>
        <v>111.33</v>
      </c>
      <c r="AZ116" s="2"/>
      <c r="BA116" s="2"/>
      <c r="BB116" s="2"/>
      <c r="BC116" s="2"/>
      <c r="BD116" s="2"/>
      <c r="BE116" s="2"/>
      <c r="BF116" s="2"/>
      <c r="BG116" s="4">
        <f>(2*0.42+1.97*14.76+2.15*0.16+1.82*95.99)/AY116</f>
        <v>1.8410401509027217</v>
      </c>
      <c r="BH116" s="4">
        <f>(0.05*0.42+0.03*14.76+0.03*0.16+0.04*95.99)/AY116</f>
        <v>3.8697565795383096E-2</v>
      </c>
      <c r="BI116" s="2"/>
      <c r="BJ116" s="2"/>
      <c r="BK116" s="2"/>
      <c r="BL116" s="2"/>
      <c r="BM116" s="2"/>
      <c r="BN116" s="2"/>
      <c r="BO116" s="4">
        <f>(14.33*0.42+11.17*14.76+11.38*0.16+12.67*95.99)/AY116</f>
        <v>12.475540285637294</v>
      </c>
      <c r="BP116" s="4">
        <f>(38.47*0.42+41.89*14.76+42.08*0.16+40.61*95.99)/AY116</f>
        <v>40.773740231743467</v>
      </c>
      <c r="BQ116" s="2"/>
      <c r="BR116" s="2"/>
      <c r="BS116" s="2"/>
      <c r="BT116" s="2">
        <f>8.92+6.3+29.92+19.1</f>
        <v>64.240000000000009</v>
      </c>
      <c r="BU116" s="2"/>
      <c r="BV116" s="2"/>
      <c r="BW116" s="2"/>
      <c r="BX116" s="2"/>
      <c r="BY116" s="2"/>
      <c r="BZ116" s="2"/>
      <c r="CA116" s="2"/>
      <c r="CB116" s="4">
        <f>(2.04*8.92+1.88*6.3+2.02*29.92+1.78*19.1)/BT116</f>
        <v>1.9376899128268987</v>
      </c>
      <c r="CC116" s="4">
        <f>(0.05*8.92+0.05*6.3+0.03*29.92+0.03*19.1)/BT116</f>
        <v>3.4738480697384805E-2</v>
      </c>
      <c r="CD116" s="2"/>
      <c r="CE116" s="2"/>
      <c r="CF116" s="2"/>
      <c r="CG116" s="2"/>
      <c r="CH116" s="2"/>
      <c r="CI116" s="2"/>
      <c r="CJ116" s="4">
        <f>(15.69*8.92+14.31*6.3+10.76*29.92+11.41*19.1)/BT116</f>
        <v>11.985958904109589</v>
      </c>
      <c r="CK116" s="4">
        <f>(36.66*8.92+39.68*6.3+42.03*29.92+41.36*19.1)/BT116</f>
        <v>40.854682440846823</v>
      </c>
      <c r="CL116" s="2"/>
      <c r="CM116" s="2"/>
      <c r="CN116" s="2"/>
      <c r="CO116" s="2">
        <f>0.27+2.23+13.73+54.03</f>
        <v>70.260000000000005</v>
      </c>
      <c r="CP116" s="2"/>
      <c r="CQ116" s="2"/>
      <c r="CR116" s="2"/>
      <c r="CS116" s="2"/>
      <c r="CT116" s="2"/>
      <c r="CU116" s="2"/>
      <c r="CV116" s="2"/>
      <c r="CW116" s="4">
        <f>(1.84*0.27+1.86*2.23+1.93*13.73+1.77*54.03)/CO116</f>
        <v>1.8043922573299174</v>
      </c>
      <c r="CX116" s="4">
        <f>(0.05*0.27+0.04*2.23+0.03*13.73+0.03*54.03)/CO116</f>
        <v>3.039424992883575E-2</v>
      </c>
      <c r="CY116" s="2"/>
      <c r="CZ116" s="2"/>
      <c r="DA116" s="2"/>
      <c r="DB116" s="2"/>
      <c r="DC116" s="2"/>
      <c r="DD116" s="2"/>
      <c r="DE116" s="4">
        <f>(13.88*0.27+13.04*2.23+11.21*13.73+11.71*54.03)/CO116</f>
        <v>11.662843723313408</v>
      </c>
      <c r="DF116" s="4">
        <f>(40.99*0.27+40.57*2.23+43.05*13.73+41.25*54.03)/CO116</f>
        <v>41.579168801594079</v>
      </c>
      <c r="DG116" s="2"/>
      <c r="DH116" s="2"/>
      <c r="DI116" s="2"/>
      <c r="DJ116" s="2" t="s">
        <v>81</v>
      </c>
      <c r="DK116" s="2" t="s">
        <v>81</v>
      </c>
      <c r="DL116" s="2">
        <f t="shared" si="3"/>
        <v>1.8859145150034891</v>
      </c>
      <c r="DM116" s="2">
        <f t="shared" si="4"/>
        <v>3.4474877878576414E-2</v>
      </c>
      <c r="DN116" s="2" t="s">
        <v>211</v>
      </c>
      <c r="DO116" s="2" t="s">
        <v>3</v>
      </c>
      <c r="DP116" s="2">
        <f t="shared" si="5"/>
        <v>0</v>
      </c>
      <c r="DQ116" s="2">
        <f t="shared" ref="DQ116:DR116" si="2035">K116*$I116+AF116*$AD116+BA116*$AY116</f>
        <v>0</v>
      </c>
      <c r="DR116" s="2">
        <f t="shared" si="2035"/>
        <v>0</v>
      </c>
      <c r="DS116" s="2">
        <f t="shared" ref="DS116:DX116" si="2036">(M116*$I116+AH116*$AD116+BC116*$AY116)/100</f>
        <v>0</v>
      </c>
      <c r="DT116" s="2">
        <f t="shared" si="2036"/>
        <v>0</v>
      </c>
      <c r="DU116" s="2">
        <f t="shared" si="2036"/>
        <v>0</v>
      </c>
      <c r="DV116" s="2">
        <f t="shared" si="2036"/>
        <v>0</v>
      </c>
      <c r="DW116" s="2">
        <f t="shared" si="2036"/>
        <v>5.4050309999999993</v>
      </c>
      <c r="DX116" s="2">
        <f t="shared" si="2036"/>
        <v>9.880499999999999E-2</v>
      </c>
      <c r="DY116" s="2">
        <f t="shared" ref="DY116:EC116" si="2037">S116*$I116+AN116*$AD116+BI116*$AY116</f>
        <v>0</v>
      </c>
      <c r="DZ116" s="2">
        <f t="shared" si="2037"/>
        <v>0</v>
      </c>
      <c r="EA116" s="2">
        <f t="shared" si="2037"/>
        <v>0</v>
      </c>
      <c r="EB116" s="2">
        <f t="shared" si="2037"/>
        <v>0</v>
      </c>
      <c r="EC116" s="2">
        <f t="shared" si="2037"/>
        <v>0</v>
      </c>
      <c r="ED116" s="2">
        <f t="shared" ref="ED116:EE116" si="2038">(X116*$I116+AS116*$AD116+BN116*$AY116)/100</f>
        <v>0</v>
      </c>
      <c r="EE116" s="2">
        <f t="shared" si="2038"/>
        <v>34.751899999999999</v>
      </c>
      <c r="EF116" s="2"/>
      <c r="EG116" s="2">
        <f t="shared" si="10"/>
        <v>0</v>
      </c>
      <c r="EH116" s="2">
        <f t="shared" si="11"/>
        <v>0</v>
      </c>
      <c r="EI116" s="39">
        <f t="shared" si="12"/>
        <v>0</v>
      </c>
      <c r="EJ116" s="39">
        <f t="shared" ref="EJ116:EK116" si="2039">EJ$1*DQ116/1000000</f>
        <v>0</v>
      </c>
      <c r="EK116" s="39">
        <f t="shared" si="2039"/>
        <v>0</v>
      </c>
      <c r="EL116" s="39">
        <f t="shared" ref="EL116:EQ116" si="2040">EL$1*DS116</f>
        <v>0</v>
      </c>
      <c r="EM116" s="39">
        <f t="shared" si="2040"/>
        <v>0</v>
      </c>
      <c r="EN116" s="39">
        <f t="shared" si="2040"/>
        <v>0</v>
      </c>
      <c r="EO116" s="39">
        <f t="shared" si="2040"/>
        <v>0</v>
      </c>
      <c r="EP116" s="39">
        <f t="shared" si="2040"/>
        <v>70881.576533999993</v>
      </c>
      <c r="EQ116" s="39">
        <f t="shared" si="2040"/>
        <v>7175.1720688199985</v>
      </c>
      <c r="ER116" s="39">
        <f t="shared" ref="ER116:EV116" si="2041">ER$1*DY116/1000000</f>
        <v>0</v>
      </c>
      <c r="ES116" s="39">
        <f t="shared" si="2041"/>
        <v>0</v>
      </c>
      <c r="ET116" s="39">
        <f t="shared" si="2041"/>
        <v>0</v>
      </c>
      <c r="EU116" s="39">
        <f t="shared" si="2041"/>
        <v>0</v>
      </c>
      <c r="EV116" s="39">
        <f t="shared" si="2041"/>
        <v>0</v>
      </c>
      <c r="EW116" s="39">
        <f t="shared" ref="EW116:EX116" si="2042">EW$1*ED116</f>
        <v>0</v>
      </c>
      <c r="EX116" s="39">
        <f t="shared" si="2042"/>
        <v>3231.9267</v>
      </c>
      <c r="EY116" s="2"/>
      <c r="EZ116" s="39">
        <f t="shared" si="17"/>
        <v>0</v>
      </c>
      <c r="FA116" s="39">
        <f t="shared" si="18"/>
        <v>0</v>
      </c>
      <c r="FB116" s="2">
        <f t="shared" si="19"/>
        <v>0</v>
      </c>
      <c r="FC116" s="2">
        <f t="shared" ref="FC116:FD116" si="2043">BV116*$BT116+CQ116*$CO116</f>
        <v>0</v>
      </c>
      <c r="FD116" s="2">
        <f t="shared" si="2043"/>
        <v>0</v>
      </c>
      <c r="FE116" s="2">
        <f t="shared" ref="FE116:FJ116" si="2044">(BX116*$BT116+CS116*$CO116)/100</f>
        <v>0</v>
      </c>
      <c r="FF116" s="2">
        <f t="shared" si="2044"/>
        <v>0</v>
      </c>
      <c r="FG116" s="2">
        <f t="shared" si="2044"/>
        <v>0</v>
      </c>
      <c r="FH116" s="2">
        <f t="shared" si="2044"/>
        <v>0</v>
      </c>
      <c r="FI116" s="2">
        <f t="shared" si="2044"/>
        <v>2.5125380000000002</v>
      </c>
      <c r="FJ116" s="2">
        <f t="shared" si="2044"/>
        <v>4.3671000000000008E-2</v>
      </c>
      <c r="FK116" s="2">
        <f t="shared" ref="FK116:FO116" si="2045">CD116*$BT116+CY116*$CO116</f>
        <v>0</v>
      </c>
      <c r="FL116" s="2">
        <f t="shared" si="2045"/>
        <v>0</v>
      </c>
      <c r="FM116" s="2">
        <f t="shared" si="2045"/>
        <v>0</v>
      </c>
      <c r="FN116" s="2">
        <f t="shared" si="2045"/>
        <v>0</v>
      </c>
      <c r="FO116" s="2">
        <f t="shared" si="2045"/>
        <v>0</v>
      </c>
      <c r="FP116" s="2">
        <f t="shared" ref="FP116:FQ116" si="2046">(CI116*$BT116+DD116*$CO116)/100</f>
        <v>0</v>
      </c>
      <c r="FQ116" s="2">
        <f t="shared" si="2046"/>
        <v>15.894094000000001</v>
      </c>
      <c r="FR116" s="2"/>
      <c r="FS116" s="2">
        <f t="shared" si="24"/>
        <v>0</v>
      </c>
      <c r="FT116" s="2">
        <f t="shared" si="25"/>
        <v>0</v>
      </c>
      <c r="FU116" s="39">
        <f t="shared" si="26"/>
        <v>0</v>
      </c>
      <c r="FV116" s="39">
        <f t="shared" ref="FV116:FW116" si="2047">FV$1*FC116/1000000</f>
        <v>0</v>
      </c>
      <c r="FW116" s="39">
        <f t="shared" si="2047"/>
        <v>0</v>
      </c>
      <c r="FX116" s="39">
        <f t="shared" ref="FX116:GC116" si="2048">FX$1*FE116</f>
        <v>0</v>
      </c>
      <c r="FY116" s="39">
        <f t="shared" si="2048"/>
        <v>0</v>
      </c>
      <c r="FZ116" s="39">
        <f t="shared" si="2048"/>
        <v>0</v>
      </c>
      <c r="GA116" s="39">
        <f t="shared" si="2048"/>
        <v>0</v>
      </c>
      <c r="GB116" s="39">
        <f t="shared" si="2048"/>
        <v>32949.423331999998</v>
      </c>
      <c r="GC116" s="39">
        <f t="shared" si="2048"/>
        <v>3171.367232604</v>
      </c>
      <c r="GD116" s="39">
        <f t="shared" ref="GD116:GH116" si="2049">GD$1*FK116/1000000</f>
        <v>0</v>
      </c>
      <c r="GE116" s="39">
        <f t="shared" si="2049"/>
        <v>0</v>
      </c>
      <c r="GF116" s="39">
        <f t="shared" si="2049"/>
        <v>0</v>
      </c>
      <c r="GG116" s="39">
        <f t="shared" si="2049"/>
        <v>0</v>
      </c>
      <c r="GH116" s="39">
        <f t="shared" si="2049"/>
        <v>0</v>
      </c>
      <c r="GI116" s="39">
        <f t="shared" ref="GI116:GJ116" si="2050">GI$1*FP116</f>
        <v>0</v>
      </c>
      <c r="GJ116" s="39">
        <f t="shared" si="2050"/>
        <v>1478.150742</v>
      </c>
      <c r="GK116" s="2"/>
      <c r="GL116" s="39">
        <f t="shared" si="31"/>
        <v>0</v>
      </c>
      <c r="GM116" s="39">
        <f t="shared" si="32"/>
        <v>0</v>
      </c>
      <c r="GN116" s="2" t="s">
        <v>3</v>
      </c>
      <c r="GO116" s="2">
        <f t="shared" si="33"/>
        <v>286.59999999999997</v>
      </c>
      <c r="GP116" s="4">
        <f t="shared" si="34"/>
        <v>1.8859145150034891</v>
      </c>
      <c r="GQ116" s="18">
        <f t="shared" si="35"/>
        <v>5405.030999999999</v>
      </c>
      <c r="GR116" s="15">
        <f t="shared" si="36"/>
        <v>81288.675302819989</v>
      </c>
      <c r="GS116" s="15">
        <f t="shared" si="37"/>
        <v>283.63110712777387</v>
      </c>
      <c r="GT116" s="2">
        <f t="shared" si="38"/>
        <v>1627.1859999999997</v>
      </c>
      <c r="GU116" s="2">
        <f t="shared" si="39"/>
        <v>1728.2149999999999</v>
      </c>
      <c r="GV116" s="2">
        <f t="shared" si="40"/>
        <v>2049.63</v>
      </c>
      <c r="GW116" s="2">
        <f t="shared" si="41"/>
        <v>134.5</v>
      </c>
      <c r="GX116" s="4">
        <f t="shared" ref="GX116:GX119" si="2051">(BT116*CB116+CO116*CW116)/GW116</f>
        <v>1.8680579925650558</v>
      </c>
      <c r="GY116" s="18">
        <f t="shared" ref="GY116:GY119" si="2052">1000*GW116*GX116/100</f>
        <v>2512.538</v>
      </c>
      <c r="GZ116" s="15">
        <f t="shared" ref="GZ116:GZ119" si="2053">SUM(FU116:GM116)</f>
        <v>37598.941306604</v>
      </c>
      <c r="HA116" s="15">
        <f t="shared" ref="HA116:HA119" si="2054">GZ116/GW116</f>
        <v>279.54603201936061</v>
      </c>
      <c r="HB116" s="2">
        <f t="shared" si="42"/>
        <v>1244.7719999999999</v>
      </c>
      <c r="HC116" s="2">
        <f t="shared" si="43"/>
        <v>1267.7660000000001</v>
      </c>
      <c r="HD116" s="2" t="s">
        <v>3</v>
      </c>
      <c r="HE116" s="2" t="s">
        <v>37</v>
      </c>
      <c r="HF116" s="2" t="s">
        <v>106</v>
      </c>
      <c r="HG116" s="2"/>
      <c r="HH116" s="2"/>
      <c r="HI116" s="2" t="s">
        <v>81</v>
      </c>
      <c r="HJ116" s="2" t="s">
        <v>3</v>
      </c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 t="s">
        <v>3</v>
      </c>
    </row>
    <row r="117" spans="1:268" ht="15.75" customHeight="1" x14ac:dyDescent="0.2">
      <c r="A117" s="13" t="s">
        <v>947</v>
      </c>
      <c r="B117" s="2" t="s">
        <v>109</v>
      </c>
      <c r="C117" s="2"/>
      <c r="D117" s="2"/>
      <c r="E117" s="2"/>
      <c r="F117" s="2" t="s">
        <v>442</v>
      </c>
      <c r="G117" s="2"/>
      <c r="H117" s="2" t="s">
        <v>111</v>
      </c>
      <c r="I117" s="2">
        <f>0.25+12.49+9.16+8.52</f>
        <v>30.419999999999998</v>
      </c>
      <c r="J117" s="2"/>
      <c r="K117" s="2"/>
      <c r="L117" s="2"/>
      <c r="M117" s="2"/>
      <c r="N117" s="2"/>
      <c r="O117" s="2"/>
      <c r="P117" s="2"/>
      <c r="Q117" s="4">
        <f>(1.79*0.25+1.69*12.49+1.7*9.16+1.72*8.52)/I117</f>
        <v>1.7022353714661407</v>
      </c>
      <c r="R117" s="4">
        <f>(0.03*0.25+0.04*12.49+0.04*9.16+0.06*8.52)/I117</f>
        <v>4.5519395134779754E-2</v>
      </c>
      <c r="S117" s="2"/>
      <c r="T117" s="2"/>
      <c r="U117" s="2"/>
      <c r="V117" s="2"/>
      <c r="W117" s="2"/>
      <c r="X117" s="2"/>
      <c r="Y117" s="4">
        <f>(14.8*0.25+14.51*12.49+13.51*9.16+22*8.52)/I117</f>
        <v>16.309056541748848</v>
      </c>
      <c r="Z117" s="4">
        <f>(37.69*0.25+36.97*12.49+39.83*9.16+31.25*8.52)/I117</f>
        <v>36.235062458908615</v>
      </c>
      <c r="AA117" s="2"/>
      <c r="AB117" s="2"/>
      <c r="AC117" s="2"/>
      <c r="AD117" s="2">
        <f>5.17+9.57+32.72+9.01</f>
        <v>56.47</v>
      </c>
      <c r="AE117" s="2"/>
      <c r="AF117" s="2"/>
      <c r="AG117" s="2"/>
      <c r="AH117" s="2"/>
      <c r="AI117" s="2"/>
      <c r="AJ117" s="2"/>
      <c r="AK117" s="2"/>
      <c r="AL117" s="4">
        <f>(1.76*5.17+1.64*9.57+1.76*32.72+1.78*9.01)/AD117</f>
        <v>1.742854613068886</v>
      </c>
      <c r="AM117" s="4">
        <f>(0.04*5.17+0.04*9.57+0.03*32.72+0.05*9.01)/AD117</f>
        <v>3.5801310430316986E-2</v>
      </c>
      <c r="AN117" s="2"/>
      <c r="AO117" s="2"/>
      <c r="AP117" s="2"/>
      <c r="AQ117" s="2"/>
      <c r="AR117" s="2"/>
      <c r="AS117" s="2"/>
      <c r="AT117" s="4">
        <f>(14.44*5.17+14.55*9.57+14.98*32.72+21.14*9.01)/AD117</f>
        <v>15.84054010979281</v>
      </c>
      <c r="AU117" s="4">
        <f>(37.41*5.17+36.97*9.57+37.8*32.72+32.16*9.01)/AD117</f>
        <v>36.723750664069414</v>
      </c>
      <c r="AV117" s="2"/>
      <c r="AW117" s="2"/>
      <c r="AX117" s="2"/>
      <c r="AY117" s="2">
        <f>2.35+7.03+57.97+12.48</f>
        <v>79.83</v>
      </c>
      <c r="AZ117" s="2"/>
      <c r="BA117" s="2"/>
      <c r="BB117" s="2"/>
      <c r="BC117" s="2"/>
      <c r="BD117" s="2"/>
      <c r="BE117" s="2"/>
      <c r="BF117" s="2"/>
      <c r="BG117" s="4">
        <f>(1.7*2.35+1.47*7.03+1.51*57.97+1.83*12.48)/AY117</f>
        <v>1.5620969560315672</v>
      </c>
      <c r="BH117" s="4">
        <f>(0.03*2.35+0.04*7.03+0.04*57.97+0.04*12.48)/AY117</f>
        <v>3.9705624451960422E-2</v>
      </c>
      <c r="BI117" s="2"/>
      <c r="BJ117" s="2"/>
      <c r="BK117" s="2"/>
      <c r="BL117" s="2"/>
      <c r="BM117" s="2"/>
      <c r="BN117" s="2"/>
      <c r="BO117" s="4">
        <f>(14.47*2.35+14.14*7.03+14.96*57.97+17.48*12.48)/AY117</f>
        <v>15.267321808843795</v>
      </c>
      <c r="BP117" s="4">
        <f>(35.87*2.35+37.49*7.03+38.34*57.97+33.32*12.48)/AY117</f>
        <v>37.407648753601407</v>
      </c>
      <c r="BQ117" s="2"/>
      <c r="BR117" s="2"/>
      <c r="BS117" s="2"/>
      <c r="BT117" s="2">
        <f>7.94+10.1</f>
        <v>18.04</v>
      </c>
      <c r="BU117" s="2"/>
      <c r="BV117" s="2"/>
      <c r="BW117" s="2"/>
      <c r="BX117" s="2"/>
      <c r="BY117" s="2"/>
      <c r="BZ117" s="2"/>
      <c r="CA117" s="2"/>
      <c r="CB117" s="4">
        <f>(1.67*7.94+1.67*10.1)/BT117</f>
        <v>1.67</v>
      </c>
      <c r="CC117" s="4">
        <f>(0.04*7.94+0.04*10.1)/BT117</f>
        <v>0.04</v>
      </c>
      <c r="CD117" s="2"/>
      <c r="CE117" s="2"/>
      <c r="CF117" s="2"/>
      <c r="CG117" s="2"/>
      <c r="CH117" s="2"/>
      <c r="CI117" s="2"/>
      <c r="CJ117" s="4">
        <f>(13.53*7.94+13.57*10.1)/BT117</f>
        <v>13.55239467849224</v>
      </c>
      <c r="CK117" s="4">
        <f>(39.74*7.94+36.96*10.1)/BT117</f>
        <v>38.183569844789361</v>
      </c>
      <c r="CL117" s="2"/>
      <c r="CM117" s="2"/>
      <c r="CN117" s="2"/>
      <c r="CO117" s="2">
        <f>28.39+7.53</f>
        <v>35.92</v>
      </c>
      <c r="CP117" s="2"/>
      <c r="CQ117" s="2"/>
      <c r="CR117" s="2"/>
      <c r="CS117" s="2"/>
      <c r="CT117" s="2"/>
      <c r="CU117" s="2"/>
      <c r="CV117" s="2"/>
      <c r="CW117" s="4">
        <f>(1.61*28.39+1.57*7.53)/CO117</f>
        <v>1.6016146993318485</v>
      </c>
      <c r="CX117" s="4">
        <f>(0.04*28.39+0.04*7.53)/CO117</f>
        <v>3.9999999999999994E-2</v>
      </c>
      <c r="CY117" s="2"/>
      <c r="CZ117" s="2"/>
      <c r="DA117" s="2"/>
      <c r="DB117" s="2"/>
      <c r="DC117" s="2"/>
      <c r="DD117" s="2"/>
      <c r="DE117" s="4">
        <f>(15*28.39+14.51*7.53)/CO117</f>
        <v>14.897280066815146</v>
      </c>
      <c r="DF117" s="4">
        <f>(37.71*28.39+36.98*7.53)/CO117</f>
        <v>37.556968262806237</v>
      </c>
      <c r="DG117" s="2"/>
      <c r="DH117" s="2"/>
      <c r="DI117" s="2"/>
      <c r="DJ117" s="2" t="s">
        <v>81</v>
      </c>
      <c r="DK117" s="2" t="s">
        <v>81</v>
      </c>
      <c r="DL117" s="2">
        <f t="shared" si="3"/>
        <v>1.6488915547024949</v>
      </c>
      <c r="DM117" s="2">
        <f t="shared" si="4"/>
        <v>3.9443977927063341E-2</v>
      </c>
      <c r="DN117" s="2" t="s">
        <v>211</v>
      </c>
      <c r="DO117" s="2" t="s">
        <v>3</v>
      </c>
      <c r="DP117" s="2">
        <f t="shared" si="5"/>
        <v>0</v>
      </c>
      <c r="DQ117" s="2">
        <f t="shared" ref="DQ117:DR117" si="2055">K117*$I117+AF117*$AD117+BA117*$AY117</f>
        <v>0</v>
      </c>
      <c r="DR117" s="2">
        <f t="shared" si="2055"/>
        <v>0</v>
      </c>
      <c r="DS117" s="2">
        <f t="shared" ref="DS117:DX117" si="2056">(M117*$I117+AH117*$AD117+BC117*$AY117)/100</f>
        <v>0</v>
      </c>
      <c r="DT117" s="2">
        <f t="shared" si="2056"/>
        <v>0</v>
      </c>
      <c r="DU117" s="2">
        <f t="shared" si="2056"/>
        <v>0</v>
      </c>
      <c r="DV117" s="2">
        <f t="shared" si="2056"/>
        <v>0</v>
      </c>
      <c r="DW117" s="2">
        <f t="shared" si="2056"/>
        <v>2.7490319999999997</v>
      </c>
      <c r="DX117" s="2">
        <f t="shared" si="2056"/>
        <v>6.5761E-2</v>
      </c>
      <c r="DY117" s="2">
        <f t="shared" ref="DY117:EC117" si="2057">S117*$I117+AN117*$AD117+BI117*$AY117</f>
        <v>0</v>
      </c>
      <c r="DZ117" s="2">
        <f t="shared" si="2057"/>
        <v>0</v>
      </c>
      <c r="EA117" s="2">
        <f t="shared" si="2057"/>
        <v>0</v>
      </c>
      <c r="EB117" s="2">
        <f t="shared" si="2057"/>
        <v>0</v>
      </c>
      <c r="EC117" s="2">
        <f t="shared" si="2057"/>
        <v>0</v>
      </c>
      <c r="ED117" s="2">
        <f t="shared" ref="ED117:EE117" si="2058">(X117*$I117+AS117*$AD117+BN117*$AY117)/100</f>
        <v>0</v>
      </c>
      <c r="EE117" s="2">
        <f t="shared" si="2058"/>
        <v>26.094270999999999</v>
      </c>
      <c r="EF117" s="2"/>
      <c r="EG117" s="2">
        <f t="shared" si="10"/>
        <v>0</v>
      </c>
      <c r="EH117" s="2">
        <f t="shared" si="11"/>
        <v>0</v>
      </c>
      <c r="EI117" s="39">
        <f t="shared" si="12"/>
        <v>0</v>
      </c>
      <c r="EJ117" s="39">
        <f t="shared" ref="EJ117:EK117" si="2059">EJ$1*DQ117/1000000</f>
        <v>0</v>
      </c>
      <c r="EK117" s="39">
        <f t="shared" si="2059"/>
        <v>0</v>
      </c>
      <c r="EL117" s="39">
        <f t="shared" ref="EL117:EQ117" si="2060">EL$1*DS117</f>
        <v>0</v>
      </c>
      <c r="EM117" s="39">
        <f t="shared" si="2060"/>
        <v>0</v>
      </c>
      <c r="EN117" s="39">
        <f t="shared" si="2060"/>
        <v>0</v>
      </c>
      <c r="EO117" s="39">
        <f t="shared" si="2060"/>
        <v>0</v>
      </c>
      <c r="EP117" s="39">
        <f t="shared" si="2060"/>
        <v>36050.805647999994</v>
      </c>
      <c r="EQ117" s="39">
        <f t="shared" si="2060"/>
        <v>4775.5325177639997</v>
      </c>
      <c r="ER117" s="39">
        <f t="shared" ref="ER117:EV117" si="2061">ER$1*DY117/1000000</f>
        <v>0</v>
      </c>
      <c r="ES117" s="39">
        <f t="shared" si="2061"/>
        <v>0</v>
      </c>
      <c r="ET117" s="39">
        <f t="shared" si="2061"/>
        <v>0</v>
      </c>
      <c r="EU117" s="39">
        <f t="shared" si="2061"/>
        <v>0</v>
      </c>
      <c r="EV117" s="39">
        <f t="shared" si="2061"/>
        <v>0</v>
      </c>
      <c r="EW117" s="39">
        <f t="shared" ref="EW117:EX117" si="2062">EW$1*ED117</f>
        <v>0</v>
      </c>
      <c r="EX117" s="39">
        <f t="shared" si="2062"/>
        <v>2426.7672029999999</v>
      </c>
      <c r="EY117" s="2"/>
      <c r="EZ117" s="39">
        <f t="shared" si="17"/>
        <v>0</v>
      </c>
      <c r="FA117" s="39">
        <f t="shared" si="18"/>
        <v>0</v>
      </c>
      <c r="FB117" s="2">
        <f t="shared" si="19"/>
        <v>0</v>
      </c>
      <c r="FC117" s="2">
        <f t="shared" ref="FC117:FD117" si="2063">BV117*$BT117+CQ117*$CO117</f>
        <v>0</v>
      </c>
      <c r="FD117" s="2">
        <f t="shared" si="2063"/>
        <v>0</v>
      </c>
      <c r="FE117" s="2">
        <f t="shared" ref="FE117:FJ117" si="2064">(BX117*$BT117+CS117*$CO117)/100</f>
        <v>0</v>
      </c>
      <c r="FF117" s="2">
        <f t="shared" si="2064"/>
        <v>0</v>
      </c>
      <c r="FG117" s="2">
        <f t="shared" si="2064"/>
        <v>0</v>
      </c>
      <c r="FH117" s="2">
        <f t="shared" si="2064"/>
        <v>0</v>
      </c>
      <c r="FI117" s="2">
        <f t="shared" si="2064"/>
        <v>0.87656800000000001</v>
      </c>
      <c r="FJ117" s="2">
        <f t="shared" si="2064"/>
        <v>2.1583999999999999E-2</v>
      </c>
      <c r="FK117" s="2">
        <f t="shared" ref="FK117:FO117" si="2065">CD117*$BT117+CY117*$CO117</f>
        <v>0</v>
      </c>
      <c r="FL117" s="2">
        <f t="shared" si="2065"/>
        <v>0</v>
      </c>
      <c r="FM117" s="2">
        <f t="shared" si="2065"/>
        <v>0</v>
      </c>
      <c r="FN117" s="2">
        <f t="shared" si="2065"/>
        <v>0</v>
      </c>
      <c r="FO117" s="2">
        <f t="shared" si="2065"/>
        <v>0</v>
      </c>
      <c r="FP117" s="2">
        <f t="shared" ref="FP117:FQ117" si="2066">(CI117*$BT117+DD117*$CO117)/100</f>
        <v>0</v>
      </c>
      <c r="FQ117" s="2">
        <f t="shared" si="2066"/>
        <v>7.7959550000000002</v>
      </c>
      <c r="FR117" s="2"/>
      <c r="FS117" s="2">
        <f t="shared" si="24"/>
        <v>0</v>
      </c>
      <c r="FT117" s="2">
        <f t="shared" si="25"/>
        <v>0</v>
      </c>
      <c r="FU117" s="39">
        <f t="shared" si="26"/>
        <v>0</v>
      </c>
      <c r="FV117" s="39">
        <f t="shared" ref="FV117:FW117" si="2067">FV$1*FC117/1000000</f>
        <v>0</v>
      </c>
      <c r="FW117" s="39">
        <f t="shared" si="2067"/>
        <v>0</v>
      </c>
      <c r="FX117" s="39">
        <f t="shared" ref="FX117:GC117" si="2068">FX$1*FE117</f>
        <v>0</v>
      </c>
      <c r="FY117" s="39">
        <f t="shared" si="2068"/>
        <v>0</v>
      </c>
      <c r="FZ117" s="39">
        <f t="shared" si="2068"/>
        <v>0</v>
      </c>
      <c r="GA117" s="39">
        <f t="shared" si="2068"/>
        <v>0</v>
      </c>
      <c r="GB117" s="39">
        <f t="shared" si="2068"/>
        <v>11495.312752</v>
      </c>
      <c r="GC117" s="39">
        <f t="shared" si="2068"/>
        <v>1567.4198060159997</v>
      </c>
      <c r="GD117" s="39">
        <f t="shared" ref="GD117:GH117" si="2069">GD$1*FK117/1000000</f>
        <v>0</v>
      </c>
      <c r="GE117" s="39">
        <f t="shared" si="2069"/>
        <v>0</v>
      </c>
      <c r="GF117" s="39">
        <f t="shared" si="2069"/>
        <v>0</v>
      </c>
      <c r="GG117" s="39">
        <f t="shared" si="2069"/>
        <v>0</v>
      </c>
      <c r="GH117" s="39">
        <f t="shared" si="2069"/>
        <v>0</v>
      </c>
      <c r="GI117" s="39">
        <f t="shared" ref="GI117:GJ117" si="2070">GI$1*FP117</f>
        <v>0</v>
      </c>
      <c r="GJ117" s="39">
        <f t="shared" si="2070"/>
        <v>725.02381500000001</v>
      </c>
      <c r="GK117" s="2"/>
      <c r="GL117" s="39">
        <f t="shared" si="31"/>
        <v>0</v>
      </c>
      <c r="GM117" s="39">
        <f t="shared" si="32"/>
        <v>0</v>
      </c>
      <c r="GN117" s="2" t="s">
        <v>3</v>
      </c>
      <c r="GO117" s="15">
        <f t="shared" si="33"/>
        <v>166.72</v>
      </c>
      <c r="GP117" s="4">
        <f t="shared" si="34"/>
        <v>1.6488915547024949</v>
      </c>
      <c r="GQ117" s="18">
        <f t="shared" si="35"/>
        <v>2749.0319999999997</v>
      </c>
      <c r="GR117" s="15">
        <f t="shared" si="36"/>
        <v>43253.105368763994</v>
      </c>
      <c r="GS117" s="15">
        <f t="shared" si="37"/>
        <v>259.43561281648272</v>
      </c>
      <c r="GT117" s="2">
        <f t="shared" si="38"/>
        <v>517.82000000000005</v>
      </c>
      <c r="GU117" s="2">
        <f t="shared" si="39"/>
        <v>984.19</v>
      </c>
      <c r="GV117" s="2">
        <f t="shared" si="40"/>
        <v>1247.0220000000002</v>
      </c>
      <c r="GW117" s="2">
        <f t="shared" si="41"/>
        <v>53.96</v>
      </c>
      <c r="GX117" s="4">
        <f t="shared" si="2051"/>
        <v>1.6244773906597481</v>
      </c>
      <c r="GY117" s="15">
        <f t="shared" si="2052"/>
        <v>876.56799999999998</v>
      </c>
      <c r="GZ117" s="15">
        <f t="shared" si="2053"/>
        <v>13787.756373016</v>
      </c>
      <c r="HA117" s="15">
        <f t="shared" si="2054"/>
        <v>255.51809438502593</v>
      </c>
      <c r="HB117" s="2">
        <f t="shared" si="42"/>
        <v>301.26799999999997</v>
      </c>
      <c r="HC117" s="2">
        <f t="shared" si="43"/>
        <v>575.29999999999995</v>
      </c>
      <c r="HD117" s="2" t="s">
        <v>3</v>
      </c>
      <c r="HE117" s="2" t="s">
        <v>37</v>
      </c>
      <c r="HF117" s="2" t="s">
        <v>106</v>
      </c>
      <c r="HG117" s="2"/>
      <c r="HH117" s="2"/>
      <c r="HI117" s="2" t="s">
        <v>81</v>
      </c>
      <c r="HJ117" s="2" t="s">
        <v>3</v>
      </c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 t="s">
        <v>3</v>
      </c>
    </row>
    <row r="118" spans="1:268" ht="15.75" customHeight="1" x14ac:dyDescent="0.2">
      <c r="A118" s="13" t="s">
        <v>1010</v>
      </c>
      <c r="B118" s="2" t="s">
        <v>109</v>
      </c>
      <c r="C118" s="2"/>
      <c r="D118" s="2"/>
      <c r="E118" s="2"/>
      <c r="F118" s="2" t="s">
        <v>442</v>
      </c>
      <c r="G118" s="2"/>
      <c r="H118" s="2" t="s">
        <v>111</v>
      </c>
      <c r="I118" s="2">
        <v>8.99</v>
      </c>
      <c r="J118" s="2"/>
      <c r="K118" s="2"/>
      <c r="L118" s="2"/>
      <c r="M118" s="2"/>
      <c r="N118" s="2"/>
      <c r="O118" s="2"/>
      <c r="P118" s="2"/>
      <c r="Q118" s="2">
        <v>1.93</v>
      </c>
      <c r="R118" s="2">
        <v>0.03</v>
      </c>
      <c r="S118" s="2"/>
      <c r="T118" s="2"/>
      <c r="U118" s="2"/>
      <c r="V118" s="2"/>
      <c r="W118" s="2"/>
      <c r="X118" s="2"/>
      <c r="Y118" s="2">
        <v>13.81</v>
      </c>
      <c r="Z118" s="2">
        <v>42.84</v>
      </c>
      <c r="AA118" s="2"/>
      <c r="AB118" s="2"/>
      <c r="AC118" s="2"/>
      <c r="AD118" s="2">
        <v>12.63</v>
      </c>
      <c r="AE118" s="2"/>
      <c r="AF118" s="2"/>
      <c r="AG118" s="2"/>
      <c r="AH118" s="2"/>
      <c r="AI118" s="2"/>
      <c r="AJ118" s="2"/>
      <c r="AK118" s="2"/>
      <c r="AL118" s="2">
        <v>1.79</v>
      </c>
      <c r="AM118" s="2">
        <v>0.03</v>
      </c>
      <c r="AN118" s="2"/>
      <c r="AO118" s="2"/>
      <c r="AP118" s="2"/>
      <c r="AQ118" s="2"/>
      <c r="AR118" s="2"/>
      <c r="AS118" s="2"/>
      <c r="AT118" s="2">
        <v>13.04</v>
      </c>
      <c r="AU118" s="2">
        <v>42.59</v>
      </c>
      <c r="AV118" s="2"/>
      <c r="AW118" s="2"/>
      <c r="AX118" s="2"/>
      <c r="AY118" s="2">
        <v>9.1300000000000008</v>
      </c>
      <c r="AZ118" s="2"/>
      <c r="BA118" s="2"/>
      <c r="BB118" s="2"/>
      <c r="BC118" s="2"/>
      <c r="BD118" s="2"/>
      <c r="BE118" s="2"/>
      <c r="BF118" s="2"/>
      <c r="BG118" s="2">
        <v>1.73</v>
      </c>
      <c r="BH118" s="2">
        <v>0.03</v>
      </c>
      <c r="BI118" s="2"/>
      <c r="BJ118" s="2"/>
      <c r="BK118" s="2"/>
      <c r="BL118" s="2"/>
      <c r="BM118" s="2"/>
      <c r="BN118" s="2"/>
      <c r="BO118" s="2">
        <v>12.38</v>
      </c>
      <c r="BP118" s="2">
        <v>42.76</v>
      </c>
      <c r="BQ118" s="2"/>
      <c r="BR118" s="2"/>
      <c r="BS118" s="2"/>
      <c r="BT118" s="2">
        <v>7.67</v>
      </c>
      <c r="BU118" s="2"/>
      <c r="BV118" s="2"/>
      <c r="BW118" s="2"/>
      <c r="BX118" s="2"/>
      <c r="BY118" s="2"/>
      <c r="BZ118" s="2"/>
      <c r="CA118" s="2"/>
      <c r="CB118" s="2">
        <v>1.89</v>
      </c>
      <c r="CC118" s="2">
        <v>0.03</v>
      </c>
      <c r="CD118" s="2"/>
      <c r="CE118" s="2"/>
      <c r="CF118" s="2"/>
      <c r="CG118" s="2"/>
      <c r="CH118" s="2"/>
      <c r="CI118" s="2"/>
      <c r="CJ118" s="2">
        <v>13.53</v>
      </c>
      <c r="CK118" s="2">
        <v>43.16</v>
      </c>
      <c r="CL118" s="2"/>
      <c r="CM118" s="2"/>
      <c r="CN118" s="2"/>
      <c r="CO118" s="2">
        <v>11.14</v>
      </c>
      <c r="CP118" s="2"/>
      <c r="CQ118" s="2"/>
      <c r="CR118" s="2"/>
      <c r="CS118" s="2"/>
      <c r="CT118" s="2"/>
      <c r="CU118" s="2"/>
      <c r="CV118" s="2"/>
      <c r="CW118" s="2">
        <v>1.75</v>
      </c>
      <c r="CX118" s="2">
        <v>0.03</v>
      </c>
      <c r="CY118" s="2"/>
      <c r="CZ118" s="2"/>
      <c r="DA118" s="2"/>
      <c r="DB118" s="2"/>
      <c r="DC118" s="2"/>
      <c r="DD118" s="2"/>
      <c r="DE118" s="2">
        <v>12.85</v>
      </c>
      <c r="DF118" s="2">
        <v>42.68</v>
      </c>
      <c r="DG118" s="2"/>
      <c r="DH118" s="2"/>
      <c r="DI118" s="2"/>
      <c r="DJ118" s="2" t="s">
        <v>81</v>
      </c>
      <c r="DK118" s="2" t="s">
        <v>81</v>
      </c>
      <c r="DL118" s="2">
        <f t="shared" si="3"/>
        <v>1.8131154471544715</v>
      </c>
      <c r="DM118" s="2">
        <f t="shared" si="4"/>
        <v>3.0000000000000002E-2</v>
      </c>
      <c r="DN118" s="2" t="s">
        <v>211</v>
      </c>
      <c r="DO118" s="2" t="s">
        <v>3</v>
      </c>
      <c r="DP118" s="2">
        <f t="shared" si="5"/>
        <v>0</v>
      </c>
      <c r="DQ118" s="2">
        <f t="shared" ref="DQ118:DR118" si="2071">K118*$I118+AF118*$AD118+BA118*$AY118</f>
        <v>0</v>
      </c>
      <c r="DR118" s="2">
        <f t="shared" si="2071"/>
        <v>0</v>
      </c>
      <c r="DS118" s="2">
        <f t="shared" ref="DS118:DX118" si="2072">(M118*$I118+AH118*$AD118+BC118*$AY118)/100</f>
        <v>0</v>
      </c>
      <c r="DT118" s="2">
        <f t="shared" si="2072"/>
        <v>0</v>
      </c>
      <c r="DU118" s="2">
        <f t="shared" si="2072"/>
        <v>0</v>
      </c>
      <c r="DV118" s="2">
        <f t="shared" si="2072"/>
        <v>0</v>
      </c>
      <c r="DW118" s="2">
        <f t="shared" si="2072"/>
        <v>0.55753299999999995</v>
      </c>
      <c r="DX118" s="2">
        <f t="shared" si="2072"/>
        <v>9.2250000000000006E-3</v>
      </c>
      <c r="DY118" s="2">
        <f t="shared" ref="DY118:EC118" si="2073">S118*$I118+AN118*$AD118+BI118*$AY118</f>
        <v>0</v>
      </c>
      <c r="DZ118" s="2">
        <f t="shared" si="2073"/>
        <v>0</v>
      </c>
      <c r="EA118" s="2">
        <f t="shared" si="2073"/>
        <v>0</v>
      </c>
      <c r="EB118" s="2">
        <f t="shared" si="2073"/>
        <v>0</v>
      </c>
      <c r="EC118" s="2">
        <f t="shared" si="2073"/>
        <v>0</v>
      </c>
      <c r="ED118" s="2">
        <f t="shared" ref="ED118:EE118" si="2074">(X118*$I118+AS118*$AD118+BN118*$AY118)/100</f>
        <v>0</v>
      </c>
      <c r="EE118" s="2">
        <f t="shared" si="2074"/>
        <v>4.0187650000000001</v>
      </c>
      <c r="EF118" s="2"/>
      <c r="EG118" s="2">
        <f t="shared" si="10"/>
        <v>0</v>
      </c>
      <c r="EH118" s="2">
        <f t="shared" si="11"/>
        <v>0</v>
      </c>
      <c r="EI118" s="39">
        <f t="shared" si="12"/>
        <v>0</v>
      </c>
      <c r="EJ118" s="39">
        <f t="shared" ref="EJ118:EK118" si="2075">EJ$1*DQ118/1000000</f>
        <v>0</v>
      </c>
      <c r="EK118" s="39">
        <f t="shared" si="2075"/>
        <v>0</v>
      </c>
      <c r="EL118" s="39">
        <f t="shared" ref="EL118:EQ118" si="2076">EL$1*DS118</f>
        <v>0</v>
      </c>
      <c r="EM118" s="39">
        <f t="shared" si="2076"/>
        <v>0</v>
      </c>
      <c r="EN118" s="39">
        <f t="shared" si="2076"/>
        <v>0</v>
      </c>
      <c r="EO118" s="39">
        <f t="shared" si="2076"/>
        <v>0</v>
      </c>
      <c r="EP118" s="39">
        <f t="shared" si="2076"/>
        <v>7311.4877619999988</v>
      </c>
      <c r="EQ118" s="39">
        <f t="shared" si="2076"/>
        <v>669.91510889999995</v>
      </c>
      <c r="ER118" s="39">
        <f t="shared" ref="ER118:EV118" si="2077">ER$1*DY118/1000000</f>
        <v>0</v>
      </c>
      <c r="ES118" s="39">
        <f t="shared" si="2077"/>
        <v>0</v>
      </c>
      <c r="ET118" s="39">
        <f t="shared" si="2077"/>
        <v>0</v>
      </c>
      <c r="EU118" s="39">
        <f t="shared" si="2077"/>
        <v>0</v>
      </c>
      <c r="EV118" s="39">
        <f t="shared" si="2077"/>
        <v>0</v>
      </c>
      <c r="EW118" s="39">
        <f t="shared" ref="EW118:EX118" si="2078">EW$1*ED118</f>
        <v>0</v>
      </c>
      <c r="EX118" s="39">
        <f t="shared" si="2078"/>
        <v>373.74514500000004</v>
      </c>
      <c r="EY118" s="2"/>
      <c r="EZ118" s="39">
        <f t="shared" si="17"/>
        <v>0</v>
      </c>
      <c r="FA118" s="39">
        <f t="shared" si="18"/>
        <v>0</v>
      </c>
      <c r="FB118" s="2">
        <f t="shared" si="19"/>
        <v>0</v>
      </c>
      <c r="FC118" s="2">
        <f t="shared" ref="FC118:FD118" si="2079">BV118*$BT118+CQ118*$CO118</f>
        <v>0</v>
      </c>
      <c r="FD118" s="2">
        <f t="shared" si="2079"/>
        <v>0</v>
      </c>
      <c r="FE118" s="2">
        <f t="shared" ref="FE118:FJ118" si="2080">(BX118*$BT118+CS118*$CO118)/100</f>
        <v>0</v>
      </c>
      <c r="FF118" s="2">
        <f t="shared" si="2080"/>
        <v>0</v>
      </c>
      <c r="FG118" s="2">
        <f t="shared" si="2080"/>
        <v>0</v>
      </c>
      <c r="FH118" s="2">
        <f t="shared" si="2080"/>
        <v>0</v>
      </c>
      <c r="FI118" s="2">
        <f t="shared" si="2080"/>
        <v>0.33991300000000002</v>
      </c>
      <c r="FJ118" s="2">
        <f t="shared" si="2080"/>
        <v>5.6430000000000004E-3</v>
      </c>
      <c r="FK118" s="2">
        <f t="shared" ref="FK118:FO118" si="2081">CD118*$BT118+CY118*$CO118</f>
        <v>0</v>
      </c>
      <c r="FL118" s="2">
        <f t="shared" si="2081"/>
        <v>0</v>
      </c>
      <c r="FM118" s="2">
        <f t="shared" si="2081"/>
        <v>0</v>
      </c>
      <c r="FN118" s="2">
        <f t="shared" si="2081"/>
        <v>0</v>
      </c>
      <c r="FO118" s="2">
        <f t="shared" si="2081"/>
        <v>0</v>
      </c>
      <c r="FP118" s="2">
        <f t="shared" ref="FP118:FQ118" si="2082">(CI118*$BT118+DD118*$CO118)/100</f>
        <v>0</v>
      </c>
      <c r="FQ118" s="2">
        <f t="shared" si="2082"/>
        <v>2.4692410000000002</v>
      </c>
      <c r="FR118" s="2"/>
      <c r="FS118" s="2">
        <f t="shared" si="24"/>
        <v>0</v>
      </c>
      <c r="FT118" s="2">
        <f t="shared" si="25"/>
        <v>0</v>
      </c>
      <c r="FU118" s="39">
        <f t="shared" si="26"/>
        <v>0</v>
      </c>
      <c r="FV118" s="39">
        <f t="shared" ref="FV118:FW118" si="2083">FV$1*FC118/1000000</f>
        <v>0</v>
      </c>
      <c r="FW118" s="39">
        <f t="shared" si="2083"/>
        <v>0</v>
      </c>
      <c r="FX118" s="39">
        <f t="shared" ref="FX118:GC118" si="2084">FX$1*FE118</f>
        <v>0</v>
      </c>
      <c r="FY118" s="39">
        <f t="shared" si="2084"/>
        <v>0</v>
      </c>
      <c r="FZ118" s="39">
        <f t="shared" si="2084"/>
        <v>0</v>
      </c>
      <c r="GA118" s="39">
        <f t="shared" si="2084"/>
        <v>0</v>
      </c>
      <c r="GB118" s="39">
        <f t="shared" si="2084"/>
        <v>4457.6190820000002</v>
      </c>
      <c r="GC118" s="39">
        <f t="shared" si="2084"/>
        <v>409.79197393199996</v>
      </c>
      <c r="GD118" s="39">
        <f t="shared" ref="GD118:GH118" si="2085">GD$1*FK118/1000000</f>
        <v>0</v>
      </c>
      <c r="GE118" s="39">
        <f t="shared" si="2085"/>
        <v>0</v>
      </c>
      <c r="GF118" s="39">
        <f t="shared" si="2085"/>
        <v>0</v>
      </c>
      <c r="GG118" s="39">
        <f t="shared" si="2085"/>
        <v>0</v>
      </c>
      <c r="GH118" s="39">
        <f t="shared" si="2085"/>
        <v>0</v>
      </c>
      <c r="GI118" s="39">
        <f t="shared" ref="GI118:GJ118" si="2086">GI$1*FP118</f>
        <v>0</v>
      </c>
      <c r="GJ118" s="39">
        <f t="shared" si="2086"/>
        <v>229.63941300000002</v>
      </c>
      <c r="GK118" s="2"/>
      <c r="GL118" s="39">
        <f t="shared" si="31"/>
        <v>0</v>
      </c>
      <c r="GM118" s="39">
        <f t="shared" si="32"/>
        <v>0</v>
      </c>
      <c r="GN118" s="2" t="s">
        <v>3</v>
      </c>
      <c r="GO118" s="2">
        <f t="shared" si="33"/>
        <v>30.75</v>
      </c>
      <c r="GP118" s="4">
        <f t="shared" si="34"/>
        <v>1.8131154471544715</v>
      </c>
      <c r="GQ118" s="15">
        <f t="shared" si="35"/>
        <v>557.5329999999999</v>
      </c>
      <c r="GR118" s="15">
        <f t="shared" si="36"/>
        <v>8355.1480158999984</v>
      </c>
      <c r="GS118" s="15">
        <f t="shared" si="37"/>
        <v>271.71213059837396</v>
      </c>
      <c r="GT118" s="2">
        <f t="shared" si="38"/>
        <v>173.50700000000001</v>
      </c>
      <c r="GU118" s="2">
        <f t="shared" si="39"/>
        <v>226.077</v>
      </c>
      <c r="GV118" s="2">
        <f t="shared" si="40"/>
        <v>157.94900000000001</v>
      </c>
      <c r="GW118" s="2">
        <f t="shared" si="41"/>
        <v>18.810000000000002</v>
      </c>
      <c r="GX118" s="4">
        <f t="shared" si="2051"/>
        <v>1.8070866560340244</v>
      </c>
      <c r="GY118" s="15">
        <f t="shared" si="2052"/>
        <v>339.91300000000001</v>
      </c>
      <c r="GZ118" s="15">
        <f t="shared" si="2053"/>
        <v>5097.0504689319996</v>
      </c>
      <c r="HA118" s="15">
        <f t="shared" si="2054"/>
        <v>270.97556985284416</v>
      </c>
      <c r="HB118" s="2">
        <f t="shared" si="42"/>
        <v>144.96299999999999</v>
      </c>
      <c r="HC118" s="2">
        <f t="shared" si="43"/>
        <v>194.95</v>
      </c>
      <c r="HD118" s="2" t="s">
        <v>3</v>
      </c>
      <c r="HE118" s="2" t="s">
        <v>37</v>
      </c>
      <c r="HF118" s="2" t="s">
        <v>106</v>
      </c>
      <c r="HG118" s="2"/>
      <c r="HH118" s="2"/>
      <c r="HI118" s="2" t="s">
        <v>81</v>
      </c>
      <c r="HJ118" s="2" t="s">
        <v>3</v>
      </c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 t="s">
        <v>3</v>
      </c>
    </row>
    <row r="119" spans="1:268" ht="15.75" customHeight="1" x14ac:dyDescent="0.2">
      <c r="A119" s="13" t="s">
        <v>1019</v>
      </c>
      <c r="B119" s="2" t="s">
        <v>99</v>
      </c>
      <c r="C119" s="2"/>
      <c r="D119" s="2"/>
      <c r="E119" s="2"/>
      <c r="F119" s="2" t="s">
        <v>442</v>
      </c>
      <c r="G119" s="2"/>
      <c r="H119" s="2" t="s">
        <v>111</v>
      </c>
      <c r="I119" s="2">
        <v>8.68</v>
      </c>
      <c r="J119" s="2"/>
      <c r="K119" s="2"/>
      <c r="L119" s="2"/>
      <c r="M119" s="2"/>
      <c r="N119" s="2"/>
      <c r="O119" s="2"/>
      <c r="P119" s="2"/>
      <c r="Q119" s="2">
        <v>2.06</v>
      </c>
      <c r="R119" s="2">
        <v>0.05</v>
      </c>
      <c r="S119" s="2"/>
      <c r="T119" s="2"/>
      <c r="U119" s="2"/>
      <c r="V119" s="2"/>
      <c r="W119" s="2"/>
      <c r="X119" s="2"/>
      <c r="Y119" s="2">
        <v>16.25</v>
      </c>
      <c r="Z119" s="2">
        <v>36.46</v>
      </c>
      <c r="AA119" s="2"/>
      <c r="AB119" s="2"/>
      <c r="AC119" s="2"/>
      <c r="AD119" s="2">
        <v>31.42</v>
      </c>
      <c r="AE119" s="2"/>
      <c r="AF119" s="2"/>
      <c r="AG119" s="2"/>
      <c r="AH119" s="2"/>
      <c r="AI119" s="2"/>
      <c r="AJ119" s="2"/>
      <c r="AK119" s="2"/>
      <c r="AL119" s="2">
        <v>1.97</v>
      </c>
      <c r="AM119" s="2">
        <v>0.04</v>
      </c>
      <c r="AN119" s="2"/>
      <c r="AO119" s="2"/>
      <c r="AP119" s="2"/>
      <c r="AQ119" s="2"/>
      <c r="AR119" s="2"/>
      <c r="AS119" s="2"/>
      <c r="AT119" s="2">
        <v>15.34</v>
      </c>
      <c r="AU119" s="2">
        <v>38.83</v>
      </c>
      <c r="AV119" s="2"/>
      <c r="AW119" s="2"/>
      <c r="AX119" s="2"/>
      <c r="AY119" s="2">
        <v>76.760000000000005</v>
      </c>
      <c r="AZ119" s="2"/>
      <c r="BA119" s="2"/>
      <c r="BB119" s="2"/>
      <c r="BC119" s="2"/>
      <c r="BD119" s="2"/>
      <c r="BE119" s="2"/>
      <c r="BF119" s="2"/>
      <c r="BG119" s="2">
        <v>1.88</v>
      </c>
      <c r="BH119" s="2">
        <v>0.04</v>
      </c>
      <c r="BI119" s="2"/>
      <c r="BJ119" s="2"/>
      <c r="BK119" s="2"/>
      <c r="BL119" s="2"/>
      <c r="BM119" s="2"/>
      <c r="BN119" s="2"/>
      <c r="BO119" s="2">
        <v>16.260000000000002</v>
      </c>
      <c r="BP119" s="2">
        <v>37.6</v>
      </c>
      <c r="BQ119" s="2"/>
      <c r="BR119" s="2"/>
      <c r="BS119" s="2"/>
      <c r="BT119" s="2">
        <v>6.48</v>
      </c>
      <c r="BU119" s="2"/>
      <c r="BV119" s="2"/>
      <c r="BW119" s="2"/>
      <c r="BX119" s="2"/>
      <c r="BY119" s="2"/>
      <c r="BZ119" s="2"/>
      <c r="CA119" s="2"/>
      <c r="CB119" s="2">
        <v>1.96</v>
      </c>
      <c r="CC119" s="2">
        <v>0.05</v>
      </c>
      <c r="CD119" s="2"/>
      <c r="CE119" s="2"/>
      <c r="CF119" s="2"/>
      <c r="CG119" s="2"/>
      <c r="CH119" s="2"/>
      <c r="CI119" s="2"/>
      <c r="CJ119" s="2">
        <v>16.2</v>
      </c>
      <c r="CK119" s="2">
        <v>36.32</v>
      </c>
      <c r="CL119" s="2"/>
      <c r="CM119" s="2"/>
      <c r="CN119" s="2"/>
      <c r="CO119" s="2">
        <v>22.39</v>
      </c>
      <c r="CP119" s="2"/>
      <c r="CQ119" s="2"/>
      <c r="CR119" s="2"/>
      <c r="CS119" s="2"/>
      <c r="CT119" s="2"/>
      <c r="CU119" s="2"/>
      <c r="CV119" s="2"/>
      <c r="CW119" s="2">
        <v>1.87</v>
      </c>
      <c r="CX119" s="2">
        <v>0.04</v>
      </c>
      <c r="CY119" s="2"/>
      <c r="CZ119" s="2"/>
      <c r="DA119" s="2"/>
      <c r="DB119" s="2"/>
      <c r="DC119" s="2"/>
      <c r="DD119" s="2"/>
      <c r="DE119" s="2">
        <v>15.4</v>
      </c>
      <c r="DF119" s="2">
        <v>38.9</v>
      </c>
      <c r="DG119" s="2"/>
      <c r="DH119" s="2"/>
      <c r="DI119" s="2"/>
      <c r="DJ119" s="2" t="s">
        <v>81</v>
      </c>
      <c r="DK119" s="2" t="s">
        <v>81</v>
      </c>
      <c r="DL119" s="2">
        <f t="shared" si="3"/>
        <v>1.9175680301215126</v>
      </c>
      <c r="DM119" s="2">
        <f t="shared" si="4"/>
        <v>4.0742769125449253E-2</v>
      </c>
      <c r="DN119" s="2" t="s">
        <v>211</v>
      </c>
      <c r="DO119" s="2" t="s">
        <v>3</v>
      </c>
      <c r="DP119" s="2">
        <f t="shared" si="5"/>
        <v>0</v>
      </c>
      <c r="DQ119" s="2">
        <f t="shared" ref="DQ119:DR119" si="2087">K119*$I119+AF119*$AD119+BA119*$AY119</f>
        <v>0</v>
      </c>
      <c r="DR119" s="2">
        <f t="shared" si="2087"/>
        <v>0</v>
      </c>
      <c r="DS119" s="2">
        <f t="shared" ref="DS119:DX119" si="2088">(M119*$I119+AH119*$AD119+BC119*$AY119)/100</f>
        <v>0</v>
      </c>
      <c r="DT119" s="2">
        <f t="shared" si="2088"/>
        <v>0</v>
      </c>
      <c r="DU119" s="2">
        <f t="shared" si="2088"/>
        <v>0</v>
      </c>
      <c r="DV119" s="2">
        <f t="shared" si="2088"/>
        <v>0</v>
      </c>
      <c r="DW119" s="2">
        <f t="shared" si="2088"/>
        <v>2.2408699999999997</v>
      </c>
      <c r="DX119" s="2">
        <f t="shared" si="2088"/>
        <v>4.7612000000000008E-2</v>
      </c>
      <c r="DY119" s="2">
        <f t="shared" ref="DY119:EC119" si="2089">S119*$I119+AN119*$AD119+BI119*$AY119</f>
        <v>0</v>
      </c>
      <c r="DZ119" s="2">
        <f t="shared" si="2089"/>
        <v>0</v>
      </c>
      <c r="EA119" s="2">
        <f t="shared" si="2089"/>
        <v>0</v>
      </c>
      <c r="EB119" s="2">
        <f t="shared" si="2089"/>
        <v>0</v>
      </c>
      <c r="EC119" s="2">
        <f t="shared" si="2089"/>
        <v>0</v>
      </c>
      <c r="ED119" s="2">
        <f t="shared" ref="ED119:EE119" si="2090">(X119*$I119+AS119*$AD119+BN119*$AY119)/100</f>
        <v>0</v>
      </c>
      <c r="EE119" s="2">
        <f t="shared" si="2090"/>
        <v>18.711504000000001</v>
      </c>
      <c r="EF119" s="2"/>
      <c r="EG119" s="2">
        <f t="shared" si="10"/>
        <v>0</v>
      </c>
      <c r="EH119" s="2">
        <f t="shared" si="11"/>
        <v>0</v>
      </c>
      <c r="EI119" s="39">
        <f t="shared" si="12"/>
        <v>0</v>
      </c>
      <c r="EJ119" s="39">
        <f t="shared" ref="EJ119:EK119" si="2091">EJ$1*DQ119/1000000</f>
        <v>0</v>
      </c>
      <c r="EK119" s="39">
        <f t="shared" si="2091"/>
        <v>0</v>
      </c>
      <c r="EL119" s="39">
        <f t="shared" ref="EL119:EQ119" si="2092">EL$1*DS119</f>
        <v>0</v>
      </c>
      <c r="EM119" s="39">
        <f t="shared" si="2092"/>
        <v>0</v>
      </c>
      <c r="EN119" s="39">
        <f t="shared" si="2092"/>
        <v>0</v>
      </c>
      <c r="EO119" s="39">
        <f t="shared" si="2092"/>
        <v>0</v>
      </c>
      <c r="EP119" s="39">
        <f t="shared" si="2092"/>
        <v>29386.769179999996</v>
      </c>
      <c r="EQ119" s="39">
        <f t="shared" si="2092"/>
        <v>3457.5607766880003</v>
      </c>
      <c r="ER119" s="39">
        <f t="shared" ref="ER119:EV119" si="2093">ER$1*DY119/1000000</f>
        <v>0</v>
      </c>
      <c r="ES119" s="39">
        <f t="shared" si="2093"/>
        <v>0</v>
      </c>
      <c r="ET119" s="39">
        <f t="shared" si="2093"/>
        <v>0</v>
      </c>
      <c r="EU119" s="39">
        <f t="shared" si="2093"/>
        <v>0</v>
      </c>
      <c r="EV119" s="39">
        <f t="shared" si="2093"/>
        <v>0</v>
      </c>
      <c r="EW119" s="39">
        <f t="shared" ref="EW119:EX119" si="2094">EW$1*ED119</f>
        <v>0</v>
      </c>
      <c r="EX119" s="39">
        <f t="shared" si="2094"/>
        <v>1740.1698720000002</v>
      </c>
      <c r="EY119" s="2"/>
      <c r="EZ119" s="39">
        <f t="shared" si="17"/>
        <v>0</v>
      </c>
      <c r="FA119" s="39">
        <f t="shared" si="18"/>
        <v>0</v>
      </c>
      <c r="FB119" s="2">
        <f t="shared" si="19"/>
        <v>0</v>
      </c>
      <c r="FC119" s="2">
        <f t="shared" ref="FC119:FD119" si="2095">BV119*$BT119+CQ119*$CO119</f>
        <v>0</v>
      </c>
      <c r="FD119" s="2">
        <f t="shared" si="2095"/>
        <v>0</v>
      </c>
      <c r="FE119" s="2">
        <f t="shared" ref="FE119:FJ119" si="2096">(BX119*$BT119+CS119*$CO119)/100</f>
        <v>0</v>
      </c>
      <c r="FF119" s="2">
        <f t="shared" si="2096"/>
        <v>0</v>
      </c>
      <c r="FG119" s="2">
        <f t="shared" si="2096"/>
        <v>0</v>
      </c>
      <c r="FH119" s="2">
        <f t="shared" si="2096"/>
        <v>0</v>
      </c>
      <c r="FI119" s="2">
        <f t="shared" si="2096"/>
        <v>0.54570099999999999</v>
      </c>
      <c r="FJ119" s="2">
        <f t="shared" si="2096"/>
        <v>1.2196000000000002E-2</v>
      </c>
      <c r="FK119" s="2">
        <f t="shared" ref="FK119:FO119" si="2097">CD119*$BT119+CY119*$CO119</f>
        <v>0</v>
      </c>
      <c r="FL119" s="2">
        <f t="shared" si="2097"/>
        <v>0</v>
      </c>
      <c r="FM119" s="2">
        <f t="shared" si="2097"/>
        <v>0</v>
      </c>
      <c r="FN119" s="2">
        <f t="shared" si="2097"/>
        <v>0</v>
      </c>
      <c r="FO119" s="2">
        <f t="shared" si="2097"/>
        <v>0</v>
      </c>
      <c r="FP119" s="2">
        <f t="shared" ref="FP119:FQ119" si="2098">(CI119*$BT119+DD119*$CO119)/100</f>
        <v>0</v>
      </c>
      <c r="FQ119" s="2">
        <f t="shared" si="2098"/>
        <v>4.4978200000000008</v>
      </c>
      <c r="FR119" s="2"/>
      <c r="FS119" s="2">
        <f t="shared" si="24"/>
        <v>0</v>
      </c>
      <c r="FT119" s="2">
        <f t="shared" si="25"/>
        <v>0</v>
      </c>
      <c r="FU119" s="39">
        <f t="shared" si="26"/>
        <v>0</v>
      </c>
      <c r="FV119" s="39">
        <f t="shared" ref="FV119:FW119" si="2099">FV$1*FC119/1000000</f>
        <v>0</v>
      </c>
      <c r="FW119" s="39">
        <f t="shared" si="2099"/>
        <v>0</v>
      </c>
      <c r="FX119" s="39">
        <f t="shared" ref="FX119:GC119" si="2100">FX$1*FE119</f>
        <v>0</v>
      </c>
      <c r="FY119" s="39">
        <f t="shared" si="2100"/>
        <v>0</v>
      </c>
      <c r="FZ119" s="39">
        <f t="shared" si="2100"/>
        <v>0</v>
      </c>
      <c r="GA119" s="39">
        <f t="shared" si="2100"/>
        <v>0</v>
      </c>
      <c r="GB119" s="39">
        <f t="shared" si="2100"/>
        <v>7156.3229140000003</v>
      </c>
      <c r="GC119" s="39">
        <f t="shared" si="2100"/>
        <v>885.66771470399999</v>
      </c>
      <c r="GD119" s="39">
        <f t="shared" ref="GD119:GH119" si="2101">GD$1*FK119/1000000</f>
        <v>0</v>
      </c>
      <c r="GE119" s="39">
        <f t="shared" si="2101"/>
        <v>0</v>
      </c>
      <c r="GF119" s="39">
        <f t="shared" si="2101"/>
        <v>0</v>
      </c>
      <c r="GG119" s="39">
        <f t="shared" si="2101"/>
        <v>0</v>
      </c>
      <c r="GH119" s="39">
        <f t="shared" si="2101"/>
        <v>0</v>
      </c>
      <c r="GI119" s="39">
        <f t="shared" ref="GI119:GJ119" si="2102">GI$1*FP119</f>
        <v>0</v>
      </c>
      <c r="GJ119" s="39">
        <f t="shared" si="2102"/>
        <v>418.29726000000005</v>
      </c>
      <c r="GK119" s="2"/>
      <c r="GL119" s="39">
        <f t="shared" si="31"/>
        <v>0</v>
      </c>
      <c r="GM119" s="39">
        <f t="shared" si="32"/>
        <v>0</v>
      </c>
      <c r="GN119" s="2" t="s">
        <v>3</v>
      </c>
      <c r="GO119" s="15">
        <f t="shared" si="33"/>
        <v>116.86000000000001</v>
      </c>
      <c r="GP119" s="4">
        <f t="shared" si="34"/>
        <v>1.9175680301215126</v>
      </c>
      <c r="GQ119" s="18">
        <f t="shared" si="35"/>
        <v>2240.87</v>
      </c>
      <c r="GR119" s="15">
        <f t="shared" si="36"/>
        <v>34584.499828687993</v>
      </c>
      <c r="GS119" s="15">
        <f t="shared" si="37"/>
        <v>295.94814161122702</v>
      </c>
      <c r="GT119" s="2">
        <f t="shared" si="38"/>
        <v>178.80799999999999</v>
      </c>
      <c r="GU119" s="2">
        <f t="shared" si="39"/>
        <v>618.97400000000005</v>
      </c>
      <c r="GV119" s="2">
        <f t="shared" si="40"/>
        <v>1443.088</v>
      </c>
      <c r="GW119" s="2">
        <f t="shared" si="41"/>
        <v>28.87</v>
      </c>
      <c r="GX119" s="4">
        <f t="shared" si="2051"/>
        <v>1.8902009005888467</v>
      </c>
      <c r="GY119" s="15">
        <f t="shared" si="2052"/>
        <v>545.70100000000002</v>
      </c>
      <c r="GZ119" s="15">
        <f t="shared" si="2053"/>
        <v>8460.2878887040006</v>
      </c>
      <c r="HA119" s="15">
        <f t="shared" si="2054"/>
        <v>293.04772735379288</v>
      </c>
      <c r="HB119" s="2">
        <f t="shared" si="42"/>
        <v>127.00800000000001</v>
      </c>
      <c r="HC119" s="2">
        <f t="shared" si="43"/>
        <v>418.69300000000004</v>
      </c>
      <c r="HD119" s="2" t="s">
        <v>3</v>
      </c>
      <c r="HE119" s="2" t="s">
        <v>37</v>
      </c>
      <c r="HF119" s="2" t="s">
        <v>106</v>
      </c>
      <c r="HG119" s="2"/>
      <c r="HH119" s="2"/>
      <c r="HI119" s="2" t="s">
        <v>81</v>
      </c>
      <c r="HJ119" s="2" t="s">
        <v>3</v>
      </c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 t="s">
        <v>3</v>
      </c>
    </row>
    <row r="120" spans="1:268" ht="15.75" customHeight="1" x14ac:dyDescent="0.2">
      <c r="A120" s="13" t="s">
        <v>269</v>
      </c>
      <c r="B120" s="2" t="s">
        <v>99</v>
      </c>
      <c r="C120" s="2"/>
      <c r="D120" s="2"/>
      <c r="E120" s="2" t="s">
        <v>78</v>
      </c>
      <c r="F120" s="2" t="s">
        <v>270</v>
      </c>
      <c r="G120" s="2"/>
      <c r="H120" s="2" t="s">
        <v>141</v>
      </c>
      <c r="I120" s="2">
        <v>0</v>
      </c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19">
        <v>4.5858509999999999</v>
      </c>
      <c r="AE120" s="2"/>
      <c r="AF120" s="2"/>
      <c r="AG120" s="2"/>
      <c r="AH120" s="2"/>
      <c r="AI120" s="2"/>
      <c r="AJ120" s="2"/>
      <c r="AK120" s="2"/>
      <c r="AL120" s="2">
        <v>1.05</v>
      </c>
      <c r="AM120" s="2">
        <v>0.04</v>
      </c>
      <c r="AN120" s="2"/>
      <c r="AO120" s="2"/>
      <c r="AP120" s="2"/>
      <c r="AQ120" s="2"/>
      <c r="AR120" s="2"/>
      <c r="AS120" s="2"/>
      <c r="AT120" s="2">
        <v>18.329999999999998</v>
      </c>
      <c r="AU120" s="2"/>
      <c r="AV120" s="2"/>
      <c r="AW120" s="2"/>
      <c r="AX120" s="2"/>
      <c r="AY120" s="19">
        <f>1.033062+0.07425+0.124875</f>
        <v>1.2321869999999999</v>
      </c>
      <c r="AZ120" s="2"/>
      <c r="BA120" s="2"/>
      <c r="BB120" s="2"/>
      <c r="BC120" s="2"/>
      <c r="BD120" s="2"/>
      <c r="BE120" s="2"/>
      <c r="BF120" s="2"/>
      <c r="BG120" s="4">
        <f>(1.1*1.033062+1.12*0.07425+1.01*0.124875)/AY120</f>
        <v>1.092084196635738</v>
      </c>
      <c r="BH120" s="2"/>
      <c r="BI120" s="2"/>
      <c r="BJ120" s="2"/>
      <c r="BK120" s="2"/>
      <c r="BL120" s="2"/>
      <c r="BM120" s="2"/>
      <c r="BN120" s="2"/>
      <c r="BO120" s="4">
        <f>(24.99*1.033062+20.25*0.07425+18.88*0.124875)/AY120</f>
        <v>24.085160677721806</v>
      </c>
      <c r="BP120" s="2"/>
      <c r="BQ120" s="2"/>
      <c r="BR120" s="2"/>
      <c r="BS120" s="2"/>
      <c r="BT120" s="2">
        <v>0</v>
      </c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>
        <v>0</v>
      </c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 t="s">
        <v>81</v>
      </c>
      <c r="DK120" s="2" t="s">
        <v>81</v>
      </c>
      <c r="DL120" s="2">
        <f t="shared" si="3"/>
        <v>1.0589129015657857</v>
      </c>
      <c r="DM120" s="2">
        <f t="shared" si="4"/>
        <v>3.1528504970232234E-2</v>
      </c>
      <c r="DN120" s="2" t="s">
        <v>271</v>
      </c>
      <c r="DO120" s="2" t="s">
        <v>3</v>
      </c>
      <c r="DP120" s="2">
        <f t="shared" si="5"/>
        <v>0</v>
      </c>
      <c r="DQ120" s="2">
        <f t="shared" ref="DQ120:DR120" si="2103">K120*$I120+AF120*$AD120+BA120*$AY120</f>
        <v>0</v>
      </c>
      <c r="DR120" s="2">
        <f t="shared" si="2103"/>
        <v>0</v>
      </c>
      <c r="DS120" s="2">
        <f t="shared" ref="DS120:DX120" si="2104">(M120*$I120+AH120*$AD120+BC120*$AY120)/100</f>
        <v>0</v>
      </c>
      <c r="DT120" s="2">
        <f t="shared" si="2104"/>
        <v>0</v>
      </c>
      <c r="DU120" s="2">
        <f t="shared" si="2104"/>
        <v>0</v>
      </c>
      <c r="DV120" s="2">
        <f t="shared" si="2104"/>
        <v>0</v>
      </c>
      <c r="DW120" s="2">
        <f t="shared" si="2104"/>
        <v>6.1607954999999999E-2</v>
      </c>
      <c r="DX120" s="2">
        <f t="shared" si="2104"/>
        <v>1.8343404E-3</v>
      </c>
      <c r="DY120" s="2">
        <f t="shared" ref="DY120:EC120" si="2105">S120*$I120+AN120*$AD120+BI120*$AY120</f>
        <v>0</v>
      </c>
      <c r="DZ120" s="2">
        <f t="shared" si="2105"/>
        <v>0</v>
      </c>
      <c r="EA120" s="2">
        <f t="shared" si="2105"/>
        <v>0</v>
      </c>
      <c r="EB120" s="2">
        <f t="shared" si="2105"/>
        <v>0</v>
      </c>
      <c r="EC120" s="2">
        <f t="shared" si="2105"/>
        <v>0</v>
      </c>
      <c r="ED120" s="2">
        <f t="shared" ref="ED120:EE120" si="2106">(X120*$I120+AS120*$AD120+BN120*$AY120)/100</f>
        <v>0</v>
      </c>
      <c r="EE120" s="2">
        <f t="shared" si="2106"/>
        <v>1.1373607071</v>
      </c>
      <c r="EF120" s="2"/>
      <c r="EG120" s="2">
        <f t="shared" si="10"/>
        <v>0</v>
      </c>
      <c r="EH120" s="2">
        <f t="shared" si="11"/>
        <v>0</v>
      </c>
      <c r="EI120" s="39">
        <f t="shared" si="12"/>
        <v>0</v>
      </c>
      <c r="EJ120" s="39">
        <f t="shared" ref="EJ120:EK120" si="2107">EJ$1*DQ120/1000000</f>
        <v>0</v>
      </c>
      <c r="EK120" s="39">
        <f t="shared" si="2107"/>
        <v>0</v>
      </c>
      <c r="EL120" s="39">
        <f t="shared" ref="EL120:EQ120" si="2108">EL$1*DS120</f>
        <v>0</v>
      </c>
      <c r="EM120" s="39">
        <f t="shared" si="2108"/>
        <v>0</v>
      </c>
      <c r="EN120" s="39">
        <f t="shared" si="2108"/>
        <v>0</v>
      </c>
      <c r="EO120" s="39">
        <f t="shared" si="2108"/>
        <v>0</v>
      </c>
      <c r="EP120" s="39">
        <f t="shared" si="2108"/>
        <v>807.92672186999994</v>
      </c>
      <c r="EQ120" s="39">
        <f t="shared" si="2108"/>
        <v>133.20892670196957</v>
      </c>
      <c r="ER120" s="39">
        <f t="shared" ref="ER120:EV120" si="2109">ER$1*DY120/1000000</f>
        <v>0</v>
      </c>
      <c r="ES120" s="39">
        <f t="shared" si="2109"/>
        <v>0</v>
      </c>
      <c r="ET120" s="39">
        <f t="shared" si="2109"/>
        <v>0</v>
      </c>
      <c r="EU120" s="39">
        <f t="shared" si="2109"/>
        <v>0</v>
      </c>
      <c r="EV120" s="39">
        <f t="shared" si="2109"/>
        <v>0</v>
      </c>
      <c r="EW120" s="39">
        <f t="shared" ref="EW120:EX120" si="2110">EW$1*ED120</f>
        <v>0</v>
      </c>
      <c r="EX120" s="39">
        <f t="shared" si="2110"/>
        <v>105.7745457603</v>
      </c>
      <c r="EY120" s="2"/>
      <c r="EZ120" s="39">
        <f t="shared" si="17"/>
        <v>0</v>
      </c>
      <c r="FA120" s="39">
        <f t="shared" si="18"/>
        <v>0</v>
      </c>
      <c r="FB120" s="2">
        <f t="shared" si="19"/>
        <v>0</v>
      </c>
      <c r="FC120" s="2">
        <f t="shared" ref="FC120:FD120" si="2111">BV120*$BT120+CQ120*$CO120</f>
        <v>0</v>
      </c>
      <c r="FD120" s="2">
        <f t="shared" si="2111"/>
        <v>0</v>
      </c>
      <c r="FE120" s="2">
        <f t="shared" ref="FE120:FJ120" si="2112">(BX120*$BT120+CS120*$CO120)/100</f>
        <v>0</v>
      </c>
      <c r="FF120" s="2">
        <f t="shared" si="2112"/>
        <v>0</v>
      </c>
      <c r="FG120" s="2">
        <f t="shared" si="2112"/>
        <v>0</v>
      </c>
      <c r="FH120" s="2">
        <f t="shared" si="2112"/>
        <v>0</v>
      </c>
      <c r="FI120" s="2">
        <f t="shared" si="2112"/>
        <v>0</v>
      </c>
      <c r="FJ120" s="2">
        <f t="shared" si="2112"/>
        <v>0</v>
      </c>
      <c r="FK120" s="2">
        <f t="shared" ref="FK120:FO120" si="2113">CD120*$BT120+CY120*$CO120</f>
        <v>0</v>
      </c>
      <c r="FL120" s="2">
        <f t="shared" si="2113"/>
        <v>0</v>
      </c>
      <c r="FM120" s="2">
        <f t="shared" si="2113"/>
        <v>0</v>
      </c>
      <c r="FN120" s="2">
        <f t="shared" si="2113"/>
        <v>0</v>
      </c>
      <c r="FO120" s="2">
        <f t="shared" si="2113"/>
        <v>0</v>
      </c>
      <c r="FP120" s="2">
        <f t="shared" ref="FP120:FQ120" si="2114">(CI120*$BT120+DD120*$CO120)/100</f>
        <v>0</v>
      </c>
      <c r="FQ120" s="2">
        <f t="shared" si="2114"/>
        <v>0</v>
      </c>
      <c r="FR120" s="2"/>
      <c r="FS120" s="2">
        <f t="shared" si="24"/>
        <v>0</v>
      </c>
      <c r="FT120" s="2">
        <f t="shared" si="25"/>
        <v>0</v>
      </c>
      <c r="FU120" s="39">
        <f t="shared" si="26"/>
        <v>0</v>
      </c>
      <c r="FV120" s="39">
        <f t="shared" ref="FV120:FW120" si="2115">FV$1*FC120/1000000</f>
        <v>0</v>
      </c>
      <c r="FW120" s="39">
        <f t="shared" si="2115"/>
        <v>0</v>
      </c>
      <c r="FX120" s="39">
        <f t="shared" ref="FX120:GC120" si="2116">FX$1*FE120</f>
        <v>0</v>
      </c>
      <c r="FY120" s="39">
        <f t="shared" si="2116"/>
        <v>0</v>
      </c>
      <c r="FZ120" s="39">
        <f t="shared" si="2116"/>
        <v>0</v>
      </c>
      <c r="GA120" s="39">
        <f t="shared" si="2116"/>
        <v>0</v>
      </c>
      <c r="GB120" s="39">
        <f t="shared" si="2116"/>
        <v>0</v>
      </c>
      <c r="GC120" s="39">
        <f t="shared" si="2116"/>
        <v>0</v>
      </c>
      <c r="GD120" s="39">
        <f t="shared" ref="GD120:GH120" si="2117">GD$1*FK120/1000000</f>
        <v>0</v>
      </c>
      <c r="GE120" s="39">
        <f t="shared" si="2117"/>
        <v>0</v>
      </c>
      <c r="GF120" s="39">
        <f t="shared" si="2117"/>
        <v>0</v>
      </c>
      <c r="GG120" s="39">
        <f t="shared" si="2117"/>
        <v>0</v>
      </c>
      <c r="GH120" s="39">
        <f t="shared" si="2117"/>
        <v>0</v>
      </c>
      <c r="GI120" s="39">
        <f t="shared" ref="GI120:GJ120" si="2118">GI$1*FP120</f>
        <v>0</v>
      </c>
      <c r="GJ120" s="39">
        <f t="shared" si="2118"/>
        <v>0</v>
      </c>
      <c r="GK120" s="2"/>
      <c r="GL120" s="39">
        <f t="shared" si="31"/>
        <v>0</v>
      </c>
      <c r="GM120" s="39">
        <f t="shared" si="32"/>
        <v>0</v>
      </c>
      <c r="GN120" s="2" t="s">
        <v>3</v>
      </c>
      <c r="GO120" s="19">
        <f t="shared" si="33"/>
        <v>5.8180379999999996</v>
      </c>
      <c r="GP120" s="4">
        <f t="shared" si="34"/>
        <v>1.0589129015657857</v>
      </c>
      <c r="GQ120" s="15">
        <f t="shared" si="35"/>
        <v>61.607955000000004</v>
      </c>
      <c r="GR120" s="15">
        <f t="shared" si="36"/>
        <v>1046.9101943322696</v>
      </c>
      <c r="GS120" s="15">
        <f t="shared" si="37"/>
        <v>179.94213759557255</v>
      </c>
      <c r="GT120" s="2">
        <f t="shared" si="38"/>
        <v>0</v>
      </c>
      <c r="GU120" s="2">
        <f t="shared" si="39"/>
        <v>48.151435499999998</v>
      </c>
      <c r="GV120" s="2">
        <f t="shared" si="40"/>
        <v>13.456519499999999</v>
      </c>
      <c r="GW120" s="2">
        <f t="shared" si="41"/>
        <v>0</v>
      </c>
      <c r="GX120" s="2"/>
      <c r="GY120" s="2"/>
      <c r="GZ120" s="2"/>
      <c r="HA120" s="2"/>
      <c r="HB120" s="2">
        <f t="shared" si="42"/>
        <v>0</v>
      </c>
      <c r="HC120" s="2">
        <f t="shared" si="43"/>
        <v>0</v>
      </c>
      <c r="HD120" s="2" t="s">
        <v>3</v>
      </c>
      <c r="HE120" s="2" t="s">
        <v>37</v>
      </c>
      <c r="HF120" s="2" t="s">
        <v>106</v>
      </c>
      <c r="HG120" s="2"/>
      <c r="HH120" s="2"/>
      <c r="HI120" s="2" t="s">
        <v>81</v>
      </c>
      <c r="HJ120" s="2" t="s">
        <v>3</v>
      </c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 t="s">
        <v>3</v>
      </c>
    </row>
    <row r="121" spans="1:268" ht="15.75" customHeight="1" x14ac:dyDescent="0.2">
      <c r="A121" s="13" t="s">
        <v>782</v>
      </c>
      <c r="B121" s="2" t="s">
        <v>99</v>
      </c>
      <c r="C121" s="2"/>
      <c r="D121" s="2"/>
      <c r="E121" s="2" t="s">
        <v>78</v>
      </c>
      <c r="F121" s="2" t="s">
        <v>270</v>
      </c>
      <c r="G121" s="2"/>
      <c r="H121" s="2" t="s">
        <v>141</v>
      </c>
      <c r="I121" s="19">
        <v>0.42720000000000002</v>
      </c>
      <c r="J121" s="2"/>
      <c r="K121" s="2"/>
      <c r="L121" s="2"/>
      <c r="M121" s="2"/>
      <c r="N121" s="2"/>
      <c r="O121" s="2"/>
      <c r="P121" s="2"/>
      <c r="Q121" s="2">
        <v>1.1100000000000001</v>
      </c>
      <c r="R121" s="2">
        <v>0.05</v>
      </c>
      <c r="S121" s="2"/>
      <c r="T121" s="2"/>
      <c r="U121" s="2"/>
      <c r="V121" s="2"/>
      <c r="W121" s="2"/>
      <c r="X121" s="2"/>
      <c r="Y121" s="4">
        <v>23</v>
      </c>
      <c r="Z121" s="2"/>
      <c r="AA121" s="2"/>
      <c r="AB121" s="2"/>
      <c r="AC121" s="2"/>
      <c r="AD121" s="19">
        <v>0.63239999999999996</v>
      </c>
      <c r="AE121" s="2"/>
      <c r="AF121" s="2"/>
      <c r="AG121" s="2"/>
      <c r="AH121" s="2"/>
      <c r="AI121" s="2"/>
      <c r="AJ121" s="2"/>
      <c r="AK121" s="2"/>
      <c r="AL121" s="4">
        <v>1</v>
      </c>
      <c r="AM121" s="2">
        <v>0.04</v>
      </c>
      <c r="AN121" s="2"/>
      <c r="AO121" s="2"/>
      <c r="AP121" s="2"/>
      <c r="AQ121" s="2"/>
      <c r="AR121" s="2"/>
      <c r="AS121" s="2"/>
      <c r="AT121" s="2">
        <v>22.11</v>
      </c>
      <c r="AU121" s="2"/>
      <c r="AV121" s="2"/>
      <c r="AW121" s="2"/>
      <c r="AX121" s="2"/>
      <c r="AY121" s="2">
        <v>0</v>
      </c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>
        <v>0</v>
      </c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>
        <v>0</v>
      </c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 t="s">
        <v>81</v>
      </c>
      <c r="DK121" s="2" t="s">
        <v>81</v>
      </c>
      <c r="DL121" s="2">
        <f t="shared" si="3"/>
        <v>1.0443488108720271</v>
      </c>
      <c r="DM121" s="2">
        <f t="shared" si="4"/>
        <v>4.4031710079275199E-2</v>
      </c>
      <c r="DN121" s="2" t="s">
        <v>271</v>
      </c>
      <c r="DO121" s="2" t="s">
        <v>3</v>
      </c>
      <c r="DP121" s="2">
        <f t="shared" si="5"/>
        <v>0</v>
      </c>
      <c r="DQ121" s="2">
        <f t="shared" ref="DQ121:DR121" si="2119">K121*$I121+AF121*$AD121+BA121*$AY121</f>
        <v>0</v>
      </c>
      <c r="DR121" s="2">
        <f t="shared" si="2119"/>
        <v>0</v>
      </c>
      <c r="DS121" s="2">
        <f t="shared" ref="DS121:DX121" si="2120">(M121*$I121+AH121*$AD121+BC121*$AY121)/100</f>
        <v>0</v>
      </c>
      <c r="DT121" s="2">
        <f t="shared" si="2120"/>
        <v>0</v>
      </c>
      <c r="DU121" s="2">
        <f t="shared" si="2120"/>
        <v>0</v>
      </c>
      <c r="DV121" s="2">
        <f t="shared" si="2120"/>
        <v>0</v>
      </c>
      <c r="DW121" s="2">
        <f t="shared" si="2120"/>
        <v>1.106592E-2</v>
      </c>
      <c r="DX121" s="2">
        <f t="shared" si="2120"/>
        <v>4.6656000000000003E-4</v>
      </c>
      <c r="DY121" s="2">
        <f t="shared" ref="DY121:EC121" si="2121">S121*$I121+AN121*$AD121+BI121*$AY121</f>
        <v>0</v>
      </c>
      <c r="DZ121" s="2">
        <f t="shared" si="2121"/>
        <v>0</v>
      </c>
      <c r="EA121" s="2">
        <f t="shared" si="2121"/>
        <v>0</v>
      </c>
      <c r="EB121" s="2">
        <f t="shared" si="2121"/>
        <v>0</v>
      </c>
      <c r="EC121" s="2">
        <f t="shared" si="2121"/>
        <v>0</v>
      </c>
      <c r="ED121" s="2">
        <f t="shared" ref="ED121:EE121" si="2122">(X121*$I121+AS121*$AD121+BN121*$AY121)/100</f>
        <v>0</v>
      </c>
      <c r="EE121" s="2">
        <f t="shared" si="2122"/>
        <v>0.23807963999999998</v>
      </c>
      <c r="EF121" s="2"/>
      <c r="EG121" s="2">
        <f t="shared" si="10"/>
        <v>0</v>
      </c>
      <c r="EH121" s="2">
        <f t="shared" si="11"/>
        <v>0</v>
      </c>
      <c r="EI121" s="39">
        <f t="shared" si="12"/>
        <v>0</v>
      </c>
      <c r="EJ121" s="39">
        <f t="shared" ref="EJ121:EK121" si="2123">EJ$1*DQ121/1000000</f>
        <v>0</v>
      </c>
      <c r="EK121" s="39">
        <f t="shared" si="2123"/>
        <v>0</v>
      </c>
      <c r="EL121" s="39">
        <f t="shared" ref="EL121:EQ121" si="2124">EL$1*DS121</f>
        <v>0</v>
      </c>
      <c r="EM121" s="39">
        <f t="shared" si="2124"/>
        <v>0</v>
      </c>
      <c r="EN121" s="39">
        <f t="shared" si="2124"/>
        <v>0</v>
      </c>
      <c r="EO121" s="39">
        <f t="shared" si="2124"/>
        <v>0</v>
      </c>
      <c r="EP121" s="39">
        <f t="shared" si="2124"/>
        <v>145.11847488000001</v>
      </c>
      <c r="EQ121" s="39">
        <f t="shared" si="2124"/>
        <v>33.881365117439998</v>
      </c>
      <c r="ER121" s="39">
        <f t="shared" ref="ER121:EV121" si="2125">ER$1*DY121/1000000</f>
        <v>0</v>
      </c>
      <c r="ES121" s="39">
        <f t="shared" si="2125"/>
        <v>0</v>
      </c>
      <c r="ET121" s="39">
        <f t="shared" si="2125"/>
        <v>0</v>
      </c>
      <c r="EU121" s="39">
        <f t="shared" si="2125"/>
        <v>0</v>
      </c>
      <c r="EV121" s="39">
        <f t="shared" si="2125"/>
        <v>0</v>
      </c>
      <c r="EW121" s="39">
        <f t="shared" ref="EW121:EX121" si="2126">EW$1*ED121</f>
        <v>0</v>
      </c>
      <c r="EX121" s="39">
        <f t="shared" si="2126"/>
        <v>22.141406519999997</v>
      </c>
      <c r="EY121" s="2"/>
      <c r="EZ121" s="39">
        <f t="shared" si="17"/>
        <v>0</v>
      </c>
      <c r="FA121" s="39">
        <f t="shared" si="18"/>
        <v>0</v>
      </c>
      <c r="FB121" s="2">
        <f t="shared" si="19"/>
        <v>0</v>
      </c>
      <c r="FC121" s="2">
        <f t="shared" ref="FC121:FD121" si="2127">BV121*$BT121+CQ121*$CO121</f>
        <v>0</v>
      </c>
      <c r="FD121" s="2">
        <f t="shared" si="2127"/>
        <v>0</v>
      </c>
      <c r="FE121" s="2">
        <f t="shared" ref="FE121:FJ121" si="2128">(BX121*$BT121+CS121*$CO121)/100</f>
        <v>0</v>
      </c>
      <c r="FF121" s="2">
        <f t="shared" si="2128"/>
        <v>0</v>
      </c>
      <c r="FG121" s="2">
        <f t="shared" si="2128"/>
        <v>0</v>
      </c>
      <c r="FH121" s="2">
        <f t="shared" si="2128"/>
        <v>0</v>
      </c>
      <c r="FI121" s="2">
        <f t="shared" si="2128"/>
        <v>0</v>
      </c>
      <c r="FJ121" s="2">
        <f t="shared" si="2128"/>
        <v>0</v>
      </c>
      <c r="FK121" s="2">
        <f t="shared" ref="FK121:FO121" si="2129">CD121*$BT121+CY121*$CO121</f>
        <v>0</v>
      </c>
      <c r="FL121" s="2">
        <f t="shared" si="2129"/>
        <v>0</v>
      </c>
      <c r="FM121" s="2">
        <f t="shared" si="2129"/>
        <v>0</v>
      </c>
      <c r="FN121" s="2">
        <f t="shared" si="2129"/>
        <v>0</v>
      </c>
      <c r="FO121" s="2">
        <f t="shared" si="2129"/>
        <v>0</v>
      </c>
      <c r="FP121" s="2">
        <f t="shared" ref="FP121:FQ121" si="2130">(CI121*$BT121+DD121*$CO121)/100</f>
        <v>0</v>
      </c>
      <c r="FQ121" s="2">
        <f t="shared" si="2130"/>
        <v>0</v>
      </c>
      <c r="FR121" s="2"/>
      <c r="FS121" s="2">
        <f t="shared" si="24"/>
        <v>0</v>
      </c>
      <c r="FT121" s="2">
        <f t="shared" si="25"/>
        <v>0</v>
      </c>
      <c r="FU121" s="39">
        <f t="shared" si="26"/>
        <v>0</v>
      </c>
      <c r="FV121" s="39">
        <f t="shared" ref="FV121:FW121" si="2131">FV$1*FC121/1000000</f>
        <v>0</v>
      </c>
      <c r="FW121" s="39">
        <f t="shared" si="2131"/>
        <v>0</v>
      </c>
      <c r="FX121" s="39">
        <f t="shared" ref="FX121:GC121" si="2132">FX$1*FE121</f>
        <v>0</v>
      </c>
      <c r="FY121" s="39">
        <f t="shared" si="2132"/>
        <v>0</v>
      </c>
      <c r="FZ121" s="39">
        <f t="shared" si="2132"/>
        <v>0</v>
      </c>
      <c r="GA121" s="39">
        <f t="shared" si="2132"/>
        <v>0</v>
      </c>
      <c r="GB121" s="39">
        <f t="shared" si="2132"/>
        <v>0</v>
      </c>
      <c r="GC121" s="39">
        <f t="shared" si="2132"/>
        <v>0</v>
      </c>
      <c r="GD121" s="39">
        <f t="shared" ref="GD121:GH121" si="2133">GD$1*FK121/1000000</f>
        <v>0</v>
      </c>
      <c r="GE121" s="39">
        <f t="shared" si="2133"/>
        <v>0</v>
      </c>
      <c r="GF121" s="39">
        <f t="shared" si="2133"/>
        <v>0</v>
      </c>
      <c r="GG121" s="39">
        <f t="shared" si="2133"/>
        <v>0</v>
      </c>
      <c r="GH121" s="39">
        <f t="shared" si="2133"/>
        <v>0</v>
      </c>
      <c r="GI121" s="39">
        <f t="shared" ref="GI121:GJ121" si="2134">GI$1*FP121</f>
        <v>0</v>
      </c>
      <c r="GJ121" s="39">
        <f t="shared" si="2134"/>
        <v>0</v>
      </c>
      <c r="GK121" s="2"/>
      <c r="GL121" s="39">
        <f t="shared" si="31"/>
        <v>0</v>
      </c>
      <c r="GM121" s="39">
        <f t="shared" si="32"/>
        <v>0</v>
      </c>
      <c r="GN121" s="2" t="s">
        <v>3</v>
      </c>
      <c r="GO121" s="19">
        <f t="shared" si="33"/>
        <v>1.0596000000000001</v>
      </c>
      <c r="GP121" s="4">
        <f t="shared" si="34"/>
        <v>1.0443488108720271</v>
      </c>
      <c r="GQ121" s="15">
        <f t="shared" si="35"/>
        <v>11.06592</v>
      </c>
      <c r="GR121" s="15">
        <f t="shared" si="36"/>
        <v>201.14124651744001</v>
      </c>
      <c r="GS121" s="15">
        <f t="shared" si="37"/>
        <v>189.82752596964892</v>
      </c>
      <c r="GT121" s="2">
        <f t="shared" si="38"/>
        <v>4.7419200000000004</v>
      </c>
      <c r="GU121" s="2">
        <f t="shared" si="39"/>
        <v>6.3239999999999998</v>
      </c>
      <c r="GV121" s="2">
        <f t="shared" si="40"/>
        <v>0</v>
      </c>
      <c r="GW121" s="2">
        <f t="shared" si="41"/>
        <v>0</v>
      </c>
      <c r="GX121" s="2"/>
      <c r="GY121" s="2"/>
      <c r="GZ121" s="2"/>
      <c r="HA121" s="2"/>
      <c r="HB121" s="2">
        <f t="shared" si="42"/>
        <v>0</v>
      </c>
      <c r="HC121" s="2">
        <f t="shared" si="43"/>
        <v>0</v>
      </c>
      <c r="HD121" s="2" t="s">
        <v>3</v>
      </c>
      <c r="HE121" s="2" t="s">
        <v>37</v>
      </c>
      <c r="HF121" s="2" t="s">
        <v>106</v>
      </c>
      <c r="HG121" s="2"/>
      <c r="HH121" s="2"/>
      <c r="HI121" s="2" t="s">
        <v>81</v>
      </c>
      <c r="HJ121" s="2" t="s">
        <v>3</v>
      </c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 t="s">
        <v>3</v>
      </c>
    </row>
    <row r="122" spans="1:268" ht="15.75" customHeight="1" x14ac:dyDescent="0.2">
      <c r="A122" s="13" t="s">
        <v>173</v>
      </c>
      <c r="B122" s="2" t="s">
        <v>120</v>
      </c>
      <c r="C122" s="2"/>
      <c r="D122" s="2"/>
      <c r="E122" s="2" t="s">
        <v>78</v>
      </c>
      <c r="F122" s="2" t="s">
        <v>174</v>
      </c>
      <c r="G122" s="2"/>
      <c r="H122" s="2" t="s">
        <v>80</v>
      </c>
      <c r="I122" s="2">
        <v>0</v>
      </c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>
        <v>88</v>
      </c>
      <c r="AE122" s="2"/>
      <c r="AF122" s="2"/>
      <c r="AG122" s="2"/>
      <c r="AH122" s="2"/>
      <c r="AI122" s="2"/>
      <c r="AJ122" s="2"/>
      <c r="AK122" s="2"/>
      <c r="AL122" s="2">
        <v>0.86</v>
      </c>
      <c r="AM122" s="2">
        <v>5.2999999999999999E-2</v>
      </c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>
        <v>81.8</v>
      </c>
      <c r="AZ122" s="2"/>
      <c r="BA122" s="2"/>
      <c r="BB122" s="2"/>
      <c r="BC122" s="2"/>
      <c r="BD122" s="2"/>
      <c r="BE122" s="2"/>
      <c r="BF122" s="2"/>
      <c r="BG122" s="2">
        <v>0.79</v>
      </c>
      <c r="BH122" s="2">
        <v>0.06</v>
      </c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>
        <v>0</v>
      </c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>
        <v>0</v>
      </c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 t="s">
        <v>81</v>
      </c>
      <c r="DK122" s="2" t="s">
        <v>81</v>
      </c>
      <c r="DL122" s="2">
        <f t="shared" si="3"/>
        <v>0.8262779740871613</v>
      </c>
      <c r="DM122" s="2">
        <f t="shared" si="4"/>
        <v>5.6372202591283851E-2</v>
      </c>
      <c r="DN122" s="2" t="s">
        <v>175</v>
      </c>
      <c r="DO122" s="2" t="s">
        <v>3</v>
      </c>
      <c r="DP122" s="2">
        <f t="shared" si="5"/>
        <v>0</v>
      </c>
      <c r="DQ122" s="2">
        <f t="shared" ref="DQ122:DR122" si="2135">K122*$I122+AF122*$AD122+BA122*$AY122</f>
        <v>0</v>
      </c>
      <c r="DR122" s="2">
        <f t="shared" si="2135"/>
        <v>0</v>
      </c>
      <c r="DS122" s="2">
        <f t="shared" ref="DS122:DX122" si="2136">(M122*$I122+AH122*$AD122+BC122*$AY122)/100</f>
        <v>0</v>
      </c>
      <c r="DT122" s="2">
        <f t="shared" si="2136"/>
        <v>0</v>
      </c>
      <c r="DU122" s="2">
        <f t="shared" si="2136"/>
        <v>0</v>
      </c>
      <c r="DV122" s="2">
        <f t="shared" si="2136"/>
        <v>0</v>
      </c>
      <c r="DW122" s="2">
        <f t="shared" si="2136"/>
        <v>1.4030199999999999</v>
      </c>
      <c r="DX122" s="2">
        <f t="shared" si="2136"/>
        <v>9.5719999999999986E-2</v>
      </c>
      <c r="DY122" s="2">
        <f t="shared" ref="DY122:EC122" si="2137">S122*$I122+AN122*$AD122+BI122*$AY122</f>
        <v>0</v>
      </c>
      <c r="DZ122" s="2">
        <f t="shared" si="2137"/>
        <v>0</v>
      </c>
      <c r="EA122" s="2">
        <f t="shared" si="2137"/>
        <v>0</v>
      </c>
      <c r="EB122" s="2">
        <f t="shared" si="2137"/>
        <v>0</v>
      </c>
      <c r="EC122" s="2">
        <f t="shared" si="2137"/>
        <v>0</v>
      </c>
      <c r="ED122" s="2">
        <f t="shared" ref="ED122:EE122" si="2138">(X122*$I122+AS122*$AD122+BN122*$AY122)/100</f>
        <v>0</v>
      </c>
      <c r="EE122" s="2">
        <f t="shared" si="2138"/>
        <v>0</v>
      </c>
      <c r="EF122" s="2"/>
      <c r="EG122" s="2">
        <f t="shared" si="10"/>
        <v>0</v>
      </c>
      <c r="EH122" s="2">
        <f t="shared" si="11"/>
        <v>0</v>
      </c>
      <c r="EI122" s="39">
        <f t="shared" si="12"/>
        <v>0</v>
      </c>
      <c r="EJ122" s="39">
        <f t="shared" ref="EJ122:EK122" si="2139">EJ$1*DQ122/1000000</f>
        <v>0</v>
      </c>
      <c r="EK122" s="39">
        <f t="shared" si="2139"/>
        <v>0</v>
      </c>
      <c r="EL122" s="39">
        <f t="shared" ref="EL122:EQ122" si="2140">EL$1*DS122</f>
        <v>0</v>
      </c>
      <c r="EM122" s="39">
        <f t="shared" si="2140"/>
        <v>0</v>
      </c>
      <c r="EN122" s="39">
        <f t="shared" si="2140"/>
        <v>0</v>
      </c>
      <c r="EO122" s="39">
        <f t="shared" si="2140"/>
        <v>0</v>
      </c>
      <c r="EP122" s="39">
        <f t="shared" si="2140"/>
        <v>18399.204279999998</v>
      </c>
      <c r="EQ122" s="39">
        <f t="shared" si="2140"/>
        <v>6951.1408372799979</v>
      </c>
      <c r="ER122" s="39">
        <f t="shared" ref="ER122:EV122" si="2141">ER$1*DY122/1000000</f>
        <v>0</v>
      </c>
      <c r="ES122" s="39">
        <f t="shared" si="2141"/>
        <v>0</v>
      </c>
      <c r="ET122" s="39">
        <f t="shared" si="2141"/>
        <v>0</v>
      </c>
      <c r="EU122" s="39">
        <f t="shared" si="2141"/>
        <v>0</v>
      </c>
      <c r="EV122" s="39">
        <f t="shared" si="2141"/>
        <v>0</v>
      </c>
      <c r="EW122" s="39">
        <f t="shared" ref="EW122:EX122" si="2142">EW$1*ED122</f>
        <v>0</v>
      </c>
      <c r="EX122" s="39">
        <f t="shared" si="2142"/>
        <v>0</v>
      </c>
      <c r="EY122" s="2"/>
      <c r="EZ122" s="39">
        <f t="shared" si="17"/>
        <v>0</v>
      </c>
      <c r="FA122" s="39">
        <f t="shared" si="18"/>
        <v>0</v>
      </c>
      <c r="FB122" s="2">
        <f t="shared" si="19"/>
        <v>0</v>
      </c>
      <c r="FC122" s="2">
        <f t="shared" ref="FC122:FD122" si="2143">BV122*$BT122+CQ122*$CO122</f>
        <v>0</v>
      </c>
      <c r="FD122" s="2">
        <f t="shared" si="2143"/>
        <v>0</v>
      </c>
      <c r="FE122" s="2">
        <f t="shared" ref="FE122:FJ122" si="2144">(BX122*$BT122+CS122*$CO122)/100</f>
        <v>0</v>
      </c>
      <c r="FF122" s="2">
        <f t="shared" si="2144"/>
        <v>0</v>
      </c>
      <c r="FG122" s="2">
        <f t="shared" si="2144"/>
        <v>0</v>
      </c>
      <c r="FH122" s="2">
        <f t="shared" si="2144"/>
        <v>0</v>
      </c>
      <c r="FI122" s="2">
        <f t="shared" si="2144"/>
        <v>0</v>
      </c>
      <c r="FJ122" s="2">
        <f t="shared" si="2144"/>
        <v>0</v>
      </c>
      <c r="FK122" s="2">
        <f t="shared" ref="FK122:FO122" si="2145">CD122*$BT122+CY122*$CO122</f>
        <v>0</v>
      </c>
      <c r="FL122" s="2">
        <f t="shared" si="2145"/>
        <v>0</v>
      </c>
      <c r="FM122" s="2">
        <f t="shared" si="2145"/>
        <v>0</v>
      </c>
      <c r="FN122" s="2">
        <f t="shared" si="2145"/>
        <v>0</v>
      </c>
      <c r="FO122" s="2">
        <f t="shared" si="2145"/>
        <v>0</v>
      </c>
      <c r="FP122" s="2">
        <f t="shared" ref="FP122:FQ122" si="2146">(CI122*$BT122+DD122*$CO122)/100</f>
        <v>0</v>
      </c>
      <c r="FQ122" s="2">
        <f t="shared" si="2146"/>
        <v>0</v>
      </c>
      <c r="FR122" s="2"/>
      <c r="FS122" s="2">
        <f t="shared" si="24"/>
        <v>0</v>
      </c>
      <c r="FT122" s="2">
        <f t="shared" si="25"/>
        <v>0</v>
      </c>
      <c r="FU122" s="39">
        <f t="shared" si="26"/>
        <v>0</v>
      </c>
      <c r="FV122" s="39">
        <f t="shared" ref="FV122:FW122" si="2147">FV$1*FC122/1000000</f>
        <v>0</v>
      </c>
      <c r="FW122" s="39">
        <f t="shared" si="2147"/>
        <v>0</v>
      </c>
      <c r="FX122" s="39">
        <f t="shared" ref="FX122:GC122" si="2148">FX$1*FE122</f>
        <v>0</v>
      </c>
      <c r="FY122" s="39">
        <f t="shared" si="2148"/>
        <v>0</v>
      </c>
      <c r="FZ122" s="39">
        <f t="shared" si="2148"/>
        <v>0</v>
      </c>
      <c r="GA122" s="39">
        <f t="shared" si="2148"/>
        <v>0</v>
      </c>
      <c r="GB122" s="39">
        <f t="shared" si="2148"/>
        <v>0</v>
      </c>
      <c r="GC122" s="39">
        <f t="shared" si="2148"/>
        <v>0</v>
      </c>
      <c r="GD122" s="39">
        <f t="shared" ref="GD122:GH122" si="2149">GD$1*FK122/1000000</f>
        <v>0</v>
      </c>
      <c r="GE122" s="39">
        <f t="shared" si="2149"/>
        <v>0</v>
      </c>
      <c r="GF122" s="39">
        <f t="shared" si="2149"/>
        <v>0</v>
      </c>
      <c r="GG122" s="39">
        <f t="shared" si="2149"/>
        <v>0</v>
      </c>
      <c r="GH122" s="39">
        <f t="shared" si="2149"/>
        <v>0</v>
      </c>
      <c r="GI122" s="39">
        <f t="shared" ref="GI122:GJ122" si="2150">GI$1*FP122</f>
        <v>0</v>
      </c>
      <c r="GJ122" s="39">
        <f t="shared" si="2150"/>
        <v>0</v>
      </c>
      <c r="GK122" s="2"/>
      <c r="GL122" s="39">
        <f t="shared" si="31"/>
        <v>0</v>
      </c>
      <c r="GM122" s="39">
        <f t="shared" si="32"/>
        <v>0</v>
      </c>
      <c r="GN122" s="2" t="s">
        <v>3</v>
      </c>
      <c r="GO122" s="2">
        <f t="shared" si="33"/>
        <v>169.8</v>
      </c>
      <c r="GP122" s="4">
        <f t="shared" si="34"/>
        <v>0.8262779740871613</v>
      </c>
      <c r="GQ122" s="18">
        <f t="shared" si="35"/>
        <v>1403.02</v>
      </c>
      <c r="GR122" s="15">
        <f t="shared" si="36"/>
        <v>25350.345117279998</v>
      </c>
      <c r="GS122" s="15">
        <f t="shared" si="37"/>
        <v>149.29531871189633</v>
      </c>
      <c r="GT122" s="2">
        <f t="shared" si="38"/>
        <v>0</v>
      </c>
      <c r="GU122" s="2">
        <f t="shared" si="39"/>
        <v>756.79999999999984</v>
      </c>
      <c r="GV122" s="2">
        <f t="shared" si="40"/>
        <v>646.22</v>
      </c>
      <c r="GW122" s="2">
        <f t="shared" si="41"/>
        <v>0</v>
      </c>
      <c r="GX122" s="2"/>
      <c r="GY122" s="2"/>
      <c r="GZ122" s="2"/>
      <c r="HA122" s="2"/>
      <c r="HB122" s="2">
        <f t="shared" si="42"/>
        <v>0</v>
      </c>
      <c r="HC122" s="2">
        <f t="shared" si="43"/>
        <v>0</v>
      </c>
      <c r="HD122" s="2" t="s">
        <v>3</v>
      </c>
      <c r="HE122" s="2" t="s">
        <v>37</v>
      </c>
      <c r="HF122" s="2" t="s">
        <v>177</v>
      </c>
      <c r="HG122" s="2" t="s">
        <v>177</v>
      </c>
      <c r="HH122" s="2"/>
      <c r="HI122" s="2" t="s">
        <v>81</v>
      </c>
      <c r="HJ122" s="2" t="s">
        <v>3</v>
      </c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 t="s">
        <v>3</v>
      </c>
    </row>
    <row r="123" spans="1:268" ht="15.75" customHeight="1" x14ac:dyDescent="0.2">
      <c r="A123" s="13" t="s">
        <v>850</v>
      </c>
      <c r="B123" s="2" t="s">
        <v>99</v>
      </c>
      <c r="C123" s="2"/>
      <c r="D123" s="2"/>
      <c r="E123" s="2"/>
      <c r="F123" s="2" t="s">
        <v>79</v>
      </c>
      <c r="G123" s="2"/>
      <c r="H123" s="2"/>
      <c r="I123" s="2">
        <v>0</v>
      </c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>
        <v>0</v>
      </c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>
        <v>38.6</v>
      </c>
      <c r="AZ123" s="2"/>
      <c r="BA123" s="2"/>
      <c r="BB123" s="2"/>
      <c r="BC123" s="2"/>
      <c r="BD123" s="2"/>
      <c r="BE123" s="2"/>
      <c r="BF123" s="2"/>
      <c r="BG123" s="2">
        <v>1.1000000000000001</v>
      </c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>
        <v>0</v>
      </c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>
        <v>0</v>
      </c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 t="s">
        <v>100</v>
      </c>
      <c r="DK123" s="2"/>
      <c r="DL123" s="2">
        <f t="shared" si="3"/>
        <v>1.1000000000000001</v>
      </c>
      <c r="DM123" s="2">
        <f t="shared" si="4"/>
        <v>0</v>
      </c>
      <c r="DN123" s="2" t="s">
        <v>113</v>
      </c>
      <c r="DO123" s="2" t="s">
        <v>3</v>
      </c>
      <c r="DP123" s="2">
        <f t="shared" si="5"/>
        <v>0</v>
      </c>
      <c r="DQ123" s="2">
        <f t="shared" ref="DQ123:DR123" si="2151">K123*$I123+AF123*$AD123+BA123*$AY123</f>
        <v>0</v>
      </c>
      <c r="DR123" s="2">
        <f t="shared" si="2151"/>
        <v>0</v>
      </c>
      <c r="DS123" s="2">
        <f t="shared" ref="DS123:DX123" si="2152">(M123*$I123+AH123*$AD123+BC123*$AY123)/100</f>
        <v>0</v>
      </c>
      <c r="DT123" s="2">
        <f t="shared" si="2152"/>
        <v>0</v>
      </c>
      <c r="DU123" s="2">
        <f t="shared" si="2152"/>
        <v>0</v>
      </c>
      <c r="DV123" s="2">
        <f t="shared" si="2152"/>
        <v>0</v>
      </c>
      <c r="DW123" s="2">
        <f t="shared" si="2152"/>
        <v>0.42460000000000009</v>
      </c>
      <c r="DX123" s="2">
        <f t="shared" si="2152"/>
        <v>0</v>
      </c>
      <c r="DY123" s="2">
        <f t="shared" ref="DY123:EC123" si="2153">S123*$I123+AN123*$AD123+BI123*$AY123</f>
        <v>0</v>
      </c>
      <c r="DZ123" s="2">
        <f t="shared" si="2153"/>
        <v>0</v>
      </c>
      <c r="EA123" s="2">
        <f t="shared" si="2153"/>
        <v>0</v>
      </c>
      <c r="EB123" s="2">
        <f t="shared" si="2153"/>
        <v>0</v>
      </c>
      <c r="EC123" s="2">
        <f t="shared" si="2153"/>
        <v>0</v>
      </c>
      <c r="ED123" s="2">
        <f t="shared" ref="ED123:EE123" si="2154">(X123*$I123+AS123*$AD123+BN123*$AY123)/100</f>
        <v>0</v>
      </c>
      <c r="EE123" s="2">
        <f t="shared" si="2154"/>
        <v>0</v>
      </c>
      <c r="EF123" s="2"/>
      <c r="EG123" s="2">
        <f t="shared" si="10"/>
        <v>0</v>
      </c>
      <c r="EH123" s="2">
        <f t="shared" si="11"/>
        <v>0</v>
      </c>
      <c r="EI123" s="39">
        <f t="shared" si="12"/>
        <v>0</v>
      </c>
      <c r="EJ123" s="39">
        <f t="shared" ref="EJ123:EK123" si="2155">EJ$1*DQ123/1000000</f>
        <v>0</v>
      </c>
      <c r="EK123" s="39">
        <f t="shared" si="2155"/>
        <v>0</v>
      </c>
      <c r="EL123" s="39">
        <f t="shared" ref="EL123:EQ123" si="2156">EL$1*DS123</f>
        <v>0</v>
      </c>
      <c r="EM123" s="39">
        <f t="shared" si="2156"/>
        <v>0</v>
      </c>
      <c r="EN123" s="39">
        <f t="shared" si="2156"/>
        <v>0</v>
      </c>
      <c r="EO123" s="39">
        <f t="shared" si="2156"/>
        <v>0</v>
      </c>
      <c r="EP123" s="39">
        <f t="shared" si="2156"/>
        <v>5568.2044000000014</v>
      </c>
      <c r="EQ123" s="39">
        <f t="shared" si="2156"/>
        <v>0</v>
      </c>
      <c r="ER123" s="39">
        <f t="shared" ref="ER123:EV123" si="2157">ER$1*DY123/1000000</f>
        <v>0</v>
      </c>
      <c r="ES123" s="39">
        <f t="shared" si="2157"/>
        <v>0</v>
      </c>
      <c r="ET123" s="39">
        <f t="shared" si="2157"/>
        <v>0</v>
      </c>
      <c r="EU123" s="39">
        <f t="shared" si="2157"/>
        <v>0</v>
      </c>
      <c r="EV123" s="39">
        <f t="shared" si="2157"/>
        <v>0</v>
      </c>
      <c r="EW123" s="39">
        <f t="shared" ref="EW123:EX123" si="2158">EW$1*ED123</f>
        <v>0</v>
      </c>
      <c r="EX123" s="39">
        <f t="shared" si="2158"/>
        <v>0</v>
      </c>
      <c r="EY123" s="2"/>
      <c r="EZ123" s="39">
        <f t="shared" si="17"/>
        <v>0</v>
      </c>
      <c r="FA123" s="39">
        <f t="shared" si="18"/>
        <v>0</v>
      </c>
      <c r="FB123" s="2">
        <f t="shared" si="19"/>
        <v>0</v>
      </c>
      <c r="FC123" s="2">
        <f t="shared" ref="FC123:FD123" si="2159">BV123*$BT123+CQ123*$CO123</f>
        <v>0</v>
      </c>
      <c r="FD123" s="2">
        <f t="shared" si="2159"/>
        <v>0</v>
      </c>
      <c r="FE123" s="2">
        <f t="shared" ref="FE123:FJ123" si="2160">(BX123*$BT123+CS123*$CO123)/100</f>
        <v>0</v>
      </c>
      <c r="FF123" s="2">
        <f t="shared" si="2160"/>
        <v>0</v>
      </c>
      <c r="FG123" s="2">
        <f t="shared" si="2160"/>
        <v>0</v>
      </c>
      <c r="FH123" s="2">
        <f t="shared" si="2160"/>
        <v>0</v>
      </c>
      <c r="FI123" s="2">
        <f t="shared" si="2160"/>
        <v>0</v>
      </c>
      <c r="FJ123" s="2">
        <f t="shared" si="2160"/>
        <v>0</v>
      </c>
      <c r="FK123" s="2">
        <f t="shared" ref="FK123:FO123" si="2161">CD123*$BT123+CY123*$CO123</f>
        <v>0</v>
      </c>
      <c r="FL123" s="2">
        <f t="shared" si="2161"/>
        <v>0</v>
      </c>
      <c r="FM123" s="2">
        <f t="shared" si="2161"/>
        <v>0</v>
      </c>
      <c r="FN123" s="2">
        <f t="shared" si="2161"/>
        <v>0</v>
      </c>
      <c r="FO123" s="2">
        <f t="shared" si="2161"/>
        <v>0</v>
      </c>
      <c r="FP123" s="2">
        <f t="shared" ref="FP123:FQ123" si="2162">(CI123*$BT123+DD123*$CO123)/100</f>
        <v>0</v>
      </c>
      <c r="FQ123" s="2">
        <f t="shared" si="2162"/>
        <v>0</v>
      </c>
      <c r="FR123" s="2"/>
      <c r="FS123" s="2">
        <f t="shared" si="24"/>
        <v>0</v>
      </c>
      <c r="FT123" s="2">
        <f t="shared" si="25"/>
        <v>0</v>
      </c>
      <c r="FU123" s="39">
        <f t="shared" si="26"/>
        <v>0</v>
      </c>
      <c r="FV123" s="39">
        <f t="shared" ref="FV123:FW123" si="2163">FV$1*FC123/1000000</f>
        <v>0</v>
      </c>
      <c r="FW123" s="39">
        <f t="shared" si="2163"/>
        <v>0</v>
      </c>
      <c r="FX123" s="39">
        <f t="shared" ref="FX123:GC123" si="2164">FX$1*FE123</f>
        <v>0</v>
      </c>
      <c r="FY123" s="39">
        <f t="shared" si="2164"/>
        <v>0</v>
      </c>
      <c r="FZ123" s="39">
        <f t="shared" si="2164"/>
        <v>0</v>
      </c>
      <c r="GA123" s="39">
        <f t="shared" si="2164"/>
        <v>0</v>
      </c>
      <c r="GB123" s="39">
        <f t="shared" si="2164"/>
        <v>0</v>
      </c>
      <c r="GC123" s="39">
        <f t="shared" si="2164"/>
        <v>0</v>
      </c>
      <c r="GD123" s="39">
        <f t="shared" ref="GD123:GH123" si="2165">GD$1*FK123/1000000</f>
        <v>0</v>
      </c>
      <c r="GE123" s="39">
        <f t="shared" si="2165"/>
        <v>0</v>
      </c>
      <c r="GF123" s="39">
        <f t="shared" si="2165"/>
        <v>0</v>
      </c>
      <c r="GG123" s="39">
        <f t="shared" si="2165"/>
        <v>0</v>
      </c>
      <c r="GH123" s="39">
        <f t="shared" si="2165"/>
        <v>0</v>
      </c>
      <c r="GI123" s="39">
        <f t="shared" ref="GI123:GJ123" si="2166">GI$1*FP123</f>
        <v>0</v>
      </c>
      <c r="GJ123" s="39">
        <f t="shared" si="2166"/>
        <v>0</v>
      </c>
      <c r="GK123" s="2"/>
      <c r="GL123" s="39">
        <f t="shared" si="31"/>
        <v>0</v>
      </c>
      <c r="GM123" s="39">
        <f t="shared" si="32"/>
        <v>0</v>
      </c>
      <c r="GN123" s="2" t="s">
        <v>3</v>
      </c>
      <c r="GO123" s="2">
        <f t="shared" si="33"/>
        <v>38.6</v>
      </c>
      <c r="GP123" s="2">
        <f t="shared" si="34"/>
        <v>1.1000000000000001</v>
      </c>
      <c r="GQ123" s="15">
        <f t="shared" si="35"/>
        <v>424.6</v>
      </c>
      <c r="GR123" s="15">
        <f t="shared" si="36"/>
        <v>5568.2044000000014</v>
      </c>
      <c r="GS123" s="15">
        <f t="shared" si="37"/>
        <v>144.25400000000002</v>
      </c>
      <c r="GT123" s="2">
        <f t="shared" si="38"/>
        <v>0</v>
      </c>
      <c r="GU123" s="2">
        <f t="shared" si="39"/>
        <v>0</v>
      </c>
      <c r="GV123" s="2">
        <f t="shared" si="40"/>
        <v>424.60000000000008</v>
      </c>
      <c r="GW123" s="2">
        <f t="shared" si="41"/>
        <v>0</v>
      </c>
      <c r="GX123" s="2"/>
      <c r="GY123" s="2"/>
      <c r="GZ123" s="2"/>
      <c r="HA123" s="2"/>
      <c r="HB123" s="2">
        <f t="shared" si="42"/>
        <v>0</v>
      </c>
      <c r="HC123" s="2">
        <f t="shared" si="43"/>
        <v>0</v>
      </c>
      <c r="HD123" s="2" t="s">
        <v>3</v>
      </c>
      <c r="HE123" s="2" t="s">
        <v>37</v>
      </c>
      <c r="HF123" s="2" t="s">
        <v>188</v>
      </c>
      <c r="HG123" s="2" t="s">
        <v>188</v>
      </c>
      <c r="HH123" s="2"/>
      <c r="HI123" s="2" t="s">
        <v>100</v>
      </c>
      <c r="HJ123" s="2" t="s">
        <v>3</v>
      </c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 t="s">
        <v>3</v>
      </c>
    </row>
    <row r="124" spans="1:268" ht="15.75" customHeight="1" x14ac:dyDescent="0.2">
      <c r="A124" s="13" t="s">
        <v>1094</v>
      </c>
      <c r="B124" s="2" t="s">
        <v>99</v>
      </c>
      <c r="C124" s="2"/>
      <c r="D124" s="2"/>
      <c r="E124" s="2"/>
      <c r="F124" s="2" t="s">
        <v>79</v>
      </c>
      <c r="G124" s="2"/>
      <c r="H124" s="2"/>
      <c r="I124" s="2">
        <v>0</v>
      </c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>
        <v>0</v>
      </c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>
        <v>61</v>
      </c>
      <c r="AZ124" s="2"/>
      <c r="BA124" s="2"/>
      <c r="BB124" s="2"/>
      <c r="BC124" s="2"/>
      <c r="BD124" s="2"/>
      <c r="BE124" s="2"/>
      <c r="BF124" s="2"/>
      <c r="BG124" s="2">
        <v>1.5</v>
      </c>
      <c r="BH124" s="2">
        <v>0.06</v>
      </c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>
        <v>0</v>
      </c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>
        <v>0</v>
      </c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 t="s">
        <v>100</v>
      </c>
      <c r="DK124" s="2" t="s">
        <v>100</v>
      </c>
      <c r="DL124" s="2">
        <f t="shared" si="3"/>
        <v>1.5</v>
      </c>
      <c r="DM124" s="2">
        <f t="shared" si="4"/>
        <v>0.06</v>
      </c>
      <c r="DN124" s="2" t="s">
        <v>113</v>
      </c>
      <c r="DO124" s="2" t="s">
        <v>3</v>
      </c>
      <c r="DP124" s="2">
        <f t="shared" si="5"/>
        <v>0</v>
      </c>
      <c r="DQ124" s="2">
        <f t="shared" ref="DQ124:DR124" si="2167">K124*$I124+AF124*$AD124+BA124*$AY124</f>
        <v>0</v>
      </c>
      <c r="DR124" s="2">
        <f t="shared" si="2167"/>
        <v>0</v>
      </c>
      <c r="DS124" s="2">
        <f t="shared" ref="DS124:DX124" si="2168">(M124*$I124+AH124*$AD124+BC124*$AY124)/100</f>
        <v>0</v>
      </c>
      <c r="DT124" s="2">
        <f t="shared" si="2168"/>
        <v>0</v>
      </c>
      <c r="DU124" s="2">
        <f t="shared" si="2168"/>
        <v>0</v>
      </c>
      <c r="DV124" s="2">
        <f t="shared" si="2168"/>
        <v>0</v>
      </c>
      <c r="DW124" s="2">
        <f t="shared" si="2168"/>
        <v>0.91500000000000004</v>
      </c>
      <c r="DX124" s="2">
        <f t="shared" si="2168"/>
        <v>3.6599999999999994E-2</v>
      </c>
      <c r="DY124" s="2">
        <f t="shared" ref="DY124:EC124" si="2169">S124*$I124+AN124*$AD124+BI124*$AY124</f>
        <v>0</v>
      </c>
      <c r="DZ124" s="2">
        <f t="shared" si="2169"/>
        <v>0</v>
      </c>
      <c r="EA124" s="2">
        <f t="shared" si="2169"/>
        <v>0</v>
      </c>
      <c r="EB124" s="2">
        <f t="shared" si="2169"/>
        <v>0</v>
      </c>
      <c r="EC124" s="2">
        <f t="shared" si="2169"/>
        <v>0</v>
      </c>
      <c r="ED124" s="2">
        <f t="shared" ref="ED124:EE124" si="2170">(X124*$I124+AS124*$AD124+BN124*$AY124)/100</f>
        <v>0</v>
      </c>
      <c r="EE124" s="2">
        <f t="shared" si="2170"/>
        <v>0</v>
      </c>
      <c r="EF124" s="2"/>
      <c r="EG124" s="2">
        <f t="shared" si="10"/>
        <v>0</v>
      </c>
      <c r="EH124" s="2">
        <f t="shared" si="11"/>
        <v>0</v>
      </c>
      <c r="EI124" s="39">
        <f t="shared" si="12"/>
        <v>0</v>
      </c>
      <c r="EJ124" s="39">
        <f t="shared" ref="EJ124:EK124" si="2171">EJ$1*DQ124/1000000</f>
        <v>0</v>
      </c>
      <c r="EK124" s="39">
        <f t="shared" si="2171"/>
        <v>0</v>
      </c>
      <c r="EL124" s="39">
        <f t="shared" ref="EL124:EQ124" si="2172">EL$1*DS124</f>
        <v>0</v>
      </c>
      <c r="EM124" s="39">
        <f t="shared" si="2172"/>
        <v>0</v>
      </c>
      <c r="EN124" s="39">
        <f t="shared" si="2172"/>
        <v>0</v>
      </c>
      <c r="EO124" s="39">
        <f t="shared" si="2172"/>
        <v>0</v>
      </c>
      <c r="EP124" s="39">
        <f t="shared" si="2172"/>
        <v>11999.310000000001</v>
      </c>
      <c r="EQ124" s="39">
        <f t="shared" si="2172"/>
        <v>2657.8745783999993</v>
      </c>
      <c r="ER124" s="39">
        <f t="shared" ref="ER124:EV124" si="2173">ER$1*DY124/1000000</f>
        <v>0</v>
      </c>
      <c r="ES124" s="39">
        <f t="shared" si="2173"/>
        <v>0</v>
      </c>
      <c r="ET124" s="39">
        <f t="shared" si="2173"/>
        <v>0</v>
      </c>
      <c r="EU124" s="39">
        <f t="shared" si="2173"/>
        <v>0</v>
      </c>
      <c r="EV124" s="39">
        <f t="shared" si="2173"/>
        <v>0</v>
      </c>
      <c r="EW124" s="39">
        <f t="shared" ref="EW124:EX124" si="2174">EW$1*ED124</f>
        <v>0</v>
      </c>
      <c r="EX124" s="39">
        <f t="shared" si="2174"/>
        <v>0</v>
      </c>
      <c r="EY124" s="2"/>
      <c r="EZ124" s="39">
        <f t="shared" si="17"/>
        <v>0</v>
      </c>
      <c r="FA124" s="39">
        <f t="shared" si="18"/>
        <v>0</v>
      </c>
      <c r="FB124" s="2">
        <f t="shared" si="19"/>
        <v>0</v>
      </c>
      <c r="FC124" s="2">
        <f t="shared" ref="FC124:FD124" si="2175">BV124*$BT124+CQ124*$CO124</f>
        <v>0</v>
      </c>
      <c r="FD124" s="2">
        <f t="shared" si="2175"/>
        <v>0</v>
      </c>
      <c r="FE124" s="2">
        <f t="shared" ref="FE124:FJ124" si="2176">(BX124*$BT124+CS124*$CO124)/100</f>
        <v>0</v>
      </c>
      <c r="FF124" s="2">
        <f t="shared" si="2176"/>
        <v>0</v>
      </c>
      <c r="FG124" s="2">
        <f t="shared" si="2176"/>
        <v>0</v>
      </c>
      <c r="FH124" s="2">
        <f t="shared" si="2176"/>
        <v>0</v>
      </c>
      <c r="FI124" s="2">
        <f t="shared" si="2176"/>
        <v>0</v>
      </c>
      <c r="FJ124" s="2">
        <f t="shared" si="2176"/>
        <v>0</v>
      </c>
      <c r="FK124" s="2">
        <f t="shared" ref="FK124:FO124" si="2177">CD124*$BT124+CY124*$CO124</f>
        <v>0</v>
      </c>
      <c r="FL124" s="2">
        <f t="shared" si="2177"/>
        <v>0</v>
      </c>
      <c r="FM124" s="2">
        <f t="shared" si="2177"/>
        <v>0</v>
      </c>
      <c r="FN124" s="2">
        <f t="shared" si="2177"/>
        <v>0</v>
      </c>
      <c r="FO124" s="2">
        <f t="shared" si="2177"/>
        <v>0</v>
      </c>
      <c r="FP124" s="2">
        <f t="shared" ref="FP124:FQ124" si="2178">(CI124*$BT124+DD124*$CO124)/100</f>
        <v>0</v>
      </c>
      <c r="FQ124" s="2">
        <f t="shared" si="2178"/>
        <v>0</v>
      </c>
      <c r="FR124" s="2"/>
      <c r="FS124" s="2">
        <f t="shared" si="24"/>
        <v>0</v>
      </c>
      <c r="FT124" s="2">
        <f t="shared" si="25"/>
        <v>0</v>
      </c>
      <c r="FU124" s="39">
        <f t="shared" si="26"/>
        <v>0</v>
      </c>
      <c r="FV124" s="39">
        <f t="shared" ref="FV124:FW124" si="2179">FV$1*FC124/1000000</f>
        <v>0</v>
      </c>
      <c r="FW124" s="39">
        <f t="shared" si="2179"/>
        <v>0</v>
      </c>
      <c r="FX124" s="39">
        <f t="shared" ref="FX124:GC124" si="2180">FX$1*FE124</f>
        <v>0</v>
      </c>
      <c r="FY124" s="39">
        <f t="shared" si="2180"/>
        <v>0</v>
      </c>
      <c r="FZ124" s="39">
        <f t="shared" si="2180"/>
        <v>0</v>
      </c>
      <c r="GA124" s="39">
        <f t="shared" si="2180"/>
        <v>0</v>
      </c>
      <c r="GB124" s="39">
        <f t="shared" si="2180"/>
        <v>0</v>
      </c>
      <c r="GC124" s="39">
        <f t="shared" si="2180"/>
        <v>0</v>
      </c>
      <c r="GD124" s="39">
        <f t="shared" ref="GD124:GH124" si="2181">GD$1*FK124/1000000</f>
        <v>0</v>
      </c>
      <c r="GE124" s="39">
        <f t="shared" si="2181"/>
        <v>0</v>
      </c>
      <c r="GF124" s="39">
        <f t="shared" si="2181"/>
        <v>0</v>
      </c>
      <c r="GG124" s="39">
        <f t="shared" si="2181"/>
        <v>0</v>
      </c>
      <c r="GH124" s="39">
        <f t="shared" si="2181"/>
        <v>0</v>
      </c>
      <c r="GI124" s="39">
        <f t="shared" ref="GI124:GJ124" si="2182">GI$1*FP124</f>
        <v>0</v>
      </c>
      <c r="GJ124" s="39">
        <f t="shared" si="2182"/>
        <v>0</v>
      </c>
      <c r="GK124" s="2"/>
      <c r="GL124" s="39">
        <f t="shared" si="31"/>
        <v>0</v>
      </c>
      <c r="GM124" s="39">
        <f t="shared" si="32"/>
        <v>0</v>
      </c>
      <c r="GN124" s="2" t="s">
        <v>3</v>
      </c>
      <c r="GO124" s="2">
        <f t="shared" si="33"/>
        <v>61</v>
      </c>
      <c r="GP124" s="2">
        <f t="shared" si="34"/>
        <v>1.5</v>
      </c>
      <c r="GQ124" s="15">
        <f t="shared" si="35"/>
        <v>915</v>
      </c>
      <c r="GR124" s="15">
        <f t="shared" si="36"/>
        <v>14657.1845784</v>
      </c>
      <c r="GS124" s="15">
        <f t="shared" si="37"/>
        <v>240.2817144</v>
      </c>
      <c r="GT124" s="2">
        <f t="shared" si="38"/>
        <v>0</v>
      </c>
      <c r="GU124" s="2">
        <f t="shared" si="39"/>
        <v>0</v>
      </c>
      <c r="GV124" s="2">
        <f t="shared" si="40"/>
        <v>915</v>
      </c>
      <c r="GW124" s="2">
        <f t="shared" si="41"/>
        <v>0</v>
      </c>
      <c r="GX124" s="2"/>
      <c r="GY124" s="2"/>
      <c r="GZ124" s="2"/>
      <c r="HA124" s="2"/>
      <c r="HB124" s="2">
        <f t="shared" si="42"/>
        <v>0</v>
      </c>
      <c r="HC124" s="2">
        <f t="shared" si="43"/>
        <v>0</v>
      </c>
      <c r="HD124" s="2" t="s">
        <v>3</v>
      </c>
      <c r="HE124" s="2" t="s">
        <v>37</v>
      </c>
      <c r="HF124" s="2" t="s">
        <v>188</v>
      </c>
      <c r="HG124" s="2" t="s">
        <v>188</v>
      </c>
      <c r="HH124" s="2"/>
      <c r="HI124" s="2" t="s">
        <v>100</v>
      </c>
      <c r="HJ124" s="2" t="s">
        <v>3</v>
      </c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 t="s">
        <v>3</v>
      </c>
    </row>
    <row r="125" spans="1:268" ht="15.75" customHeight="1" x14ac:dyDescent="0.2">
      <c r="A125" s="13" t="s">
        <v>1164</v>
      </c>
      <c r="B125" s="2" t="s">
        <v>99</v>
      </c>
      <c r="C125" s="2"/>
      <c r="D125" s="2"/>
      <c r="E125" s="2"/>
      <c r="F125" s="2" t="s">
        <v>1165</v>
      </c>
      <c r="G125" s="2"/>
      <c r="H125" s="2" t="s">
        <v>292</v>
      </c>
      <c r="I125" s="2">
        <v>0</v>
      </c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>
        <v>0</v>
      </c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>
        <v>56</v>
      </c>
      <c r="AZ125" s="2"/>
      <c r="BA125" s="2"/>
      <c r="BB125" s="2"/>
      <c r="BC125" s="2"/>
      <c r="BD125" s="2"/>
      <c r="BE125" s="2"/>
      <c r="BF125" s="2"/>
      <c r="BG125" s="2">
        <v>1.5</v>
      </c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>
        <v>0</v>
      </c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>
        <v>0</v>
      </c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 t="s">
        <v>100</v>
      </c>
      <c r="DK125" s="2"/>
      <c r="DL125" s="2">
        <f t="shared" si="3"/>
        <v>1.5</v>
      </c>
      <c r="DM125" s="2">
        <f t="shared" si="4"/>
        <v>0</v>
      </c>
      <c r="DN125" s="2" t="s">
        <v>113</v>
      </c>
      <c r="DO125" s="2" t="s">
        <v>3</v>
      </c>
      <c r="DP125" s="2">
        <f t="shared" si="5"/>
        <v>0</v>
      </c>
      <c r="DQ125" s="2">
        <f t="shared" ref="DQ125:DR125" si="2183">K125*$I125+AF125*$AD125+BA125*$AY125</f>
        <v>0</v>
      </c>
      <c r="DR125" s="2">
        <f t="shared" si="2183"/>
        <v>0</v>
      </c>
      <c r="DS125" s="2">
        <f t="shared" ref="DS125:DX125" si="2184">(M125*$I125+AH125*$AD125+BC125*$AY125)/100</f>
        <v>0</v>
      </c>
      <c r="DT125" s="2">
        <f t="shared" si="2184"/>
        <v>0</v>
      </c>
      <c r="DU125" s="2">
        <f t="shared" si="2184"/>
        <v>0</v>
      </c>
      <c r="DV125" s="2">
        <f t="shared" si="2184"/>
        <v>0</v>
      </c>
      <c r="DW125" s="2">
        <f t="shared" si="2184"/>
        <v>0.84</v>
      </c>
      <c r="DX125" s="2">
        <f t="shared" si="2184"/>
        <v>0</v>
      </c>
      <c r="DY125" s="2">
        <f t="shared" ref="DY125:EC125" si="2185">S125*$I125+AN125*$AD125+BI125*$AY125</f>
        <v>0</v>
      </c>
      <c r="DZ125" s="2">
        <f t="shared" si="2185"/>
        <v>0</v>
      </c>
      <c r="EA125" s="2">
        <f t="shared" si="2185"/>
        <v>0</v>
      </c>
      <c r="EB125" s="2">
        <f t="shared" si="2185"/>
        <v>0</v>
      </c>
      <c r="EC125" s="2">
        <f t="shared" si="2185"/>
        <v>0</v>
      </c>
      <c r="ED125" s="2">
        <f t="shared" ref="ED125:EE125" si="2186">(X125*$I125+AS125*$AD125+BN125*$AY125)/100</f>
        <v>0</v>
      </c>
      <c r="EE125" s="2">
        <f t="shared" si="2186"/>
        <v>0</v>
      </c>
      <c r="EF125" s="2"/>
      <c r="EG125" s="2">
        <f t="shared" si="10"/>
        <v>0</v>
      </c>
      <c r="EH125" s="2">
        <f t="shared" si="11"/>
        <v>0</v>
      </c>
      <c r="EI125" s="39">
        <f t="shared" si="12"/>
        <v>0</v>
      </c>
      <c r="EJ125" s="39">
        <f t="shared" ref="EJ125:EK125" si="2187">EJ$1*DQ125/1000000</f>
        <v>0</v>
      </c>
      <c r="EK125" s="39">
        <f t="shared" si="2187"/>
        <v>0</v>
      </c>
      <c r="EL125" s="39">
        <f t="shared" ref="EL125:EQ125" si="2188">EL$1*DS125</f>
        <v>0</v>
      </c>
      <c r="EM125" s="39">
        <f t="shared" si="2188"/>
        <v>0</v>
      </c>
      <c r="EN125" s="39">
        <f t="shared" si="2188"/>
        <v>0</v>
      </c>
      <c r="EO125" s="39">
        <f t="shared" si="2188"/>
        <v>0</v>
      </c>
      <c r="EP125" s="39">
        <f t="shared" si="2188"/>
        <v>11015.76</v>
      </c>
      <c r="EQ125" s="39">
        <f t="shared" si="2188"/>
        <v>0</v>
      </c>
      <c r="ER125" s="39">
        <f t="shared" ref="ER125:EV125" si="2189">ER$1*DY125/1000000</f>
        <v>0</v>
      </c>
      <c r="ES125" s="39">
        <f t="shared" si="2189"/>
        <v>0</v>
      </c>
      <c r="ET125" s="39">
        <f t="shared" si="2189"/>
        <v>0</v>
      </c>
      <c r="EU125" s="39">
        <f t="shared" si="2189"/>
        <v>0</v>
      </c>
      <c r="EV125" s="39">
        <f t="shared" si="2189"/>
        <v>0</v>
      </c>
      <c r="EW125" s="39">
        <f t="shared" ref="EW125:EX125" si="2190">EW$1*ED125</f>
        <v>0</v>
      </c>
      <c r="EX125" s="39">
        <f t="shared" si="2190"/>
        <v>0</v>
      </c>
      <c r="EY125" s="2"/>
      <c r="EZ125" s="39">
        <f t="shared" si="17"/>
        <v>0</v>
      </c>
      <c r="FA125" s="39">
        <f t="shared" si="18"/>
        <v>0</v>
      </c>
      <c r="FB125" s="2">
        <f t="shared" si="19"/>
        <v>0</v>
      </c>
      <c r="FC125" s="2">
        <f t="shared" ref="FC125:FD125" si="2191">BV125*$BT125+CQ125*$CO125</f>
        <v>0</v>
      </c>
      <c r="FD125" s="2">
        <f t="shared" si="2191"/>
        <v>0</v>
      </c>
      <c r="FE125" s="2">
        <f t="shared" ref="FE125:FJ125" si="2192">(BX125*$BT125+CS125*$CO125)/100</f>
        <v>0</v>
      </c>
      <c r="FF125" s="2">
        <f t="shared" si="2192"/>
        <v>0</v>
      </c>
      <c r="FG125" s="2">
        <f t="shared" si="2192"/>
        <v>0</v>
      </c>
      <c r="FH125" s="2">
        <f t="shared" si="2192"/>
        <v>0</v>
      </c>
      <c r="FI125" s="2">
        <f t="shared" si="2192"/>
        <v>0</v>
      </c>
      <c r="FJ125" s="2">
        <f t="shared" si="2192"/>
        <v>0</v>
      </c>
      <c r="FK125" s="2">
        <f t="shared" ref="FK125:FO125" si="2193">CD125*$BT125+CY125*$CO125</f>
        <v>0</v>
      </c>
      <c r="FL125" s="2">
        <f t="shared" si="2193"/>
        <v>0</v>
      </c>
      <c r="FM125" s="2">
        <f t="shared" si="2193"/>
        <v>0</v>
      </c>
      <c r="FN125" s="2">
        <f t="shared" si="2193"/>
        <v>0</v>
      </c>
      <c r="FO125" s="2">
        <f t="shared" si="2193"/>
        <v>0</v>
      </c>
      <c r="FP125" s="2">
        <f t="shared" ref="FP125:FQ125" si="2194">(CI125*$BT125+DD125*$CO125)/100</f>
        <v>0</v>
      </c>
      <c r="FQ125" s="2">
        <f t="shared" si="2194"/>
        <v>0</v>
      </c>
      <c r="FR125" s="2"/>
      <c r="FS125" s="2">
        <f t="shared" si="24"/>
        <v>0</v>
      </c>
      <c r="FT125" s="2">
        <f t="shared" si="25"/>
        <v>0</v>
      </c>
      <c r="FU125" s="39">
        <f t="shared" si="26"/>
        <v>0</v>
      </c>
      <c r="FV125" s="39">
        <f t="shared" ref="FV125:FW125" si="2195">FV$1*FC125/1000000</f>
        <v>0</v>
      </c>
      <c r="FW125" s="39">
        <f t="shared" si="2195"/>
        <v>0</v>
      </c>
      <c r="FX125" s="39">
        <f t="shared" ref="FX125:GC125" si="2196">FX$1*FE125</f>
        <v>0</v>
      </c>
      <c r="FY125" s="39">
        <f t="shared" si="2196"/>
        <v>0</v>
      </c>
      <c r="FZ125" s="39">
        <f t="shared" si="2196"/>
        <v>0</v>
      </c>
      <c r="GA125" s="39">
        <f t="shared" si="2196"/>
        <v>0</v>
      </c>
      <c r="GB125" s="39">
        <f t="shared" si="2196"/>
        <v>0</v>
      </c>
      <c r="GC125" s="39">
        <f t="shared" si="2196"/>
        <v>0</v>
      </c>
      <c r="GD125" s="39">
        <f t="shared" ref="GD125:GH125" si="2197">GD$1*FK125/1000000</f>
        <v>0</v>
      </c>
      <c r="GE125" s="39">
        <f t="shared" si="2197"/>
        <v>0</v>
      </c>
      <c r="GF125" s="39">
        <f t="shared" si="2197"/>
        <v>0</v>
      </c>
      <c r="GG125" s="39">
        <f t="shared" si="2197"/>
        <v>0</v>
      </c>
      <c r="GH125" s="39">
        <f t="shared" si="2197"/>
        <v>0</v>
      </c>
      <c r="GI125" s="39">
        <f t="shared" ref="GI125:GJ125" si="2198">GI$1*FP125</f>
        <v>0</v>
      </c>
      <c r="GJ125" s="39">
        <f t="shared" si="2198"/>
        <v>0</v>
      </c>
      <c r="GK125" s="2"/>
      <c r="GL125" s="39">
        <f t="shared" si="31"/>
        <v>0</v>
      </c>
      <c r="GM125" s="39">
        <f t="shared" si="32"/>
        <v>0</v>
      </c>
      <c r="GN125" s="2" t="s">
        <v>3</v>
      </c>
      <c r="GO125" s="2">
        <f t="shared" si="33"/>
        <v>56</v>
      </c>
      <c r="GP125" s="4">
        <f t="shared" si="34"/>
        <v>1.5</v>
      </c>
      <c r="GQ125" s="15">
        <f t="shared" si="35"/>
        <v>840</v>
      </c>
      <c r="GR125" s="15">
        <f t="shared" si="36"/>
        <v>11015.76</v>
      </c>
      <c r="GS125" s="15">
        <f t="shared" si="37"/>
        <v>196.71</v>
      </c>
      <c r="GT125" s="2">
        <f t="shared" si="38"/>
        <v>0</v>
      </c>
      <c r="GU125" s="2">
        <f t="shared" si="39"/>
        <v>0</v>
      </c>
      <c r="GV125" s="2">
        <f t="shared" si="40"/>
        <v>840</v>
      </c>
      <c r="GW125" s="2">
        <f t="shared" si="41"/>
        <v>0</v>
      </c>
      <c r="GX125" s="2"/>
      <c r="GY125" s="2"/>
      <c r="GZ125" s="2"/>
      <c r="HA125" s="2"/>
      <c r="HB125" s="2">
        <f t="shared" si="42"/>
        <v>0</v>
      </c>
      <c r="HC125" s="2">
        <f t="shared" si="43"/>
        <v>0</v>
      </c>
      <c r="HD125" s="2" t="s">
        <v>3</v>
      </c>
      <c r="HE125" s="2" t="s">
        <v>37</v>
      </c>
      <c r="HF125" s="2" t="s">
        <v>188</v>
      </c>
      <c r="HG125" s="2" t="s">
        <v>188</v>
      </c>
      <c r="HH125" s="2"/>
      <c r="HI125" s="2" t="s">
        <v>100</v>
      </c>
      <c r="HJ125" s="2" t="s">
        <v>3</v>
      </c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 t="s">
        <v>3</v>
      </c>
    </row>
    <row r="126" spans="1:268" ht="15.75" customHeight="1" x14ac:dyDescent="0.2">
      <c r="A126" s="13" t="s">
        <v>1211</v>
      </c>
      <c r="B126" s="2" t="s">
        <v>109</v>
      </c>
      <c r="C126" s="29">
        <f>96+(9+(47.41/60))/60</f>
        <v>96.163169444444449</v>
      </c>
      <c r="D126" s="29">
        <f>23+(38+(4.3/60))/60</f>
        <v>23.634527777777777</v>
      </c>
      <c r="E126" s="2" t="s">
        <v>78</v>
      </c>
      <c r="F126" s="2" t="s">
        <v>1212</v>
      </c>
      <c r="G126" s="2"/>
      <c r="H126" s="2" t="s">
        <v>111</v>
      </c>
      <c r="I126" s="2">
        <v>0</v>
      </c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>
        <v>0</v>
      </c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>
        <v>40</v>
      </c>
      <c r="AZ126" s="2"/>
      <c r="BA126" s="2"/>
      <c r="BB126" s="2"/>
      <c r="BC126" s="2"/>
      <c r="BD126" s="2"/>
      <c r="BE126" s="2"/>
      <c r="BF126" s="2"/>
      <c r="BG126" s="2" t="s">
        <v>1213</v>
      </c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>
        <v>0</v>
      </c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>
        <v>0</v>
      </c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 t="s">
        <v>100</v>
      </c>
      <c r="DK126" s="2" t="s">
        <v>100</v>
      </c>
      <c r="DL126" s="2">
        <f t="shared" si="3"/>
        <v>2.15</v>
      </c>
      <c r="DM126" s="2">
        <f t="shared" si="4"/>
        <v>0</v>
      </c>
      <c r="DN126" s="2" t="s">
        <v>113</v>
      </c>
      <c r="DO126" s="2" t="s">
        <v>3</v>
      </c>
      <c r="DP126" s="2">
        <f t="shared" si="5"/>
        <v>0</v>
      </c>
      <c r="DQ126" s="2">
        <f t="shared" ref="DQ126:DR126" si="2199">K126*$I126+AF126*$AD126+BA126*$AY126</f>
        <v>0</v>
      </c>
      <c r="DR126" s="2">
        <f t="shared" si="2199"/>
        <v>0</v>
      </c>
      <c r="DS126" s="2">
        <f t="shared" ref="DS126:DX126" si="2200">(M126*$I126+AH126*$AD126+BC126*$AY126)/100</f>
        <v>0</v>
      </c>
      <c r="DT126" s="2">
        <f t="shared" si="2200"/>
        <v>0</v>
      </c>
      <c r="DU126" s="2">
        <f t="shared" si="2200"/>
        <v>0</v>
      </c>
      <c r="DV126" s="2">
        <f t="shared" si="2200"/>
        <v>0</v>
      </c>
      <c r="DW126" s="2">
        <f t="shared" si="2200"/>
        <v>0.86</v>
      </c>
      <c r="DX126" s="2">
        <f t="shared" si="2200"/>
        <v>0</v>
      </c>
      <c r="DY126" s="2">
        <f t="shared" ref="DY126:EC126" si="2201">S126*$I126+AN126*$AD126+BI126*$AY126</f>
        <v>0</v>
      </c>
      <c r="DZ126" s="2">
        <f t="shared" si="2201"/>
        <v>0</v>
      </c>
      <c r="EA126" s="2">
        <f t="shared" si="2201"/>
        <v>0</v>
      </c>
      <c r="EB126" s="2">
        <f t="shared" si="2201"/>
        <v>0</v>
      </c>
      <c r="EC126" s="2">
        <f t="shared" si="2201"/>
        <v>0</v>
      </c>
      <c r="ED126" s="2">
        <f t="shared" ref="ED126:EE126" si="2202">(X126*$I126+AS126*$AD126+BN126*$AY126)/100</f>
        <v>0</v>
      </c>
      <c r="EE126" s="2">
        <f t="shared" si="2202"/>
        <v>0</v>
      </c>
      <c r="EF126" s="2"/>
      <c r="EG126" s="2">
        <f t="shared" si="10"/>
        <v>0</v>
      </c>
      <c r="EH126" s="2">
        <f t="shared" si="11"/>
        <v>0</v>
      </c>
      <c r="EI126" s="39">
        <f t="shared" si="12"/>
        <v>0</v>
      </c>
      <c r="EJ126" s="39">
        <f t="shared" ref="EJ126:EK126" si="2203">EJ$1*DQ126/1000000</f>
        <v>0</v>
      </c>
      <c r="EK126" s="39">
        <f t="shared" si="2203"/>
        <v>0</v>
      </c>
      <c r="EL126" s="39">
        <f t="shared" ref="EL126:EQ126" si="2204">EL$1*DS126</f>
        <v>0</v>
      </c>
      <c r="EM126" s="39">
        <f t="shared" si="2204"/>
        <v>0</v>
      </c>
      <c r="EN126" s="39">
        <f t="shared" si="2204"/>
        <v>0</v>
      </c>
      <c r="EO126" s="39">
        <f t="shared" si="2204"/>
        <v>0</v>
      </c>
      <c r="EP126" s="39">
        <f t="shared" si="2204"/>
        <v>11278.039999999999</v>
      </c>
      <c r="EQ126" s="39">
        <f t="shared" si="2204"/>
        <v>0</v>
      </c>
      <c r="ER126" s="39">
        <f t="shared" ref="ER126:EV126" si="2205">ER$1*DY126/1000000</f>
        <v>0</v>
      </c>
      <c r="ES126" s="39">
        <f t="shared" si="2205"/>
        <v>0</v>
      </c>
      <c r="ET126" s="39">
        <f t="shared" si="2205"/>
        <v>0</v>
      </c>
      <c r="EU126" s="39">
        <f t="shared" si="2205"/>
        <v>0</v>
      </c>
      <c r="EV126" s="39">
        <f t="shared" si="2205"/>
        <v>0</v>
      </c>
      <c r="EW126" s="39">
        <f t="shared" ref="EW126:EX126" si="2206">EW$1*ED126</f>
        <v>0</v>
      </c>
      <c r="EX126" s="39">
        <f t="shared" si="2206"/>
        <v>0</v>
      </c>
      <c r="EY126" s="2"/>
      <c r="EZ126" s="39">
        <f t="shared" si="17"/>
        <v>0</v>
      </c>
      <c r="FA126" s="39">
        <f t="shared" si="18"/>
        <v>0</v>
      </c>
      <c r="FB126" s="2">
        <f t="shared" si="19"/>
        <v>0</v>
      </c>
      <c r="FC126" s="2">
        <f t="shared" ref="FC126:FD126" si="2207">BV126*$BT126+CQ126*$CO126</f>
        <v>0</v>
      </c>
      <c r="FD126" s="2">
        <f t="shared" si="2207"/>
        <v>0</v>
      </c>
      <c r="FE126" s="2">
        <f t="shared" ref="FE126:FJ126" si="2208">(BX126*$BT126+CS126*$CO126)/100</f>
        <v>0</v>
      </c>
      <c r="FF126" s="2">
        <f t="shared" si="2208"/>
        <v>0</v>
      </c>
      <c r="FG126" s="2">
        <f t="shared" si="2208"/>
        <v>0</v>
      </c>
      <c r="FH126" s="2">
        <f t="shared" si="2208"/>
        <v>0</v>
      </c>
      <c r="FI126" s="2">
        <f t="shared" si="2208"/>
        <v>0</v>
      </c>
      <c r="FJ126" s="2">
        <f t="shared" si="2208"/>
        <v>0</v>
      </c>
      <c r="FK126" s="2">
        <f t="shared" ref="FK126:FO126" si="2209">CD126*$BT126+CY126*$CO126</f>
        <v>0</v>
      </c>
      <c r="FL126" s="2">
        <f t="shared" si="2209"/>
        <v>0</v>
      </c>
      <c r="FM126" s="2">
        <f t="shared" si="2209"/>
        <v>0</v>
      </c>
      <c r="FN126" s="2">
        <f t="shared" si="2209"/>
        <v>0</v>
      </c>
      <c r="FO126" s="2">
        <f t="shared" si="2209"/>
        <v>0</v>
      </c>
      <c r="FP126" s="2">
        <f t="shared" ref="FP126:FQ126" si="2210">(CI126*$BT126+DD126*$CO126)/100</f>
        <v>0</v>
      </c>
      <c r="FQ126" s="2">
        <f t="shared" si="2210"/>
        <v>0</v>
      </c>
      <c r="FR126" s="2"/>
      <c r="FS126" s="2">
        <f t="shared" si="24"/>
        <v>0</v>
      </c>
      <c r="FT126" s="2">
        <f t="shared" si="25"/>
        <v>0</v>
      </c>
      <c r="FU126" s="39">
        <f t="shared" si="26"/>
        <v>0</v>
      </c>
      <c r="FV126" s="39">
        <f t="shared" ref="FV126:FW126" si="2211">FV$1*FC126/1000000</f>
        <v>0</v>
      </c>
      <c r="FW126" s="39">
        <f t="shared" si="2211"/>
        <v>0</v>
      </c>
      <c r="FX126" s="39">
        <f t="shared" ref="FX126:GC126" si="2212">FX$1*FE126</f>
        <v>0</v>
      </c>
      <c r="FY126" s="39">
        <f t="shared" si="2212"/>
        <v>0</v>
      </c>
      <c r="FZ126" s="39">
        <f t="shared" si="2212"/>
        <v>0</v>
      </c>
      <c r="GA126" s="39">
        <f t="shared" si="2212"/>
        <v>0</v>
      </c>
      <c r="GB126" s="39">
        <f t="shared" si="2212"/>
        <v>0</v>
      </c>
      <c r="GC126" s="39">
        <f t="shared" si="2212"/>
        <v>0</v>
      </c>
      <c r="GD126" s="39">
        <f t="shared" ref="GD126:GH126" si="2213">GD$1*FK126/1000000</f>
        <v>0</v>
      </c>
      <c r="GE126" s="39">
        <f t="shared" si="2213"/>
        <v>0</v>
      </c>
      <c r="GF126" s="39">
        <f t="shared" si="2213"/>
        <v>0</v>
      </c>
      <c r="GG126" s="39">
        <f t="shared" si="2213"/>
        <v>0</v>
      </c>
      <c r="GH126" s="39">
        <f t="shared" si="2213"/>
        <v>0</v>
      </c>
      <c r="GI126" s="39">
        <f t="shared" ref="GI126:GJ126" si="2214">GI$1*FP126</f>
        <v>0</v>
      </c>
      <c r="GJ126" s="39">
        <f t="shared" si="2214"/>
        <v>0</v>
      </c>
      <c r="GK126" s="2"/>
      <c r="GL126" s="39">
        <f t="shared" si="31"/>
        <v>0</v>
      </c>
      <c r="GM126" s="39">
        <f t="shared" si="32"/>
        <v>0</v>
      </c>
      <c r="GN126" s="2" t="s">
        <v>3</v>
      </c>
      <c r="GO126" s="2">
        <f t="shared" si="33"/>
        <v>40</v>
      </c>
      <c r="GP126" s="4">
        <f t="shared" si="34"/>
        <v>2.15</v>
      </c>
      <c r="GQ126" s="15">
        <f t="shared" si="35"/>
        <v>860</v>
      </c>
      <c r="GR126" s="15">
        <f t="shared" si="36"/>
        <v>11278.039999999999</v>
      </c>
      <c r="GS126" s="15">
        <f t="shared" si="37"/>
        <v>281.95099999999996</v>
      </c>
      <c r="GT126" s="2">
        <f t="shared" si="38"/>
        <v>0</v>
      </c>
      <c r="GU126" s="2">
        <f t="shared" si="39"/>
        <v>0</v>
      </c>
      <c r="GV126" s="2">
        <f t="shared" si="40"/>
        <v>860</v>
      </c>
      <c r="GW126" s="2">
        <f t="shared" si="41"/>
        <v>0</v>
      </c>
      <c r="GX126" s="2"/>
      <c r="GY126" s="2"/>
      <c r="GZ126" s="2"/>
      <c r="HA126" s="2"/>
      <c r="HB126" s="2">
        <f t="shared" si="42"/>
        <v>0</v>
      </c>
      <c r="HC126" s="2">
        <f t="shared" si="43"/>
        <v>0</v>
      </c>
      <c r="HD126" s="2" t="s">
        <v>3</v>
      </c>
      <c r="HE126" s="2" t="s">
        <v>37</v>
      </c>
      <c r="HF126" s="2" t="s">
        <v>188</v>
      </c>
      <c r="HG126" s="2" t="s">
        <v>188</v>
      </c>
      <c r="HH126" s="2"/>
      <c r="HI126" s="2" t="s">
        <v>100</v>
      </c>
      <c r="HJ126" s="2" t="s">
        <v>3</v>
      </c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 t="s">
        <v>3</v>
      </c>
    </row>
    <row r="127" spans="1:268" ht="15.75" customHeight="1" x14ac:dyDescent="0.2">
      <c r="A127" s="13" t="s">
        <v>186</v>
      </c>
      <c r="B127" s="2" t="s">
        <v>99</v>
      </c>
      <c r="C127" s="2"/>
      <c r="D127" s="2"/>
      <c r="E127" s="2"/>
      <c r="F127" s="2" t="s">
        <v>79</v>
      </c>
      <c r="G127" s="2"/>
      <c r="H127" s="2"/>
      <c r="I127" s="2">
        <v>0</v>
      </c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>
        <v>0</v>
      </c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>
        <v>2.5</v>
      </c>
      <c r="AZ127" s="2"/>
      <c r="BA127" s="2"/>
      <c r="BB127" s="2"/>
      <c r="BC127" s="2"/>
      <c r="BD127" s="2"/>
      <c r="BE127" s="2"/>
      <c r="BF127" s="2"/>
      <c r="BG127" s="2">
        <v>1.55</v>
      </c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>
        <v>0</v>
      </c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>
        <v>0</v>
      </c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 t="s">
        <v>100</v>
      </c>
      <c r="DK127" s="2"/>
      <c r="DL127" s="2">
        <f t="shared" si="3"/>
        <v>1.55</v>
      </c>
      <c r="DM127" s="2">
        <f t="shared" si="4"/>
        <v>0</v>
      </c>
      <c r="DN127" s="2" t="s">
        <v>187</v>
      </c>
      <c r="DO127" s="2" t="s">
        <v>3</v>
      </c>
      <c r="DP127" s="2">
        <f t="shared" si="5"/>
        <v>0</v>
      </c>
      <c r="DQ127" s="2">
        <f t="shared" ref="DQ127:DR127" si="2215">K127*$I127+AF127*$AD127+BA127*$AY127</f>
        <v>0</v>
      </c>
      <c r="DR127" s="2">
        <f t="shared" si="2215"/>
        <v>0</v>
      </c>
      <c r="DS127" s="2">
        <f t="shared" ref="DS127:DX127" si="2216">(M127*$I127+AH127*$AD127+BC127*$AY127)/100</f>
        <v>0</v>
      </c>
      <c r="DT127" s="2">
        <f t="shared" si="2216"/>
        <v>0</v>
      </c>
      <c r="DU127" s="2">
        <f t="shared" si="2216"/>
        <v>0</v>
      </c>
      <c r="DV127" s="2">
        <f t="shared" si="2216"/>
        <v>0</v>
      </c>
      <c r="DW127" s="2">
        <f t="shared" si="2216"/>
        <v>3.875E-2</v>
      </c>
      <c r="DX127" s="2">
        <f t="shared" si="2216"/>
        <v>0</v>
      </c>
      <c r="DY127" s="2">
        <f t="shared" ref="DY127:EC127" si="2217">S127*$I127+AN127*$AD127+BI127*$AY127</f>
        <v>0</v>
      </c>
      <c r="DZ127" s="2">
        <f t="shared" si="2217"/>
        <v>0</v>
      </c>
      <c r="EA127" s="2">
        <f t="shared" si="2217"/>
        <v>0</v>
      </c>
      <c r="EB127" s="2">
        <f t="shared" si="2217"/>
        <v>0</v>
      </c>
      <c r="EC127" s="2">
        <f t="shared" si="2217"/>
        <v>0</v>
      </c>
      <c r="ED127" s="2">
        <f t="shared" ref="ED127:EE127" si="2218">(X127*$I127+AS127*$AD127+BN127*$AY127)/100</f>
        <v>0</v>
      </c>
      <c r="EE127" s="2">
        <f t="shared" si="2218"/>
        <v>0</v>
      </c>
      <c r="EF127" s="2"/>
      <c r="EG127" s="2">
        <f t="shared" si="10"/>
        <v>0</v>
      </c>
      <c r="EH127" s="2">
        <f t="shared" si="11"/>
        <v>0</v>
      </c>
      <c r="EI127" s="39">
        <f t="shared" si="12"/>
        <v>0</v>
      </c>
      <c r="EJ127" s="39">
        <f t="shared" ref="EJ127:EK127" si="2219">EJ$1*DQ127/1000000</f>
        <v>0</v>
      </c>
      <c r="EK127" s="39">
        <f t="shared" si="2219"/>
        <v>0</v>
      </c>
      <c r="EL127" s="39">
        <f t="shared" ref="EL127:EQ127" si="2220">EL$1*DS127</f>
        <v>0</v>
      </c>
      <c r="EM127" s="39">
        <f t="shared" si="2220"/>
        <v>0</v>
      </c>
      <c r="EN127" s="39">
        <f t="shared" si="2220"/>
        <v>0</v>
      </c>
      <c r="EO127" s="39">
        <f t="shared" si="2220"/>
        <v>0</v>
      </c>
      <c r="EP127" s="39">
        <f t="shared" si="2220"/>
        <v>508.16750000000002</v>
      </c>
      <c r="EQ127" s="39">
        <f t="shared" si="2220"/>
        <v>0</v>
      </c>
      <c r="ER127" s="39">
        <f t="shared" ref="ER127:EV127" si="2221">ER$1*DY127/1000000</f>
        <v>0</v>
      </c>
      <c r="ES127" s="39">
        <f t="shared" si="2221"/>
        <v>0</v>
      </c>
      <c r="ET127" s="39">
        <f t="shared" si="2221"/>
        <v>0</v>
      </c>
      <c r="EU127" s="39">
        <f t="shared" si="2221"/>
        <v>0</v>
      </c>
      <c r="EV127" s="39">
        <f t="shared" si="2221"/>
        <v>0</v>
      </c>
      <c r="EW127" s="39">
        <f t="shared" ref="EW127:EX127" si="2222">EW$1*ED127</f>
        <v>0</v>
      </c>
      <c r="EX127" s="39">
        <f t="shared" si="2222"/>
        <v>0</v>
      </c>
      <c r="EY127" s="2"/>
      <c r="EZ127" s="39">
        <f t="shared" si="17"/>
        <v>0</v>
      </c>
      <c r="FA127" s="39">
        <f t="shared" si="18"/>
        <v>0</v>
      </c>
      <c r="FB127" s="2">
        <f t="shared" si="19"/>
        <v>0</v>
      </c>
      <c r="FC127" s="2">
        <f t="shared" ref="FC127:FD127" si="2223">BV127*$BT127+CQ127*$CO127</f>
        <v>0</v>
      </c>
      <c r="FD127" s="2">
        <f t="shared" si="2223"/>
        <v>0</v>
      </c>
      <c r="FE127" s="2">
        <f t="shared" ref="FE127:FJ127" si="2224">(BX127*$BT127+CS127*$CO127)/100</f>
        <v>0</v>
      </c>
      <c r="FF127" s="2">
        <f t="shared" si="2224"/>
        <v>0</v>
      </c>
      <c r="FG127" s="2">
        <f t="shared" si="2224"/>
        <v>0</v>
      </c>
      <c r="FH127" s="2">
        <f t="shared" si="2224"/>
        <v>0</v>
      </c>
      <c r="FI127" s="2">
        <f t="shared" si="2224"/>
        <v>0</v>
      </c>
      <c r="FJ127" s="2">
        <f t="shared" si="2224"/>
        <v>0</v>
      </c>
      <c r="FK127" s="2">
        <f t="shared" ref="FK127:FO127" si="2225">CD127*$BT127+CY127*$CO127</f>
        <v>0</v>
      </c>
      <c r="FL127" s="2">
        <f t="shared" si="2225"/>
        <v>0</v>
      </c>
      <c r="FM127" s="2">
        <f t="shared" si="2225"/>
        <v>0</v>
      </c>
      <c r="FN127" s="2">
        <f t="shared" si="2225"/>
        <v>0</v>
      </c>
      <c r="FO127" s="2">
        <f t="shared" si="2225"/>
        <v>0</v>
      </c>
      <c r="FP127" s="2">
        <f t="shared" ref="FP127:FQ127" si="2226">(CI127*$BT127+DD127*$CO127)/100</f>
        <v>0</v>
      </c>
      <c r="FQ127" s="2">
        <f t="shared" si="2226"/>
        <v>0</v>
      </c>
      <c r="FR127" s="2"/>
      <c r="FS127" s="2">
        <f t="shared" si="24"/>
        <v>0</v>
      </c>
      <c r="FT127" s="2">
        <f t="shared" si="25"/>
        <v>0</v>
      </c>
      <c r="FU127" s="39">
        <f t="shared" si="26"/>
        <v>0</v>
      </c>
      <c r="FV127" s="39">
        <f t="shared" ref="FV127:FW127" si="2227">FV$1*FC127/1000000</f>
        <v>0</v>
      </c>
      <c r="FW127" s="39">
        <f t="shared" si="2227"/>
        <v>0</v>
      </c>
      <c r="FX127" s="39">
        <f t="shared" ref="FX127:GC127" si="2228">FX$1*FE127</f>
        <v>0</v>
      </c>
      <c r="FY127" s="39">
        <f t="shared" si="2228"/>
        <v>0</v>
      </c>
      <c r="FZ127" s="39">
        <f t="shared" si="2228"/>
        <v>0</v>
      </c>
      <c r="GA127" s="39">
        <f t="shared" si="2228"/>
        <v>0</v>
      </c>
      <c r="GB127" s="39">
        <f t="shared" si="2228"/>
        <v>0</v>
      </c>
      <c r="GC127" s="39">
        <f t="shared" si="2228"/>
        <v>0</v>
      </c>
      <c r="GD127" s="39">
        <f t="shared" ref="GD127:GH127" si="2229">GD$1*FK127/1000000</f>
        <v>0</v>
      </c>
      <c r="GE127" s="39">
        <f t="shared" si="2229"/>
        <v>0</v>
      </c>
      <c r="GF127" s="39">
        <f t="shared" si="2229"/>
        <v>0</v>
      </c>
      <c r="GG127" s="39">
        <f t="shared" si="2229"/>
        <v>0</v>
      </c>
      <c r="GH127" s="39">
        <f t="shared" si="2229"/>
        <v>0</v>
      </c>
      <c r="GI127" s="39">
        <f t="shared" ref="GI127:GJ127" si="2230">GI$1*FP127</f>
        <v>0</v>
      </c>
      <c r="GJ127" s="39">
        <f t="shared" si="2230"/>
        <v>0</v>
      </c>
      <c r="GK127" s="2"/>
      <c r="GL127" s="39">
        <f t="shared" si="31"/>
        <v>0</v>
      </c>
      <c r="GM127" s="39">
        <f t="shared" si="32"/>
        <v>0</v>
      </c>
      <c r="GN127" s="2" t="s">
        <v>3</v>
      </c>
      <c r="GO127" s="2">
        <f t="shared" si="33"/>
        <v>2.5</v>
      </c>
      <c r="GP127" s="2">
        <f t="shared" si="34"/>
        <v>1.55</v>
      </c>
      <c r="GQ127" s="15">
        <f t="shared" si="35"/>
        <v>38.75</v>
      </c>
      <c r="GR127" s="15">
        <f t="shared" si="36"/>
        <v>508.16750000000002</v>
      </c>
      <c r="GS127" s="15">
        <f t="shared" si="37"/>
        <v>203.267</v>
      </c>
      <c r="GT127" s="2">
        <f t="shared" si="38"/>
        <v>0</v>
      </c>
      <c r="GU127" s="2">
        <f t="shared" si="39"/>
        <v>0</v>
      </c>
      <c r="GV127" s="2">
        <f t="shared" si="40"/>
        <v>38.75</v>
      </c>
      <c r="GW127" s="2">
        <f t="shared" si="41"/>
        <v>0</v>
      </c>
      <c r="GX127" s="2"/>
      <c r="GY127" s="2"/>
      <c r="GZ127" s="2"/>
      <c r="HA127" s="2"/>
      <c r="HB127" s="2">
        <f t="shared" si="42"/>
        <v>0</v>
      </c>
      <c r="HC127" s="2">
        <f t="shared" si="43"/>
        <v>0</v>
      </c>
      <c r="HD127" s="2" t="s">
        <v>3</v>
      </c>
      <c r="HE127" s="2" t="s">
        <v>37</v>
      </c>
      <c r="HF127" s="2" t="s">
        <v>188</v>
      </c>
      <c r="HG127" s="2"/>
      <c r="HH127" s="2"/>
      <c r="HI127" s="2" t="s">
        <v>100</v>
      </c>
      <c r="HJ127" s="2" t="s">
        <v>3</v>
      </c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 t="s">
        <v>3</v>
      </c>
    </row>
    <row r="128" spans="1:268" ht="15.75" customHeight="1" x14ac:dyDescent="0.2">
      <c r="A128" s="13" t="s">
        <v>1119</v>
      </c>
      <c r="B128" s="2" t="s">
        <v>99</v>
      </c>
      <c r="C128" s="2"/>
      <c r="D128" s="2"/>
      <c r="E128" s="2"/>
      <c r="F128" s="2" t="s">
        <v>79</v>
      </c>
      <c r="G128" s="2"/>
      <c r="H128" s="2"/>
      <c r="I128" s="2">
        <v>0</v>
      </c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>
        <v>0</v>
      </c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>
        <v>770</v>
      </c>
      <c r="AZ128" s="2"/>
      <c r="BA128" s="2"/>
      <c r="BB128" s="2"/>
      <c r="BC128" s="2"/>
      <c r="BD128" s="2"/>
      <c r="BE128" s="2"/>
      <c r="BF128" s="2"/>
      <c r="BG128" s="2">
        <v>0.77</v>
      </c>
      <c r="BH128" s="2">
        <v>4.2999999999999997E-2</v>
      </c>
      <c r="BI128" s="2"/>
      <c r="BJ128" s="2">
        <v>1.7</v>
      </c>
      <c r="BK128" s="2"/>
      <c r="BL128" s="2"/>
      <c r="BM128" s="2"/>
      <c r="BN128" s="2"/>
      <c r="BO128" s="2"/>
      <c r="BP128" s="2"/>
      <c r="BQ128" s="2"/>
      <c r="BR128" s="2"/>
      <c r="BS128" s="2"/>
      <c r="BT128" s="2">
        <v>0</v>
      </c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>
        <v>0</v>
      </c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 t="s">
        <v>100</v>
      </c>
      <c r="DK128" s="2" t="s">
        <v>100</v>
      </c>
      <c r="DL128" s="2">
        <f t="shared" si="3"/>
        <v>0.77</v>
      </c>
      <c r="DM128" s="2">
        <f t="shared" si="4"/>
        <v>4.2999999999999997E-2</v>
      </c>
      <c r="DN128" s="2" t="s">
        <v>1120</v>
      </c>
      <c r="DO128" s="2" t="s">
        <v>3</v>
      </c>
      <c r="DP128" s="2">
        <f t="shared" si="5"/>
        <v>0</v>
      </c>
      <c r="DQ128" s="2">
        <f t="shared" ref="DQ128:DR128" si="2231">K128*$I128+AF128*$AD128+BA128*$AY128</f>
        <v>0</v>
      </c>
      <c r="DR128" s="2">
        <f t="shared" si="2231"/>
        <v>0</v>
      </c>
      <c r="DS128" s="2">
        <f t="shared" ref="DS128:DX128" si="2232">(M128*$I128+AH128*$AD128+BC128*$AY128)/100</f>
        <v>0</v>
      </c>
      <c r="DT128" s="2">
        <f t="shared" si="2232"/>
        <v>0</v>
      </c>
      <c r="DU128" s="2">
        <f t="shared" si="2232"/>
        <v>0</v>
      </c>
      <c r="DV128" s="2">
        <f t="shared" si="2232"/>
        <v>0</v>
      </c>
      <c r="DW128" s="2">
        <f t="shared" si="2232"/>
        <v>5.9289999999999994</v>
      </c>
      <c r="DX128" s="2">
        <f t="shared" si="2232"/>
        <v>0.33110000000000001</v>
      </c>
      <c r="DY128" s="2">
        <f t="shared" ref="DY128:EC128" si="2233">S128*$I128+AN128*$AD128+BI128*$AY128</f>
        <v>0</v>
      </c>
      <c r="DZ128" s="2">
        <f t="shared" si="2233"/>
        <v>1309</v>
      </c>
      <c r="EA128" s="2">
        <f t="shared" si="2233"/>
        <v>0</v>
      </c>
      <c r="EB128" s="2">
        <f t="shared" si="2233"/>
        <v>0</v>
      </c>
      <c r="EC128" s="2">
        <f t="shared" si="2233"/>
        <v>0</v>
      </c>
      <c r="ED128" s="2">
        <f t="shared" ref="ED128:EE128" si="2234">(X128*$I128+AS128*$AD128+BN128*$AY128)/100</f>
        <v>0</v>
      </c>
      <c r="EE128" s="2">
        <f t="shared" si="2234"/>
        <v>0</v>
      </c>
      <c r="EF128" s="2"/>
      <c r="EG128" s="2">
        <f t="shared" si="10"/>
        <v>0</v>
      </c>
      <c r="EH128" s="2">
        <f t="shared" si="11"/>
        <v>0</v>
      </c>
      <c r="EI128" s="39">
        <f t="shared" si="12"/>
        <v>0</v>
      </c>
      <c r="EJ128" s="39">
        <f t="shared" ref="EJ128:EK128" si="2235">EJ$1*DQ128/1000000</f>
        <v>0</v>
      </c>
      <c r="EK128" s="39">
        <f t="shared" si="2235"/>
        <v>0</v>
      </c>
      <c r="EL128" s="39">
        <f t="shared" ref="EL128:EQ128" si="2236">EL$1*DS128</f>
        <v>0</v>
      </c>
      <c r="EM128" s="39">
        <f t="shared" si="2236"/>
        <v>0</v>
      </c>
      <c r="EN128" s="39">
        <f t="shared" si="2236"/>
        <v>0</v>
      </c>
      <c r="EO128" s="39">
        <f t="shared" si="2236"/>
        <v>0</v>
      </c>
      <c r="EP128" s="39">
        <f t="shared" si="2236"/>
        <v>77752.905999999988</v>
      </c>
      <c r="EQ128" s="39">
        <f t="shared" si="2236"/>
        <v>24044.324396399996</v>
      </c>
      <c r="ER128" s="39">
        <f t="shared" ref="ER128:EV128" si="2237">ER$1*DY128/1000000</f>
        <v>0</v>
      </c>
      <c r="ES128" s="39">
        <f t="shared" si="2237"/>
        <v>43623.372025723475</v>
      </c>
      <c r="ET128" s="39">
        <f t="shared" si="2237"/>
        <v>0</v>
      </c>
      <c r="EU128" s="39">
        <f t="shared" si="2237"/>
        <v>0</v>
      </c>
      <c r="EV128" s="39">
        <f t="shared" si="2237"/>
        <v>0</v>
      </c>
      <c r="EW128" s="39">
        <f t="shared" ref="EW128:EX128" si="2238">EW$1*ED128</f>
        <v>0</v>
      </c>
      <c r="EX128" s="39">
        <f t="shared" si="2238"/>
        <v>0</v>
      </c>
      <c r="EY128" s="2"/>
      <c r="EZ128" s="39">
        <f t="shared" si="17"/>
        <v>0</v>
      </c>
      <c r="FA128" s="39">
        <f t="shared" si="18"/>
        <v>0</v>
      </c>
      <c r="FB128" s="2">
        <f t="shared" si="19"/>
        <v>0</v>
      </c>
      <c r="FC128" s="2">
        <f t="shared" ref="FC128:FD128" si="2239">BV128*$BT128+CQ128*$CO128</f>
        <v>0</v>
      </c>
      <c r="FD128" s="2">
        <f t="shared" si="2239"/>
        <v>0</v>
      </c>
      <c r="FE128" s="2">
        <f t="shared" ref="FE128:FJ128" si="2240">(BX128*$BT128+CS128*$CO128)/100</f>
        <v>0</v>
      </c>
      <c r="FF128" s="2">
        <f t="shared" si="2240"/>
        <v>0</v>
      </c>
      <c r="FG128" s="2">
        <f t="shared" si="2240"/>
        <v>0</v>
      </c>
      <c r="FH128" s="2">
        <f t="shared" si="2240"/>
        <v>0</v>
      </c>
      <c r="FI128" s="2">
        <f t="shared" si="2240"/>
        <v>0</v>
      </c>
      <c r="FJ128" s="2">
        <f t="shared" si="2240"/>
        <v>0</v>
      </c>
      <c r="FK128" s="2">
        <f t="shared" ref="FK128:FO128" si="2241">CD128*$BT128+CY128*$CO128</f>
        <v>0</v>
      </c>
      <c r="FL128" s="2">
        <f t="shared" si="2241"/>
        <v>0</v>
      </c>
      <c r="FM128" s="2">
        <f t="shared" si="2241"/>
        <v>0</v>
      </c>
      <c r="FN128" s="2">
        <f t="shared" si="2241"/>
        <v>0</v>
      </c>
      <c r="FO128" s="2">
        <f t="shared" si="2241"/>
        <v>0</v>
      </c>
      <c r="FP128" s="2">
        <f t="shared" ref="FP128:FQ128" si="2242">(CI128*$BT128+DD128*$CO128)/100</f>
        <v>0</v>
      </c>
      <c r="FQ128" s="2">
        <f t="shared" si="2242"/>
        <v>0</v>
      </c>
      <c r="FR128" s="2"/>
      <c r="FS128" s="2">
        <f t="shared" si="24"/>
        <v>0</v>
      </c>
      <c r="FT128" s="2">
        <f t="shared" si="25"/>
        <v>0</v>
      </c>
      <c r="FU128" s="39">
        <f t="shared" si="26"/>
        <v>0</v>
      </c>
      <c r="FV128" s="39">
        <f t="shared" ref="FV128:FW128" si="2243">FV$1*FC128/1000000</f>
        <v>0</v>
      </c>
      <c r="FW128" s="39">
        <f t="shared" si="2243"/>
        <v>0</v>
      </c>
      <c r="FX128" s="39">
        <f t="shared" ref="FX128:GC128" si="2244">FX$1*FE128</f>
        <v>0</v>
      </c>
      <c r="FY128" s="39">
        <f t="shared" si="2244"/>
        <v>0</v>
      </c>
      <c r="FZ128" s="39">
        <f t="shared" si="2244"/>
        <v>0</v>
      </c>
      <c r="GA128" s="39">
        <f t="shared" si="2244"/>
        <v>0</v>
      </c>
      <c r="GB128" s="39">
        <f t="shared" si="2244"/>
        <v>0</v>
      </c>
      <c r="GC128" s="39">
        <f t="shared" si="2244"/>
        <v>0</v>
      </c>
      <c r="GD128" s="39">
        <f t="shared" ref="GD128:GH128" si="2245">GD$1*FK128/1000000</f>
        <v>0</v>
      </c>
      <c r="GE128" s="39">
        <f t="shared" si="2245"/>
        <v>0</v>
      </c>
      <c r="GF128" s="39">
        <f t="shared" si="2245"/>
        <v>0</v>
      </c>
      <c r="GG128" s="39">
        <f t="shared" si="2245"/>
        <v>0</v>
      </c>
      <c r="GH128" s="39">
        <f t="shared" si="2245"/>
        <v>0</v>
      </c>
      <c r="GI128" s="39">
        <f t="shared" ref="GI128:GJ128" si="2246">GI$1*FP128</f>
        <v>0</v>
      </c>
      <c r="GJ128" s="39">
        <f t="shared" si="2246"/>
        <v>0</v>
      </c>
      <c r="GK128" s="2"/>
      <c r="GL128" s="39">
        <f t="shared" si="31"/>
        <v>0</v>
      </c>
      <c r="GM128" s="39">
        <f t="shared" si="32"/>
        <v>0</v>
      </c>
      <c r="GN128" s="2" t="s">
        <v>3</v>
      </c>
      <c r="GO128" s="2">
        <f t="shared" si="33"/>
        <v>770</v>
      </c>
      <c r="GP128" s="2">
        <f t="shared" si="34"/>
        <v>0.77</v>
      </c>
      <c r="GQ128" s="18">
        <f t="shared" si="35"/>
        <v>5929</v>
      </c>
      <c r="GR128" s="15">
        <f t="shared" si="36"/>
        <v>145420.60242212345</v>
      </c>
      <c r="GS128" s="15">
        <f t="shared" si="37"/>
        <v>188.85792522353697</v>
      </c>
      <c r="GT128" s="2">
        <f t="shared" si="38"/>
        <v>0</v>
      </c>
      <c r="GU128" s="2">
        <f t="shared" si="39"/>
        <v>0</v>
      </c>
      <c r="GV128" s="2">
        <f t="shared" si="40"/>
        <v>5929</v>
      </c>
      <c r="GW128" s="2">
        <f t="shared" si="41"/>
        <v>0</v>
      </c>
      <c r="GX128" s="2"/>
      <c r="GY128" s="2"/>
      <c r="GZ128" s="2"/>
      <c r="HA128" s="2"/>
      <c r="HB128" s="2">
        <f t="shared" si="42"/>
        <v>0</v>
      </c>
      <c r="HC128" s="2">
        <f t="shared" si="43"/>
        <v>0</v>
      </c>
      <c r="HD128" s="2" t="s">
        <v>3</v>
      </c>
      <c r="HE128" s="2" t="s">
        <v>37</v>
      </c>
      <c r="HF128" s="2" t="s">
        <v>1121</v>
      </c>
      <c r="HG128" s="2"/>
      <c r="HH128" s="2"/>
      <c r="HI128" s="2" t="s">
        <v>100</v>
      </c>
      <c r="HJ128" s="2" t="s">
        <v>3</v>
      </c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 t="s">
        <v>3</v>
      </c>
    </row>
    <row r="129" spans="1:268" ht="15.75" customHeight="1" x14ac:dyDescent="0.2">
      <c r="A129" s="13" t="s">
        <v>1146</v>
      </c>
      <c r="B129" s="2" t="s">
        <v>99</v>
      </c>
      <c r="C129" s="2"/>
      <c r="D129" s="2"/>
      <c r="E129" s="2"/>
      <c r="F129" s="2" t="s">
        <v>79</v>
      </c>
      <c r="G129" s="2"/>
      <c r="H129" s="2"/>
      <c r="I129" s="2">
        <v>0</v>
      </c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>
        <v>0</v>
      </c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>
        <v>17</v>
      </c>
      <c r="AZ129" s="2"/>
      <c r="BA129" s="2"/>
      <c r="BB129" s="2"/>
      <c r="BC129" s="2"/>
      <c r="BD129" s="2"/>
      <c r="BE129" s="2"/>
      <c r="BF129" s="2"/>
      <c r="BG129" s="2">
        <v>1.3</v>
      </c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>
        <v>0</v>
      </c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>
        <v>0</v>
      </c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 t="s">
        <v>100</v>
      </c>
      <c r="DK129" s="2"/>
      <c r="DL129" s="2">
        <f t="shared" si="3"/>
        <v>1.3</v>
      </c>
      <c r="DM129" s="2">
        <f t="shared" si="4"/>
        <v>0</v>
      </c>
      <c r="DN129" s="2" t="s">
        <v>1147</v>
      </c>
      <c r="DO129" s="2" t="s">
        <v>3</v>
      </c>
      <c r="DP129" s="2">
        <f t="shared" si="5"/>
        <v>0</v>
      </c>
      <c r="DQ129" s="2">
        <f t="shared" ref="DQ129:DR129" si="2247">K129*$I129+AF129*$AD129+BA129*$AY129</f>
        <v>0</v>
      </c>
      <c r="DR129" s="2">
        <f t="shared" si="2247"/>
        <v>0</v>
      </c>
      <c r="DS129" s="2">
        <f t="shared" ref="DS129:DX129" si="2248">(M129*$I129+AH129*$AD129+BC129*$AY129)/100</f>
        <v>0</v>
      </c>
      <c r="DT129" s="2">
        <f t="shared" si="2248"/>
        <v>0</v>
      </c>
      <c r="DU129" s="2">
        <f t="shared" si="2248"/>
        <v>0</v>
      </c>
      <c r="DV129" s="2">
        <f t="shared" si="2248"/>
        <v>0</v>
      </c>
      <c r="DW129" s="2">
        <f t="shared" si="2248"/>
        <v>0.221</v>
      </c>
      <c r="DX129" s="2">
        <f t="shared" si="2248"/>
        <v>0</v>
      </c>
      <c r="DY129" s="2">
        <f t="shared" ref="DY129:EC129" si="2249">S129*$I129+AN129*$AD129+BI129*$AY129</f>
        <v>0</v>
      </c>
      <c r="DZ129" s="2">
        <f t="shared" si="2249"/>
        <v>0</v>
      </c>
      <c r="EA129" s="2">
        <f t="shared" si="2249"/>
        <v>0</v>
      </c>
      <c r="EB129" s="2">
        <f t="shared" si="2249"/>
        <v>0</v>
      </c>
      <c r="EC129" s="2">
        <f t="shared" si="2249"/>
        <v>0</v>
      </c>
      <c r="ED129" s="2">
        <f t="shared" ref="ED129:EE129" si="2250">(X129*$I129+AS129*$AD129+BN129*$AY129)/100</f>
        <v>0</v>
      </c>
      <c r="EE129" s="2">
        <f t="shared" si="2250"/>
        <v>0</v>
      </c>
      <c r="EF129" s="2"/>
      <c r="EG129" s="2">
        <f t="shared" si="10"/>
        <v>0</v>
      </c>
      <c r="EH129" s="2">
        <f t="shared" si="11"/>
        <v>0</v>
      </c>
      <c r="EI129" s="39">
        <f t="shared" si="12"/>
        <v>0</v>
      </c>
      <c r="EJ129" s="39">
        <f t="shared" ref="EJ129:EK129" si="2251">EJ$1*DQ129/1000000</f>
        <v>0</v>
      </c>
      <c r="EK129" s="39">
        <f t="shared" si="2251"/>
        <v>0</v>
      </c>
      <c r="EL129" s="39">
        <f t="shared" ref="EL129:EQ129" si="2252">EL$1*DS129</f>
        <v>0</v>
      </c>
      <c r="EM129" s="39">
        <f t="shared" si="2252"/>
        <v>0</v>
      </c>
      <c r="EN129" s="39">
        <f t="shared" si="2252"/>
        <v>0</v>
      </c>
      <c r="EO129" s="39">
        <f t="shared" si="2252"/>
        <v>0</v>
      </c>
      <c r="EP129" s="39">
        <f t="shared" si="2252"/>
        <v>2898.194</v>
      </c>
      <c r="EQ129" s="39">
        <f t="shared" si="2252"/>
        <v>0</v>
      </c>
      <c r="ER129" s="39">
        <f t="shared" ref="ER129:EV129" si="2253">ER$1*DY129/1000000</f>
        <v>0</v>
      </c>
      <c r="ES129" s="39">
        <f t="shared" si="2253"/>
        <v>0</v>
      </c>
      <c r="ET129" s="39">
        <f t="shared" si="2253"/>
        <v>0</v>
      </c>
      <c r="EU129" s="39">
        <f t="shared" si="2253"/>
        <v>0</v>
      </c>
      <c r="EV129" s="39">
        <f t="shared" si="2253"/>
        <v>0</v>
      </c>
      <c r="EW129" s="39">
        <f t="shared" ref="EW129:EX129" si="2254">EW$1*ED129</f>
        <v>0</v>
      </c>
      <c r="EX129" s="39">
        <f t="shared" si="2254"/>
        <v>0</v>
      </c>
      <c r="EY129" s="2"/>
      <c r="EZ129" s="39">
        <f t="shared" si="17"/>
        <v>0</v>
      </c>
      <c r="FA129" s="39">
        <f t="shared" si="18"/>
        <v>0</v>
      </c>
      <c r="FB129" s="2">
        <f t="shared" si="19"/>
        <v>0</v>
      </c>
      <c r="FC129" s="2">
        <f t="shared" ref="FC129:FD129" si="2255">BV129*$BT129+CQ129*$CO129</f>
        <v>0</v>
      </c>
      <c r="FD129" s="2">
        <f t="shared" si="2255"/>
        <v>0</v>
      </c>
      <c r="FE129" s="2">
        <f t="shared" ref="FE129:FJ129" si="2256">(BX129*$BT129+CS129*$CO129)/100</f>
        <v>0</v>
      </c>
      <c r="FF129" s="2">
        <f t="shared" si="2256"/>
        <v>0</v>
      </c>
      <c r="FG129" s="2">
        <f t="shared" si="2256"/>
        <v>0</v>
      </c>
      <c r="FH129" s="2">
        <f t="shared" si="2256"/>
        <v>0</v>
      </c>
      <c r="FI129" s="2">
        <f t="shared" si="2256"/>
        <v>0</v>
      </c>
      <c r="FJ129" s="2">
        <f t="shared" si="2256"/>
        <v>0</v>
      </c>
      <c r="FK129" s="2">
        <f t="shared" ref="FK129:FO129" si="2257">CD129*$BT129+CY129*$CO129</f>
        <v>0</v>
      </c>
      <c r="FL129" s="2">
        <f t="shared" si="2257"/>
        <v>0</v>
      </c>
      <c r="FM129" s="2">
        <f t="shared" si="2257"/>
        <v>0</v>
      </c>
      <c r="FN129" s="2">
        <f t="shared" si="2257"/>
        <v>0</v>
      </c>
      <c r="FO129" s="2">
        <f t="shared" si="2257"/>
        <v>0</v>
      </c>
      <c r="FP129" s="2">
        <f t="shared" ref="FP129:FQ129" si="2258">(CI129*$BT129+DD129*$CO129)/100</f>
        <v>0</v>
      </c>
      <c r="FQ129" s="2">
        <f t="shared" si="2258"/>
        <v>0</v>
      </c>
      <c r="FR129" s="2"/>
      <c r="FS129" s="2">
        <f t="shared" si="24"/>
        <v>0</v>
      </c>
      <c r="FT129" s="2">
        <f t="shared" si="25"/>
        <v>0</v>
      </c>
      <c r="FU129" s="39">
        <f t="shared" si="26"/>
        <v>0</v>
      </c>
      <c r="FV129" s="39">
        <f t="shared" ref="FV129:FW129" si="2259">FV$1*FC129/1000000</f>
        <v>0</v>
      </c>
      <c r="FW129" s="39">
        <f t="shared" si="2259"/>
        <v>0</v>
      </c>
      <c r="FX129" s="39">
        <f t="shared" ref="FX129:GC129" si="2260">FX$1*FE129</f>
        <v>0</v>
      </c>
      <c r="FY129" s="39">
        <f t="shared" si="2260"/>
        <v>0</v>
      </c>
      <c r="FZ129" s="39">
        <f t="shared" si="2260"/>
        <v>0</v>
      </c>
      <c r="GA129" s="39">
        <f t="shared" si="2260"/>
        <v>0</v>
      </c>
      <c r="GB129" s="39">
        <f t="shared" si="2260"/>
        <v>0</v>
      </c>
      <c r="GC129" s="39">
        <f t="shared" si="2260"/>
        <v>0</v>
      </c>
      <c r="GD129" s="39">
        <f t="shared" ref="GD129:GH129" si="2261">GD$1*FK129/1000000</f>
        <v>0</v>
      </c>
      <c r="GE129" s="39">
        <f t="shared" si="2261"/>
        <v>0</v>
      </c>
      <c r="GF129" s="39">
        <f t="shared" si="2261"/>
        <v>0</v>
      </c>
      <c r="GG129" s="39">
        <f t="shared" si="2261"/>
        <v>0</v>
      </c>
      <c r="GH129" s="39">
        <f t="shared" si="2261"/>
        <v>0</v>
      </c>
      <c r="GI129" s="39">
        <f t="shared" ref="GI129:GJ129" si="2262">GI$1*FP129</f>
        <v>0</v>
      </c>
      <c r="GJ129" s="39">
        <f t="shared" si="2262"/>
        <v>0</v>
      </c>
      <c r="GK129" s="2"/>
      <c r="GL129" s="39">
        <f t="shared" si="31"/>
        <v>0</v>
      </c>
      <c r="GM129" s="39">
        <f t="shared" si="32"/>
        <v>0</v>
      </c>
      <c r="GN129" s="2" t="s">
        <v>3</v>
      </c>
      <c r="GO129" s="2">
        <f t="shared" si="33"/>
        <v>17</v>
      </c>
      <c r="GP129" s="2">
        <f t="shared" si="34"/>
        <v>1.3</v>
      </c>
      <c r="GQ129" s="15">
        <f t="shared" si="35"/>
        <v>221</v>
      </c>
      <c r="GR129" s="15">
        <f t="shared" si="36"/>
        <v>2898.194</v>
      </c>
      <c r="GS129" s="15">
        <f t="shared" si="37"/>
        <v>170.482</v>
      </c>
      <c r="GT129" s="2">
        <f t="shared" si="38"/>
        <v>0</v>
      </c>
      <c r="GU129" s="2">
        <f t="shared" si="39"/>
        <v>0</v>
      </c>
      <c r="GV129" s="2">
        <f t="shared" si="40"/>
        <v>221</v>
      </c>
      <c r="GW129" s="2">
        <f t="shared" si="41"/>
        <v>0</v>
      </c>
      <c r="GX129" s="2"/>
      <c r="GY129" s="2"/>
      <c r="GZ129" s="2"/>
      <c r="HA129" s="2"/>
      <c r="HB129" s="2">
        <f t="shared" si="42"/>
        <v>0</v>
      </c>
      <c r="HC129" s="2">
        <f t="shared" si="43"/>
        <v>0</v>
      </c>
      <c r="HD129" s="2" t="s">
        <v>3</v>
      </c>
      <c r="HE129" s="2" t="s">
        <v>37</v>
      </c>
      <c r="HF129" s="2" t="s">
        <v>396</v>
      </c>
      <c r="HG129" s="2" t="s">
        <v>396</v>
      </c>
      <c r="HH129" s="2"/>
      <c r="HI129" s="2" t="s">
        <v>100</v>
      </c>
      <c r="HJ129" s="2" t="s">
        <v>3</v>
      </c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 t="s">
        <v>3</v>
      </c>
    </row>
    <row r="130" spans="1:268" ht="15.75" customHeight="1" x14ac:dyDescent="0.2">
      <c r="A130" s="13" t="s">
        <v>573</v>
      </c>
      <c r="B130" s="2" t="s">
        <v>99</v>
      </c>
      <c r="C130" s="2"/>
      <c r="D130" s="2"/>
      <c r="E130" s="2"/>
      <c r="F130" s="2" t="s">
        <v>79</v>
      </c>
      <c r="G130" s="2"/>
      <c r="H130" s="2"/>
      <c r="I130" s="2">
        <v>0</v>
      </c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>
        <v>0</v>
      </c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>
        <v>13</v>
      </c>
      <c r="AZ130" s="2"/>
      <c r="BA130" s="2"/>
      <c r="BB130" s="2"/>
      <c r="BC130" s="2"/>
      <c r="BD130" s="2"/>
      <c r="BE130" s="2"/>
      <c r="BF130" s="2"/>
      <c r="BG130" s="2">
        <v>1.4</v>
      </c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>
        <v>0</v>
      </c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>
        <v>0</v>
      </c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 t="s">
        <v>100</v>
      </c>
      <c r="DK130" s="2"/>
      <c r="DL130" s="2">
        <f t="shared" si="3"/>
        <v>1.4</v>
      </c>
      <c r="DM130" s="2">
        <f t="shared" si="4"/>
        <v>0</v>
      </c>
      <c r="DN130" s="2" t="s">
        <v>113</v>
      </c>
      <c r="DO130" s="2" t="s">
        <v>3</v>
      </c>
      <c r="DP130" s="2">
        <f t="shared" si="5"/>
        <v>0</v>
      </c>
      <c r="DQ130" s="2">
        <f t="shared" ref="DQ130:DR130" si="2263">K130*$I130+AF130*$AD130+BA130*$AY130</f>
        <v>0</v>
      </c>
      <c r="DR130" s="2">
        <f t="shared" si="2263"/>
        <v>0</v>
      </c>
      <c r="DS130" s="2">
        <f t="shared" ref="DS130:DX130" si="2264">(M130*$I130+AH130*$AD130+BC130*$AY130)/100</f>
        <v>0</v>
      </c>
      <c r="DT130" s="2">
        <f t="shared" si="2264"/>
        <v>0</v>
      </c>
      <c r="DU130" s="2">
        <f t="shared" si="2264"/>
        <v>0</v>
      </c>
      <c r="DV130" s="2">
        <f t="shared" si="2264"/>
        <v>0</v>
      </c>
      <c r="DW130" s="2">
        <f t="shared" si="2264"/>
        <v>0.182</v>
      </c>
      <c r="DX130" s="2">
        <f t="shared" si="2264"/>
        <v>0</v>
      </c>
      <c r="DY130" s="2">
        <f t="shared" ref="DY130:EC130" si="2265">S130*$I130+AN130*$AD130+BI130*$AY130</f>
        <v>0</v>
      </c>
      <c r="DZ130" s="2">
        <f t="shared" si="2265"/>
        <v>0</v>
      </c>
      <c r="EA130" s="2">
        <f t="shared" si="2265"/>
        <v>0</v>
      </c>
      <c r="EB130" s="2">
        <f t="shared" si="2265"/>
        <v>0</v>
      </c>
      <c r="EC130" s="2">
        <f t="shared" si="2265"/>
        <v>0</v>
      </c>
      <c r="ED130" s="2">
        <f t="shared" ref="ED130:EE130" si="2266">(X130*$I130+AS130*$AD130+BN130*$AY130)/100</f>
        <v>0</v>
      </c>
      <c r="EE130" s="2">
        <f t="shared" si="2266"/>
        <v>0</v>
      </c>
      <c r="EF130" s="2"/>
      <c r="EG130" s="2">
        <f t="shared" si="10"/>
        <v>0</v>
      </c>
      <c r="EH130" s="2">
        <f t="shared" si="11"/>
        <v>0</v>
      </c>
      <c r="EI130" s="39">
        <f t="shared" si="12"/>
        <v>0</v>
      </c>
      <c r="EJ130" s="39">
        <f t="shared" ref="EJ130:EK130" si="2267">EJ$1*DQ130/1000000</f>
        <v>0</v>
      </c>
      <c r="EK130" s="39">
        <f t="shared" si="2267"/>
        <v>0</v>
      </c>
      <c r="EL130" s="39">
        <f t="shared" ref="EL130:EQ130" si="2268">EL$1*DS130</f>
        <v>0</v>
      </c>
      <c r="EM130" s="39">
        <f t="shared" si="2268"/>
        <v>0</v>
      </c>
      <c r="EN130" s="39">
        <f t="shared" si="2268"/>
        <v>0</v>
      </c>
      <c r="EO130" s="39">
        <f t="shared" si="2268"/>
        <v>0</v>
      </c>
      <c r="EP130" s="39">
        <f t="shared" si="2268"/>
        <v>2386.748</v>
      </c>
      <c r="EQ130" s="39">
        <f t="shared" si="2268"/>
        <v>0</v>
      </c>
      <c r="ER130" s="39">
        <f t="shared" ref="ER130:EV130" si="2269">ER$1*DY130/1000000</f>
        <v>0</v>
      </c>
      <c r="ES130" s="39">
        <f t="shared" si="2269"/>
        <v>0</v>
      </c>
      <c r="ET130" s="39">
        <f t="shared" si="2269"/>
        <v>0</v>
      </c>
      <c r="EU130" s="39">
        <f t="shared" si="2269"/>
        <v>0</v>
      </c>
      <c r="EV130" s="39">
        <f t="shared" si="2269"/>
        <v>0</v>
      </c>
      <c r="EW130" s="39">
        <f t="shared" ref="EW130:EX130" si="2270">EW$1*ED130</f>
        <v>0</v>
      </c>
      <c r="EX130" s="39">
        <f t="shared" si="2270"/>
        <v>0</v>
      </c>
      <c r="EY130" s="2"/>
      <c r="EZ130" s="39">
        <f t="shared" si="17"/>
        <v>0</v>
      </c>
      <c r="FA130" s="39">
        <f t="shared" si="18"/>
        <v>0</v>
      </c>
      <c r="FB130" s="2">
        <f t="shared" si="19"/>
        <v>0</v>
      </c>
      <c r="FC130" s="2">
        <f t="shared" ref="FC130:FD130" si="2271">BV130*$BT130+CQ130*$CO130</f>
        <v>0</v>
      </c>
      <c r="FD130" s="2">
        <f t="shared" si="2271"/>
        <v>0</v>
      </c>
      <c r="FE130" s="2">
        <f t="shared" ref="FE130:FJ130" si="2272">(BX130*$BT130+CS130*$CO130)/100</f>
        <v>0</v>
      </c>
      <c r="FF130" s="2">
        <f t="shared" si="2272"/>
        <v>0</v>
      </c>
      <c r="FG130" s="2">
        <f t="shared" si="2272"/>
        <v>0</v>
      </c>
      <c r="FH130" s="2">
        <f t="shared" si="2272"/>
        <v>0</v>
      </c>
      <c r="FI130" s="2">
        <f t="shared" si="2272"/>
        <v>0</v>
      </c>
      <c r="FJ130" s="2">
        <f t="shared" si="2272"/>
        <v>0</v>
      </c>
      <c r="FK130" s="2">
        <f t="shared" ref="FK130:FO130" si="2273">CD130*$BT130+CY130*$CO130</f>
        <v>0</v>
      </c>
      <c r="FL130" s="2">
        <f t="shared" si="2273"/>
        <v>0</v>
      </c>
      <c r="FM130" s="2">
        <f t="shared" si="2273"/>
        <v>0</v>
      </c>
      <c r="FN130" s="2">
        <f t="shared" si="2273"/>
        <v>0</v>
      </c>
      <c r="FO130" s="2">
        <f t="shared" si="2273"/>
        <v>0</v>
      </c>
      <c r="FP130" s="2">
        <f t="shared" ref="FP130:FQ130" si="2274">(CI130*$BT130+DD130*$CO130)/100</f>
        <v>0</v>
      </c>
      <c r="FQ130" s="2">
        <f t="shared" si="2274"/>
        <v>0</v>
      </c>
      <c r="FR130" s="2"/>
      <c r="FS130" s="2">
        <f t="shared" si="24"/>
        <v>0</v>
      </c>
      <c r="FT130" s="2">
        <f t="shared" si="25"/>
        <v>0</v>
      </c>
      <c r="FU130" s="39">
        <f t="shared" si="26"/>
        <v>0</v>
      </c>
      <c r="FV130" s="39">
        <f t="shared" ref="FV130:FW130" si="2275">FV$1*FC130/1000000</f>
        <v>0</v>
      </c>
      <c r="FW130" s="39">
        <f t="shared" si="2275"/>
        <v>0</v>
      </c>
      <c r="FX130" s="39">
        <f t="shared" ref="FX130:GC130" si="2276">FX$1*FE130</f>
        <v>0</v>
      </c>
      <c r="FY130" s="39">
        <f t="shared" si="2276"/>
        <v>0</v>
      </c>
      <c r="FZ130" s="39">
        <f t="shared" si="2276"/>
        <v>0</v>
      </c>
      <c r="GA130" s="39">
        <f t="shared" si="2276"/>
        <v>0</v>
      </c>
      <c r="GB130" s="39">
        <f t="shared" si="2276"/>
        <v>0</v>
      </c>
      <c r="GC130" s="39">
        <f t="shared" si="2276"/>
        <v>0</v>
      </c>
      <c r="GD130" s="39">
        <f t="shared" ref="GD130:GH130" si="2277">GD$1*FK130/1000000</f>
        <v>0</v>
      </c>
      <c r="GE130" s="39">
        <f t="shared" si="2277"/>
        <v>0</v>
      </c>
      <c r="GF130" s="39">
        <f t="shared" si="2277"/>
        <v>0</v>
      </c>
      <c r="GG130" s="39">
        <f t="shared" si="2277"/>
        <v>0</v>
      </c>
      <c r="GH130" s="39">
        <f t="shared" si="2277"/>
        <v>0</v>
      </c>
      <c r="GI130" s="39">
        <f t="shared" ref="GI130:GJ130" si="2278">GI$1*FP130</f>
        <v>0</v>
      </c>
      <c r="GJ130" s="39">
        <f t="shared" si="2278"/>
        <v>0</v>
      </c>
      <c r="GK130" s="2"/>
      <c r="GL130" s="39">
        <f t="shared" si="31"/>
        <v>0</v>
      </c>
      <c r="GM130" s="39">
        <f t="shared" si="32"/>
        <v>0</v>
      </c>
      <c r="GN130" s="2" t="s">
        <v>3</v>
      </c>
      <c r="GO130" s="2">
        <f t="shared" si="33"/>
        <v>13</v>
      </c>
      <c r="GP130" s="2">
        <f t="shared" si="34"/>
        <v>1.4</v>
      </c>
      <c r="GQ130" s="15">
        <f t="shared" si="35"/>
        <v>182</v>
      </c>
      <c r="GR130" s="15">
        <f t="shared" si="36"/>
        <v>2386.748</v>
      </c>
      <c r="GS130" s="15">
        <f t="shared" si="37"/>
        <v>183.596</v>
      </c>
      <c r="GT130" s="2">
        <f t="shared" si="38"/>
        <v>0</v>
      </c>
      <c r="GU130" s="2">
        <f t="shared" si="39"/>
        <v>0</v>
      </c>
      <c r="GV130" s="2">
        <f t="shared" si="40"/>
        <v>182</v>
      </c>
      <c r="GW130" s="2">
        <f t="shared" si="41"/>
        <v>0</v>
      </c>
      <c r="GX130" s="2"/>
      <c r="GY130" s="2"/>
      <c r="GZ130" s="2"/>
      <c r="HA130" s="2"/>
      <c r="HB130" s="2">
        <f t="shared" si="42"/>
        <v>0</v>
      </c>
      <c r="HC130" s="2">
        <f t="shared" si="43"/>
        <v>0</v>
      </c>
      <c r="HD130" s="2" t="s">
        <v>3</v>
      </c>
      <c r="HE130" s="2" t="s">
        <v>37</v>
      </c>
      <c r="HF130" s="2" t="s">
        <v>396</v>
      </c>
      <c r="HG130" s="2"/>
      <c r="HH130" s="2"/>
      <c r="HI130" s="2" t="s">
        <v>100</v>
      </c>
      <c r="HJ130" s="2" t="s">
        <v>3</v>
      </c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 t="s">
        <v>3</v>
      </c>
    </row>
    <row r="131" spans="1:268" ht="15.75" customHeight="1" x14ac:dyDescent="0.2">
      <c r="A131" s="13" t="s">
        <v>1237</v>
      </c>
      <c r="B131" s="2" t="s">
        <v>99</v>
      </c>
      <c r="C131" s="2"/>
      <c r="D131" s="2"/>
      <c r="E131" s="2"/>
      <c r="F131" s="2" t="s">
        <v>1238</v>
      </c>
      <c r="G131" s="2"/>
      <c r="H131" s="2"/>
      <c r="I131" s="2">
        <v>0</v>
      </c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>
        <v>0</v>
      </c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>
        <v>293</v>
      </c>
      <c r="AZ131" s="2"/>
      <c r="BA131" s="2"/>
      <c r="BB131" s="2"/>
      <c r="BC131" s="2"/>
      <c r="BD131" s="2"/>
      <c r="BE131" s="2"/>
      <c r="BF131" s="2"/>
      <c r="BG131" s="2">
        <v>1.46</v>
      </c>
      <c r="BH131" s="2">
        <v>0.11</v>
      </c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>
        <v>0</v>
      </c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>
        <v>0</v>
      </c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 t="s">
        <v>100</v>
      </c>
      <c r="DK131" s="2" t="s">
        <v>100</v>
      </c>
      <c r="DL131" s="2">
        <f t="shared" si="3"/>
        <v>1.46</v>
      </c>
      <c r="DM131" s="2">
        <f t="shared" si="4"/>
        <v>0.10999999999999999</v>
      </c>
      <c r="DN131" s="2" t="s">
        <v>113</v>
      </c>
      <c r="DO131" s="2" t="s">
        <v>3</v>
      </c>
      <c r="DP131" s="2">
        <f t="shared" si="5"/>
        <v>0</v>
      </c>
      <c r="DQ131" s="2">
        <f t="shared" ref="DQ131:DR131" si="2279">K131*$I131+AF131*$AD131+BA131*$AY131</f>
        <v>0</v>
      </c>
      <c r="DR131" s="2">
        <f t="shared" si="2279"/>
        <v>0</v>
      </c>
      <c r="DS131" s="2">
        <f t="shared" ref="DS131:DX131" si="2280">(M131*$I131+AH131*$AD131+BC131*$AY131)/100</f>
        <v>0</v>
      </c>
      <c r="DT131" s="2">
        <f t="shared" si="2280"/>
        <v>0</v>
      </c>
      <c r="DU131" s="2">
        <f t="shared" si="2280"/>
        <v>0</v>
      </c>
      <c r="DV131" s="2">
        <f t="shared" si="2280"/>
        <v>0</v>
      </c>
      <c r="DW131" s="2">
        <f t="shared" si="2280"/>
        <v>4.2778</v>
      </c>
      <c r="DX131" s="2">
        <f t="shared" si="2280"/>
        <v>0.32229999999999998</v>
      </c>
      <c r="DY131" s="2">
        <f t="shared" ref="DY131:EC131" si="2281">S131*$I131+AN131*$AD131+BI131*$AY131</f>
        <v>0</v>
      </c>
      <c r="DZ131" s="2">
        <f t="shared" si="2281"/>
        <v>0</v>
      </c>
      <c r="EA131" s="2">
        <f t="shared" si="2281"/>
        <v>0</v>
      </c>
      <c r="EB131" s="2">
        <f t="shared" si="2281"/>
        <v>0</v>
      </c>
      <c r="EC131" s="2">
        <f t="shared" si="2281"/>
        <v>0</v>
      </c>
      <c r="ED131" s="2">
        <f t="shared" ref="ED131:EE131" si="2282">(X131*$I131+AS131*$AD131+BN131*$AY131)/100</f>
        <v>0</v>
      </c>
      <c r="EE131" s="2">
        <f t="shared" si="2282"/>
        <v>0</v>
      </c>
      <c r="EF131" s="2"/>
      <c r="EG131" s="2">
        <f t="shared" si="10"/>
        <v>0</v>
      </c>
      <c r="EH131" s="2">
        <f t="shared" si="11"/>
        <v>0</v>
      </c>
      <c r="EI131" s="39">
        <f t="shared" si="12"/>
        <v>0</v>
      </c>
      <c r="EJ131" s="39">
        <f t="shared" ref="EJ131:EK131" si="2283">EJ$1*DQ131/1000000</f>
        <v>0</v>
      </c>
      <c r="EK131" s="39">
        <f t="shared" si="2283"/>
        <v>0</v>
      </c>
      <c r="EL131" s="39">
        <f t="shared" ref="EL131:EQ131" si="2284">EL$1*DS131</f>
        <v>0</v>
      </c>
      <c r="EM131" s="39">
        <f t="shared" si="2284"/>
        <v>0</v>
      </c>
      <c r="EN131" s="39">
        <f t="shared" si="2284"/>
        <v>0</v>
      </c>
      <c r="EO131" s="39">
        <f t="shared" si="2284"/>
        <v>0</v>
      </c>
      <c r="EP131" s="39">
        <f t="shared" si="2284"/>
        <v>56099.069199999998</v>
      </c>
      <c r="EQ131" s="39">
        <f t="shared" si="2284"/>
        <v>23405.272585199997</v>
      </c>
      <c r="ER131" s="39">
        <f t="shared" ref="ER131:EV131" si="2285">ER$1*DY131/1000000</f>
        <v>0</v>
      </c>
      <c r="ES131" s="39">
        <f t="shared" si="2285"/>
        <v>0</v>
      </c>
      <c r="ET131" s="39">
        <f t="shared" si="2285"/>
        <v>0</v>
      </c>
      <c r="EU131" s="39">
        <f t="shared" si="2285"/>
        <v>0</v>
      </c>
      <c r="EV131" s="39">
        <f t="shared" si="2285"/>
        <v>0</v>
      </c>
      <c r="EW131" s="39">
        <f t="shared" ref="EW131:EX131" si="2286">EW$1*ED131</f>
        <v>0</v>
      </c>
      <c r="EX131" s="39">
        <f t="shared" si="2286"/>
        <v>0</v>
      </c>
      <c r="EY131" s="2"/>
      <c r="EZ131" s="39">
        <f t="shared" si="17"/>
        <v>0</v>
      </c>
      <c r="FA131" s="39">
        <f t="shared" si="18"/>
        <v>0</v>
      </c>
      <c r="FB131" s="2">
        <f t="shared" si="19"/>
        <v>0</v>
      </c>
      <c r="FC131" s="2">
        <f t="shared" ref="FC131:FD131" si="2287">BV131*$BT131+CQ131*$CO131</f>
        <v>0</v>
      </c>
      <c r="FD131" s="2">
        <f t="shared" si="2287"/>
        <v>0</v>
      </c>
      <c r="FE131" s="2">
        <f t="shared" ref="FE131:FJ131" si="2288">(BX131*$BT131+CS131*$CO131)/100</f>
        <v>0</v>
      </c>
      <c r="FF131" s="2">
        <f t="shared" si="2288"/>
        <v>0</v>
      </c>
      <c r="FG131" s="2">
        <f t="shared" si="2288"/>
        <v>0</v>
      </c>
      <c r="FH131" s="2">
        <f t="shared" si="2288"/>
        <v>0</v>
      </c>
      <c r="FI131" s="2">
        <f t="shared" si="2288"/>
        <v>0</v>
      </c>
      <c r="FJ131" s="2">
        <f t="shared" si="2288"/>
        <v>0</v>
      </c>
      <c r="FK131" s="2">
        <f t="shared" ref="FK131:FO131" si="2289">CD131*$BT131+CY131*$CO131</f>
        <v>0</v>
      </c>
      <c r="FL131" s="2">
        <f t="shared" si="2289"/>
        <v>0</v>
      </c>
      <c r="FM131" s="2">
        <f t="shared" si="2289"/>
        <v>0</v>
      </c>
      <c r="FN131" s="2">
        <f t="shared" si="2289"/>
        <v>0</v>
      </c>
      <c r="FO131" s="2">
        <f t="shared" si="2289"/>
        <v>0</v>
      </c>
      <c r="FP131" s="2">
        <f t="shared" ref="FP131:FQ131" si="2290">(CI131*$BT131+DD131*$CO131)/100</f>
        <v>0</v>
      </c>
      <c r="FQ131" s="2">
        <f t="shared" si="2290"/>
        <v>0</v>
      </c>
      <c r="FR131" s="2"/>
      <c r="FS131" s="2">
        <f t="shared" si="24"/>
        <v>0</v>
      </c>
      <c r="FT131" s="2">
        <f t="shared" si="25"/>
        <v>0</v>
      </c>
      <c r="FU131" s="39">
        <f t="shared" si="26"/>
        <v>0</v>
      </c>
      <c r="FV131" s="39">
        <f t="shared" ref="FV131:FW131" si="2291">FV$1*FC131/1000000</f>
        <v>0</v>
      </c>
      <c r="FW131" s="39">
        <f t="shared" si="2291"/>
        <v>0</v>
      </c>
      <c r="FX131" s="39">
        <f t="shared" ref="FX131:GC131" si="2292">FX$1*FE131</f>
        <v>0</v>
      </c>
      <c r="FY131" s="39">
        <f t="shared" si="2292"/>
        <v>0</v>
      </c>
      <c r="FZ131" s="39">
        <f t="shared" si="2292"/>
        <v>0</v>
      </c>
      <c r="GA131" s="39">
        <f t="shared" si="2292"/>
        <v>0</v>
      </c>
      <c r="GB131" s="39">
        <f t="shared" si="2292"/>
        <v>0</v>
      </c>
      <c r="GC131" s="39">
        <f t="shared" si="2292"/>
        <v>0</v>
      </c>
      <c r="GD131" s="39">
        <f t="shared" ref="GD131:GH131" si="2293">GD$1*FK131/1000000</f>
        <v>0</v>
      </c>
      <c r="GE131" s="39">
        <f t="shared" si="2293"/>
        <v>0</v>
      </c>
      <c r="GF131" s="39">
        <f t="shared" si="2293"/>
        <v>0</v>
      </c>
      <c r="GG131" s="39">
        <f t="shared" si="2293"/>
        <v>0</v>
      </c>
      <c r="GH131" s="39">
        <f t="shared" si="2293"/>
        <v>0</v>
      </c>
      <c r="GI131" s="39">
        <f t="shared" ref="GI131:GJ131" si="2294">GI$1*FP131</f>
        <v>0</v>
      </c>
      <c r="GJ131" s="39">
        <f t="shared" si="2294"/>
        <v>0</v>
      </c>
      <c r="GK131" s="2"/>
      <c r="GL131" s="39">
        <f t="shared" si="31"/>
        <v>0</v>
      </c>
      <c r="GM131" s="39">
        <f t="shared" si="32"/>
        <v>0</v>
      </c>
      <c r="GN131" s="2" t="s">
        <v>3</v>
      </c>
      <c r="GO131" s="2">
        <f t="shared" si="33"/>
        <v>293</v>
      </c>
      <c r="GP131" s="2">
        <f t="shared" si="34"/>
        <v>1.46</v>
      </c>
      <c r="GQ131" s="18">
        <f t="shared" si="35"/>
        <v>4277.8</v>
      </c>
      <c r="GR131" s="15">
        <f t="shared" si="36"/>
        <v>79504.341785199998</v>
      </c>
      <c r="GS131" s="15">
        <f t="shared" si="37"/>
        <v>271.34587640000001</v>
      </c>
      <c r="GT131" s="2">
        <f t="shared" si="38"/>
        <v>0</v>
      </c>
      <c r="GU131" s="2">
        <f t="shared" si="39"/>
        <v>0</v>
      </c>
      <c r="GV131" s="2">
        <f t="shared" si="40"/>
        <v>4277.8</v>
      </c>
      <c r="GW131" s="2">
        <f t="shared" si="41"/>
        <v>0</v>
      </c>
      <c r="GX131" s="2"/>
      <c r="GY131" s="2"/>
      <c r="GZ131" s="2"/>
      <c r="HA131" s="2"/>
      <c r="HB131" s="2">
        <f t="shared" si="42"/>
        <v>0</v>
      </c>
      <c r="HC131" s="2">
        <f t="shared" si="43"/>
        <v>0</v>
      </c>
      <c r="HD131" s="2" t="s">
        <v>3</v>
      </c>
      <c r="HE131" s="2" t="s">
        <v>37</v>
      </c>
      <c r="HF131" s="2" t="s">
        <v>396</v>
      </c>
      <c r="HG131" s="2"/>
      <c r="HH131" s="2"/>
      <c r="HI131" s="2" t="s">
        <v>100</v>
      </c>
      <c r="HJ131" s="2" t="s">
        <v>3</v>
      </c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 t="s">
        <v>3</v>
      </c>
    </row>
    <row r="132" spans="1:268" ht="15.75" customHeight="1" x14ac:dyDescent="0.2">
      <c r="A132" s="13" t="s">
        <v>199</v>
      </c>
      <c r="B132" s="2" t="s">
        <v>99</v>
      </c>
      <c r="C132" s="2"/>
      <c r="D132" s="2"/>
      <c r="E132" s="2"/>
      <c r="F132" s="2" t="s">
        <v>200</v>
      </c>
      <c r="G132" s="2"/>
      <c r="H132" s="2" t="s">
        <v>111</v>
      </c>
      <c r="I132" s="2">
        <v>0</v>
      </c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>
        <v>0</v>
      </c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>
        <v>175</v>
      </c>
      <c r="AZ132" s="2"/>
      <c r="BA132" s="2"/>
      <c r="BB132" s="2"/>
      <c r="BC132" s="2"/>
      <c r="BD132" s="2"/>
      <c r="BE132" s="2"/>
      <c r="BF132" s="2"/>
      <c r="BG132" s="2">
        <v>1.77</v>
      </c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>
        <v>0</v>
      </c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>
        <v>0</v>
      </c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 t="s">
        <v>100</v>
      </c>
      <c r="DK132" s="2"/>
      <c r="DL132" s="2">
        <f t="shared" si="3"/>
        <v>1.77</v>
      </c>
      <c r="DM132" s="2">
        <f t="shared" si="4"/>
        <v>0</v>
      </c>
      <c r="DN132" s="2" t="s">
        <v>201</v>
      </c>
      <c r="DO132" s="2" t="s">
        <v>3</v>
      </c>
      <c r="DP132" s="2">
        <f t="shared" si="5"/>
        <v>0</v>
      </c>
      <c r="DQ132" s="2">
        <f t="shared" ref="DQ132:DR132" si="2295">K132*$I132+AF132*$AD132+BA132*$AY132</f>
        <v>0</v>
      </c>
      <c r="DR132" s="2">
        <f t="shared" si="2295"/>
        <v>0</v>
      </c>
      <c r="DS132" s="2">
        <f t="shared" ref="DS132:DX132" si="2296">(M132*$I132+AH132*$AD132+BC132*$AY132)/100</f>
        <v>0</v>
      </c>
      <c r="DT132" s="2">
        <f t="shared" si="2296"/>
        <v>0</v>
      </c>
      <c r="DU132" s="2">
        <f t="shared" si="2296"/>
        <v>0</v>
      </c>
      <c r="DV132" s="2">
        <f t="shared" si="2296"/>
        <v>0</v>
      </c>
      <c r="DW132" s="2">
        <f t="shared" si="2296"/>
        <v>3.0975000000000001</v>
      </c>
      <c r="DX132" s="2">
        <f t="shared" si="2296"/>
        <v>0</v>
      </c>
      <c r="DY132" s="2">
        <f t="shared" ref="DY132:EC132" si="2297">S132*$I132+AN132*$AD132+BI132*$AY132</f>
        <v>0</v>
      </c>
      <c r="DZ132" s="2">
        <f t="shared" si="2297"/>
        <v>0</v>
      </c>
      <c r="EA132" s="2">
        <f t="shared" si="2297"/>
        <v>0</v>
      </c>
      <c r="EB132" s="2">
        <f t="shared" si="2297"/>
        <v>0</v>
      </c>
      <c r="EC132" s="2">
        <f t="shared" si="2297"/>
        <v>0</v>
      </c>
      <c r="ED132" s="2">
        <f t="shared" ref="ED132:EE132" si="2298">(X132*$I132+AS132*$AD132+BN132*$AY132)/100</f>
        <v>0</v>
      </c>
      <c r="EE132" s="2">
        <f t="shared" si="2298"/>
        <v>0</v>
      </c>
      <c r="EF132" s="2"/>
      <c r="EG132" s="2">
        <f t="shared" si="10"/>
        <v>0</v>
      </c>
      <c r="EH132" s="2">
        <f t="shared" si="11"/>
        <v>0</v>
      </c>
      <c r="EI132" s="39">
        <f t="shared" si="12"/>
        <v>0</v>
      </c>
      <c r="EJ132" s="39">
        <f t="shared" ref="EJ132:EK132" si="2299">EJ$1*DQ132/1000000</f>
        <v>0</v>
      </c>
      <c r="EK132" s="39">
        <f t="shared" si="2299"/>
        <v>0</v>
      </c>
      <c r="EL132" s="39">
        <f t="shared" ref="EL132:EQ132" si="2300">EL$1*DS132</f>
        <v>0</v>
      </c>
      <c r="EM132" s="39">
        <f t="shared" si="2300"/>
        <v>0</v>
      </c>
      <c r="EN132" s="39">
        <f t="shared" si="2300"/>
        <v>0</v>
      </c>
      <c r="EO132" s="39">
        <f t="shared" si="2300"/>
        <v>0</v>
      </c>
      <c r="EP132" s="39">
        <f t="shared" si="2300"/>
        <v>40620.615000000005</v>
      </c>
      <c r="EQ132" s="39">
        <f t="shared" si="2300"/>
        <v>0</v>
      </c>
      <c r="ER132" s="39">
        <f t="shared" ref="ER132:EV132" si="2301">ER$1*DY132/1000000</f>
        <v>0</v>
      </c>
      <c r="ES132" s="39">
        <f t="shared" si="2301"/>
        <v>0</v>
      </c>
      <c r="ET132" s="39">
        <f t="shared" si="2301"/>
        <v>0</v>
      </c>
      <c r="EU132" s="39">
        <f t="shared" si="2301"/>
        <v>0</v>
      </c>
      <c r="EV132" s="39">
        <f t="shared" si="2301"/>
        <v>0</v>
      </c>
      <c r="EW132" s="39">
        <f t="shared" ref="EW132:EX132" si="2302">EW$1*ED132</f>
        <v>0</v>
      </c>
      <c r="EX132" s="39">
        <f t="shared" si="2302"/>
        <v>0</v>
      </c>
      <c r="EY132" s="2"/>
      <c r="EZ132" s="39">
        <f t="shared" si="17"/>
        <v>0</v>
      </c>
      <c r="FA132" s="39">
        <f t="shared" si="18"/>
        <v>0</v>
      </c>
      <c r="FB132" s="2">
        <f t="shared" si="19"/>
        <v>0</v>
      </c>
      <c r="FC132" s="2">
        <f t="shared" ref="FC132:FD132" si="2303">BV132*$BT132+CQ132*$CO132</f>
        <v>0</v>
      </c>
      <c r="FD132" s="2">
        <f t="shared" si="2303"/>
        <v>0</v>
      </c>
      <c r="FE132" s="2">
        <f t="shared" ref="FE132:FJ132" si="2304">(BX132*$BT132+CS132*$CO132)/100</f>
        <v>0</v>
      </c>
      <c r="FF132" s="2">
        <f t="shared" si="2304"/>
        <v>0</v>
      </c>
      <c r="FG132" s="2">
        <f t="shared" si="2304"/>
        <v>0</v>
      </c>
      <c r="FH132" s="2">
        <f t="shared" si="2304"/>
        <v>0</v>
      </c>
      <c r="FI132" s="2">
        <f t="shared" si="2304"/>
        <v>0</v>
      </c>
      <c r="FJ132" s="2">
        <f t="shared" si="2304"/>
        <v>0</v>
      </c>
      <c r="FK132" s="2">
        <f t="shared" ref="FK132:FO132" si="2305">CD132*$BT132+CY132*$CO132</f>
        <v>0</v>
      </c>
      <c r="FL132" s="2">
        <f t="shared" si="2305"/>
        <v>0</v>
      </c>
      <c r="FM132" s="2">
        <f t="shared" si="2305"/>
        <v>0</v>
      </c>
      <c r="FN132" s="2">
        <f t="shared" si="2305"/>
        <v>0</v>
      </c>
      <c r="FO132" s="2">
        <f t="shared" si="2305"/>
        <v>0</v>
      </c>
      <c r="FP132" s="2">
        <f t="shared" ref="FP132:FQ132" si="2306">(CI132*$BT132+DD132*$CO132)/100</f>
        <v>0</v>
      </c>
      <c r="FQ132" s="2">
        <f t="shared" si="2306"/>
        <v>0</v>
      </c>
      <c r="FR132" s="2"/>
      <c r="FS132" s="2">
        <f t="shared" si="24"/>
        <v>0</v>
      </c>
      <c r="FT132" s="2">
        <f t="shared" si="25"/>
        <v>0</v>
      </c>
      <c r="FU132" s="39">
        <f t="shared" si="26"/>
        <v>0</v>
      </c>
      <c r="FV132" s="39">
        <f t="shared" ref="FV132:FW132" si="2307">FV$1*FC132/1000000</f>
        <v>0</v>
      </c>
      <c r="FW132" s="39">
        <f t="shared" si="2307"/>
        <v>0</v>
      </c>
      <c r="FX132" s="39">
        <f t="shared" ref="FX132:GC132" si="2308">FX$1*FE132</f>
        <v>0</v>
      </c>
      <c r="FY132" s="39">
        <f t="shared" si="2308"/>
        <v>0</v>
      </c>
      <c r="FZ132" s="39">
        <f t="shared" si="2308"/>
        <v>0</v>
      </c>
      <c r="GA132" s="39">
        <f t="shared" si="2308"/>
        <v>0</v>
      </c>
      <c r="GB132" s="39">
        <f t="shared" si="2308"/>
        <v>0</v>
      </c>
      <c r="GC132" s="39">
        <f t="shared" si="2308"/>
        <v>0</v>
      </c>
      <c r="GD132" s="39">
        <f t="shared" ref="GD132:GH132" si="2309">GD$1*FK132/1000000</f>
        <v>0</v>
      </c>
      <c r="GE132" s="39">
        <f t="shared" si="2309"/>
        <v>0</v>
      </c>
      <c r="GF132" s="39">
        <f t="shared" si="2309"/>
        <v>0</v>
      </c>
      <c r="GG132" s="39">
        <f t="shared" si="2309"/>
        <v>0</v>
      </c>
      <c r="GH132" s="39">
        <f t="shared" si="2309"/>
        <v>0</v>
      </c>
      <c r="GI132" s="39">
        <f t="shared" ref="GI132:GJ132" si="2310">GI$1*FP132</f>
        <v>0</v>
      </c>
      <c r="GJ132" s="39">
        <f t="shared" si="2310"/>
        <v>0</v>
      </c>
      <c r="GK132" s="2"/>
      <c r="GL132" s="39">
        <f t="shared" si="31"/>
        <v>0</v>
      </c>
      <c r="GM132" s="39">
        <f t="shared" si="32"/>
        <v>0</v>
      </c>
      <c r="GN132" s="2" t="s">
        <v>3</v>
      </c>
      <c r="GO132" s="2">
        <f t="shared" si="33"/>
        <v>175</v>
      </c>
      <c r="GP132" s="4">
        <f t="shared" si="34"/>
        <v>1.77</v>
      </c>
      <c r="GQ132" s="18">
        <f t="shared" si="35"/>
        <v>3097.5</v>
      </c>
      <c r="GR132" s="15">
        <f t="shared" si="36"/>
        <v>40620.615000000005</v>
      </c>
      <c r="GS132" s="15">
        <f t="shared" si="37"/>
        <v>232.11780000000002</v>
      </c>
      <c r="GT132" s="2">
        <f t="shared" si="38"/>
        <v>0</v>
      </c>
      <c r="GU132" s="2">
        <f t="shared" si="39"/>
        <v>0</v>
      </c>
      <c r="GV132" s="2">
        <f t="shared" si="40"/>
        <v>3097.5</v>
      </c>
      <c r="GW132" s="2">
        <f t="shared" si="41"/>
        <v>0</v>
      </c>
      <c r="GX132" s="2"/>
      <c r="GY132" s="2"/>
      <c r="GZ132" s="2"/>
      <c r="HA132" s="2"/>
      <c r="HB132" s="2">
        <f t="shared" si="42"/>
        <v>0</v>
      </c>
      <c r="HC132" s="2">
        <f t="shared" si="43"/>
        <v>0</v>
      </c>
      <c r="HD132" s="2" t="s">
        <v>3</v>
      </c>
      <c r="HE132" s="2" t="s">
        <v>37</v>
      </c>
      <c r="HF132" s="2" t="s">
        <v>106</v>
      </c>
      <c r="HG132" s="2" t="s">
        <v>106</v>
      </c>
      <c r="HH132" s="2"/>
      <c r="HI132" s="2" t="s">
        <v>100</v>
      </c>
      <c r="HJ132" s="2" t="s">
        <v>3</v>
      </c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 t="s">
        <v>3</v>
      </c>
    </row>
    <row r="133" spans="1:268" ht="15.75" customHeight="1" x14ac:dyDescent="0.2">
      <c r="A133" s="13" t="s">
        <v>291</v>
      </c>
      <c r="B133" s="2" t="s">
        <v>99</v>
      </c>
      <c r="C133" s="2"/>
      <c r="D133" s="2"/>
      <c r="E133" s="2" t="s">
        <v>78</v>
      </c>
      <c r="F133" s="2" t="s">
        <v>79</v>
      </c>
      <c r="G133" s="2"/>
      <c r="H133" s="2" t="s">
        <v>292</v>
      </c>
      <c r="I133" s="2">
        <v>0</v>
      </c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>
        <v>0</v>
      </c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>
        <v>194.6</v>
      </c>
      <c r="AZ133" s="2"/>
      <c r="BA133" s="2"/>
      <c r="BB133" s="2"/>
      <c r="BC133" s="2"/>
      <c r="BD133" s="2"/>
      <c r="BE133" s="2"/>
      <c r="BF133" s="2"/>
      <c r="BG133" s="2">
        <v>1.1000000000000001</v>
      </c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>
        <v>0</v>
      </c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>
        <v>0</v>
      </c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 t="s">
        <v>100</v>
      </c>
      <c r="DK133" s="2"/>
      <c r="DL133" s="2">
        <f t="shared" si="3"/>
        <v>1.1000000000000001</v>
      </c>
      <c r="DM133" s="2">
        <f t="shared" si="4"/>
        <v>0</v>
      </c>
      <c r="DN133" s="2" t="s">
        <v>113</v>
      </c>
      <c r="DO133" s="2" t="s">
        <v>3</v>
      </c>
      <c r="DP133" s="2">
        <f t="shared" si="5"/>
        <v>0</v>
      </c>
      <c r="DQ133" s="2">
        <f t="shared" ref="DQ133:DR133" si="2311">K133*$I133+AF133*$AD133+BA133*$AY133</f>
        <v>0</v>
      </c>
      <c r="DR133" s="2">
        <f t="shared" si="2311"/>
        <v>0</v>
      </c>
      <c r="DS133" s="2">
        <f t="shared" ref="DS133:DX133" si="2312">(M133*$I133+AH133*$AD133+BC133*$AY133)/100</f>
        <v>0</v>
      </c>
      <c r="DT133" s="2">
        <f t="shared" si="2312"/>
        <v>0</v>
      </c>
      <c r="DU133" s="2">
        <f t="shared" si="2312"/>
        <v>0</v>
      </c>
      <c r="DV133" s="2">
        <f t="shared" si="2312"/>
        <v>0</v>
      </c>
      <c r="DW133" s="2">
        <f t="shared" si="2312"/>
        <v>2.1406000000000001</v>
      </c>
      <c r="DX133" s="2">
        <f t="shared" si="2312"/>
        <v>0</v>
      </c>
      <c r="DY133" s="2">
        <f t="shared" ref="DY133:EC133" si="2313">S133*$I133+AN133*$AD133+BI133*$AY133</f>
        <v>0</v>
      </c>
      <c r="DZ133" s="2">
        <f t="shared" si="2313"/>
        <v>0</v>
      </c>
      <c r="EA133" s="2">
        <f t="shared" si="2313"/>
        <v>0</v>
      </c>
      <c r="EB133" s="2">
        <f t="shared" si="2313"/>
        <v>0</v>
      </c>
      <c r="EC133" s="2">
        <f t="shared" si="2313"/>
        <v>0</v>
      </c>
      <c r="ED133" s="2">
        <f t="shared" ref="ED133:EE133" si="2314">(X133*$I133+AS133*$AD133+BN133*$AY133)/100</f>
        <v>0</v>
      </c>
      <c r="EE133" s="2">
        <f t="shared" si="2314"/>
        <v>0</v>
      </c>
      <c r="EF133" s="2"/>
      <c r="EG133" s="2">
        <f t="shared" si="10"/>
        <v>0</v>
      </c>
      <c r="EH133" s="2">
        <f t="shared" si="11"/>
        <v>0</v>
      </c>
      <c r="EI133" s="39">
        <f t="shared" si="12"/>
        <v>0</v>
      </c>
      <c r="EJ133" s="39">
        <f t="shared" ref="EJ133:EK133" si="2315">EJ$1*DQ133/1000000</f>
        <v>0</v>
      </c>
      <c r="EK133" s="39">
        <f t="shared" si="2315"/>
        <v>0</v>
      </c>
      <c r="EL133" s="39">
        <f t="shared" ref="EL133:EQ133" si="2316">EL$1*DS133</f>
        <v>0</v>
      </c>
      <c r="EM133" s="39">
        <f t="shared" si="2316"/>
        <v>0</v>
      </c>
      <c r="EN133" s="39">
        <f t="shared" si="2316"/>
        <v>0</v>
      </c>
      <c r="EO133" s="39">
        <f t="shared" si="2316"/>
        <v>0</v>
      </c>
      <c r="EP133" s="39">
        <f t="shared" si="2316"/>
        <v>28071.828400000002</v>
      </c>
      <c r="EQ133" s="39">
        <f t="shared" si="2316"/>
        <v>0</v>
      </c>
      <c r="ER133" s="39">
        <f t="shared" ref="ER133:EV133" si="2317">ER$1*DY133/1000000</f>
        <v>0</v>
      </c>
      <c r="ES133" s="39">
        <f t="shared" si="2317"/>
        <v>0</v>
      </c>
      <c r="ET133" s="39">
        <f t="shared" si="2317"/>
        <v>0</v>
      </c>
      <c r="EU133" s="39">
        <f t="shared" si="2317"/>
        <v>0</v>
      </c>
      <c r="EV133" s="39">
        <f t="shared" si="2317"/>
        <v>0</v>
      </c>
      <c r="EW133" s="39">
        <f t="shared" ref="EW133:EX133" si="2318">EW$1*ED133</f>
        <v>0</v>
      </c>
      <c r="EX133" s="39">
        <f t="shared" si="2318"/>
        <v>0</v>
      </c>
      <c r="EY133" s="2"/>
      <c r="EZ133" s="39">
        <f t="shared" si="17"/>
        <v>0</v>
      </c>
      <c r="FA133" s="39">
        <f t="shared" si="18"/>
        <v>0</v>
      </c>
      <c r="FB133" s="2">
        <f t="shared" si="19"/>
        <v>0</v>
      </c>
      <c r="FC133" s="2">
        <f t="shared" ref="FC133:FD133" si="2319">BV133*$BT133+CQ133*$CO133</f>
        <v>0</v>
      </c>
      <c r="FD133" s="2">
        <f t="shared" si="2319"/>
        <v>0</v>
      </c>
      <c r="FE133" s="2">
        <f t="shared" ref="FE133:FJ133" si="2320">(BX133*$BT133+CS133*$CO133)/100</f>
        <v>0</v>
      </c>
      <c r="FF133" s="2">
        <f t="shared" si="2320"/>
        <v>0</v>
      </c>
      <c r="FG133" s="2">
        <f t="shared" si="2320"/>
        <v>0</v>
      </c>
      <c r="FH133" s="2">
        <f t="shared" si="2320"/>
        <v>0</v>
      </c>
      <c r="FI133" s="2">
        <f t="shared" si="2320"/>
        <v>0</v>
      </c>
      <c r="FJ133" s="2">
        <f t="shared" si="2320"/>
        <v>0</v>
      </c>
      <c r="FK133" s="2">
        <f t="shared" ref="FK133:FO133" si="2321">CD133*$BT133+CY133*$CO133</f>
        <v>0</v>
      </c>
      <c r="FL133" s="2">
        <f t="shared" si="2321"/>
        <v>0</v>
      </c>
      <c r="FM133" s="2">
        <f t="shared" si="2321"/>
        <v>0</v>
      </c>
      <c r="FN133" s="2">
        <f t="shared" si="2321"/>
        <v>0</v>
      </c>
      <c r="FO133" s="2">
        <f t="shared" si="2321"/>
        <v>0</v>
      </c>
      <c r="FP133" s="2">
        <f t="shared" ref="FP133:FQ133" si="2322">(CI133*$BT133+DD133*$CO133)/100</f>
        <v>0</v>
      </c>
      <c r="FQ133" s="2">
        <f t="shared" si="2322"/>
        <v>0</v>
      </c>
      <c r="FR133" s="2"/>
      <c r="FS133" s="2">
        <f t="shared" si="24"/>
        <v>0</v>
      </c>
      <c r="FT133" s="2">
        <f t="shared" si="25"/>
        <v>0</v>
      </c>
      <c r="FU133" s="39">
        <f t="shared" si="26"/>
        <v>0</v>
      </c>
      <c r="FV133" s="39">
        <f t="shared" ref="FV133:FW133" si="2323">FV$1*FC133/1000000</f>
        <v>0</v>
      </c>
      <c r="FW133" s="39">
        <f t="shared" si="2323"/>
        <v>0</v>
      </c>
      <c r="FX133" s="39">
        <f t="shared" ref="FX133:GC133" si="2324">FX$1*FE133</f>
        <v>0</v>
      </c>
      <c r="FY133" s="39">
        <f t="shared" si="2324"/>
        <v>0</v>
      </c>
      <c r="FZ133" s="39">
        <f t="shared" si="2324"/>
        <v>0</v>
      </c>
      <c r="GA133" s="39">
        <f t="shared" si="2324"/>
        <v>0</v>
      </c>
      <c r="GB133" s="39">
        <f t="shared" si="2324"/>
        <v>0</v>
      </c>
      <c r="GC133" s="39">
        <f t="shared" si="2324"/>
        <v>0</v>
      </c>
      <c r="GD133" s="39">
        <f t="shared" ref="GD133:GH133" si="2325">GD$1*FK133/1000000</f>
        <v>0</v>
      </c>
      <c r="GE133" s="39">
        <f t="shared" si="2325"/>
        <v>0</v>
      </c>
      <c r="GF133" s="39">
        <f t="shared" si="2325"/>
        <v>0</v>
      </c>
      <c r="GG133" s="39">
        <f t="shared" si="2325"/>
        <v>0</v>
      </c>
      <c r="GH133" s="39">
        <f t="shared" si="2325"/>
        <v>0</v>
      </c>
      <c r="GI133" s="39">
        <f t="shared" ref="GI133:GJ133" si="2326">GI$1*FP133</f>
        <v>0</v>
      </c>
      <c r="GJ133" s="39">
        <f t="shared" si="2326"/>
        <v>0</v>
      </c>
      <c r="GK133" s="2"/>
      <c r="GL133" s="39">
        <f t="shared" si="31"/>
        <v>0</v>
      </c>
      <c r="GM133" s="39">
        <f t="shared" si="32"/>
        <v>0</v>
      </c>
      <c r="GN133" s="2" t="s">
        <v>3</v>
      </c>
      <c r="GO133" s="2">
        <f t="shared" si="33"/>
        <v>194.6</v>
      </c>
      <c r="GP133" s="4">
        <f t="shared" si="34"/>
        <v>1.1000000000000001</v>
      </c>
      <c r="GQ133" s="18">
        <f t="shared" si="35"/>
        <v>2140.6000000000004</v>
      </c>
      <c r="GR133" s="15">
        <f t="shared" si="36"/>
        <v>28071.828400000002</v>
      </c>
      <c r="GS133" s="15">
        <f t="shared" si="37"/>
        <v>144.25400000000002</v>
      </c>
      <c r="GT133" s="2">
        <f t="shared" si="38"/>
        <v>0</v>
      </c>
      <c r="GU133" s="2">
        <f t="shared" si="39"/>
        <v>0</v>
      </c>
      <c r="GV133" s="2">
        <f t="shared" si="40"/>
        <v>2140.6</v>
      </c>
      <c r="GW133" s="2">
        <f t="shared" si="41"/>
        <v>0</v>
      </c>
      <c r="GX133" s="2"/>
      <c r="GY133" s="2"/>
      <c r="GZ133" s="2"/>
      <c r="HA133" s="2"/>
      <c r="HB133" s="2">
        <f t="shared" si="42"/>
        <v>0</v>
      </c>
      <c r="HC133" s="2">
        <f t="shared" si="43"/>
        <v>0</v>
      </c>
      <c r="HD133" s="2" t="s">
        <v>3</v>
      </c>
      <c r="HE133" s="2" t="s">
        <v>37</v>
      </c>
      <c r="HF133" s="2" t="s">
        <v>106</v>
      </c>
      <c r="HG133" s="2" t="s">
        <v>106</v>
      </c>
      <c r="HH133" s="2"/>
      <c r="HI133" s="2" t="s">
        <v>100</v>
      </c>
      <c r="HJ133" s="2" t="s">
        <v>3</v>
      </c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 t="s">
        <v>3</v>
      </c>
    </row>
    <row r="134" spans="1:268" ht="15.75" customHeight="1" x14ac:dyDescent="0.2">
      <c r="A134" s="13" t="s">
        <v>869</v>
      </c>
      <c r="B134" s="2" t="s">
        <v>99</v>
      </c>
      <c r="C134" s="2"/>
      <c r="D134" s="2"/>
      <c r="E134" s="2"/>
      <c r="F134" s="2" t="s">
        <v>79</v>
      </c>
      <c r="G134" s="2"/>
      <c r="H134" s="2"/>
      <c r="I134" s="2">
        <v>0</v>
      </c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>
        <v>0</v>
      </c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>
        <v>12.25</v>
      </c>
      <c r="AZ134" s="2"/>
      <c r="BA134" s="2"/>
      <c r="BB134" s="2"/>
      <c r="BC134" s="2"/>
      <c r="BD134" s="2"/>
      <c r="BE134" s="2"/>
      <c r="BF134" s="2"/>
      <c r="BG134" s="2">
        <v>0.83</v>
      </c>
      <c r="BH134" s="2">
        <v>4.4999999999999998E-2</v>
      </c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>
        <v>0</v>
      </c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>
        <v>0</v>
      </c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 t="s">
        <v>100</v>
      </c>
      <c r="DK134" s="2" t="s">
        <v>100</v>
      </c>
      <c r="DL134" s="2">
        <f t="shared" si="3"/>
        <v>0.82999999999999985</v>
      </c>
      <c r="DM134" s="2">
        <f t="shared" si="4"/>
        <v>4.4999999999999998E-2</v>
      </c>
      <c r="DN134" s="2" t="s">
        <v>485</v>
      </c>
      <c r="DO134" s="2" t="s">
        <v>3</v>
      </c>
      <c r="DP134" s="2">
        <f t="shared" si="5"/>
        <v>0</v>
      </c>
      <c r="DQ134" s="2">
        <f t="shared" ref="DQ134:DR134" si="2327">K134*$I134+AF134*$AD134+BA134*$AY134</f>
        <v>0</v>
      </c>
      <c r="DR134" s="2">
        <f t="shared" si="2327"/>
        <v>0</v>
      </c>
      <c r="DS134" s="2">
        <f t="shared" ref="DS134:DX134" si="2328">(M134*$I134+AH134*$AD134+BC134*$AY134)/100</f>
        <v>0</v>
      </c>
      <c r="DT134" s="2">
        <f t="shared" si="2328"/>
        <v>0</v>
      </c>
      <c r="DU134" s="2">
        <f t="shared" si="2328"/>
        <v>0</v>
      </c>
      <c r="DV134" s="2">
        <f t="shared" si="2328"/>
        <v>0</v>
      </c>
      <c r="DW134" s="2">
        <f t="shared" si="2328"/>
        <v>0.10167499999999999</v>
      </c>
      <c r="DX134" s="2">
        <f t="shared" si="2328"/>
        <v>5.5125E-3</v>
      </c>
      <c r="DY134" s="2">
        <f t="shared" ref="DY134:EC134" si="2329">S134*$I134+AN134*$AD134+BI134*$AY134</f>
        <v>0</v>
      </c>
      <c r="DZ134" s="2">
        <f t="shared" si="2329"/>
        <v>0</v>
      </c>
      <c r="EA134" s="2">
        <f t="shared" si="2329"/>
        <v>0</v>
      </c>
      <c r="EB134" s="2">
        <f t="shared" si="2329"/>
        <v>0</v>
      </c>
      <c r="EC134" s="2">
        <f t="shared" si="2329"/>
        <v>0</v>
      </c>
      <c r="ED134" s="2">
        <f t="shared" ref="ED134:EE134" si="2330">(X134*$I134+AS134*$AD134+BN134*$AY134)/100</f>
        <v>0</v>
      </c>
      <c r="EE134" s="2">
        <f t="shared" si="2330"/>
        <v>0</v>
      </c>
      <c r="EF134" s="2"/>
      <c r="EG134" s="2">
        <f t="shared" si="10"/>
        <v>0</v>
      </c>
      <c r="EH134" s="2">
        <f t="shared" si="11"/>
        <v>0</v>
      </c>
      <c r="EI134" s="39">
        <f t="shared" si="12"/>
        <v>0</v>
      </c>
      <c r="EJ134" s="39">
        <f t="shared" ref="EJ134:EK134" si="2331">EJ$1*DQ134/1000000</f>
        <v>0</v>
      </c>
      <c r="EK134" s="39">
        <f t="shared" si="2331"/>
        <v>0</v>
      </c>
      <c r="EL134" s="39">
        <f t="shared" ref="EL134:EQ134" si="2332">EL$1*DS134</f>
        <v>0</v>
      </c>
      <c r="EM134" s="39">
        <f t="shared" si="2332"/>
        <v>0</v>
      </c>
      <c r="EN134" s="39">
        <f t="shared" si="2332"/>
        <v>0</v>
      </c>
      <c r="EO134" s="39">
        <f t="shared" si="2332"/>
        <v>0</v>
      </c>
      <c r="EP134" s="39">
        <f t="shared" si="2332"/>
        <v>1333.3659499999999</v>
      </c>
      <c r="EQ134" s="39">
        <f t="shared" si="2332"/>
        <v>400.31512604999995</v>
      </c>
      <c r="ER134" s="39">
        <f t="shared" ref="ER134:EV134" si="2333">ER$1*DY134/1000000</f>
        <v>0</v>
      </c>
      <c r="ES134" s="39">
        <f t="shared" si="2333"/>
        <v>0</v>
      </c>
      <c r="ET134" s="39">
        <f t="shared" si="2333"/>
        <v>0</v>
      </c>
      <c r="EU134" s="39">
        <f t="shared" si="2333"/>
        <v>0</v>
      </c>
      <c r="EV134" s="39">
        <f t="shared" si="2333"/>
        <v>0</v>
      </c>
      <c r="EW134" s="39">
        <f t="shared" ref="EW134:EX134" si="2334">EW$1*ED134</f>
        <v>0</v>
      </c>
      <c r="EX134" s="39">
        <f t="shared" si="2334"/>
        <v>0</v>
      </c>
      <c r="EY134" s="2"/>
      <c r="EZ134" s="39">
        <f t="shared" si="17"/>
        <v>0</v>
      </c>
      <c r="FA134" s="39">
        <f t="shared" si="18"/>
        <v>0</v>
      </c>
      <c r="FB134" s="2">
        <f t="shared" si="19"/>
        <v>0</v>
      </c>
      <c r="FC134" s="2">
        <f t="shared" ref="FC134:FD134" si="2335">BV134*$BT134+CQ134*$CO134</f>
        <v>0</v>
      </c>
      <c r="FD134" s="2">
        <f t="shared" si="2335"/>
        <v>0</v>
      </c>
      <c r="FE134" s="2">
        <f t="shared" ref="FE134:FJ134" si="2336">(BX134*$BT134+CS134*$CO134)/100</f>
        <v>0</v>
      </c>
      <c r="FF134" s="2">
        <f t="shared" si="2336"/>
        <v>0</v>
      </c>
      <c r="FG134" s="2">
        <f t="shared" si="2336"/>
        <v>0</v>
      </c>
      <c r="FH134" s="2">
        <f t="shared" si="2336"/>
        <v>0</v>
      </c>
      <c r="FI134" s="2">
        <f t="shared" si="2336"/>
        <v>0</v>
      </c>
      <c r="FJ134" s="2">
        <f t="shared" si="2336"/>
        <v>0</v>
      </c>
      <c r="FK134" s="2">
        <f t="shared" ref="FK134:FO134" si="2337">CD134*$BT134+CY134*$CO134</f>
        <v>0</v>
      </c>
      <c r="FL134" s="2">
        <f t="shared" si="2337"/>
        <v>0</v>
      </c>
      <c r="FM134" s="2">
        <f t="shared" si="2337"/>
        <v>0</v>
      </c>
      <c r="FN134" s="2">
        <f t="shared" si="2337"/>
        <v>0</v>
      </c>
      <c r="FO134" s="2">
        <f t="shared" si="2337"/>
        <v>0</v>
      </c>
      <c r="FP134" s="2">
        <f t="shared" ref="FP134:FQ134" si="2338">(CI134*$BT134+DD134*$CO134)/100</f>
        <v>0</v>
      </c>
      <c r="FQ134" s="2">
        <f t="shared" si="2338"/>
        <v>0</v>
      </c>
      <c r="FR134" s="2"/>
      <c r="FS134" s="2">
        <f t="shared" si="24"/>
        <v>0</v>
      </c>
      <c r="FT134" s="2">
        <f t="shared" si="25"/>
        <v>0</v>
      </c>
      <c r="FU134" s="39">
        <f t="shared" si="26"/>
        <v>0</v>
      </c>
      <c r="FV134" s="39">
        <f t="shared" ref="FV134:FW134" si="2339">FV$1*FC134/1000000</f>
        <v>0</v>
      </c>
      <c r="FW134" s="39">
        <f t="shared" si="2339"/>
        <v>0</v>
      </c>
      <c r="FX134" s="39">
        <f t="shared" ref="FX134:GC134" si="2340">FX$1*FE134</f>
        <v>0</v>
      </c>
      <c r="FY134" s="39">
        <f t="shared" si="2340"/>
        <v>0</v>
      </c>
      <c r="FZ134" s="39">
        <f t="shared" si="2340"/>
        <v>0</v>
      </c>
      <c r="GA134" s="39">
        <f t="shared" si="2340"/>
        <v>0</v>
      </c>
      <c r="GB134" s="39">
        <f t="shared" si="2340"/>
        <v>0</v>
      </c>
      <c r="GC134" s="39">
        <f t="shared" si="2340"/>
        <v>0</v>
      </c>
      <c r="GD134" s="39">
        <f t="shared" ref="GD134:GH134" si="2341">GD$1*FK134/1000000</f>
        <v>0</v>
      </c>
      <c r="GE134" s="39">
        <f t="shared" si="2341"/>
        <v>0</v>
      </c>
      <c r="GF134" s="39">
        <f t="shared" si="2341"/>
        <v>0</v>
      </c>
      <c r="GG134" s="39">
        <f t="shared" si="2341"/>
        <v>0</v>
      </c>
      <c r="GH134" s="39">
        <f t="shared" si="2341"/>
        <v>0</v>
      </c>
      <c r="GI134" s="39">
        <f t="shared" ref="GI134:GJ134" si="2342">GI$1*FP134</f>
        <v>0</v>
      </c>
      <c r="GJ134" s="39">
        <f t="shared" si="2342"/>
        <v>0</v>
      </c>
      <c r="GK134" s="2"/>
      <c r="GL134" s="39">
        <f t="shared" si="31"/>
        <v>0</v>
      </c>
      <c r="GM134" s="39">
        <f t="shared" si="32"/>
        <v>0</v>
      </c>
      <c r="GN134" s="2" t="s">
        <v>3</v>
      </c>
      <c r="GO134" s="2">
        <f t="shared" si="33"/>
        <v>12.25</v>
      </c>
      <c r="GP134" s="2">
        <f t="shared" si="34"/>
        <v>0.82999999999999985</v>
      </c>
      <c r="GQ134" s="15">
        <f t="shared" si="35"/>
        <v>101.67499999999998</v>
      </c>
      <c r="GR134" s="15">
        <f t="shared" si="36"/>
        <v>1733.6810760499998</v>
      </c>
      <c r="GS134" s="15">
        <f t="shared" si="37"/>
        <v>141.52498579999997</v>
      </c>
      <c r="GT134" s="2">
        <f t="shared" si="38"/>
        <v>0</v>
      </c>
      <c r="GU134" s="2">
        <f t="shared" si="39"/>
        <v>0</v>
      </c>
      <c r="GV134" s="2">
        <f t="shared" si="40"/>
        <v>101.67499999999998</v>
      </c>
      <c r="GW134" s="2">
        <f t="shared" si="41"/>
        <v>0</v>
      </c>
      <c r="GX134" s="2"/>
      <c r="GY134" s="2"/>
      <c r="GZ134" s="2"/>
      <c r="HA134" s="2"/>
      <c r="HB134" s="2">
        <f t="shared" si="42"/>
        <v>0</v>
      </c>
      <c r="HC134" s="2">
        <f t="shared" si="43"/>
        <v>0</v>
      </c>
      <c r="HD134" s="2" t="s">
        <v>3</v>
      </c>
      <c r="HE134" s="2" t="s">
        <v>37</v>
      </c>
      <c r="HF134" s="2" t="s">
        <v>106</v>
      </c>
      <c r="HG134" s="2" t="s">
        <v>106</v>
      </c>
      <c r="HH134" s="2"/>
      <c r="HI134" s="2" t="s">
        <v>100</v>
      </c>
      <c r="HJ134" s="2" t="s">
        <v>3</v>
      </c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 t="s">
        <v>3</v>
      </c>
    </row>
    <row r="135" spans="1:268" ht="15.75" customHeight="1" x14ac:dyDescent="0.2">
      <c r="A135" s="13" t="s">
        <v>484</v>
      </c>
      <c r="B135" s="2" t="s">
        <v>99</v>
      </c>
      <c r="C135" s="2"/>
      <c r="D135" s="2"/>
      <c r="E135" s="2"/>
      <c r="F135" s="2" t="s">
        <v>79</v>
      </c>
      <c r="G135" s="2"/>
      <c r="H135" s="2"/>
      <c r="I135" s="2">
        <v>0</v>
      </c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>
        <v>0</v>
      </c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15">
        <f>37.5*0.9072</f>
        <v>34.020000000000003</v>
      </c>
      <c r="AZ135" s="2"/>
      <c r="BA135" s="2"/>
      <c r="BB135" s="2"/>
      <c r="BC135" s="2"/>
      <c r="BD135" s="2"/>
      <c r="BE135" s="2"/>
      <c r="BF135" s="2"/>
      <c r="BG135" s="2">
        <v>0.86</v>
      </c>
      <c r="BH135" s="2">
        <v>0.09</v>
      </c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>
        <v>0</v>
      </c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>
        <v>0</v>
      </c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 t="s">
        <v>100</v>
      </c>
      <c r="DK135" s="2" t="s">
        <v>100</v>
      </c>
      <c r="DL135" s="2">
        <f t="shared" si="3"/>
        <v>0.86</v>
      </c>
      <c r="DM135" s="2">
        <f t="shared" si="4"/>
        <v>0.09</v>
      </c>
      <c r="DN135" s="2" t="s">
        <v>485</v>
      </c>
      <c r="DO135" s="2" t="s">
        <v>3</v>
      </c>
      <c r="DP135" s="2">
        <f t="shared" si="5"/>
        <v>0</v>
      </c>
      <c r="DQ135" s="2">
        <f t="shared" ref="DQ135:DR135" si="2343">K135*$I135+AF135*$AD135+BA135*$AY135</f>
        <v>0</v>
      </c>
      <c r="DR135" s="2">
        <f t="shared" si="2343"/>
        <v>0</v>
      </c>
      <c r="DS135" s="2">
        <f t="shared" ref="DS135:DX135" si="2344">(M135*$I135+AH135*$AD135+BC135*$AY135)/100</f>
        <v>0</v>
      </c>
      <c r="DT135" s="2">
        <f t="shared" si="2344"/>
        <v>0</v>
      </c>
      <c r="DU135" s="2">
        <f t="shared" si="2344"/>
        <v>0</v>
      </c>
      <c r="DV135" s="2">
        <f t="shared" si="2344"/>
        <v>0</v>
      </c>
      <c r="DW135" s="2">
        <f t="shared" si="2344"/>
        <v>0.292572</v>
      </c>
      <c r="DX135" s="2">
        <f t="shared" si="2344"/>
        <v>3.0618000000000003E-2</v>
      </c>
      <c r="DY135" s="2">
        <f t="shared" ref="DY135:EC135" si="2345">S135*$I135+AN135*$AD135+BI135*$AY135</f>
        <v>0</v>
      </c>
      <c r="DZ135" s="2">
        <f t="shared" si="2345"/>
        <v>0</v>
      </c>
      <c r="EA135" s="2">
        <f t="shared" si="2345"/>
        <v>0</v>
      </c>
      <c r="EB135" s="2">
        <f t="shared" si="2345"/>
        <v>0</v>
      </c>
      <c r="EC135" s="2">
        <f t="shared" si="2345"/>
        <v>0</v>
      </c>
      <c r="ED135" s="2">
        <f t="shared" ref="ED135:EE135" si="2346">(X135*$I135+AS135*$AD135+BN135*$AY135)/100</f>
        <v>0</v>
      </c>
      <c r="EE135" s="2">
        <f t="shared" si="2346"/>
        <v>0</v>
      </c>
      <c r="EF135" s="2"/>
      <c r="EG135" s="2">
        <f t="shared" si="10"/>
        <v>0</v>
      </c>
      <c r="EH135" s="2">
        <f t="shared" si="11"/>
        <v>0</v>
      </c>
      <c r="EI135" s="39">
        <f t="shared" si="12"/>
        <v>0</v>
      </c>
      <c r="EJ135" s="39">
        <f t="shared" ref="EJ135:EK135" si="2347">EJ$1*DQ135/1000000</f>
        <v>0</v>
      </c>
      <c r="EK135" s="39">
        <f t="shared" si="2347"/>
        <v>0</v>
      </c>
      <c r="EL135" s="39">
        <f t="shared" ref="EL135:EQ135" si="2348">EL$1*DS135</f>
        <v>0</v>
      </c>
      <c r="EM135" s="39">
        <f t="shared" si="2348"/>
        <v>0</v>
      </c>
      <c r="EN135" s="39">
        <f t="shared" si="2348"/>
        <v>0</v>
      </c>
      <c r="EO135" s="39">
        <f t="shared" si="2348"/>
        <v>0</v>
      </c>
      <c r="EP135" s="39">
        <f t="shared" si="2348"/>
        <v>3836.7892080000001</v>
      </c>
      <c r="EQ135" s="39">
        <f t="shared" si="2348"/>
        <v>2223.464585832</v>
      </c>
      <c r="ER135" s="39">
        <f t="shared" ref="ER135:EV135" si="2349">ER$1*DY135/1000000</f>
        <v>0</v>
      </c>
      <c r="ES135" s="39">
        <f t="shared" si="2349"/>
        <v>0</v>
      </c>
      <c r="ET135" s="39">
        <f t="shared" si="2349"/>
        <v>0</v>
      </c>
      <c r="EU135" s="39">
        <f t="shared" si="2349"/>
        <v>0</v>
      </c>
      <c r="EV135" s="39">
        <f t="shared" si="2349"/>
        <v>0</v>
      </c>
      <c r="EW135" s="39">
        <f t="shared" ref="EW135:EX135" si="2350">EW$1*ED135</f>
        <v>0</v>
      </c>
      <c r="EX135" s="39">
        <f t="shared" si="2350"/>
        <v>0</v>
      </c>
      <c r="EY135" s="2"/>
      <c r="EZ135" s="39">
        <f t="shared" si="17"/>
        <v>0</v>
      </c>
      <c r="FA135" s="39">
        <f t="shared" si="18"/>
        <v>0</v>
      </c>
      <c r="FB135" s="2">
        <f t="shared" si="19"/>
        <v>0</v>
      </c>
      <c r="FC135" s="2">
        <f t="shared" ref="FC135:FD135" si="2351">BV135*$BT135+CQ135*$CO135</f>
        <v>0</v>
      </c>
      <c r="FD135" s="2">
        <f t="shared" si="2351"/>
        <v>0</v>
      </c>
      <c r="FE135" s="2">
        <f t="shared" ref="FE135:FJ135" si="2352">(BX135*$BT135+CS135*$CO135)/100</f>
        <v>0</v>
      </c>
      <c r="FF135" s="2">
        <f t="shared" si="2352"/>
        <v>0</v>
      </c>
      <c r="FG135" s="2">
        <f t="shared" si="2352"/>
        <v>0</v>
      </c>
      <c r="FH135" s="2">
        <f t="shared" si="2352"/>
        <v>0</v>
      </c>
      <c r="FI135" s="2">
        <f t="shared" si="2352"/>
        <v>0</v>
      </c>
      <c r="FJ135" s="2">
        <f t="shared" si="2352"/>
        <v>0</v>
      </c>
      <c r="FK135" s="2">
        <f t="shared" ref="FK135:FO135" si="2353">CD135*$BT135+CY135*$CO135</f>
        <v>0</v>
      </c>
      <c r="FL135" s="2">
        <f t="shared" si="2353"/>
        <v>0</v>
      </c>
      <c r="FM135" s="2">
        <f t="shared" si="2353"/>
        <v>0</v>
      </c>
      <c r="FN135" s="2">
        <f t="shared" si="2353"/>
        <v>0</v>
      </c>
      <c r="FO135" s="2">
        <f t="shared" si="2353"/>
        <v>0</v>
      </c>
      <c r="FP135" s="2">
        <f t="shared" ref="FP135:FQ135" si="2354">(CI135*$BT135+DD135*$CO135)/100</f>
        <v>0</v>
      </c>
      <c r="FQ135" s="2">
        <f t="shared" si="2354"/>
        <v>0</v>
      </c>
      <c r="FR135" s="2"/>
      <c r="FS135" s="2">
        <f t="shared" si="24"/>
        <v>0</v>
      </c>
      <c r="FT135" s="2">
        <f t="shared" si="25"/>
        <v>0</v>
      </c>
      <c r="FU135" s="39">
        <f t="shared" si="26"/>
        <v>0</v>
      </c>
      <c r="FV135" s="39">
        <f t="shared" ref="FV135:FW135" si="2355">FV$1*FC135/1000000</f>
        <v>0</v>
      </c>
      <c r="FW135" s="39">
        <f t="shared" si="2355"/>
        <v>0</v>
      </c>
      <c r="FX135" s="39">
        <f t="shared" ref="FX135:GC135" si="2356">FX$1*FE135</f>
        <v>0</v>
      </c>
      <c r="FY135" s="39">
        <f t="shared" si="2356"/>
        <v>0</v>
      </c>
      <c r="FZ135" s="39">
        <f t="shared" si="2356"/>
        <v>0</v>
      </c>
      <c r="GA135" s="39">
        <f t="shared" si="2356"/>
        <v>0</v>
      </c>
      <c r="GB135" s="39">
        <f t="shared" si="2356"/>
        <v>0</v>
      </c>
      <c r="GC135" s="39">
        <f t="shared" si="2356"/>
        <v>0</v>
      </c>
      <c r="GD135" s="39">
        <f t="shared" ref="GD135:GH135" si="2357">GD$1*FK135/1000000</f>
        <v>0</v>
      </c>
      <c r="GE135" s="39">
        <f t="shared" si="2357"/>
        <v>0</v>
      </c>
      <c r="GF135" s="39">
        <f t="shared" si="2357"/>
        <v>0</v>
      </c>
      <c r="GG135" s="39">
        <f t="shared" si="2357"/>
        <v>0</v>
      </c>
      <c r="GH135" s="39">
        <f t="shared" si="2357"/>
        <v>0</v>
      </c>
      <c r="GI135" s="39">
        <f t="shared" ref="GI135:GJ135" si="2358">GI$1*FP135</f>
        <v>0</v>
      </c>
      <c r="GJ135" s="39">
        <f t="shared" si="2358"/>
        <v>0</v>
      </c>
      <c r="GK135" s="2"/>
      <c r="GL135" s="39">
        <f t="shared" si="31"/>
        <v>0</v>
      </c>
      <c r="GM135" s="39">
        <f t="shared" si="32"/>
        <v>0</v>
      </c>
      <c r="GN135" s="2" t="s">
        <v>3</v>
      </c>
      <c r="GO135" s="15">
        <f t="shared" si="33"/>
        <v>34.020000000000003</v>
      </c>
      <c r="GP135" s="2">
        <f t="shared" si="34"/>
        <v>0.86</v>
      </c>
      <c r="GQ135" s="15">
        <f t="shared" si="35"/>
        <v>292.572</v>
      </c>
      <c r="GR135" s="15">
        <f t="shared" si="36"/>
        <v>6060.2537938320002</v>
      </c>
      <c r="GS135" s="15">
        <f t="shared" si="37"/>
        <v>178.13797159999999</v>
      </c>
      <c r="GT135" s="2">
        <f t="shared" si="38"/>
        <v>0</v>
      </c>
      <c r="GU135" s="2">
        <f t="shared" si="39"/>
        <v>0</v>
      </c>
      <c r="GV135" s="2">
        <f t="shared" si="40"/>
        <v>292.572</v>
      </c>
      <c r="GW135" s="2">
        <f t="shared" si="41"/>
        <v>0</v>
      </c>
      <c r="GX135" s="2"/>
      <c r="GY135" s="2"/>
      <c r="GZ135" s="2"/>
      <c r="HA135" s="2"/>
      <c r="HB135" s="2">
        <f t="shared" si="42"/>
        <v>0</v>
      </c>
      <c r="HC135" s="2">
        <f t="shared" si="43"/>
        <v>0</v>
      </c>
      <c r="HD135" s="2" t="s">
        <v>3</v>
      </c>
      <c r="HE135" s="2" t="s">
        <v>37</v>
      </c>
      <c r="HF135" s="2" t="s">
        <v>106</v>
      </c>
      <c r="HG135" s="2" t="s">
        <v>106</v>
      </c>
      <c r="HH135" s="2"/>
      <c r="HI135" s="2" t="s">
        <v>100</v>
      </c>
      <c r="HJ135" s="2" t="s">
        <v>3</v>
      </c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 t="s">
        <v>3</v>
      </c>
    </row>
    <row r="136" spans="1:268" ht="15.75" customHeight="1" x14ac:dyDescent="0.2">
      <c r="A136" s="13" t="s">
        <v>1047</v>
      </c>
      <c r="B136" s="2" t="s">
        <v>99</v>
      </c>
      <c r="C136" s="2"/>
      <c r="D136" s="2"/>
      <c r="E136" s="2"/>
      <c r="F136" s="2" t="s">
        <v>79</v>
      </c>
      <c r="G136" s="2"/>
      <c r="H136" s="2"/>
      <c r="I136" s="2">
        <v>0</v>
      </c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>
        <v>0</v>
      </c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15">
        <f>(3+3+10)*0.9072</f>
        <v>14.5152</v>
      </c>
      <c r="AZ136" s="2"/>
      <c r="BA136" s="2"/>
      <c r="BB136" s="2"/>
      <c r="BC136" s="2"/>
      <c r="BD136" s="2"/>
      <c r="BE136" s="2"/>
      <c r="BF136" s="2"/>
      <c r="BG136" s="2">
        <v>0.91</v>
      </c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>
        <v>0</v>
      </c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>
        <v>0</v>
      </c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 t="s">
        <v>100</v>
      </c>
      <c r="DK136" s="2"/>
      <c r="DL136" s="2">
        <f t="shared" si="3"/>
        <v>0.91</v>
      </c>
      <c r="DM136" s="2">
        <f t="shared" si="4"/>
        <v>0</v>
      </c>
      <c r="DN136" s="2" t="s">
        <v>485</v>
      </c>
      <c r="DO136" s="2" t="s">
        <v>3</v>
      </c>
      <c r="DP136" s="2">
        <f t="shared" si="5"/>
        <v>0</v>
      </c>
      <c r="DQ136" s="2">
        <f t="shared" ref="DQ136:DR136" si="2359">K136*$I136+AF136*$AD136+BA136*$AY136</f>
        <v>0</v>
      </c>
      <c r="DR136" s="2">
        <f t="shared" si="2359"/>
        <v>0</v>
      </c>
      <c r="DS136" s="2">
        <f t="shared" ref="DS136:DX136" si="2360">(M136*$I136+AH136*$AD136+BC136*$AY136)/100</f>
        <v>0</v>
      </c>
      <c r="DT136" s="2">
        <f t="shared" si="2360"/>
        <v>0</v>
      </c>
      <c r="DU136" s="2">
        <f t="shared" si="2360"/>
        <v>0</v>
      </c>
      <c r="DV136" s="2">
        <f t="shared" si="2360"/>
        <v>0</v>
      </c>
      <c r="DW136" s="2">
        <f t="shared" si="2360"/>
        <v>0.13208832000000001</v>
      </c>
      <c r="DX136" s="2">
        <f t="shared" si="2360"/>
        <v>0</v>
      </c>
      <c r="DY136" s="2">
        <f t="shared" ref="DY136:EC136" si="2361">S136*$I136+AN136*$AD136+BI136*$AY136</f>
        <v>0</v>
      </c>
      <c r="DZ136" s="2">
        <f t="shared" si="2361"/>
        <v>0</v>
      </c>
      <c r="EA136" s="2">
        <f t="shared" si="2361"/>
        <v>0</v>
      </c>
      <c r="EB136" s="2">
        <f t="shared" si="2361"/>
        <v>0</v>
      </c>
      <c r="EC136" s="2">
        <f t="shared" si="2361"/>
        <v>0</v>
      </c>
      <c r="ED136" s="2">
        <f t="shared" ref="ED136:EE136" si="2362">(X136*$I136+AS136*$AD136+BN136*$AY136)/100</f>
        <v>0</v>
      </c>
      <c r="EE136" s="2">
        <f t="shared" si="2362"/>
        <v>0</v>
      </c>
      <c r="EF136" s="2"/>
      <c r="EG136" s="2">
        <f t="shared" si="10"/>
        <v>0</v>
      </c>
      <c r="EH136" s="2">
        <f t="shared" si="11"/>
        <v>0</v>
      </c>
      <c r="EI136" s="39">
        <f t="shared" si="12"/>
        <v>0</v>
      </c>
      <c r="EJ136" s="39">
        <f t="shared" ref="EJ136:EK136" si="2363">EJ$1*DQ136/1000000</f>
        <v>0</v>
      </c>
      <c r="EK136" s="39">
        <f t="shared" si="2363"/>
        <v>0</v>
      </c>
      <c r="EL136" s="39">
        <f t="shared" ref="EL136:EQ136" si="2364">EL$1*DS136</f>
        <v>0</v>
      </c>
      <c r="EM136" s="39">
        <f t="shared" si="2364"/>
        <v>0</v>
      </c>
      <c r="EN136" s="39">
        <f t="shared" si="2364"/>
        <v>0</v>
      </c>
      <c r="EO136" s="39">
        <f t="shared" si="2364"/>
        <v>0</v>
      </c>
      <c r="EP136" s="39">
        <f t="shared" si="2364"/>
        <v>1732.2062284800002</v>
      </c>
      <c r="EQ136" s="39">
        <f t="shared" si="2364"/>
        <v>0</v>
      </c>
      <c r="ER136" s="39">
        <f t="shared" ref="ER136:EV136" si="2365">ER$1*DY136/1000000</f>
        <v>0</v>
      </c>
      <c r="ES136" s="39">
        <f t="shared" si="2365"/>
        <v>0</v>
      </c>
      <c r="ET136" s="39">
        <f t="shared" si="2365"/>
        <v>0</v>
      </c>
      <c r="EU136" s="39">
        <f t="shared" si="2365"/>
        <v>0</v>
      </c>
      <c r="EV136" s="39">
        <f t="shared" si="2365"/>
        <v>0</v>
      </c>
      <c r="EW136" s="39">
        <f t="shared" ref="EW136:EX136" si="2366">EW$1*ED136</f>
        <v>0</v>
      </c>
      <c r="EX136" s="39">
        <f t="shared" si="2366"/>
        <v>0</v>
      </c>
      <c r="EY136" s="2"/>
      <c r="EZ136" s="39">
        <f t="shared" si="17"/>
        <v>0</v>
      </c>
      <c r="FA136" s="39">
        <f t="shared" si="18"/>
        <v>0</v>
      </c>
      <c r="FB136" s="2">
        <f t="shared" si="19"/>
        <v>0</v>
      </c>
      <c r="FC136" s="2">
        <f t="shared" ref="FC136:FD136" si="2367">BV136*$BT136+CQ136*$CO136</f>
        <v>0</v>
      </c>
      <c r="FD136" s="2">
        <f t="shared" si="2367"/>
        <v>0</v>
      </c>
      <c r="FE136" s="2">
        <f t="shared" ref="FE136:FJ136" si="2368">(BX136*$BT136+CS136*$CO136)/100</f>
        <v>0</v>
      </c>
      <c r="FF136" s="2">
        <f t="shared" si="2368"/>
        <v>0</v>
      </c>
      <c r="FG136" s="2">
        <f t="shared" si="2368"/>
        <v>0</v>
      </c>
      <c r="FH136" s="2">
        <f t="shared" si="2368"/>
        <v>0</v>
      </c>
      <c r="FI136" s="2">
        <f t="shared" si="2368"/>
        <v>0</v>
      </c>
      <c r="FJ136" s="2">
        <f t="shared" si="2368"/>
        <v>0</v>
      </c>
      <c r="FK136" s="2">
        <f t="shared" ref="FK136:FO136" si="2369">CD136*$BT136+CY136*$CO136</f>
        <v>0</v>
      </c>
      <c r="FL136" s="2">
        <f t="shared" si="2369"/>
        <v>0</v>
      </c>
      <c r="FM136" s="2">
        <f t="shared" si="2369"/>
        <v>0</v>
      </c>
      <c r="FN136" s="2">
        <f t="shared" si="2369"/>
        <v>0</v>
      </c>
      <c r="FO136" s="2">
        <f t="shared" si="2369"/>
        <v>0</v>
      </c>
      <c r="FP136" s="2">
        <f t="shared" ref="FP136:FQ136" si="2370">(CI136*$BT136+DD136*$CO136)/100</f>
        <v>0</v>
      </c>
      <c r="FQ136" s="2">
        <f t="shared" si="2370"/>
        <v>0</v>
      </c>
      <c r="FR136" s="2"/>
      <c r="FS136" s="2">
        <f t="shared" si="24"/>
        <v>0</v>
      </c>
      <c r="FT136" s="2">
        <f t="shared" si="25"/>
        <v>0</v>
      </c>
      <c r="FU136" s="39">
        <f t="shared" si="26"/>
        <v>0</v>
      </c>
      <c r="FV136" s="39">
        <f t="shared" ref="FV136:FW136" si="2371">FV$1*FC136/1000000</f>
        <v>0</v>
      </c>
      <c r="FW136" s="39">
        <f t="shared" si="2371"/>
        <v>0</v>
      </c>
      <c r="FX136" s="39">
        <f t="shared" ref="FX136:GC136" si="2372">FX$1*FE136</f>
        <v>0</v>
      </c>
      <c r="FY136" s="39">
        <f t="shared" si="2372"/>
        <v>0</v>
      </c>
      <c r="FZ136" s="39">
        <f t="shared" si="2372"/>
        <v>0</v>
      </c>
      <c r="GA136" s="39">
        <f t="shared" si="2372"/>
        <v>0</v>
      </c>
      <c r="GB136" s="39">
        <f t="shared" si="2372"/>
        <v>0</v>
      </c>
      <c r="GC136" s="39">
        <f t="shared" si="2372"/>
        <v>0</v>
      </c>
      <c r="GD136" s="39">
        <f t="shared" ref="GD136:GH136" si="2373">GD$1*FK136/1000000</f>
        <v>0</v>
      </c>
      <c r="GE136" s="39">
        <f t="shared" si="2373"/>
        <v>0</v>
      </c>
      <c r="GF136" s="39">
        <f t="shared" si="2373"/>
        <v>0</v>
      </c>
      <c r="GG136" s="39">
        <f t="shared" si="2373"/>
        <v>0</v>
      </c>
      <c r="GH136" s="39">
        <f t="shared" si="2373"/>
        <v>0</v>
      </c>
      <c r="GI136" s="39">
        <f t="shared" ref="GI136:GJ136" si="2374">GI$1*FP136</f>
        <v>0</v>
      </c>
      <c r="GJ136" s="39">
        <f t="shared" si="2374"/>
        <v>0</v>
      </c>
      <c r="GK136" s="2"/>
      <c r="GL136" s="39">
        <f t="shared" si="31"/>
        <v>0</v>
      </c>
      <c r="GM136" s="39">
        <f t="shared" si="32"/>
        <v>0</v>
      </c>
      <c r="GN136" s="2" t="s">
        <v>3</v>
      </c>
      <c r="GO136" s="4">
        <f t="shared" si="33"/>
        <v>14.5152</v>
      </c>
      <c r="GP136" s="2">
        <f t="shared" si="34"/>
        <v>0.91</v>
      </c>
      <c r="GQ136" s="15">
        <f t="shared" si="35"/>
        <v>132.08832000000001</v>
      </c>
      <c r="GR136" s="15">
        <f t="shared" si="36"/>
        <v>1732.2062284800002</v>
      </c>
      <c r="GS136" s="15">
        <f t="shared" si="37"/>
        <v>119.33740000000002</v>
      </c>
      <c r="GT136" s="2">
        <f t="shared" si="38"/>
        <v>0</v>
      </c>
      <c r="GU136" s="2">
        <f t="shared" si="39"/>
        <v>0</v>
      </c>
      <c r="GV136" s="2">
        <f t="shared" si="40"/>
        <v>132.08832000000001</v>
      </c>
      <c r="GW136" s="2">
        <f t="shared" si="41"/>
        <v>0</v>
      </c>
      <c r="GX136" s="2"/>
      <c r="GY136" s="2"/>
      <c r="GZ136" s="2"/>
      <c r="HA136" s="2"/>
      <c r="HB136" s="2">
        <f t="shared" si="42"/>
        <v>0</v>
      </c>
      <c r="HC136" s="2">
        <f t="shared" si="43"/>
        <v>0</v>
      </c>
      <c r="HD136" s="2" t="s">
        <v>3</v>
      </c>
      <c r="HE136" s="2" t="s">
        <v>37</v>
      </c>
      <c r="HF136" s="2" t="s">
        <v>106</v>
      </c>
      <c r="HG136" s="2" t="s">
        <v>106</v>
      </c>
      <c r="HH136" s="2"/>
      <c r="HI136" s="2" t="s">
        <v>100</v>
      </c>
      <c r="HJ136" s="2" t="s">
        <v>3</v>
      </c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 t="s">
        <v>3</v>
      </c>
    </row>
    <row r="137" spans="1:268" ht="15.75" customHeight="1" x14ac:dyDescent="0.2">
      <c r="A137" s="13" t="s">
        <v>1048</v>
      </c>
      <c r="B137" s="2" t="s">
        <v>99</v>
      </c>
      <c r="C137" s="2"/>
      <c r="D137" s="2"/>
      <c r="E137" s="2"/>
      <c r="F137" s="2" t="s">
        <v>79</v>
      </c>
      <c r="G137" s="2"/>
      <c r="H137" s="2"/>
      <c r="I137" s="2">
        <v>0</v>
      </c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>
        <v>0</v>
      </c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>
        <v>37.5</v>
      </c>
      <c r="AZ137" s="2"/>
      <c r="BA137" s="2"/>
      <c r="BB137" s="2"/>
      <c r="BC137" s="2"/>
      <c r="BD137" s="2"/>
      <c r="BE137" s="2"/>
      <c r="BF137" s="2"/>
      <c r="BG137" s="2">
        <v>1.1000000000000001</v>
      </c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>
        <v>0</v>
      </c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>
        <v>0</v>
      </c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 t="s">
        <v>100</v>
      </c>
      <c r="DK137" s="2"/>
      <c r="DL137" s="2">
        <f t="shared" si="3"/>
        <v>1.1000000000000001</v>
      </c>
      <c r="DM137" s="2">
        <f t="shared" si="4"/>
        <v>0</v>
      </c>
      <c r="DN137" s="2" t="s">
        <v>113</v>
      </c>
      <c r="DO137" s="2" t="s">
        <v>3</v>
      </c>
      <c r="DP137" s="2">
        <f t="shared" si="5"/>
        <v>0</v>
      </c>
      <c r="DQ137" s="2">
        <f t="shared" ref="DQ137:DR137" si="2375">K137*$I137+AF137*$AD137+BA137*$AY137</f>
        <v>0</v>
      </c>
      <c r="DR137" s="2">
        <f t="shared" si="2375"/>
        <v>0</v>
      </c>
      <c r="DS137" s="2">
        <f t="shared" ref="DS137:DX137" si="2376">(M137*$I137+AH137*$AD137+BC137*$AY137)/100</f>
        <v>0</v>
      </c>
      <c r="DT137" s="2">
        <f t="shared" si="2376"/>
        <v>0</v>
      </c>
      <c r="DU137" s="2">
        <f t="shared" si="2376"/>
        <v>0</v>
      </c>
      <c r="DV137" s="2">
        <f t="shared" si="2376"/>
        <v>0</v>
      </c>
      <c r="DW137" s="2">
        <f t="shared" si="2376"/>
        <v>0.41249999999999998</v>
      </c>
      <c r="DX137" s="2">
        <f t="shared" si="2376"/>
        <v>0</v>
      </c>
      <c r="DY137" s="2">
        <f t="shared" ref="DY137:EC137" si="2377">S137*$I137+AN137*$AD137+BI137*$AY137</f>
        <v>0</v>
      </c>
      <c r="DZ137" s="2">
        <f t="shared" si="2377"/>
        <v>0</v>
      </c>
      <c r="EA137" s="2">
        <f t="shared" si="2377"/>
        <v>0</v>
      </c>
      <c r="EB137" s="2">
        <f t="shared" si="2377"/>
        <v>0</v>
      </c>
      <c r="EC137" s="2">
        <f t="shared" si="2377"/>
        <v>0</v>
      </c>
      <c r="ED137" s="2">
        <f t="shared" ref="ED137:EE137" si="2378">(X137*$I137+AS137*$AD137+BN137*$AY137)/100</f>
        <v>0</v>
      </c>
      <c r="EE137" s="2">
        <f t="shared" si="2378"/>
        <v>0</v>
      </c>
      <c r="EF137" s="2"/>
      <c r="EG137" s="2">
        <f t="shared" si="10"/>
        <v>0</v>
      </c>
      <c r="EH137" s="2">
        <f t="shared" si="11"/>
        <v>0</v>
      </c>
      <c r="EI137" s="39">
        <f t="shared" si="12"/>
        <v>0</v>
      </c>
      <c r="EJ137" s="39">
        <f t="shared" ref="EJ137:EK137" si="2379">EJ$1*DQ137/1000000</f>
        <v>0</v>
      </c>
      <c r="EK137" s="39">
        <f t="shared" si="2379"/>
        <v>0</v>
      </c>
      <c r="EL137" s="39">
        <f t="shared" ref="EL137:EQ137" si="2380">EL$1*DS137</f>
        <v>0</v>
      </c>
      <c r="EM137" s="39">
        <f t="shared" si="2380"/>
        <v>0</v>
      </c>
      <c r="EN137" s="39">
        <f t="shared" si="2380"/>
        <v>0</v>
      </c>
      <c r="EO137" s="39">
        <f t="shared" si="2380"/>
        <v>0</v>
      </c>
      <c r="EP137" s="39">
        <f t="shared" si="2380"/>
        <v>5409.5249999999996</v>
      </c>
      <c r="EQ137" s="39">
        <f t="shared" si="2380"/>
        <v>0</v>
      </c>
      <c r="ER137" s="39">
        <f t="shared" ref="ER137:EV137" si="2381">ER$1*DY137/1000000</f>
        <v>0</v>
      </c>
      <c r="ES137" s="39">
        <f t="shared" si="2381"/>
        <v>0</v>
      </c>
      <c r="ET137" s="39">
        <f t="shared" si="2381"/>
        <v>0</v>
      </c>
      <c r="EU137" s="39">
        <f t="shared" si="2381"/>
        <v>0</v>
      </c>
      <c r="EV137" s="39">
        <f t="shared" si="2381"/>
        <v>0</v>
      </c>
      <c r="EW137" s="39">
        <f t="shared" ref="EW137:EX137" si="2382">EW$1*ED137</f>
        <v>0</v>
      </c>
      <c r="EX137" s="39">
        <f t="shared" si="2382"/>
        <v>0</v>
      </c>
      <c r="EY137" s="2"/>
      <c r="EZ137" s="39">
        <f t="shared" si="17"/>
        <v>0</v>
      </c>
      <c r="FA137" s="39">
        <f t="shared" si="18"/>
        <v>0</v>
      </c>
      <c r="FB137" s="2">
        <f t="shared" si="19"/>
        <v>0</v>
      </c>
      <c r="FC137" s="2">
        <f t="shared" ref="FC137:FD137" si="2383">BV137*$BT137+CQ137*$CO137</f>
        <v>0</v>
      </c>
      <c r="FD137" s="2">
        <f t="shared" si="2383"/>
        <v>0</v>
      </c>
      <c r="FE137" s="2">
        <f t="shared" ref="FE137:FJ137" si="2384">(BX137*$BT137+CS137*$CO137)/100</f>
        <v>0</v>
      </c>
      <c r="FF137" s="2">
        <f t="shared" si="2384"/>
        <v>0</v>
      </c>
      <c r="FG137" s="2">
        <f t="shared" si="2384"/>
        <v>0</v>
      </c>
      <c r="FH137" s="2">
        <f t="shared" si="2384"/>
        <v>0</v>
      </c>
      <c r="FI137" s="2">
        <f t="shared" si="2384"/>
        <v>0</v>
      </c>
      <c r="FJ137" s="2">
        <f t="shared" si="2384"/>
        <v>0</v>
      </c>
      <c r="FK137" s="2">
        <f t="shared" ref="FK137:FO137" si="2385">CD137*$BT137+CY137*$CO137</f>
        <v>0</v>
      </c>
      <c r="FL137" s="2">
        <f t="shared" si="2385"/>
        <v>0</v>
      </c>
      <c r="FM137" s="2">
        <f t="shared" si="2385"/>
        <v>0</v>
      </c>
      <c r="FN137" s="2">
        <f t="shared" si="2385"/>
        <v>0</v>
      </c>
      <c r="FO137" s="2">
        <f t="shared" si="2385"/>
        <v>0</v>
      </c>
      <c r="FP137" s="2">
        <f t="shared" ref="FP137:FQ137" si="2386">(CI137*$BT137+DD137*$CO137)/100</f>
        <v>0</v>
      </c>
      <c r="FQ137" s="2">
        <f t="shared" si="2386"/>
        <v>0</v>
      </c>
      <c r="FR137" s="2"/>
      <c r="FS137" s="2">
        <f t="shared" si="24"/>
        <v>0</v>
      </c>
      <c r="FT137" s="2">
        <f t="shared" si="25"/>
        <v>0</v>
      </c>
      <c r="FU137" s="39">
        <f t="shared" si="26"/>
        <v>0</v>
      </c>
      <c r="FV137" s="39">
        <f t="shared" ref="FV137:FW137" si="2387">FV$1*FC137/1000000</f>
        <v>0</v>
      </c>
      <c r="FW137" s="39">
        <f t="shared" si="2387"/>
        <v>0</v>
      </c>
      <c r="FX137" s="39">
        <f t="shared" ref="FX137:GC137" si="2388">FX$1*FE137</f>
        <v>0</v>
      </c>
      <c r="FY137" s="39">
        <f t="shared" si="2388"/>
        <v>0</v>
      </c>
      <c r="FZ137" s="39">
        <f t="shared" si="2388"/>
        <v>0</v>
      </c>
      <c r="GA137" s="39">
        <f t="shared" si="2388"/>
        <v>0</v>
      </c>
      <c r="GB137" s="39">
        <f t="shared" si="2388"/>
        <v>0</v>
      </c>
      <c r="GC137" s="39">
        <f t="shared" si="2388"/>
        <v>0</v>
      </c>
      <c r="GD137" s="39">
        <f t="shared" ref="GD137:GH137" si="2389">GD$1*FK137/1000000</f>
        <v>0</v>
      </c>
      <c r="GE137" s="39">
        <f t="shared" si="2389"/>
        <v>0</v>
      </c>
      <c r="GF137" s="39">
        <f t="shared" si="2389"/>
        <v>0</v>
      </c>
      <c r="GG137" s="39">
        <f t="shared" si="2389"/>
        <v>0</v>
      </c>
      <c r="GH137" s="39">
        <f t="shared" si="2389"/>
        <v>0</v>
      </c>
      <c r="GI137" s="39">
        <f t="shared" ref="GI137:GJ137" si="2390">GI$1*FP137</f>
        <v>0</v>
      </c>
      <c r="GJ137" s="39">
        <f t="shared" si="2390"/>
        <v>0</v>
      </c>
      <c r="GK137" s="2"/>
      <c r="GL137" s="39">
        <f t="shared" si="31"/>
        <v>0</v>
      </c>
      <c r="GM137" s="39">
        <f t="shared" si="32"/>
        <v>0</v>
      </c>
      <c r="GN137" s="2" t="s">
        <v>3</v>
      </c>
      <c r="GO137" s="2">
        <f t="shared" si="33"/>
        <v>37.5</v>
      </c>
      <c r="GP137" s="2">
        <f t="shared" si="34"/>
        <v>1.1000000000000001</v>
      </c>
      <c r="GQ137" s="15">
        <f t="shared" si="35"/>
        <v>412.5</v>
      </c>
      <c r="GR137" s="15">
        <f t="shared" si="36"/>
        <v>5409.5249999999996</v>
      </c>
      <c r="GS137" s="15">
        <f t="shared" si="37"/>
        <v>144.25399999999999</v>
      </c>
      <c r="GT137" s="2">
        <f t="shared" si="38"/>
        <v>0</v>
      </c>
      <c r="GU137" s="2">
        <f t="shared" si="39"/>
        <v>0</v>
      </c>
      <c r="GV137" s="2">
        <f t="shared" si="40"/>
        <v>412.5</v>
      </c>
      <c r="GW137" s="2">
        <f t="shared" si="41"/>
        <v>0</v>
      </c>
      <c r="GX137" s="2"/>
      <c r="GY137" s="2"/>
      <c r="GZ137" s="2"/>
      <c r="HA137" s="2"/>
      <c r="HB137" s="2">
        <f t="shared" si="42"/>
        <v>0</v>
      </c>
      <c r="HC137" s="2">
        <f t="shared" si="43"/>
        <v>0</v>
      </c>
      <c r="HD137" s="2" t="s">
        <v>3</v>
      </c>
      <c r="HE137" s="2" t="s">
        <v>37</v>
      </c>
      <c r="HF137" s="2" t="s">
        <v>106</v>
      </c>
      <c r="HG137" s="2" t="s">
        <v>106</v>
      </c>
      <c r="HH137" s="2"/>
      <c r="HI137" s="2" t="s">
        <v>100</v>
      </c>
      <c r="HJ137" s="2" t="s">
        <v>3</v>
      </c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 t="s">
        <v>3</v>
      </c>
    </row>
    <row r="138" spans="1:268" ht="15.75" customHeight="1" x14ac:dyDescent="0.2">
      <c r="A138" s="13" t="s">
        <v>751</v>
      </c>
      <c r="B138" s="42" t="s">
        <v>752</v>
      </c>
      <c r="C138" s="2"/>
      <c r="D138" s="2"/>
      <c r="E138" s="2"/>
      <c r="F138" s="2" t="s">
        <v>753</v>
      </c>
      <c r="G138" s="2"/>
      <c r="H138" s="2" t="s">
        <v>111</v>
      </c>
      <c r="I138" s="35">
        <v>0</v>
      </c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35">
        <v>0</v>
      </c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36">
        <v>11.132599999999998</v>
      </c>
      <c r="AZ138" s="2"/>
      <c r="BA138" s="2"/>
      <c r="BB138" s="2"/>
      <c r="BC138" s="2"/>
      <c r="BD138" s="2"/>
      <c r="BE138" s="2"/>
      <c r="BF138" s="2"/>
      <c r="BG138" s="36">
        <v>1.3907478935738282</v>
      </c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35">
        <v>0</v>
      </c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35">
        <v>0</v>
      </c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 t="s">
        <v>100</v>
      </c>
      <c r="DK138" s="2"/>
      <c r="DL138" s="2">
        <f t="shared" si="3"/>
        <v>1.3907478935738282</v>
      </c>
      <c r="DM138" s="2">
        <f t="shared" si="4"/>
        <v>0</v>
      </c>
      <c r="DN138" s="2"/>
      <c r="DO138" s="2" t="s">
        <v>3</v>
      </c>
      <c r="DP138" s="2">
        <f t="shared" si="5"/>
        <v>0</v>
      </c>
      <c r="DQ138" s="2">
        <f t="shared" ref="DQ138:DR138" si="2391">K138*$I138+AF138*$AD138+BA138*$AY138</f>
        <v>0</v>
      </c>
      <c r="DR138" s="2">
        <f t="shared" si="2391"/>
        <v>0</v>
      </c>
      <c r="DS138" s="2">
        <f t="shared" ref="DS138:DX138" si="2392">(M138*$I138+AH138*$AD138+BC138*$AY138)/100</f>
        <v>0</v>
      </c>
      <c r="DT138" s="2">
        <f t="shared" si="2392"/>
        <v>0</v>
      </c>
      <c r="DU138" s="2">
        <f t="shared" si="2392"/>
        <v>0</v>
      </c>
      <c r="DV138" s="2">
        <f t="shared" si="2392"/>
        <v>0</v>
      </c>
      <c r="DW138" s="2">
        <f t="shared" si="2392"/>
        <v>0.15482639999999998</v>
      </c>
      <c r="DX138" s="2">
        <f t="shared" si="2392"/>
        <v>0</v>
      </c>
      <c r="DY138" s="2">
        <f t="shared" ref="DY138:EC138" si="2393">S138*$I138+AN138*$AD138+BI138*$AY138</f>
        <v>0</v>
      </c>
      <c r="DZ138" s="2">
        <f t="shared" si="2393"/>
        <v>0</v>
      </c>
      <c r="EA138" s="2">
        <f t="shared" si="2393"/>
        <v>0</v>
      </c>
      <c r="EB138" s="2">
        <f t="shared" si="2393"/>
        <v>0</v>
      </c>
      <c r="EC138" s="2">
        <f t="shared" si="2393"/>
        <v>0</v>
      </c>
      <c r="ED138" s="2">
        <f t="shared" ref="ED138:EE138" si="2394">(X138*$I138+AS138*$AD138+BN138*$AY138)/100</f>
        <v>0</v>
      </c>
      <c r="EE138" s="2">
        <f t="shared" si="2394"/>
        <v>0</v>
      </c>
      <c r="EF138" s="2"/>
      <c r="EG138" s="2">
        <f t="shared" si="10"/>
        <v>0</v>
      </c>
      <c r="EH138" s="2">
        <f t="shared" si="11"/>
        <v>0</v>
      </c>
      <c r="EI138" s="39">
        <f t="shared" si="12"/>
        <v>0</v>
      </c>
      <c r="EJ138" s="39">
        <f t="shared" ref="EJ138:EK138" si="2395">EJ$1*DQ138/1000000</f>
        <v>0</v>
      </c>
      <c r="EK138" s="39">
        <f t="shared" si="2395"/>
        <v>0</v>
      </c>
      <c r="EL138" s="39">
        <f t="shared" ref="EL138:EQ138" si="2396">EL$1*DS138</f>
        <v>0</v>
      </c>
      <c r="EM138" s="39">
        <f t="shared" si="2396"/>
        <v>0</v>
      </c>
      <c r="EN138" s="39">
        <f t="shared" si="2396"/>
        <v>0</v>
      </c>
      <c r="EO138" s="39">
        <f t="shared" si="2396"/>
        <v>0</v>
      </c>
      <c r="EP138" s="39">
        <f t="shared" si="2396"/>
        <v>2030.3934095999996</v>
      </c>
      <c r="EQ138" s="39">
        <f t="shared" si="2396"/>
        <v>0</v>
      </c>
      <c r="ER138" s="39">
        <f t="shared" ref="ER138:EV138" si="2397">ER$1*DY138/1000000</f>
        <v>0</v>
      </c>
      <c r="ES138" s="39">
        <f t="shared" si="2397"/>
        <v>0</v>
      </c>
      <c r="ET138" s="39">
        <f t="shared" si="2397"/>
        <v>0</v>
      </c>
      <c r="EU138" s="39">
        <f t="shared" si="2397"/>
        <v>0</v>
      </c>
      <c r="EV138" s="39">
        <f t="shared" si="2397"/>
        <v>0</v>
      </c>
      <c r="EW138" s="39">
        <f t="shared" ref="EW138:EX138" si="2398">EW$1*ED138</f>
        <v>0</v>
      </c>
      <c r="EX138" s="39">
        <f t="shared" si="2398"/>
        <v>0</v>
      </c>
      <c r="EY138" s="2"/>
      <c r="EZ138" s="39">
        <f t="shared" si="17"/>
        <v>0</v>
      </c>
      <c r="FA138" s="39">
        <f t="shared" si="18"/>
        <v>0</v>
      </c>
      <c r="FB138" s="2">
        <f t="shared" si="19"/>
        <v>0</v>
      </c>
      <c r="FC138" s="2">
        <f t="shared" ref="FC138:FD138" si="2399">BV138*$BT138+CQ138*$CO138</f>
        <v>0</v>
      </c>
      <c r="FD138" s="2">
        <f t="shared" si="2399"/>
        <v>0</v>
      </c>
      <c r="FE138" s="2">
        <f t="shared" ref="FE138:FJ138" si="2400">(BX138*$BT138+CS138*$CO138)/100</f>
        <v>0</v>
      </c>
      <c r="FF138" s="2">
        <f t="shared" si="2400"/>
        <v>0</v>
      </c>
      <c r="FG138" s="2">
        <f t="shared" si="2400"/>
        <v>0</v>
      </c>
      <c r="FH138" s="2">
        <f t="shared" si="2400"/>
        <v>0</v>
      </c>
      <c r="FI138" s="2">
        <f t="shared" si="2400"/>
        <v>0</v>
      </c>
      <c r="FJ138" s="2">
        <f t="shared" si="2400"/>
        <v>0</v>
      </c>
      <c r="FK138" s="2">
        <f t="shared" ref="FK138:FO138" si="2401">CD138*$BT138+CY138*$CO138</f>
        <v>0</v>
      </c>
      <c r="FL138" s="2">
        <f t="shared" si="2401"/>
        <v>0</v>
      </c>
      <c r="FM138" s="2">
        <f t="shared" si="2401"/>
        <v>0</v>
      </c>
      <c r="FN138" s="2">
        <f t="shared" si="2401"/>
        <v>0</v>
      </c>
      <c r="FO138" s="2">
        <f t="shared" si="2401"/>
        <v>0</v>
      </c>
      <c r="FP138" s="2">
        <f t="shared" ref="FP138:FQ138" si="2402">(CI138*$BT138+DD138*$CO138)/100</f>
        <v>0</v>
      </c>
      <c r="FQ138" s="2">
        <f t="shared" si="2402"/>
        <v>0</v>
      </c>
      <c r="FR138" s="2"/>
      <c r="FS138" s="2">
        <f t="shared" si="24"/>
        <v>0</v>
      </c>
      <c r="FT138" s="2">
        <f t="shared" si="25"/>
        <v>0</v>
      </c>
      <c r="FU138" s="39">
        <f t="shared" si="26"/>
        <v>0</v>
      </c>
      <c r="FV138" s="39">
        <f t="shared" ref="FV138:FW138" si="2403">FV$1*FC138/1000000</f>
        <v>0</v>
      </c>
      <c r="FW138" s="39">
        <f t="shared" si="2403"/>
        <v>0</v>
      </c>
      <c r="FX138" s="39">
        <f t="shared" ref="FX138:GC138" si="2404">FX$1*FE138</f>
        <v>0</v>
      </c>
      <c r="FY138" s="39">
        <f t="shared" si="2404"/>
        <v>0</v>
      </c>
      <c r="FZ138" s="39">
        <f t="shared" si="2404"/>
        <v>0</v>
      </c>
      <c r="GA138" s="39">
        <f t="shared" si="2404"/>
        <v>0</v>
      </c>
      <c r="GB138" s="39">
        <f t="shared" si="2404"/>
        <v>0</v>
      </c>
      <c r="GC138" s="39">
        <f t="shared" si="2404"/>
        <v>0</v>
      </c>
      <c r="GD138" s="39">
        <f t="shared" ref="GD138:GH138" si="2405">GD$1*FK138/1000000</f>
        <v>0</v>
      </c>
      <c r="GE138" s="39">
        <f t="shared" si="2405"/>
        <v>0</v>
      </c>
      <c r="GF138" s="39">
        <f t="shared" si="2405"/>
        <v>0</v>
      </c>
      <c r="GG138" s="39">
        <f t="shared" si="2405"/>
        <v>0</v>
      </c>
      <c r="GH138" s="39">
        <f t="shared" si="2405"/>
        <v>0</v>
      </c>
      <c r="GI138" s="39">
        <f t="shared" ref="GI138:GJ138" si="2406">GI$1*FP138</f>
        <v>0</v>
      </c>
      <c r="GJ138" s="39">
        <f t="shared" si="2406"/>
        <v>0</v>
      </c>
      <c r="GK138" s="2"/>
      <c r="GL138" s="39">
        <f t="shared" si="31"/>
        <v>0</v>
      </c>
      <c r="GM138" s="39">
        <f t="shared" si="32"/>
        <v>0</v>
      </c>
      <c r="GN138" s="2" t="s">
        <v>3</v>
      </c>
      <c r="GO138" s="15">
        <f t="shared" si="33"/>
        <v>11.132599999999998</v>
      </c>
      <c r="GP138" s="4">
        <f t="shared" si="34"/>
        <v>1.3907478935738282</v>
      </c>
      <c r="GQ138" s="15">
        <f t="shared" si="35"/>
        <v>154.82639999999998</v>
      </c>
      <c r="GR138" s="15">
        <f t="shared" si="36"/>
        <v>2030.3934095999996</v>
      </c>
      <c r="GS138" s="15">
        <f t="shared" si="37"/>
        <v>182.38267876327183</v>
      </c>
      <c r="GT138" s="2">
        <f t="shared" si="38"/>
        <v>0</v>
      </c>
      <c r="GU138" s="2">
        <f t="shared" si="39"/>
        <v>0</v>
      </c>
      <c r="GV138" s="2">
        <f t="shared" si="40"/>
        <v>154.82639999999998</v>
      </c>
      <c r="GW138" s="2">
        <f t="shared" si="41"/>
        <v>0</v>
      </c>
      <c r="GX138" s="2"/>
      <c r="GY138" s="2"/>
      <c r="GZ138" s="2"/>
      <c r="HA138" s="2"/>
      <c r="HB138" s="2">
        <f t="shared" si="42"/>
        <v>0</v>
      </c>
      <c r="HC138" s="2">
        <f t="shared" si="43"/>
        <v>0</v>
      </c>
      <c r="HD138" s="2" t="s">
        <v>3</v>
      </c>
      <c r="HE138" s="2" t="s">
        <v>37</v>
      </c>
      <c r="HF138" s="2" t="s">
        <v>106</v>
      </c>
      <c r="HG138" s="2" t="s">
        <v>106</v>
      </c>
      <c r="HH138" s="2"/>
      <c r="HI138" s="2" t="s">
        <v>100</v>
      </c>
      <c r="HJ138" s="2" t="s">
        <v>3</v>
      </c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 t="s">
        <v>3</v>
      </c>
    </row>
    <row r="139" spans="1:268" ht="15.75" customHeight="1" x14ac:dyDescent="0.2">
      <c r="A139" s="13" t="s">
        <v>851</v>
      </c>
      <c r="B139" s="2" t="s">
        <v>99</v>
      </c>
      <c r="C139" s="2"/>
      <c r="D139" s="2"/>
      <c r="E139" s="2"/>
      <c r="F139" s="2" t="s">
        <v>79</v>
      </c>
      <c r="G139" s="2"/>
      <c r="H139" s="2"/>
      <c r="I139" s="2">
        <v>0</v>
      </c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>
        <v>0</v>
      </c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>
        <f>31-6.9</f>
        <v>24.1</v>
      </c>
      <c r="AZ139" s="2"/>
      <c r="BA139" s="2"/>
      <c r="BB139" s="2"/>
      <c r="BC139" s="2"/>
      <c r="BD139" s="2"/>
      <c r="BE139" s="2"/>
      <c r="BF139" s="2"/>
      <c r="BG139" s="2">
        <v>1.3</v>
      </c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>
        <v>0</v>
      </c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>
        <v>0</v>
      </c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 t="s">
        <v>100</v>
      </c>
      <c r="DK139" s="2"/>
      <c r="DL139" s="2">
        <f t="shared" si="3"/>
        <v>1.3</v>
      </c>
      <c r="DM139" s="2">
        <f t="shared" si="4"/>
        <v>0</v>
      </c>
      <c r="DN139" s="2" t="s">
        <v>113</v>
      </c>
      <c r="DO139" s="2" t="s">
        <v>3</v>
      </c>
      <c r="DP139" s="2">
        <f t="shared" si="5"/>
        <v>0</v>
      </c>
      <c r="DQ139" s="2">
        <f t="shared" ref="DQ139:DR139" si="2407">K139*$I139+AF139*$AD139+BA139*$AY139</f>
        <v>0</v>
      </c>
      <c r="DR139" s="2">
        <f t="shared" si="2407"/>
        <v>0</v>
      </c>
      <c r="DS139" s="2">
        <f t="shared" ref="DS139:DX139" si="2408">(M139*$I139+AH139*$AD139+BC139*$AY139)/100</f>
        <v>0</v>
      </c>
      <c r="DT139" s="2">
        <f t="shared" si="2408"/>
        <v>0</v>
      </c>
      <c r="DU139" s="2">
        <f t="shared" si="2408"/>
        <v>0</v>
      </c>
      <c r="DV139" s="2">
        <f t="shared" si="2408"/>
        <v>0</v>
      </c>
      <c r="DW139" s="2">
        <f t="shared" si="2408"/>
        <v>0.31330000000000002</v>
      </c>
      <c r="DX139" s="2">
        <f t="shared" si="2408"/>
        <v>0</v>
      </c>
      <c r="DY139" s="2">
        <f t="shared" ref="DY139:EC139" si="2409">S139*$I139+AN139*$AD139+BI139*$AY139</f>
        <v>0</v>
      </c>
      <c r="DZ139" s="2">
        <f t="shared" si="2409"/>
        <v>0</v>
      </c>
      <c r="EA139" s="2">
        <f t="shared" si="2409"/>
        <v>0</v>
      </c>
      <c r="EB139" s="2">
        <f t="shared" si="2409"/>
        <v>0</v>
      </c>
      <c r="EC139" s="2">
        <f t="shared" si="2409"/>
        <v>0</v>
      </c>
      <c r="ED139" s="2">
        <f t="shared" ref="ED139:EE139" si="2410">(X139*$I139+AS139*$AD139+BN139*$AY139)/100</f>
        <v>0</v>
      </c>
      <c r="EE139" s="2">
        <f t="shared" si="2410"/>
        <v>0</v>
      </c>
      <c r="EF139" s="2"/>
      <c r="EG139" s="2">
        <f t="shared" si="10"/>
        <v>0</v>
      </c>
      <c r="EH139" s="2">
        <f t="shared" si="11"/>
        <v>0</v>
      </c>
      <c r="EI139" s="39">
        <f t="shared" si="12"/>
        <v>0</v>
      </c>
      <c r="EJ139" s="39">
        <f t="shared" ref="EJ139:EK139" si="2411">EJ$1*DQ139/1000000</f>
        <v>0</v>
      </c>
      <c r="EK139" s="39">
        <f t="shared" si="2411"/>
        <v>0</v>
      </c>
      <c r="EL139" s="39">
        <f t="shared" ref="EL139:EQ139" si="2412">EL$1*DS139</f>
        <v>0</v>
      </c>
      <c r="EM139" s="39">
        <f t="shared" si="2412"/>
        <v>0</v>
      </c>
      <c r="EN139" s="39">
        <f t="shared" si="2412"/>
        <v>0</v>
      </c>
      <c r="EO139" s="39">
        <f t="shared" si="2412"/>
        <v>0</v>
      </c>
      <c r="EP139" s="39">
        <f t="shared" si="2412"/>
        <v>4108.6162000000004</v>
      </c>
      <c r="EQ139" s="39">
        <f t="shared" si="2412"/>
        <v>0</v>
      </c>
      <c r="ER139" s="39">
        <f t="shared" ref="ER139:EV139" si="2413">ER$1*DY139/1000000</f>
        <v>0</v>
      </c>
      <c r="ES139" s="39">
        <f t="shared" si="2413"/>
        <v>0</v>
      </c>
      <c r="ET139" s="39">
        <f t="shared" si="2413"/>
        <v>0</v>
      </c>
      <c r="EU139" s="39">
        <f t="shared" si="2413"/>
        <v>0</v>
      </c>
      <c r="EV139" s="39">
        <f t="shared" si="2413"/>
        <v>0</v>
      </c>
      <c r="EW139" s="39">
        <f t="shared" ref="EW139:EX139" si="2414">EW$1*ED139</f>
        <v>0</v>
      </c>
      <c r="EX139" s="39">
        <f t="shared" si="2414"/>
        <v>0</v>
      </c>
      <c r="EY139" s="2"/>
      <c r="EZ139" s="39">
        <f t="shared" si="17"/>
        <v>0</v>
      </c>
      <c r="FA139" s="39">
        <f t="shared" si="18"/>
        <v>0</v>
      </c>
      <c r="FB139" s="2">
        <f t="shared" si="19"/>
        <v>0</v>
      </c>
      <c r="FC139" s="2">
        <f t="shared" ref="FC139:FD139" si="2415">BV139*$BT139+CQ139*$CO139</f>
        <v>0</v>
      </c>
      <c r="FD139" s="2">
        <f t="shared" si="2415"/>
        <v>0</v>
      </c>
      <c r="FE139" s="2">
        <f t="shared" ref="FE139:FJ139" si="2416">(BX139*$BT139+CS139*$CO139)/100</f>
        <v>0</v>
      </c>
      <c r="FF139" s="2">
        <f t="shared" si="2416"/>
        <v>0</v>
      </c>
      <c r="FG139" s="2">
        <f t="shared" si="2416"/>
        <v>0</v>
      </c>
      <c r="FH139" s="2">
        <f t="shared" si="2416"/>
        <v>0</v>
      </c>
      <c r="FI139" s="2">
        <f t="shared" si="2416"/>
        <v>0</v>
      </c>
      <c r="FJ139" s="2">
        <f t="shared" si="2416"/>
        <v>0</v>
      </c>
      <c r="FK139" s="2">
        <f t="shared" ref="FK139:FO139" si="2417">CD139*$BT139+CY139*$CO139</f>
        <v>0</v>
      </c>
      <c r="FL139" s="2">
        <f t="shared" si="2417"/>
        <v>0</v>
      </c>
      <c r="FM139" s="2">
        <f t="shared" si="2417"/>
        <v>0</v>
      </c>
      <c r="FN139" s="2">
        <f t="shared" si="2417"/>
        <v>0</v>
      </c>
      <c r="FO139" s="2">
        <f t="shared" si="2417"/>
        <v>0</v>
      </c>
      <c r="FP139" s="2">
        <f t="shared" ref="FP139:FQ139" si="2418">(CI139*$BT139+DD139*$CO139)/100</f>
        <v>0</v>
      </c>
      <c r="FQ139" s="2">
        <f t="shared" si="2418"/>
        <v>0</v>
      </c>
      <c r="FR139" s="2"/>
      <c r="FS139" s="2">
        <f t="shared" si="24"/>
        <v>0</v>
      </c>
      <c r="FT139" s="2">
        <f t="shared" si="25"/>
        <v>0</v>
      </c>
      <c r="FU139" s="39">
        <f t="shared" si="26"/>
        <v>0</v>
      </c>
      <c r="FV139" s="39">
        <f t="shared" ref="FV139:FW139" si="2419">FV$1*FC139/1000000</f>
        <v>0</v>
      </c>
      <c r="FW139" s="39">
        <f t="shared" si="2419"/>
        <v>0</v>
      </c>
      <c r="FX139" s="39">
        <f t="shared" ref="FX139:GC139" si="2420">FX$1*FE139</f>
        <v>0</v>
      </c>
      <c r="FY139" s="39">
        <f t="shared" si="2420"/>
        <v>0</v>
      </c>
      <c r="FZ139" s="39">
        <f t="shared" si="2420"/>
        <v>0</v>
      </c>
      <c r="GA139" s="39">
        <f t="shared" si="2420"/>
        <v>0</v>
      </c>
      <c r="GB139" s="39">
        <f t="shared" si="2420"/>
        <v>0</v>
      </c>
      <c r="GC139" s="39">
        <f t="shared" si="2420"/>
        <v>0</v>
      </c>
      <c r="GD139" s="39">
        <f t="shared" ref="GD139:GH139" si="2421">GD$1*FK139/1000000</f>
        <v>0</v>
      </c>
      <c r="GE139" s="39">
        <f t="shared" si="2421"/>
        <v>0</v>
      </c>
      <c r="GF139" s="39">
        <f t="shared" si="2421"/>
        <v>0</v>
      </c>
      <c r="GG139" s="39">
        <f t="shared" si="2421"/>
        <v>0</v>
      </c>
      <c r="GH139" s="39">
        <f t="shared" si="2421"/>
        <v>0</v>
      </c>
      <c r="GI139" s="39">
        <f t="shared" ref="GI139:GJ139" si="2422">GI$1*FP139</f>
        <v>0</v>
      </c>
      <c r="GJ139" s="39">
        <f t="shared" si="2422"/>
        <v>0</v>
      </c>
      <c r="GK139" s="2"/>
      <c r="GL139" s="39">
        <f t="shared" si="31"/>
        <v>0</v>
      </c>
      <c r="GM139" s="39">
        <f t="shared" si="32"/>
        <v>0</v>
      </c>
      <c r="GN139" s="2" t="s">
        <v>3</v>
      </c>
      <c r="GO139" s="2">
        <f t="shared" si="33"/>
        <v>24.1</v>
      </c>
      <c r="GP139" s="2">
        <f t="shared" si="34"/>
        <v>1.3</v>
      </c>
      <c r="GQ139" s="15">
        <f t="shared" si="35"/>
        <v>313.3</v>
      </c>
      <c r="GR139" s="15">
        <f t="shared" si="36"/>
        <v>4108.6162000000004</v>
      </c>
      <c r="GS139" s="15">
        <f t="shared" si="37"/>
        <v>170.482</v>
      </c>
      <c r="GT139" s="2">
        <f t="shared" si="38"/>
        <v>0</v>
      </c>
      <c r="GU139" s="2">
        <f t="shared" si="39"/>
        <v>0</v>
      </c>
      <c r="GV139" s="2">
        <f t="shared" si="40"/>
        <v>313.3</v>
      </c>
      <c r="GW139" s="2">
        <f t="shared" si="41"/>
        <v>0</v>
      </c>
      <c r="GX139" s="2"/>
      <c r="GY139" s="2"/>
      <c r="GZ139" s="2"/>
      <c r="HA139" s="2"/>
      <c r="HB139" s="2">
        <f t="shared" si="42"/>
        <v>0</v>
      </c>
      <c r="HC139" s="2">
        <f t="shared" si="43"/>
        <v>0</v>
      </c>
      <c r="HD139" s="2" t="s">
        <v>3</v>
      </c>
      <c r="HE139" s="2" t="s">
        <v>37</v>
      </c>
      <c r="HF139" s="2" t="s">
        <v>106</v>
      </c>
      <c r="HG139" s="2"/>
      <c r="HH139" s="2"/>
      <c r="HI139" s="2" t="s">
        <v>100</v>
      </c>
      <c r="HJ139" s="2" t="s">
        <v>3</v>
      </c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 t="s">
        <v>3</v>
      </c>
    </row>
    <row r="140" spans="1:268" ht="15.75" customHeight="1" x14ac:dyDescent="0.2">
      <c r="A140" s="13" t="s">
        <v>116</v>
      </c>
      <c r="B140" s="2" t="s">
        <v>99</v>
      </c>
      <c r="C140" s="2"/>
      <c r="D140" s="2"/>
      <c r="E140" s="2"/>
      <c r="F140" s="2" t="s">
        <v>79</v>
      </c>
      <c r="G140" s="2"/>
      <c r="H140" s="2"/>
      <c r="I140" s="2">
        <v>0</v>
      </c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>
        <v>0</v>
      </c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>
        <v>4.5309999999999997</v>
      </c>
      <c r="AZ140" s="2"/>
      <c r="BA140" s="2"/>
      <c r="BB140" s="2"/>
      <c r="BC140" s="2"/>
      <c r="BD140" s="2"/>
      <c r="BE140" s="2"/>
      <c r="BF140" s="2"/>
      <c r="BG140" s="4">
        <v>1.4</v>
      </c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>
        <v>0</v>
      </c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>
        <v>0</v>
      </c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 t="s">
        <v>100</v>
      </c>
      <c r="DK140" s="2"/>
      <c r="DL140" s="2">
        <f t="shared" si="3"/>
        <v>1.4</v>
      </c>
      <c r="DM140" s="2">
        <f t="shared" si="4"/>
        <v>0</v>
      </c>
      <c r="DN140" s="2" t="s">
        <v>117</v>
      </c>
      <c r="DO140" s="2" t="s">
        <v>3</v>
      </c>
      <c r="DP140" s="2">
        <f t="shared" si="5"/>
        <v>0</v>
      </c>
      <c r="DQ140" s="2">
        <f t="shared" ref="DQ140:DR140" si="2423">K140*$I140+AF140*$AD140+BA140*$AY140</f>
        <v>0</v>
      </c>
      <c r="DR140" s="2">
        <f t="shared" si="2423"/>
        <v>0</v>
      </c>
      <c r="DS140" s="2">
        <f t="shared" ref="DS140:DX140" si="2424">(M140*$I140+AH140*$AD140+BC140*$AY140)/100</f>
        <v>0</v>
      </c>
      <c r="DT140" s="2">
        <f t="shared" si="2424"/>
        <v>0</v>
      </c>
      <c r="DU140" s="2">
        <f t="shared" si="2424"/>
        <v>0</v>
      </c>
      <c r="DV140" s="2">
        <f t="shared" si="2424"/>
        <v>0</v>
      </c>
      <c r="DW140" s="2">
        <f t="shared" si="2424"/>
        <v>6.343399999999999E-2</v>
      </c>
      <c r="DX140" s="2">
        <f t="shared" si="2424"/>
        <v>0</v>
      </c>
      <c r="DY140" s="2">
        <f t="shared" ref="DY140:EC140" si="2425">S140*$I140+AN140*$AD140+BI140*$AY140</f>
        <v>0</v>
      </c>
      <c r="DZ140" s="2">
        <f t="shared" si="2425"/>
        <v>0</v>
      </c>
      <c r="EA140" s="2">
        <f t="shared" si="2425"/>
        <v>0</v>
      </c>
      <c r="EB140" s="2">
        <f t="shared" si="2425"/>
        <v>0</v>
      </c>
      <c r="EC140" s="2">
        <f t="shared" si="2425"/>
        <v>0</v>
      </c>
      <c r="ED140" s="2">
        <f t="shared" ref="ED140:EE140" si="2426">(X140*$I140+AS140*$AD140+BN140*$AY140)/100</f>
        <v>0</v>
      </c>
      <c r="EE140" s="2">
        <f t="shared" si="2426"/>
        <v>0</v>
      </c>
      <c r="EF140" s="2"/>
      <c r="EG140" s="2">
        <f t="shared" si="10"/>
        <v>0</v>
      </c>
      <c r="EH140" s="2">
        <f t="shared" si="11"/>
        <v>0</v>
      </c>
      <c r="EI140" s="39">
        <f t="shared" si="12"/>
        <v>0</v>
      </c>
      <c r="EJ140" s="39">
        <f t="shared" ref="EJ140:EK140" si="2427">EJ$1*DQ140/1000000</f>
        <v>0</v>
      </c>
      <c r="EK140" s="39">
        <f t="shared" si="2427"/>
        <v>0</v>
      </c>
      <c r="EL140" s="39">
        <f t="shared" ref="EL140:EQ140" si="2428">EL$1*DS140</f>
        <v>0</v>
      </c>
      <c r="EM140" s="39">
        <f t="shared" si="2428"/>
        <v>0</v>
      </c>
      <c r="EN140" s="39">
        <f t="shared" si="2428"/>
        <v>0</v>
      </c>
      <c r="EO140" s="39">
        <f t="shared" si="2428"/>
        <v>0</v>
      </c>
      <c r="EP140" s="39">
        <f t="shared" si="2428"/>
        <v>831.87347599999987</v>
      </c>
      <c r="EQ140" s="39">
        <f t="shared" si="2428"/>
        <v>0</v>
      </c>
      <c r="ER140" s="39">
        <f t="shared" ref="ER140:EV140" si="2429">ER$1*DY140/1000000</f>
        <v>0</v>
      </c>
      <c r="ES140" s="39">
        <f t="shared" si="2429"/>
        <v>0</v>
      </c>
      <c r="ET140" s="39">
        <f t="shared" si="2429"/>
        <v>0</v>
      </c>
      <c r="EU140" s="39">
        <f t="shared" si="2429"/>
        <v>0</v>
      </c>
      <c r="EV140" s="39">
        <f t="shared" si="2429"/>
        <v>0</v>
      </c>
      <c r="EW140" s="39">
        <f t="shared" ref="EW140:EX140" si="2430">EW$1*ED140</f>
        <v>0</v>
      </c>
      <c r="EX140" s="39">
        <f t="shared" si="2430"/>
        <v>0</v>
      </c>
      <c r="EY140" s="2"/>
      <c r="EZ140" s="39">
        <f t="shared" si="17"/>
        <v>0</v>
      </c>
      <c r="FA140" s="39">
        <f t="shared" si="18"/>
        <v>0</v>
      </c>
      <c r="FB140" s="2">
        <f t="shared" si="19"/>
        <v>0</v>
      </c>
      <c r="FC140" s="2">
        <f t="shared" ref="FC140:FD140" si="2431">BV140*$BT140+CQ140*$CO140</f>
        <v>0</v>
      </c>
      <c r="FD140" s="2">
        <f t="shared" si="2431"/>
        <v>0</v>
      </c>
      <c r="FE140" s="2">
        <f t="shared" ref="FE140:FJ140" si="2432">(BX140*$BT140+CS140*$CO140)/100</f>
        <v>0</v>
      </c>
      <c r="FF140" s="2">
        <f t="shared" si="2432"/>
        <v>0</v>
      </c>
      <c r="FG140" s="2">
        <f t="shared" si="2432"/>
        <v>0</v>
      </c>
      <c r="FH140" s="2">
        <f t="shared" si="2432"/>
        <v>0</v>
      </c>
      <c r="FI140" s="2">
        <f t="shared" si="2432"/>
        <v>0</v>
      </c>
      <c r="FJ140" s="2">
        <f t="shared" si="2432"/>
        <v>0</v>
      </c>
      <c r="FK140" s="2">
        <f t="shared" ref="FK140:FO140" si="2433">CD140*$BT140+CY140*$CO140</f>
        <v>0</v>
      </c>
      <c r="FL140" s="2">
        <f t="shared" si="2433"/>
        <v>0</v>
      </c>
      <c r="FM140" s="2">
        <f t="shared" si="2433"/>
        <v>0</v>
      </c>
      <c r="FN140" s="2">
        <f t="shared" si="2433"/>
        <v>0</v>
      </c>
      <c r="FO140" s="2">
        <f t="shared" si="2433"/>
        <v>0</v>
      </c>
      <c r="FP140" s="2">
        <f t="shared" ref="FP140:FQ140" si="2434">(CI140*$BT140+DD140*$CO140)/100</f>
        <v>0</v>
      </c>
      <c r="FQ140" s="2">
        <f t="shared" si="2434"/>
        <v>0</v>
      </c>
      <c r="FR140" s="2"/>
      <c r="FS140" s="2">
        <f t="shared" si="24"/>
        <v>0</v>
      </c>
      <c r="FT140" s="2">
        <f t="shared" si="25"/>
        <v>0</v>
      </c>
      <c r="FU140" s="39">
        <f t="shared" si="26"/>
        <v>0</v>
      </c>
      <c r="FV140" s="39">
        <f t="shared" ref="FV140:FW140" si="2435">FV$1*FC140/1000000</f>
        <v>0</v>
      </c>
      <c r="FW140" s="39">
        <f t="shared" si="2435"/>
        <v>0</v>
      </c>
      <c r="FX140" s="39">
        <f t="shared" ref="FX140:GC140" si="2436">FX$1*FE140</f>
        <v>0</v>
      </c>
      <c r="FY140" s="39">
        <f t="shared" si="2436"/>
        <v>0</v>
      </c>
      <c r="FZ140" s="39">
        <f t="shared" si="2436"/>
        <v>0</v>
      </c>
      <c r="GA140" s="39">
        <f t="shared" si="2436"/>
        <v>0</v>
      </c>
      <c r="GB140" s="39">
        <f t="shared" si="2436"/>
        <v>0</v>
      </c>
      <c r="GC140" s="39">
        <f t="shared" si="2436"/>
        <v>0</v>
      </c>
      <c r="GD140" s="39">
        <f t="shared" ref="GD140:GH140" si="2437">GD$1*FK140/1000000</f>
        <v>0</v>
      </c>
      <c r="GE140" s="39">
        <f t="shared" si="2437"/>
        <v>0</v>
      </c>
      <c r="GF140" s="39">
        <f t="shared" si="2437"/>
        <v>0</v>
      </c>
      <c r="GG140" s="39">
        <f t="shared" si="2437"/>
        <v>0</v>
      </c>
      <c r="GH140" s="39">
        <f t="shared" si="2437"/>
        <v>0</v>
      </c>
      <c r="GI140" s="39">
        <f t="shared" ref="GI140:GJ140" si="2438">GI$1*FP140</f>
        <v>0</v>
      </c>
      <c r="GJ140" s="39">
        <f t="shared" si="2438"/>
        <v>0</v>
      </c>
      <c r="GK140" s="2"/>
      <c r="GL140" s="39">
        <f t="shared" si="31"/>
        <v>0</v>
      </c>
      <c r="GM140" s="39">
        <f t="shared" si="32"/>
        <v>0</v>
      </c>
      <c r="GN140" s="2" t="s">
        <v>3</v>
      </c>
      <c r="GO140" s="2">
        <f t="shared" si="33"/>
        <v>4.5309999999999997</v>
      </c>
      <c r="GP140" s="2">
        <f t="shared" si="34"/>
        <v>1.4</v>
      </c>
      <c r="GQ140" s="15">
        <f t="shared" si="35"/>
        <v>63.433999999999997</v>
      </c>
      <c r="GR140" s="15">
        <f t="shared" si="36"/>
        <v>831.87347599999987</v>
      </c>
      <c r="GS140" s="15">
        <f t="shared" si="37"/>
        <v>183.59599999999998</v>
      </c>
      <c r="GT140" s="2">
        <f t="shared" si="38"/>
        <v>0</v>
      </c>
      <c r="GU140" s="2">
        <f t="shared" si="39"/>
        <v>0</v>
      </c>
      <c r="GV140" s="2">
        <f t="shared" si="40"/>
        <v>63.43399999999999</v>
      </c>
      <c r="GW140" s="2">
        <f t="shared" si="41"/>
        <v>0</v>
      </c>
      <c r="GX140" s="2"/>
      <c r="GY140" s="2"/>
      <c r="GZ140" s="2"/>
      <c r="HA140" s="2"/>
      <c r="HB140" s="2">
        <f t="shared" si="42"/>
        <v>0</v>
      </c>
      <c r="HC140" s="2">
        <f t="shared" si="43"/>
        <v>0</v>
      </c>
      <c r="HD140" s="2" t="s">
        <v>3</v>
      </c>
      <c r="HE140" s="2" t="s">
        <v>37</v>
      </c>
      <c r="HF140" s="2" t="s">
        <v>106</v>
      </c>
      <c r="HG140" s="2"/>
      <c r="HH140" s="2"/>
      <c r="HI140" s="2" t="s">
        <v>100</v>
      </c>
      <c r="HJ140" s="2" t="s">
        <v>3</v>
      </c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 t="s">
        <v>3</v>
      </c>
    </row>
    <row r="141" spans="1:268" ht="15.75" customHeight="1" x14ac:dyDescent="0.2">
      <c r="A141" s="13" t="s">
        <v>420</v>
      </c>
      <c r="B141" s="2" t="s">
        <v>99</v>
      </c>
      <c r="C141" s="2"/>
      <c r="D141" s="2"/>
      <c r="E141" s="2"/>
      <c r="F141" s="2" t="s">
        <v>79</v>
      </c>
      <c r="G141" s="2"/>
      <c r="H141" s="2"/>
      <c r="I141" s="2">
        <v>0</v>
      </c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>
        <v>0</v>
      </c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>
        <v>11.103999999999999</v>
      </c>
      <c r="AZ141" s="2"/>
      <c r="BA141" s="2"/>
      <c r="BB141" s="2"/>
      <c r="BC141" s="2"/>
      <c r="BD141" s="2"/>
      <c r="BE141" s="2"/>
      <c r="BF141" s="2"/>
      <c r="BG141" s="2">
        <v>1.33</v>
      </c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>
        <v>0</v>
      </c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>
        <v>0</v>
      </c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 t="s">
        <v>100</v>
      </c>
      <c r="DK141" s="2"/>
      <c r="DL141" s="2">
        <f t="shared" si="3"/>
        <v>1.33</v>
      </c>
      <c r="DM141" s="2">
        <f t="shared" si="4"/>
        <v>0</v>
      </c>
      <c r="DN141" s="2" t="s">
        <v>117</v>
      </c>
      <c r="DO141" s="2" t="s">
        <v>3</v>
      </c>
      <c r="DP141" s="2">
        <f t="shared" si="5"/>
        <v>0</v>
      </c>
      <c r="DQ141" s="2">
        <f t="shared" ref="DQ141:DR141" si="2439">K141*$I141+AF141*$AD141+BA141*$AY141</f>
        <v>0</v>
      </c>
      <c r="DR141" s="2">
        <f t="shared" si="2439"/>
        <v>0</v>
      </c>
      <c r="DS141" s="2">
        <f t="shared" ref="DS141:DX141" si="2440">(M141*$I141+AH141*$AD141+BC141*$AY141)/100</f>
        <v>0</v>
      </c>
      <c r="DT141" s="2">
        <f t="shared" si="2440"/>
        <v>0</v>
      </c>
      <c r="DU141" s="2">
        <f t="shared" si="2440"/>
        <v>0</v>
      </c>
      <c r="DV141" s="2">
        <f t="shared" si="2440"/>
        <v>0</v>
      </c>
      <c r="DW141" s="2">
        <f t="shared" si="2440"/>
        <v>0.14768319999999999</v>
      </c>
      <c r="DX141" s="2">
        <f t="shared" si="2440"/>
        <v>0</v>
      </c>
      <c r="DY141" s="2">
        <f t="shared" ref="DY141:EC141" si="2441">S141*$I141+AN141*$AD141+BI141*$AY141</f>
        <v>0</v>
      </c>
      <c r="DZ141" s="2">
        <f t="shared" si="2441"/>
        <v>0</v>
      </c>
      <c r="EA141" s="2">
        <f t="shared" si="2441"/>
        <v>0</v>
      </c>
      <c r="EB141" s="2">
        <f t="shared" si="2441"/>
        <v>0</v>
      </c>
      <c r="EC141" s="2">
        <f t="shared" si="2441"/>
        <v>0</v>
      </c>
      <c r="ED141" s="2">
        <f t="shared" ref="ED141:EE141" si="2442">(X141*$I141+AS141*$AD141+BN141*$AY141)/100</f>
        <v>0</v>
      </c>
      <c r="EE141" s="2">
        <f t="shared" si="2442"/>
        <v>0</v>
      </c>
      <c r="EF141" s="2"/>
      <c r="EG141" s="2">
        <f t="shared" si="10"/>
        <v>0</v>
      </c>
      <c r="EH141" s="2">
        <f t="shared" si="11"/>
        <v>0</v>
      </c>
      <c r="EI141" s="39">
        <f t="shared" si="12"/>
        <v>0</v>
      </c>
      <c r="EJ141" s="39">
        <f t="shared" ref="EJ141:EK141" si="2443">EJ$1*DQ141/1000000</f>
        <v>0</v>
      </c>
      <c r="EK141" s="39">
        <f t="shared" si="2443"/>
        <v>0</v>
      </c>
      <c r="EL141" s="39">
        <f t="shared" ref="EL141:EQ141" si="2444">EL$1*DS141</f>
        <v>0</v>
      </c>
      <c r="EM141" s="39">
        <f t="shared" si="2444"/>
        <v>0</v>
      </c>
      <c r="EN141" s="39">
        <f t="shared" si="2444"/>
        <v>0</v>
      </c>
      <c r="EO141" s="39">
        <f t="shared" si="2444"/>
        <v>0</v>
      </c>
      <c r="EP141" s="39">
        <f t="shared" si="2444"/>
        <v>1936.7174847999997</v>
      </c>
      <c r="EQ141" s="39">
        <f t="shared" si="2444"/>
        <v>0</v>
      </c>
      <c r="ER141" s="39">
        <f t="shared" ref="ER141:EV141" si="2445">ER$1*DY141/1000000</f>
        <v>0</v>
      </c>
      <c r="ES141" s="39">
        <f t="shared" si="2445"/>
        <v>0</v>
      </c>
      <c r="ET141" s="39">
        <f t="shared" si="2445"/>
        <v>0</v>
      </c>
      <c r="EU141" s="39">
        <f t="shared" si="2445"/>
        <v>0</v>
      </c>
      <c r="EV141" s="39">
        <f t="shared" si="2445"/>
        <v>0</v>
      </c>
      <c r="EW141" s="39">
        <f t="shared" ref="EW141:EX141" si="2446">EW$1*ED141</f>
        <v>0</v>
      </c>
      <c r="EX141" s="39">
        <f t="shared" si="2446"/>
        <v>0</v>
      </c>
      <c r="EY141" s="2"/>
      <c r="EZ141" s="39">
        <f t="shared" si="17"/>
        <v>0</v>
      </c>
      <c r="FA141" s="39">
        <f t="shared" si="18"/>
        <v>0</v>
      </c>
      <c r="FB141" s="2">
        <f t="shared" si="19"/>
        <v>0</v>
      </c>
      <c r="FC141" s="2">
        <f t="shared" ref="FC141:FD141" si="2447">BV141*$BT141+CQ141*$CO141</f>
        <v>0</v>
      </c>
      <c r="FD141" s="2">
        <f t="shared" si="2447"/>
        <v>0</v>
      </c>
      <c r="FE141" s="2">
        <f t="shared" ref="FE141:FJ141" si="2448">(BX141*$BT141+CS141*$CO141)/100</f>
        <v>0</v>
      </c>
      <c r="FF141" s="2">
        <f t="shared" si="2448"/>
        <v>0</v>
      </c>
      <c r="FG141" s="2">
        <f t="shared" si="2448"/>
        <v>0</v>
      </c>
      <c r="FH141" s="2">
        <f t="shared" si="2448"/>
        <v>0</v>
      </c>
      <c r="FI141" s="2">
        <f t="shared" si="2448"/>
        <v>0</v>
      </c>
      <c r="FJ141" s="2">
        <f t="shared" si="2448"/>
        <v>0</v>
      </c>
      <c r="FK141" s="2">
        <f t="shared" ref="FK141:FO141" si="2449">CD141*$BT141+CY141*$CO141</f>
        <v>0</v>
      </c>
      <c r="FL141" s="2">
        <f t="shared" si="2449"/>
        <v>0</v>
      </c>
      <c r="FM141" s="2">
        <f t="shared" si="2449"/>
        <v>0</v>
      </c>
      <c r="FN141" s="2">
        <f t="shared" si="2449"/>
        <v>0</v>
      </c>
      <c r="FO141" s="2">
        <f t="shared" si="2449"/>
        <v>0</v>
      </c>
      <c r="FP141" s="2">
        <f t="shared" ref="FP141:FQ141" si="2450">(CI141*$BT141+DD141*$CO141)/100</f>
        <v>0</v>
      </c>
      <c r="FQ141" s="2">
        <f t="shared" si="2450"/>
        <v>0</v>
      </c>
      <c r="FR141" s="2"/>
      <c r="FS141" s="2">
        <f t="shared" si="24"/>
        <v>0</v>
      </c>
      <c r="FT141" s="2">
        <f t="shared" si="25"/>
        <v>0</v>
      </c>
      <c r="FU141" s="39">
        <f t="shared" si="26"/>
        <v>0</v>
      </c>
      <c r="FV141" s="39">
        <f t="shared" ref="FV141:FW141" si="2451">FV$1*FC141/1000000</f>
        <v>0</v>
      </c>
      <c r="FW141" s="39">
        <f t="shared" si="2451"/>
        <v>0</v>
      </c>
      <c r="FX141" s="39">
        <f t="shared" ref="FX141:GC141" si="2452">FX$1*FE141</f>
        <v>0</v>
      </c>
      <c r="FY141" s="39">
        <f t="shared" si="2452"/>
        <v>0</v>
      </c>
      <c r="FZ141" s="39">
        <f t="shared" si="2452"/>
        <v>0</v>
      </c>
      <c r="GA141" s="39">
        <f t="shared" si="2452"/>
        <v>0</v>
      </c>
      <c r="GB141" s="39">
        <f t="shared" si="2452"/>
        <v>0</v>
      </c>
      <c r="GC141" s="39">
        <f t="shared" si="2452"/>
        <v>0</v>
      </c>
      <c r="GD141" s="39">
        <f t="shared" ref="GD141:GH141" si="2453">GD$1*FK141/1000000</f>
        <v>0</v>
      </c>
      <c r="GE141" s="39">
        <f t="shared" si="2453"/>
        <v>0</v>
      </c>
      <c r="GF141" s="39">
        <f t="shared" si="2453"/>
        <v>0</v>
      </c>
      <c r="GG141" s="39">
        <f t="shared" si="2453"/>
        <v>0</v>
      </c>
      <c r="GH141" s="39">
        <f t="shared" si="2453"/>
        <v>0</v>
      </c>
      <c r="GI141" s="39">
        <f t="shared" ref="GI141:GJ141" si="2454">GI$1*FP141</f>
        <v>0</v>
      </c>
      <c r="GJ141" s="39">
        <f t="shared" si="2454"/>
        <v>0</v>
      </c>
      <c r="GK141" s="2"/>
      <c r="GL141" s="39">
        <f t="shared" si="31"/>
        <v>0</v>
      </c>
      <c r="GM141" s="39">
        <f t="shared" si="32"/>
        <v>0</v>
      </c>
      <c r="GN141" s="2" t="s">
        <v>3</v>
      </c>
      <c r="GO141" s="4">
        <f t="shared" si="33"/>
        <v>11.103999999999999</v>
      </c>
      <c r="GP141" s="2">
        <f t="shared" si="34"/>
        <v>1.33</v>
      </c>
      <c r="GQ141" s="15">
        <f t="shared" si="35"/>
        <v>147.68320000000003</v>
      </c>
      <c r="GR141" s="15">
        <f t="shared" si="36"/>
        <v>1936.7174847999997</v>
      </c>
      <c r="GS141" s="15">
        <f t="shared" si="37"/>
        <v>174.41619999999998</v>
      </c>
      <c r="GT141" s="2">
        <f t="shared" si="38"/>
        <v>0</v>
      </c>
      <c r="GU141" s="2">
        <f t="shared" si="39"/>
        <v>0</v>
      </c>
      <c r="GV141" s="2">
        <f t="shared" si="40"/>
        <v>147.6832</v>
      </c>
      <c r="GW141" s="2">
        <f t="shared" si="41"/>
        <v>0</v>
      </c>
      <c r="GX141" s="2"/>
      <c r="GY141" s="2"/>
      <c r="GZ141" s="2"/>
      <c r="HA141" s="2"/>
      <c r="HB141" s="2">
        <f t="shared" si="42"/>
        <v>0</v>
      </c>
      <c r="HC141" s="2">
        <f t="shared" si="43"/>
        <v>0</v>
      </c>
      <c r="HD141" s="2" t="s">
        <v>3</v>
      </c>
      <c r="HE141" s="2" t="s">
        <v>37</v>
      </c>
      <c r="HF141" s="2" t="s">
        <v>106</v>
      </c>
      <c r="HG141" s="2"/>
      <c r="HH141" s="2"/>
      <c r="HI141" s="2" t="s">
        <v>100</v>
      </c>
      <c r="HJ141" s="2" t="s">
        <v>3</v>
      </c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 t="s">
        <v>3</v>
      </c>
    </row>
    <row r="142" spans="1:268" ht="15.75" customHeight="1" x14ac:dyDescent="0.2">
      <c r="A142" s="13" t="s">
        <v>1236</v>
      </c>
      <c r="B142" s="2" t="s">
        <v>99</v>
      </c>
      <c r="C142" s="2"/>
      <c r="D142" s="2"/>
      <c r="E142" s="2"/>
      <c r="F142" s="2" t="s">
        <v>79</v>
      </c>
      <c r="G142" s="2"/>
      <c r="H142" s="2"/>
      <c r="I142" s="2">
        <v>0</v>
      </c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>
        <v>0</v>
      </c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>
        <v>45.601999999999997</v>
      </c>
      <c r="AZ142" s="2"/>
      <c r="BA142" s="2"/>
      <c r="BB142" s="2"/>
      <c r="BC142" s="2"/>
      <c r="BD142" s="2"/>
      <c r="BE142" s="2"/>
      <c r="BF142" s="2"/>
      <c r="BG142" s="2">
        <v>1.55</v>
      </c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>
        <v>0</v>
      </c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>
        <v>0</v>
      </c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 t="s">
        <v>100</v>
      </c>
      <c r="DK142" s="2"/>
      <c r="DL142" s="2">
        <f t="shared" si="3"/>
        <v>1.55</v>
      </c>
      <c r="DM142" s="2">
        <f t="shared" si="4"/>
        <v>0</v>
      </c>
      <c r="DN142" s="2" t="s">
        <v>117</v>
      </c>
      <c r="DO142" s="2" t="s">
        <v>3</v>
      </c>
      <c r="DP142" s="2">
        <f t="shared" si="5"/>
        <v>0</v>
      </c>
      <c r="DQ142" s="2">
        <f t="shared" ref="DQ142:DR142" si="2455">K142*$I142+AF142*$AD142+BA142*$AY142</f>
        <v>0</v>
      </c>
      <c r="DR142" s="2">
        <f t="shared" si="2455"/>
        <v>0</v>
      </c>
      <c r="DS142" s="2">
        <f t="shared" ref="DS142:DX142" si="2456">(M142*$I142+AH142*$AD142+BC142*$AY142)/100</f>
        <v>0</v>
      </c>
      <c r="DT142" s="2">
        <f t="shared" si="2456"/>
        <v>0</v>
      </c>
      <c r="DU142" s="2">
        <f t="shared" si="2456"/>
        <v>0</v>
      </c>
      <c r="DV142" s="2">
        <f t="shared" si="2456"/>
        <v>0</v>
      </c>
      <c r="DW142" s="2">
        <f t="shared" si="2456"/>
        <v>0.70683099999999999</v>
      </c>
      <c r="DX142" s="2">
        <f t="shared" si="2456"/>
        <v>0</v>
      </c>
      <c r="DY142" s="2">
        <f t="shared" ref="DY142:EC142" si="2457">S142*$I142+AN142*$AD142+BI142*$AY142</f>
        <v>0</v>
      </c>
      <c r="DZ142" s="2">
        <f t="shared" si="2457"/>
        <v>0</v>
      </c>
      <c r="EA142" s="2">
        <f t="shared" si="2457"/>
        <v>0</v>
      </c>
      <c r="EB142" s="2">
        <f t="shared" si="2457"/>
        <v>0</v>
      </c>
      <c r="EC142" s="2">
        <f t="shared" si="2457"/>
        <v>0</v>
      </c>
      <c r="ED142" s="2">
        <f t="shared" ref="ED142:EE142" si="2458">(X142*$I142+AS142*$AD142+BN142*$AY142)/100</f>
        <v>0</v>
      </c>
      <c r="EE142" s="2">
        <f t="shared" si="2458"/>
        <v>0</v>
      </c>
      <c r="EF142" s="2"/>
      <c r="EG142" s="2">
        <f t="shared" si="10"/>
        <v>0</v>
      </c>
      <c r="EH142" s="2">
        <f t="shared" si="11"/>
        <v>0</v>
      </c>
      <c r="EI142" s="39">
        <f t="shared" si="12"/>
        <v>0</v>
      </c>
      <c r="EJ142" s="39">
        <f t="shared" ref="EJ142:EK142" si="2459">EJ$1*DQ142/1000000</f>
        <v>0</v>
      </c>
      <c r="EK142" s="39">
        <f t="shared" si="2459"/>
        <v>0</v>
      </c>
      <c r="EL142" s="39">
        <f t="shared" ref="EL142:EQ142" si="2460">EL$1*DS142</f>
        <v>0</v>
      </c>
      <c r="EM142" s="39">
        <f t="shared" si="2460"/>
        <v>0</v>
      </c>
      <c r="EN142" s="39">
        <f t="shared" si="2460"/>
        <v>0</v>
      </c>
      <c r="EO142" s="39">
        <f t="shared" si="2460"/>
        <v>0</v>
      </c>
      <c r="EP142" s="39">
        <f t="shared" si="2460"/>
        <v>9269.3817340000005</v>
      </c>
      <c r="EQ142" s="39">
        <f t="shared" si="2460"/>
        <v>0</v>
      </c>
      <c r="ER142" s="39">
        <f t="shared" ref="ER142:EV142" si="2461">ER$1*DY142/1000000</f>
        <v>0</v>
      </c>
      <c r="ES142" s="39">
        <f t="shared" si="2461"/>
        <v>0</v>
      </c>
      <c r="ET142" s="39">
        <f t="shared" si="2461"/>
        <v>0</v>
      </c>
      <c r="EU142" s="39">
        <f t="shared" si="2461"/>
        <v>0</v>
      </c>
      <c r="EV142" s="39">
        <f t="shared" si="2461"/>
        <v>0</v>
      </c>
      <c r="EW142" s="39">
        <f t="shared" ref="EW142:EX142" si="2462">EW$1*ED142</f>
        <v>0</v>
      </c>
      <c r="EX142" s="39">
        <f t="shared" si="2462"/>
        <v>0</v>
      </c>
      <c r="EY142" s="2"/>
      <c r="EZ142" s="39">
        <f t="shared" si="17"/>
        <v>0</v>
      </c>
      <c r="FA142" s="39">
        <f t="shared" si="18"/>
        <v>0</v>
      </c>
      <c r="FB142" s="2">
        <f t="shared" si="19"/>
        <v>0</v>
      </c>
      <c r="FC142" s="2">
        <f t="shared" ref="FC142:FD142" si="2463">BV142*$BT142+CQ142*$CO142</f>
        <v>0</v>
      </c>
      <c r="FD142" s="2">
        <f t="shared" si="2463"/>
        <v>0</v>
      </c>
      <c r="FE142" s="2">
        <f t="shared" ref="FE142:FJ142" si="2464">(BX142*$BT142+CS142*$CO142)/100</f>
        <v>0</v>
      </c>
      <c r="FF142" s="2">
        <f t="shared" si="2464"/>
        <v>0</v>
      </c>
      <c r="FG142" s="2">
        <f t="shared" si="2464"/>
        <v>0</v>
      </c>
      <c r="FH142" s="2">
        <f t="shared" si="2464"/>
        <v>0</v>
      </c>
      <c r="FI142" s="2">
        <f t="shared" si="2464"/>
        <v>0</v>
      </c>
      <c r="FJ142" s="2">
        <f t="shared" si="2464"/>
        <v>0</v>
      </c>
      <c r="FK142" s="2">
        <f t="shared" ref="FK142:FO142" si="2465">CD142*$BT142+CY142*$CO142</f>
        <v>0</v>
      </c>
      <c r="FL142" s="2">
        <f t="shared" si="2465"/>
        <v>0</v>
      </c>
      <c r="FM142" s="2">
        <f t="shared" si="2465"/>
        <v>0</v>
      </c>
      <c r="FN142" s="2">
        <f t="shared" si="2465"/>
        <v>0</v>
      </c>
      <c r="FO142" s="2">
        <f t="shared" si="2465"/>
        <v>0</v>
      </c>
      <c r="FP142" s="2">
        <f t="shared" ref="FP142:FQ142" si="2466">(CI142*$BT142+DD142*$CO142)/100</f>
        <v>0</v>
      </c>
      <c r="FQ142" s="2">
        <f t="shared" si="2466"/>
        <v>0</v>
      </c>
      <c r="FR142" s="2"/>
      <c r="FS142" s="2">
        <f t="shared" si="24"/>
        <v>0</v>
      </c>
      <c r="FT142" s="2">
        <f t="shared" si="25"/>
        <v>0</v>
      </c>
      <c r="FU142" s="39">
        <f t="shared" si="26"/>
        <v>0</v>
      </c>
      <c r="FV142" s="39">
        <f t="shared" ref="FV142:FW142" si="2467">FV$1*FC142/1000000</f>
        <v>0</v>
      </c>
      <c r="FW142" s="39">
        <f t="shared" si="2467"/>
        <v>0</v>
      </c>
      <c r="FX142" s="39">
        <f t="shared" ref="FX142:GC142" si="2468">FX$1*FE142</f>
        <v>0</v>
      </c>
      <c r="FY142" s="39">
        <f t="shared" si="2468"/>
        <v>0</v>
      </c>
      <c r="FZ142" s="39">
        <f t="shared" si="2468"/>
        <v>0</v>
      </c>
      <c r="GA142" s="39">
        <f t="shared" si="2468"/>
        <v>0</v>
      </c>
      <c r="GB142" s="39">
        <f t="shared" si="2468"/>
        <v>0</v>
      </c>
      <c r="GC142" s="39">
        <f t="shared" si="2468"/>
        <v>0</v>
      </c>
      <c r="GD142" s="39">
        <f t="shared" ref="GD142:GH142" si="2469">GD$1*FK142/1000000</f>
        <v>0</v>
      </c>
      <c r="GE142" s="39">
        <f t="shared" si="2469"/>
        <v>0</v>
      </c>
      <c r="GF142" s="39">
        <f t="shared" si="2469"/>
        <v>0</v>
      </c>
      <c r="GG142" s="39">
        <f t="shared" si="2469"/>
        <v>0</v>
      </c>
      <c r="GH142" s="39">
        <f t="shared" si="2469"/>
        <v>0</v>
      </c>
      <c r="GI142" s="39">
        <f t="shared" ref="GI142:GJ142" si="2470">GI$1*FP142</f>
        <v>0</v>
      </c>
      <c r="GJ142" s="39">
        <f t="shared" si="2470"/>
        <v>0</v>
      </c>
      <c r="GK142" s="2"/>
      <c r="GL142" s="39">
        <f t="shared" si="31"/>
        <v>0</v>
      </c>
      <c r="GM142" s="39">
        <f t="shared" si="32"/>
        <v>0</v>
      </c>
      <c r="GN142" s="2" t="s">
        <v>3</v>
      </c>
      <c r="GO142" s="4">
        <f t="shared" si="33"/>
        <v>45.601999999999997</v>
      </c>
      <c r="GP142" s="2">
        <f t="shared" si="34"/>
        <v>1.55</v>
      </c>
      <c r="GQ142" s="15">
        <f t="shared" si="35"/>
        <v>706.83100000000002</v>
      </c>
      <c r="GR142" s="15">
        <f t="shared" si="36"/>
        <v>9269.3817340000005</v>
      </c>
      <c r="GS142" s="15">
        <f t="shared" si="37"/>
        <v>203.26700000000002</v>
      </c>
      <c r="GT142" s="2">
        <f t="shared" si="38"/>
        <v>0</v>
      </c>
      <c r="GU142" s="2">
        <f t="shared" si="39"/>
        <v>0</v>
      </c>
      <c r="GV142" s="2">
        <f t="shared" si="40"/>
        <v>706.8309999999999</v>
      </c>
      <c r="GW142" s="2">
        <f t="shared" si="41"/>
        <v>0</v>
      </c>
      <c r="GX142" s="2"/>
      <c r="GY142" s="2"/>
      <c r="GZ142" s="2"/>
      <c r="HA142" s="2"/>
      <c r="HB142" s="2">
        <f t="shared" si="42"/>
        <v>0</v>
      </c>
      <c r="HC142" s="2">
        <f t="shared" si="43"/>
        <v>0</v>
      </c>
      <c r="HD142" s="2" t="s">
        <v>3</v>
      </c>
      <c r="HE142" s="2" t="s">
        <v>37</v>
      </c>
      <c r="HF142" s="2" t="s">
        <v>106</v>
      </c>
      <c r="HG142" s="2"/>
      <c r="HH142" s="2"/>
      <c r="HI142" s="2" t="s">
        <v>100</v>
      </c>
      <c r="HJ142" s="2" t="s">
        <v>3</v>
      </c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 t="s">
        <v>3</v>
      </c>
    </row>
    <row r="143" spans="1:268" ht="15.75" customHeight="1" x14ac:dyDescent="0.2">
      <c r="A143" s="13" t="s">
        <v>848</v>
      </c>
      <c r="B143" s="2" t="s">
        <v>99</v>
      </c>
      <c r="C143" s="2"/>
      <c r="D143" s="2"/>
      <c r="E143" s="2"/>
      <c r="F143" s="2" t="s">
        <v>79</v>
      </c>
      <c r="G143" s="2"/>
      <c r="H143" s="2"/>
      <c r="I143" s="2">
        <v>0</v>
      </c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>
        <v>0</v>
      </c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>
        <v>49.966000000000001</v>
      </c>
      <c r="AZ143" s="2"/>
      <c r="BA143" s="2"/>
      <c r="BB143" s="2"/>
      <c r="BC143" s="2"/>
      <c r="BD143" s="2"/>
      <c r="BE143" s="2"/>
      <c r="BF143" s="2"/>
      <c r="BG143" s="2">
        <v>1.26</v>
      </c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>
        <v>0</v>
      </c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>
        <v>0</v>
      </c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 t="s">
        <v>100</v>
      </c>
      <c r="DK143" s="2"/>
      <c r="DL143" s="2">
        <f t="shared" si="3"/>
        <v>1.26</v>
      </c>
      <c r="DM143" s="2">
        <f t="shared" si="4"/>
        <v>0</v>
      </c>
      <c r="DN143" s="2" t="s">
        <v>117</v>
      </c>
      <c r="DO143" s="2" t="s">
        <v>3</v>
      </c>
      <c r="DP143" s="2">
        <f t="shared" si="5"/>
        <v>0</v>
      </c>
      <c r="DQ143" s="2">
        <f t="shared" ref="DQ143:DR143" si="2471">K143*$I143+AF143*$AD143+BA143*$AY143</f>
        <v>0</v>
      </c>
      <c r="DR143" s="2">
        <f t="shared" si="2471"/>
        <v>0</v>
      </c>
      <c r="DS143" s="2">
        <f t="shared" ref="DS143:DX143" si="2472">(M143*$I143+AH143*$AD143+BC143*$AY143)/100</f>
        <v>0</v>
      </c>
      <c r="DT143" s="2">
        <f t="shared" si="2472"/>
        <v>0</v>
      </c>
      <c r="DU143" s="2">
        <f t="shared" si="2472"/>
        <v>0</v>
      </c>
      <c r="DV143" s="2">
        <f t="shared" si="2472"/>
        <v>0</v>
      </c>
      <c r="DW143" s="2">
        <f t="shared" si="2472"/>
        <v>0.62957160000000001</v>
      </c>
      <c r="DX143" s="2">
        <f t="shared" si="2472"/>
        <v>0</v>
      </c>
      <c r="DY143" s="2">
        <f t="shared" ref="DY143:EC143" si="2473">S143*$I143+AN143*$AD143+BI143*$AY143</f>
        <v>0</v>
      </c>
      <c r="DZ143" s="2">
        <f t="shared" si="2473"/>
        <v>0</v>
      </c>
      <c r="EA143" s="2">
        <f t="shared" si="2473"/>
        <v>0</v>
      </c>
      <c r="EB143" s="2">
        <f t="shared" si="2473"/>
        <v>0</v>
      </c>
      <c r="EC143" s="2">
        <f t="shared" si="2473"/>
        <v>0</v>
      </c>
      <c r="ED143" s="2">
        <f t="shared" ref="ED143:EE143" si="2474">(X143*$I143+AS143*$AD143+BN143*$AY143)/100</f>
        <v>0</v>
      </c>
      <c r="EE143" s="2">
        <f t="shared" si="2474"/>
        <v>0</v>
      </c>
      <c r="EF143" s="2"/>
      <c r="EG143" s="2">
        <f t="shared" si="10"/>
        <v>0</v>
      </c>
      <c r="EH143" s="2">
        <f t="shared" si="11"/>
        <v>0</v>
      </c>
      <c r="EI143" s="39">
        <f t="shared" si="12"/>
        <v>0</v>
      </c>
      <c r="EJ143" s="39">
        <f t="shared" ref="EJ143:EK143" si="2475">EJ$1*DQ143/1000000</f>
        <v>0</v>
      </c>
      <c r="EK143" s="39">
        <f t="shared" si="2475"/>
        <v>0</v>
      </c>
      <c r="EL143" s="39">
        <f t="shared" ref="EL143:EQ143" si="2476">EL$1*DS143</f>
        <v>0</v>
      </c>
      <c r="EM143" s="39">
        <f t="shared" si="2476"/>
        <v>0</v>
      </c>
      <c r="EN143" s="39">
        <f t="shared" si="2476"/>
        <v>0</v>
      </c>
      <c r="EO143" s="39">
        <f t="shared" si="2476"/>
        <v>0</v>
      </c>
      <c r="EP143" s="39">
        <f t="shared" si="2476"/>
        <v>8256.2019624000004</v>
      </c>
      <c r="EQ143" s="39">
        <f t="shared" si="2476"/>
        <v>0</v>
      </c>
      <c r="ER143" s="39">
        <f t="shared" ref="ER143:EV143" si="2477">ER$1*DY143/1000000</f>
        <v>0</v>
      </c>
      <c r="ES143" s="39">
        <f t="shared" si="2477"/>
        <v>0</v>
      </c>
      <c r="ET143" s="39">
        <f t="shared" si="2477"/>
        <v>0</v>
      </c>
      <c r="EU143" s="39">
        <f t="shared" si="2477"/>
        <v>0</v>
      </c>
      <c r="EV143" s="39">
        <f t="shared" si="2477"/>
        <v>0</v>
      </c>
      <c r="EW143" s="39">
        <f t="shared" ref="EW143:EX143" si="2478">EW$1*ED143</f>
        <v>0</v>
      </c>
      <c r="EX143" s="39">
        <f t="shared" si="2478"/>
        <v>0</v>
      </c>
      <c r="EY143" s="2"/>
      <c r="EZ143" s="39">
        <f t="shared" si="17"/>
        <v>0</v>
      </c>
      <c r="FA143" s="39">
        <f t="shared" si="18"/>
        <v>0</v>
      </c>
      <c r="FB143" s="2">
        <f t="shared" si="19"/>
        <v>0</v>
      </c>
      <c r="FC143" s="2">
        <f t="shared" ref="FC143:FD143" si="2479">BV143*$BT143+CQ143*$CO143</f>
        <v>0</v>
      </c>
      <c r="FD143" s="2">
        <f t="shared" si="2479"/>
        <v>0</v>
      </c>
      <c r="FE143" s="2">
        <f t="shared" ref="FE143:FJ143" si="2480">(BX143*$BT143+CS143*$CO143)/100</f>
        <v>0</v>
      </c>
      <c r="FF143" s="2">
        <f t="shared" si="2480"/>
        <v>0</v>
      </c>
      <c r="FG143" s="2">
        <f t="shared" si="2480"/>
        <v>0</v>
      </c>
      <c r="FH143" s="2">
        <f t="shared" si="2480"/>
        <v>0</v>
      </c>
      <c r="FI143" s="2">
        <f t="shared" si="2480"/>
        <v>0</v>
      </c>
      <c r="FJ143" s="2">
        <f t="shared" si="2480"/>
        <v>0</v>
      </c>
      <c r="FK143" s="2">
        <f t="shared" ref="FK143:FO143" si="2481">CD143*$BT143+CY143*$CO143</f>
        <v>0</v>
      </c>
      <c r="FL143" s="2">
        <f t="shared" si="2481"/>
        <v>0</v>
      </c>
      <c r="FM143" s="2">
        <f t="shared" si="2481"/>
        <v>0</v>
      </c>
      <c r="FN143" s="2">
        <f t="shared" si="2481"/>
        <v>0</v>
      </c>
      <c r="FO143" s="2">
        <f t="shared" si="2481"/>
        <v>0</v>
      </c>
      <c r="FP143" s="2">
        <f t="shared" ref="FP143:FQ143" si="2482">(CI143*$BT143+DD143*$CO143)/100</f>
        <v>0</v>
      </c>
      <c r="FQ143" s="2">
        <f t="shared" si="2482"/>
        <v>0</v>
      </c>
      <c r="FR143" s="2"/>
      <c r="FS143" s="2">
        <f t="shared" si="24"/>
        <v>0</v>
      </c>
      <c r="FT143" s="2">
        <f t="shared" si="25"/>
        <v>0</v>
      </c>
      <c r="FU143" s="39">
        <f t="shared" si="26"/>
        <v>0</v>
      </c>
      <c r="FV143" s="39">
        <f t="shared" ref="FV143:FW143" si="2483">FV$1*FC143/1000000</f>
        <v>0</v>
      </c>
      <c r="FW143" s="39">
        <f t="shared" si="2483"/>
        <v>0</v>
      </c>
      <c r="FX143" s="39">
        <f t="shared" ref="FX143:GC143" si="2484">FX$1*FE143</f>
        <v>0</v>
      </c>
      <c r="FY143" s="39">
        <f t="shared" si="2484"/>
        <v>0</v>
      </c>
      <c r="FZ143" s="39">
        <f t="shared" si="2484"/>
        <v>0</v>
      </c>
      <c r="GA143" s="39">
        <f t="shared" si="2484"/>
        <v>0</v>
      </c>
      <c r="GB143" s="39">
        <f t="shared" si="2484"/>
        <v>0</v>
      </c>
      <c r="GC143" s="39">
        <f t="shared" si="2484"/>
        <v>0</v>
      </c>
      <c r="GD143" s="39">
        <f t="shared" ref="GD143:GH143" si="2485">GD$1*FK143/1000000</f>
        <v>0</v>
      </c>
      <c r="GE143" s="39">
        <f t="shared" si="2485"/>
        <v>0</v>
      </c>
      <c r="GF143" s="39">
        <f t="shared" si="2485"/>
        <v>0</v>
      </c>
      <c r="GG143" s="39">
        <f t="shared" si="2485"/>
        <v>0</v>
      </c>
      <c r="GH143" s="39">
        <f t="shared" si="2485"/>
        <v>0</v>
      </c>
      <c r="GI143" s="39">
        <f t="shared" ref="GI143:GJ143" si="2486">GI$1*FP143</f>
        <v>0</v>
      </c>
      <c r="GJ143" s="39">
        <f t="shared" si="2486"/>
        <v>0</v>
      </c>
      <c r="GK143" s="2"/>
      <c r="GL143" s="39">
        <f t="shared" si="31"/>
        <v>0</v>
      </c>
      <c r="GM143" s="39">
        <f t="shared" si="32"/>
        <v>0</v>
      </c>
      <c r="GN143" s="2" t="s">
        <v>3</v>
      </c>
      <c r="GO143" s="4">
        <f t="shared" si="33"/>
        <v>49.966000000000001</v>
      </c>
      <c r="GP143" s="2">
        <f t="shared" si="34"/>
        <v>1.26</v>
      </c>
      <c r="GQ143" s="15">
        <f t="shared" si="35"/>
        <v>629.57159999999999</v>
      </c>
      <c r="GR143" s="15">
        <f t="shared" si="36"/>
        <v>8256.2019624000004</v>
      </c>
      <c r="GS143" s="15">
        <f t="shared" si="37"/>
        <v>165.2364</v>
      </c>
      <c r="GT143" s="2">
        <f t="shared" si="38"/>
        <v>0</v>
      </c>
      <c r="GU143" s="2">
        <f t="shared" si="39"/>
        <v>0</v>
      </c>
      <c r="GV143" s="2">
        <f t="shared" si="40"/>
        <v>629.57159999999999</v>
      </c>
      <c r="GW143" s="2">
        <f t="shared" si="41"/>
        <v>0</v>
      </c>
      <c r="GX143" s="2"/>
      <c r="GY143" s="2"/>
      <c r="GZ143" s="2"/>
      <c r="HA143" s="2"/>
      <c r="HB143" s="2">
        <f t="shared" si="42"/>
        <v>0</v>
      </c>
      <c r="HC143" s="2">
        <f t="shared" si="43"/>
        <v>0</v>
      </c>
      <c r="HD143" s="2" t="s">
        <v>3</v>
      </c>
      <c r="HE143" s="2" t="s">
        <v>37</v>
      </c>
      <c r="HF143" s="2" t="s">
        <v>106</v>
      </c>
      <c r="HG143" s="2"/>
      <c r="HH143" s="2"/>
      <c r="HI143" s="2" t="s">
        <v>100</v>
      </c>
      <c r="HJ143" s="2" t="s">
        <v>3</v>
      </c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 t="s">
        <v>3</v>
      </c>
    </row>
    <row r="144" spans="1:268" ht="15.75" customHeight="1" x14ac:dyDescent="0.2">
      <c r="A144" s="13" t="s">
        <v>852</v>
      </c>
      <c r="B144" s="2" t="s">
        <v>99</v>
      </c>
      <c r="C144" s="2"/>
      <c r="D144" s="2"/>
      <c r="E144" s="2"/>
      <c r="F144" s="2" t="s">
        <v>853</v>
      </c>
      <c r="G144" s="2"/>
      <c r="H144" s="2"/>
      <c r="I144" s="2">
        <v>0</v>
      </c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>
        <v>0</v>
      </c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>
        <f>40.287+17.716</f>
        <v>58.003</v>
      </c>
      <c r="AZ144" s="2"/>
      <c r="BA144" s="2"/>
      <c r="BB144" s="2"/>
      <c r="BC144" s="2"/>
      <c r="BD144" s="2"/>
      <c r="BE144" s="2"/>
      <c r="BF144" s="2"/>
      <c r="BG144" s="4">
        <f>(1.79*40.287+1.73*17.716)/AY144</f>
        <v>1.771674051342172</v>
      </c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>
        <v>0</v>
      </c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>
        <v>0</v>
      </c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 t="s">
        <v>100</v>
      </c>
      <c r="DK144" s="2"/>
      <c r="DL144" s="2">
        <f t="shared" si="3"/>
        <v>1.771674051342172</v>
      </c>
      <c r="DM144" s="2">
        <f t="shared" si="4"/>
        <v>0</v>
      </c>
      <c r="DN144" s="2" t="s">
        <v>854</v>
      </c>
      <c r="DO144" s="2" t="s">
        <v>3</v>
      </c>
      <c r="DP144" s="2">
        <f t="shared" si="5"/>
        <v>0</v>
      </c>
      <c r="DQ144" s="2">
        <f t="shared" ref="DQ144:DR144" si="2487">K144*$I144+AF144*$AD144+BA144*$AY144</f>
        <v>0</v>
      </c>
      <c r="DR144" s="2">
        <f t="shared" si="2487"/>
        <v>0</v>
      </c>
      <c r="DS144" s="2">
        <f t="shared" ref="DS144:DX144" si="2488">(M144*$I144+AH144*$AD144+BC144*$AY144)/100</f>
        <v>0</v>
      </c>
      <c r="DT144" s="2">
        <f t="shared" si="2488"/>
        <v>0</v>
      </c>
      <c r="DU144" s="2">
        <f t="shared" si="2488"/>
        <v>0</v>
      </c>
      <c r="DV144" s="2">
        <f t="shared" si="2488"/>
        <v>0</v>
      </c>
      <c r="DW144" s="2">
        <f t="shared" si="2488"/>
        <v>1.0276240999999999</v>
      </c>
      <c r="DX144" s="2">
        <f t="shared" si="2488"/>
        <v>0</v>
      </c>
      <c r="DY144" s="2">
        <f t="shared" ref="DY144:EC144" si="2489">S144*$I144+AN144*$AD144+BI144*$AY144</f>
        <v>0</v>
      </c>
      <c r="DZ144" s="2">
        <f t="shared" si="2489"/>
        <v>0</v>
      </c>
      <c r="EA144" s="2">
        <f t="shared" si="2489"/>
        <v>0</v>
      </c>
      <c r="EB144" s="2">
        <f t="shared" si="2489"/>
        <v>0</v>
      </c>
      <c r="EC144" s="2">
        <f t="shared" si="2489"/>
        <v>0</v>
      </c>
      <c r="ED144" s="2">
        <f t="shared" ref="ED144:EE144" si="2490">(X144*$I144+AS144*$AD144+BN144*$AY144)/100</f>
        <v>0</v>
      </c>
      <c r="EE144" s="2">
        <f t="shared" si="2490"/>
        <v>0</v>
      </c>
      <c r="EF144" s="2"/>
      <c r="EG144" s="2">
        <f t="shared" si="10"/>
        <v>0</v>
      </c>
      <c r="EH144" s="2">
        <f t="shared" si="11"/>
        <v>0</v>
      </c>
      <c r="EI144" s="39">
        <f t="shared" si="12"/>
        <v>0</v>
      </c>
      <c r="EJ144" s="39">
        <f t="shared" ref="EJ144:EK144" si="2491">EJ$1*DQ144/1000000</f>
        <v>0</v>
      </c>
      <c r="EK144" s="39">
        <f t="shared" si="2491"/>
        <v>0</v>
      </c>
      <c r="EL144" s="39">
        <f t="shared" ref="EL144:EQ144" si="2492">EL$1*DS144</f>
        <v>0</v>
      </c>
      <c r="EM144" s="39">
        <f t="shared" si="2492"/>
        <v>0</v>
      </c>
      <c r="EN144" s="39">
        <f t="shared" si="2492"/>
        <v>0</v>
      </c>
      <c r="EO144" s="39">
        <f t="shared" si="2492"/>
        <v>0</v>
      </c>
      <c r="EP144" s="39">
        <f t="shared" si="2492"/>
        <v>13476.262447399999</v>
      </c>
      <c r="EQ144" s="39">
        <f t="shared" si="2492"/>
        <v>0</v>
      </c>
      <c r="ER144" s="39">
        <f t="shared" ref="ER144:EV144" si="2493">ER$1*DY144/1000000</f>
        <v>0</v>
      </c>
      <c r="ES144" s="39">
        <f t="shared" si="2493"/>
        <v>0</v>
      </c>
      <c r="ET144" s="39">
        <f t="shared" si="2493"/>
        <v>0</v>
      </c>
      <c r="EU144" s="39">
        <f t="shared" si="2493"/>
        <v>0</v>
      </c>
      <c r="EV144" s="39">
        <f t="shared" si="2493"/>
        <v>0</v>
      </c>
      <c r="EW144" s="39">
        <f t="shared" ref="EW144:EX144" si="2494">EW$1*ED144</f>
        <v>0</v>
      </c>
      <c r="EX144" s="39">
        <f t="shared" si="2494"/>
        <v>0</v>
      </c>
      <c r="EY144" s="2"/>
      <c r="EZ144" s="39">
        <f t="shared" si="17"/>
        <v>0</v>
      </c>
      <c r="FA144" s="39">
        <f t="shared" si="18"/>
        <v>0</v>
      </c>
      <c r="FB144" s="2">
        <f t="shared" si="19"/>
        <v>0</v>
      </c>
      <c r="FC144" s="2">
        <f t="shared" ref="FC144:FD144" si="2495">BV144*$BT144+CQ144*$CO144</f>
        <v>0</v>
      </c>
      <c r="FD144" s="2">
        <f t="shared" si="2495"/>
        <v>0</v>
      </c>
      <c r="FE144" s="2">
        <f t="shared" ref="FE144:FJ144" si="2496">(BX144*$BT144+CS144*$CO144)/100</f>
        <v>0</v>
      </c>
      <c r="FF144" s="2">
        <f t="shared" si="2496"/>
        <v>0</v>
      </c>
      <c r="FG144" s="2">
        <f t="shared" si="2496"/>
        <v>0</v>
      </c>
      <c r="FH144" s="2">
        <f t="shared" si="2496"/>
        <v>0</v>
      </c>
      <c r="FI144" s="2">
        <f t="shared" si="2496"/>
        <v>0</v>
      </c>
      <c r="FJ144" s="2">
        <f t="shared" si="2496"/>
        <v>0</v>
      </c>
      <c r="FK144" s="2">
        <f t="shared" ref="FK144:FO144" si="2497">CD144*$BT144+CY144*$CO144</f>
        <v>0</v>
      </c>
      <c r="FL144" s="2">
        <f t="shared" si="2497"/>
        <v>0</v>
      </c>
      <c r="FM144" s="2">
        <f t="shared" si="2497"/>
        <v>0</v>
      </c>
      <c r="FN144" s="2">
        <f t="shared" si="2497"/>
        <v>0</v>
      </c>
      <c r="FO144" s="2">
        <f t="shared" si="2497"/>
        <v>0</v>
      </c>
      <c r="FP144" s="2">
        <f t="shared" ref="FP144:FQ144" si="2498">(CI144*$BT144+DD144*$CO144)/100</f>
        <v>0</v>
      </c>
      <c r="FQ144" s="2">
        <f t="shared" si="2498"/>
        <v>0</v>
      </c>
      <c r="FR144" s="2"/>
      <c r="FS144" s="2">
        <f t="shared" si="24"/>
        <v>0</v>
      </c>
      <c r="FT144" s="2">
        <f t="shared" si="25"/>
        <v>0</v>
      </c>
      <c r="FU144" s="39">
        <f t="shared" si="26"/>
        <v>0</v>
      </c>
      <c r="FV144" s="39">
        <f t="shared" ref="FV144:FW144" si="2499">FV$1*FC144/1000000</f>
        <v>0</v>
      </c>
      <c r="FW144" s="39">
        <f t="shared" si="2499"/>
        <v>0</v>
      </c>
      <c r="FX144" s="39">
        <f t="shared" ref="FX144:GC144" si="2500">FX$1*FE144</f>
        <v>0</v>
      </c>
      <c r="FY144" s="39">
        <f t="shared" si="2500"/>
        <v>0</v>
      </c>
      <c r="FZ144" s="39">
        <f t="shared" si="2500"/>
        <v>0</v>
      </c>
      <c r="GA144" s="39">
        <f t="shared" si="2500"/>
        <v>0</v>
      </c>
      <c r="GB144" s="39">
        <f t="shared" si="2500"/>
        <v>0</v>
      </c>
      <c r="GC144" s="39">
        <f t="shared" si="2500"/>
        <v>0</v>
      </c>
      <c r="GD144" s="39">
        <f t="shared" ref="GD144:GH144" si="2501">GD$1*FK144/1000000</f>
        <v>0</v>
      </c>
      <c r="GE144" s="39">
        <f t="shared" si="2501"/>
        <v>0</v>
      </c>
      <c r="GF144" s="39">
        <f t="shared" si="2501"/>
        <v>0</v>
      </c>
      <c r="GG144" s="39">
        <f t="shared" si="2501"/>
        <v>0</v>
      </c>
      <c r="GH144" s="39">
        <f t="shared" si="2501"/>
        <v>0</v>
      </c>
      <c r="GI144" s="39">
        <f t="shared" ref="GI144:GJ144" si="2502">GI$1*FP144</f>
        <v>0</v>
      </c>
      <c r="GJ144" s="39">
        <f t="shared" si="2502"/>
        <v>0</v>
      </c>
      <c r="GK144" s="2"/>
      <c r="GL144" s="39">
        <f t="shared" si="31"/>
        <v>0</v>
      </c>
      <c r="GM144" s="39">
        <f t="shared" si="32"/>
        <v>0</v>
      </c>
      <c r="GN144" s="2" t="s">
        <v>3</v>
      </c>
      <c r="GO144" s="4">
        <f t="shared" si="33"/>
        <v>58.003</v>
      </c>
      <c r="GP144" s="4">
        <f t="shared" si="34"/>
        <v>1.771674051342172</v>
      </c>
      <c r="GQ144" s="18">
        <f t="shared" si="35"/>
        <v>1027.6241</v>
      </c>
      <c r="GR144" s="15">
        <f t="shared" si="36"/>
        <v>13476.262447399999</v>
      </c>
      <c r="GS144" s="15">
        <f t="shared" si="37"/>
        <v>232.3373350930124</v>
      </c>
      <c r="GT144" s="2">
        <f t="shared" si="38"/>
        <v>0</v>
      </c>
      <c r="GU144" s="2">
        <f t="shared" si="39"/>
        <v>0</v>
      </c>
      <c r="GV144" s="2">
        <f t="shared" si="40"/>
        <v>1027.6241</v>
      </c>
      <c r="GW144" s="2">
        <f t="shared" si="41"/>
        <v>0</v>
      </c>
      <c r="GX144" s="2"/>
      <c r="GY144" s="2"/>
      <c r="GZ144" s="2"/>
      <c r="HA144" s="2"/>
      <c r="HB144" s="2">
        <f t="shared" si="42"/>
        <v>0</v>
      </c>
      <c r="HC144" s="2">
        <f t="shared" si="43"/>
        <v>0</v>
      </c>
      <c r="HD144" s="2" t="s">
        <v>3</v>
      </c>
      <c r="HE144" s="2" t="s">
        <v>37</v>
      </c>
      <c r="HF144" s="2" t="s">
        <v>106</v>
      </c>
      <c r="HG144" s="2"/>
      <c r="HH144" s="2"/>
      <c r="HI144" s="2" t="s">
        <v>100</v>
      </c>
      <c r="HJ144" s="2" t="s">
        <v>3</v>
      </c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 t="s">
        <v>3</v>
      </c>
    </row>
    <row r="145" spans="1:268" ht="15.75" customHeight="1" x14ac:dyDescent="0.2">
      <c r="A145" s="13" t="s">
        <v>293</v>
      </c>
      <c r="B145" s="2" t="s">
        <v>120</v>
      </c>
      <c r="C145" s="2"/>
      <c r="D145" s="2"/>
      <c r="E145" s="2"/>
      <c r="F145" s="2" t="s">
        <v>294</v>
      </c>
      <c r="G145" s="2"/>
      <c r="H145" s="2"/>
      <c r="I145" s="2">
        <v>0</v>
      </c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>
        <v>0</v>
      </c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4">
        <f>71.4-1.0315</f>
        <v>70.368500000000012</v>
      </c>
      <c r="AZ145" s="2"/>
      <c r="BA145" s="2"/>
      <c r="BB145" s="2"/>
      <c r="BC145" s="2"/>
      <c r="BD145" s="2"/>
      <c r="BE145" s="2"/>
      <c r="BF145" s="2"/>
      <c r="BG145" s="4">
        <f>(0.86*71.4-1.04*1.0315)/(71.4-1.0315)</f>
        <v>0.85736146144936998</v>
      </c>
      <c r="BH145" s="2">
        <v>0.1</v>
      </c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>
        <v>0</v>
      </c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>
        <v>0</v>
      </c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 t="s">
        <v>100</v>
      </c>
      <c r="DK145" s="2" t="s">
        <v>100</v>
      </c>
      <c r="DL145" s="2">
        <f t="shared" si="3"/>
        <v>0.85736146144936998</v>
      </c>
      <c r="DM145" s="2">
        <f t="shared" si="4"/>
        <v>0.1</v>
      </c>
      <c r="DN145" s="2" t="s">
        <v>295</v>
      </c>
      <c r="DO145" s="2" t="s">
        <v>3</v>
      </c>
      <c r="DP145" s="2">
        <f t="shared" si="5"/>
        <v>0</v>
      </c>
      <c r="DQ145" s="2">
        <f t="shared" ref="DQ145:DR145" si="2503">K145*$I145+AF145*$AD145+BA145*$AY145</f>
        <v>0</v>
      </c>
      <c r="DR145" s="2">
        <f t="shared" si="2503"/>
        <v>0</v>
      </c>
      <c r="DS145" s="2">
        <f t="shared" ref="DS145:DX145" si="2504">(M145*$I145+AH145*$AD145+BC145*$AY145)/100</f>
        <v>0</v>
      </c>
      <c r="DT145" s="2">
        <f t="shared" si="2504"/>
        <v>0</v>
      </c>
      <c r="DU145" s="2">
        <f t="shared" si="2504"/>
        <v>0</v>
      </c>
      <c r="DV145" s="2">
        <f t="shared" si="2504"/>
        <v>0</v>
      </c>
      <c r="DW145" s="2">
        <f t="shared" si="2504"/>
        <v>0.60331239999999997</v>
      </c>
      <c r="DX145" s="2">
        <f t="shared" si="2504"/>
        <v>7.0368500000000014E-2</v>
      </c>
      <c r="DY145" s="2">
        <f t="shared" ref="DY145:EC145" si="2505">S145*$I145+AN145*$AD145+BI145*$AY145</f>
        <v>0</v>
      </c>
      <c r="DZ145" s="2">
        <f t="shared" si="2505"/>
        <v>0</v>
      </c>
      <c r="EA145" s="2">
        <f t="shared" si="2505"/>
        <v>0</v>
      </c>
      <c r="EB145" s="2">
        <f t="shared" si="2505"/>
        <v>0</v>
      </c>
      <c r="EC145" s="2">
        <f t="shared" si="2505"/>
        <v>0</v>
      </c>
      <c r="ED145" s="2">
        <f t="shared" ref="ED145:EE145" si="2506">(X145*$I145+AS145*$AD145+BN145*$AY145)/100</f>
        <v>0</v>
      </c>
      <c r="EE145" s="2">
        <f t="shared" si="2506"/>
        <v>0</v>
      </c>
      <c r="EF145" s="2"/>
      <c r="EG145" s="2">
        <f t="shared" si="10"/>
        <v>0</v>
      </c>
      <c r="EH145" s="2">
        <f t="shared" si="11"/>
        <v>0</v>
      </c>
      <c r="EI145" s="39">
        <f t="shared" si="12"/>
        <v>0</v>
      </c>
      <c r="EJ145" s="39">
        <f t="shared" ref="EJ145:EK145" si="2507">EJ$1*DQ145/1000000</f>
        <v>0</v>
      </c>
      <c r="EK145" s="39">
        <f t="shared" si="2507"/>
        <v>0</v>
      </c>
      <c r="EL145" s="39">
        <f t="shared" ref="EL145:EQ145" si="2508">EL$1*DS145</f>
        <v>0</v>
      </c>
      <c r="EM145" s="39">
        <f t="shared" si="2508"/>
        <v>0</v>
      </c>
      <c r="EN145" s="39">
        <f t="shared" si="2508"/>
        <v>0</v>
      </c>
      <c r="EO145" s="39">
        <f t="shared" si="2508"/>
        <v>0</v>
      </c>
      <c r="EP145" s="39">
        <f t="shared" si="2508"/>
        <v>7911.8388135999994</v>
      </c>
      <c r="EQ145" s="39">
        <f t="shared" si="2508"/>
        <v>5110.1269745940008</v>
      </c>
      <c r="ER145" s="39">
        <f t="shared" ref="ER145:EV145" si="2509">ER$1*DY145/1000000</f>
        <v>0</v>
      </c>
      <c r="ES145" s="39">
        <f t="shared" si="2509"/>
        <v>0</v>
      </c>
      <c r="ET145" s="39">
        <f t="shared" si="2509"/>
        <v>0</v>
      </c>
      <c r="EU145" s="39">
        <f t="shared" si="2509"/>
        <v>0</v>
      </c>
      <c r="EV145" s="39">
        <f t="shared" si="2509"/>
        <v>0</v>
      </c>
      <c r="EW145" s="39">
        <f t="shared" ref="EW145:EX145" si="2510">EW$1*ED145</f>
        <v>0</v>
      </c>
      <c r="EX145" s="39">
        <f t="shared" si="2510"/>
        <v>0</v>
      </c>
      <c r="EY145" s="2"/>
      <c r="EZ145" s="39">
        <f t="shared" si="17"/>
        <v>0</v>
      </c>
      <c r="FA145" s="39">
        <f t="shared" si="18"/>
        <v>0</v>
      </c>
      <c r="FB145" s="2">
        <f t="shared" si="19"/>
        <v>0</v>
      </c>
      <c r="FC145" s="2">
        <f t="shared" ref="FC145:FD145" si="2511">BV145*$BT145+CQ145*$CO145</f>
        <v>0</v>
      </c>
      <c r="FD145" s="2">
        <f t="shared" si="2511"/>
        <v>0</v>
      </c>
      <c r="FE145" s="2">
        <f t="shared" ref="FE145:FJ145" si="2512">(BX145*$BT145+CS145*$CO145)/100</f>
        <v>0</v>
      </c>
      <c r="FF145" s="2">
        <f t="shared" si="2512"/>
        <v>0</v>
      </c>
      <c r="FG145" s="2">
        <f t="shared" si="2512"/>
        <v>0</v>
      </c>
      <c r="FH145" s="2">
        <f t="shared" si="2512"/>
        <v>0</v>
      </c>
      <c r="FI145" s="2">
        <f t="shared" si="2512"/>
        <v>0</v>
      </c>
      <c r="FJ145" s="2">
        <f t="shared" si="2512"/>
        <v>0</v>
      </c>
      <c r="FK145" s="2">
        <f t="shared" ref="FK145:FO145" si="2513">CD145*$BT145+CY145*$CO145</f>
        <v>0</v>
      </c>
      <c r="FL145" s="2">
        <f t="shared" si="2513"/>
        <v>0</v>
      </c>
      <c r="FM145" s="2">
        <f t="shared" si="2513"/>
        <v>0</v>
      </c>
      <c r="FN145" s="2">
        <f t="shared" si="2513"/>
        <v>0</v>
      </c>
      <c r="FO145" s="2">
        <f t="shared" si="2513"/>
        <v>0</v>
      </c>
      <c r="FP145" s="2">
        <f t="shared" ref="FP145:FQ145" si="2514">(CI145*$BT145+DD145*$CO145)/100</f>
        <v>0</v>
      </c>
      <c r="FQ145" s="2">
        <f t="shared" si="2514"/>
        <v>0</v>
      </c>
      <c r="FR145" s="2"/>
      <c r="FS145" s="2">
        <f t="shared" si="24"/>
        <v>0</v>
      </c>
      <c r="FT145" s="2">
        <f t="shared" si="25"/>
        <v>0</v>
      </c>
      <c r="FU145" s="39">
        <f t="shared" si="26"/>
        <v>0</v>
      </c>
      <c r="FV145" s="39">
        <f t="shared" ref="FV145:FW145" si="2515">FV$1*FC145/1000000</f>
        <v>0</v>
      </c>
      <c r="FW145" s="39">
        <f t="shared" si="2515"/>
        <v>0</v>
      </c>
      <c r="FX145" s="39">
        <f t="shared" ref="FX145:GC145" si="2516">FX$1*FE145</f>
        <v>0</v>
      </c>
      <c r="FY145" s="39">
        <f t="shared" si="2516"/>
        <v>0</v>
      </c>
      <c r="FZ145" s="39">
        <f t="shared" si="2516"/>
        <v>0</v>
      </c>
      <c r="GA145" s="39">
        <f t="shared" si="2516"/>
        <v>0</v>
      </c>
      <c r="GB145" s="39">
        <f t="shared" si="2516"/>
        <v>0</v>
      </c>
      <c r="GC145" s="39">
        <f t="shared" si="2516"/>
        <v>0</v>
      </c>
      <c r="GD145" s="39">
        <f t="shared" ref="GD145:GH145" si="2517">GD$1*FK145/1000000</f>
        <v>0</v>
      </c>
      <c r="GE145" s="39">
        <f t="shared" si="2517"/>
        <v>0</v>
      </c>
      <c r="GF145" s="39">
        <f t="shared" si="2517"/>
        <v>0</v>
      </c>
      <c r="GG145" s="39">
        <f t="shared" si="2517"/>
        <v>0</v>
      </c>
      <c r="GH145" s="39">
        <f t="shared" si="2517"/>
        <v>0</v>
      </c>
      <c r="GI145" s="39">
        <f t="shared" ref="GI145:GJ145" si="2518">GI$1*FP145</f>
        <v>0</v>
      </c>
      <c r="GJ145" s="39">
        <f t="shared" si="2518"/>
        <v>0</v>
      </c>
      <c r="GK145" s="2"/>
      <c r="GL145" s="39">
        <f t="shared" si="31"/>
        <v>0</v>
      </c>
      <c r="GM145" s="39">
        <f t="shared" si="32"/>
        <v>0</v>
      </c>
      <c r="GN145" s="2" t="s">
        <v>3</v>
      </c>
      <c r="GO145" s="4">
        <f t="shared" si="33"/>
        <v>70.368500000000012</v>
      </c>
      <c r="GP145" s="4">
        <f t="shared" si="34"/>
        <v>0.85736146144936998</v>
      </c>
      <c r="GQ145" s="15">
        <f t="shared" si="35"/>
        <v>603.31240000000003</v>
      </c>
      <c r="GR145" s="15">
        <f t="shared" si="36"/>
        <v>13021.965788194</v>
      </c>
      <c r="GS145" s="15">
        <f t="shared" si="37"/>
        <v>185.05390605447036</v>
      </c>
      <c r="GT145" s="2">
        <f t="shared" si="38"/>
        <v>0</v>
      </c>
      <c r="GU145" s="2">
        <f t="shared" si="39"/>
        <v>0</v>
      </c>
      <c r="GV145" s="2">
        <f t="shared" si="40"/>
        <v>603.31240000000003</v>
      </c>
      <c r="GW145" s="2">
        <f t="shared" si="41"/>
        <v>0</v>
      </c>
      <c r="GX145" s="2"/>
      <c r="GY145" s="2"/>
      <c r="GZ145" s="2"/>
      <c r="HA145" s="2"/>
      <c r="HB145" s="2">
        <f t="shared" si="42"/>
        <v>0</v>
      </c>
      <c r="HC145" s="2">
        <f t="shared" si="43"/>
        <v>0</v>
      </c>
      <c r="HD145" s="2" t="s">
        <v>3</v>
      </c>
      <c r="HE145" s="2" t="s">
        <v>37</v>
      </c>
      <c r="HF145" s="2" t="s">
        <v>229</v>
      </c>
      <c r="HG145" s="2"/>
      <c r="HH145" s="2"/>
      <c r="HI145" s="2" t="s">
        <v>100</v>
      </c>
      <c r="HJ145" s="2" t="s">
        <v>3</v>
      </c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 t="s">
        <v>3</v>
      </c>
    </row>
    <row r="146" spans="1:268" ht="15.75" customHeight="1" x14ac:dyDescent="0.2">
      <c r="A146" s="13" t="s">
        <v>330</v>
      </c>
      <c r="B146" s="2" t="s">
        <v>99</v>
      </c>
      <c r="C146" s="2"/>
      <c r="D146" s="2"/>
      <c r="E146" s="2"/>
      <c r="F146" s="2" t="s">
        <v>79</v>
      </c>
      <c r="G146" s="2"/>
      <c r="H146" s="2"/>
      <c r="I146" s="2">
        <v>0</v>
      </c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>
        <v>0</v>
      </c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>
        <v>45</v>
      </c>
      <c r="AZ146" s="2"/>
      <c r="BA146" s="2"/>
      <c r="BB146" s="2"/>
      <c r="BC146" s="2"/>
      <c r="BD146" s="2"/>
      <c r="BE146" s="2"/>
      <c r="BF146" s="2"/>
      <c r="BG146" s="2">
        <v>1.6</v>
      </c>
      <c r="BH146" s="2">
        <v>2.4E-2</v>
      </c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>
        <v>0</v>
      </c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>
        <v>0</v>
      </c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 t="s">
        <v>100</v>
      </c>
      <c r="DK146" s="2" t="s">
        <v>100</v>
      </c>
      <c r="DL146" s="2">
        <f t="shared" si="3"/>
        <v>1.6</v>
      </c>
      <c r="DM146" s="2">
        <f t="shared" si="4"/>
        <v>2.4E-2</v>
      </c>
      <c r="DN146" s="2" t="s">
        <v>113</v>
      </c>
      <c r="DO146" s="2" t="s">
        <v>3</v>
      </c>
      <c r="DP146" s="2">
        <f t="shared" si="5"/>
        <v>0</v>
      </c>
      <c r="DQ146" s="2">
        <f t="shared" ref="DQ146:DR146" si="2519">K146*$I146+AF146*$AD146+BA146*$AY146</f>
        <v>0</v>
      </c>
      <c r="DR146" s="2">
        <f t="shared" si="2519"/>
        <v>0</v>
      </c>
      <c r="DS146" s="2">
        <f t="shared" ref="DS146:DX146" si="2520">(M146*$I146+AH146*$AD146+BC146*$AY146)/100</f>
        <v>0</v>
      </c>
      <c r="DT146" s="2">
        <f t="shared" si="2520"/>
        <v>0</v>
      </c>
      <c r="DU146" s="2">
        <f t="shared" si="2520"/>
        <v>0</v>
      </c>
      <c r="DV146" s="2">
        <f t="shared" si="2520"/>
        <v>0</v>
      </c>
      <c r="DW146" s="2">
        <f t="shared" si="2520"/>
        <v>0.72</v>
      </c>
      <c r="DX146" s="2">
        <f t="shared" si="2520"/>
        <v>1.0800000000000001E-2</v>
      </c>
      <c r="DY146" s="2">
        <f t="shared" ref="DY146:EC146" si="2521">S146*$I146+AN146*$AD146+BI146*$AY146</f>
        <v>0</v>
      </c>
      <c r="DZ146" s="2">
        <f t="shared" si="2521"/>
        <v>0</v>
      </c>
      <c r="EA146" s="2">
        <f t="shared" si="2521"/>
        <v>0</v>
      </c>
      <c r="EB146" s="2">
        <f t="shared" si="2521"/>
        <v>0</v>
      </c>
      <c r="EC146" s="2">
        <f t="shared" si="2521"/>
        <v>0</v>
      </c>
      <c r="ED146" s="2">
        <f t="shared" ref="ED146:EE146" si="2522">(X146*$I146+AS146*$AD146+BN146*$AY146)/100</f>
        <v>0</v>
      </c>
      <c r="EE146" s="2">
        <f t="shared" si="2522"/>
        <v>0</v>
      </c>
      <c r="EF146" s="2"/>
      <c r="EG146" s="2">
        <f t="shared" si="10"/>
        <v>0</v>
      </c>
      <c r="EH146" s="2">
        <f t="shared" si="11"/>
        <v>0</v>
      </c>
      <c r="EI146" s="39">
        <f t="shared" si="12"/>
        <v>0</v>
      </c>
      <c r="EJ146" s="39">
        <f t="shared" ref="EJ146:EK146" si="2523">EJ$1*DQ146/1000000</f>
        <v>0</v>
      </c>
      <c r="EK146" s="39">
        <f t="shared" si="2523"/>
        <v>0</v>
      </c>
      <c r="EL146" s="39">
        <f t="shared" ref="EL146:EQ146" si="2524">EL$1*DS146</f>
        <v>0</v>
      </c>
      <c r="EM146" s="39">
        <f t="shared" si="2524"/>
        <v>0</v>
      </c>
      <c r="EN146" s="39">
        <f t="shared" si="2524"/>
        <v>0</v>
      </c>
      <c r="EO146" s="39">
        <f t="shared" si="2524"/>
        <v>0</v>
      </c>
      <c r="EP146" s="39">
        <f t="shared" si="2524"/>
        <v>9442.08</v>
      </c>
      <c r="EQ146" s="39">
        <f t="shared" si="2524"/>
        <v>784.29085919999989</v>
      </c>
      <c r="ER146" s="39">
        <f t="shared" ref="ER146:EV146" si="2525">ER$1*DY146/1000000</f>
        <v>0</v>
      </c>
      <c r="ES146" s="39">
        <f t="shared" si="2525"/>
        <v>0</v>
      </c>
      <c r="ET146" s="39">
        <f t="shared" si="2525"/>
        <v>0</v>
      </c>
      <c r="EU146" s="39">
        <f t="shared" si="2525"/>
        <v>0</v>
      </c>
      <c r="EV146" s="39">
        <f t="shared" si="2525"/>
        <v>0</v>
      </c>
      <c r="EW146" s="39">
        <f t="shared" ref="EW146:EX146" si="2526">EW$1*ED146</f>
        <v>0</v>
      </c>
      <c r="EX146" s="39">
        <f t="shared" si="2526"/>
        <v>0</v>
      </c>
      <c r="EY146" s="2"/>
      <c r="EZ146" s="39">
        <f t="shared" si="17"/>
        <v>0</v>
      </c>
      <c r="FA146" s="39">
        <f t="shared" si="18"/>
        <v>0</v>
      </c>
      <c r="FB146" s="2">
        <f t="shared" si="19"/>
        <v>0</v>
      </c>
      <c r="FC146" s="2">
        <f t="shared" ref="FC146:FD146" si="2527">BV146*$BT146+CQ146*$CO146</f>
        <v>0</v>
      </c>
      <c r="FD146" s="2">
        <f t="shared" si="2527"/>
        <v>0</v>
      </c>
      <c r="FE146" s="2">
        <f t="shared" ref="FE146:FJ146" si="2528">(BX146*$BT146+CS146*$CO146)/100</f>
        <v>0</v>
      </c>
      <c r="FF146" s="2">
        <f t="shared" si="2528"/>
        <v>0</v>
      </c>
      <c r="FG146" s="2">
        <f t="shared" si="2528"/>
        <v>0</v>
      </c>
      <c r="FH146" s="2">
        <f t="shared" si="2528"/>
        <v>0</v>
      </c>
      <c r="FI146" s="2">
        <f t="shared" si="2528"/>
        <v>0</v>
      </c>
      <c r="FJ146" s="2">
        <f t="shared" si="2528"/>
        <v>0</v>
      </c>
      <c r="FK146" s="2">
        <f t="shared" ref="FK146:FO146" si="2529">CD146*$BT146+CY146*$CO146</f>
        <v>0</v>
      </c>
      <c r="FL146" s="2">
        <f t="shared" si="2529"/>
        <v>0</v>
      </c>
      <c r="FM146" s="2">
        <f t="shared" si="2529"/>
        <v>0</v>
      </c>
      <c r="FN146" s="2">
        <f t="shared" si="2529"/>
        <v>0</v>
      </c>
      <c r="FO146" s="2">
        <f t="shared" si="2529"/>
        <v>0</v>
      </c>
      <c r="FP146" s="2">
        <f t="shared" ref="FP146:FQ146" si="2530">(CI146*$BT146+DD146*$CO146)/100</f>
        <v>0</v>
      </c>
      <c r="FQ146" s="2">
        <f t="shared" si="2530"/>
        <v>0</v>
      </c>
      <c r="FR146" s="2"/>
      <c r="FS146" s="2">
        <f t="shared" si="24"/>
        <v>0</v>
      </c>
      <c r="FT146" s="2">
        <f t="shared" si="25"/>
        <v>0</v>
      </c>
      <c r="FU146" s="39">
        <f t="shared" si="26"/>
        <v>0</v>
      </c>
      <c r="FV146" s="39">
        <f t="shared" ref="FV146:FW146" si="2531">FV$1*FC146/1000000</f>
        <v>0</v>
      </c>
      <c r="FW146" s="39">
        <f t="shared" si="2531"/>
        <v>0</v>
      </c>
      <c r="FX146" s="39">
        <f t="shared" ref="FX146:GC146" si="2532">FX$1*FE146</f>
        <v>0</v>
      </c>
      <c r="FY146" s="39">
        <f t="shared" si="2532"/>
        <v>0</v>
      </c>
      <c r="FZ146" s="39">
        <f t="shared" si="2532"/>
        <v>0</v>
      </c>
      <c r="GA146" s="39">
        <f t="shared" si="2532"/>
        <v>0</v>
      </c>
      <c r="GB146" s="39">
        <f t="shared" si="2532"/>
        <v>0</v>
      </c>
      <c r="GC146" s="39">
        <f t="shared" si="2532"/>
        <v>0</v>
      </c>
      <c r="GD146" s="39">
        <f t="shared" ref="GD146:GH146" si="2533">GD$1*FK146/1000000</f>
        <v>0</v>
      </c>
      <c r="GE146" s="39">
        <f t="shared" si="2533"/>
        <v>0</v>
      </c>
      <c r="GF146" s="39">
        <f t="shared" si="2533"/>
        <v>0</v>
      </c>
      <c r="GG146" s="39">
        <f t="shared" si="2533"/>
        <v>0</v>
      </c>
      <c r="GH146" s="39">
        <f t="shared" si="2533"/>
        <v>0</v>
      </c>
      <c r="GI146" s="39">
        <f t="shared" ref="GI146:GJ146" si="2534">GI$1*FP146</f>
        <v>0</v>
      </c>
      <c r="GJ146" s="39">
        <f t="shared" si="2534"/>
        <v>0</v>
      </c>
      <c r="GK146" s="2"/>
      <c r="GL146" s="39">
        <f t="shared" si="31"/>
        <v>0</v>
      </c>
      <c r="GM146" s="39">
        <f t="shared" si="32"/>
        <v>0</v>
      </c>
      <c r="GN146" s="2" t="s">
        <v>3</v>
      </c>
      <c r="GO146" s="2">
        <f t="shared" si="33"/>
        <v>45</v>
      </c>
      <c r="GP146" s="2">
        <f t="shared" si="34"/>
        <v>1.6</v>
      </c>
      <c r="GQ146" s="15">
        <f t="shared" si="35"/>
        <v>720</v>
      </c>
      <c r="GR146" s="15">
        <f t="shared" si="36"/>
        <v>10226.3708592</v>
      </c>
      <c r="GS146" s="15">
        <f t="shared" si="37"/>
        <v>227.25268576000002</v>
      </c>
      <c r="GT146" s="2">
        <f t="shared" si="38"/>
        <v>0</v>
      </c>
      <c r="GU146" s="2">
        <f t="shared" si="39"/>
        <v>0</v>
      </c>
      <c r="GV146" s="2">
        <f t="shared" si="40"/>
        <v>720</v>
      </c>
      <c r="GW146" s="2">
        <f t="shared" si="41"/>
        <v>0</v>
      </c>
      <c r="GX146" s="2"/>
      <c r="GY146" s="2"/>
      <c r="GZ146" s="2"/>
      <c r="HA146" s="2"/>
      <c r="HB146" s="2">
        <f t="shared" si="42"/>
        <v>0</v>
      </c>
      <c r="HC146" s="2">
        <f t="shared" si="43"/>
        <v>0</v>
      </c>
      <c r="HD146" s="2" t="s">
        <v>3</v>
      </c>
      <c r="HE146" s="2" t="s">
        <v>37</v>
      </c>
      <c r="HF146" s="2" t="s">
        <v>229</v>
      </c>
      <c r="HG146" s="2"/>
      <c r="HH146" s="2"/>
      <c r="HI146" s="2" t="s">
        <v>100</v>
      </c>
      <c r="HJ146" s="2" t="s">
        <v>3</v>
      </c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 t="s">
        <v>3</v>
      </c>
    </row>
    <row r="147" spans="1:268" ht="15.75" customHeight="1" x14ac:dyDescent="0.2">
      <c r="A147" s="13" t="s">
        <v>1058</v>
      </c>
      <c r="B147" s="2" t="s">
        <v>99</v>
      </c>
      <c r="C147" s="2"/>
      <c r="D147" s="2"/>
      <c r="E147" s="2"/>
      <c r="F147" s="2" t="s">
        <v>79</v>
      </c>
      <c r="G147" s="2"/>
      <c r="H147" s="2"/>
      <c r="I147" s="2">
        <v>0</v>
      </c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>
        <v>0</v>
      </c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>
        <v>2.5</v>
      </c>
      <c r="AZ147" s="2"/>
      <c r="BA147" s="2"/>
      <c r="BB147" s="2"/>
      <c r="BC147" s="2"/>
      <c r="BD147" s="2"/>
      <c r="BE147" s="2"/>
      <c r="BF147" s="2"/>
      <c r="BG147" s="2">
        <v>0.8</v>
      </c>
      <c r="BH147" s="2">
        <v>0.06</v>
      </c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>
        <v>0</v>
      </c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>
        <v>0</v>
      </c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 t="s">
        <v>100</v>
      </c>
      <c r="DK147" s="2" t="s">
        <v>100</v>
      </c>
      <c r="DL147" s="2">
        <f t="shared" si="3"/>
        <v>0.8</v>
      </c>
      <c r="DM147" s="2">
        <f t="shared" si="4"/>
        <v>0.06</v>
      </c>
      <c r="DN147" s="2" t="s">
        <v>113</v>
      </c>
      <c r="DO147" s="2" t="s">
        <v>3</v>
      </c>
      <c r="DP147" s="2">
        <f t="shared" si="5"/>
        <v>0</v>
      </c>
      <c r="DQ147" s="2">
        <f t="shared" ref="DQ147:DR147" si="2535">K147*$I147+AF147*$AD147+BA147*$AY147</f>
        <v>0</v>
      </c>
      <c r="DR147" s="2">
        <f t="shared" si="2535"/>
        <v>0</v>
      </c>
      <c r="DS147" s="2">
        <f t="shared" ref="DS147:DX147" si="2536">(M147*$I147+AH147*$AD147+BC147*$AY147)/100</f>
        <v>0</v>
      </c>
      <c r="DT147" s="2">
        <f t="shared" si="2536"/>
        <v>0</v>
      </c>
      <c r="DU147" s="2">
        <f t="shared" si="2536"/>
        <v>0</v>
      </c>
      <c r="DV147" s="2">
        <f t="shared" si="2536"/>
        <v>0</v>
      </c>
      <c r="DW147" s="2">
        <f t="shared" si="2536"/>
        <v>0.02</v>
      </c>
      <c r="DX147" s="2">
        <f t="shared" si="2536"/>
        <v>1.5E-3</v>
      </c>
      <c r="DY147" s="2">
        <f t="shared" ref="DY147:EC147" si="2537">S147*$I147+AN147*$AD147+BI147*$AY147</f>
        <v>0</v>
      </c>
      <c r="DZ147" s="2">
        <f t="shared" si="2537"/>
        <v>0</v>
      </c>
      <c r="EA147" s="2">
        <f t="shared" si="2537"/>
        <v>0</v>
      </c>
      <c r="EB147" s="2">
        <f t="shared" si="2537"/>
        <v>0</v>
      </c>
      <c r="EC147" s="2">
        <f t="shared" si="2537"/>
        <v>0</v>
      </c>
      <c r="ED147" s="2">
        <f t="shared" ref="ED147:EE147" si="2538">(X147*$I147+AS147*$AD147+BN147*$AY147)/100</f>
        <v>0</v>
      </c>
      <c r="EE147" s="2">
        <f t="shared" si="2538"/>
        <v>0</v>
      </c>
      <c r="EF147" s="2"/>
      <c r="EG147" s="2">
        <f t="shared" si="10"/>
        <v>0</v>
      </c>
      <c r="EH147" s="2">
        <f t="shared" si="11"/>
        <v>0</v>
      </c>
      <c r="EI147" s="39">
        <f t="shared" si="12"/>
        <v>0</v>
      </c>
      <c r="EJ147" s="39">
        <f t="shared" ref="EJ147:EK147" si="2539">EJ$1*DQ147/1000000</f>
        <v>0</v>
      </c>
      <c r="EK147" s="39">
        <f t="shared" si="2539"/>
        <v>0</v>
      </c>
      <c r="EL147" s="39">
        <f t="shared" ref="EL147:EQ147" si="2540">EL$1*DS147</f>
        <v>0</v>
      </c>
      <c r="EM147" s="39">
        <f t="shared" si="2540"/>
        <v>0</v>
      </c>
      <c r="EN147" s="39">
        <f t="shared" si="2540"/>
        <v>0</v>
      </c>
      <c r="EO147" s="39">
        <f t="shared" si="2540"/>
        <v>0</v>
      </c>
      <c r="EP147" s="39">
        <f t="shared" si="2540"/>
        <v>262.28000000000003</v>
      </c>
      <c r="EQ147" s="39">
        <f t="shared" si="2540"/>
        <v>108.92928599999999</v>
      </c>
      <c r="ER147" s="39">
        <f t="shared" ref="ER147:EV147" si="2541">ER$1*DY147/1000000</f>
        <v>0</v>
      </c>
      <c r="ES147" s="39">
        <f t="shared" si="2541"/>
        <v>0</v>
      </c>
      <c r="ET147" s="39">
        <f t="shared" si="2541"/>
        <v>0</v>
      </c>
      <c r="EU147" s="39">
        <f t="shared" si="2541"/>
        <v>0</v>
      </c>
      <c r="EV147" s="39">
        <f t="shared" si="2541"/>
        <v>0</v>
      </c>
      <c r="EW147" s="39">
        <f t="shared" ref="EW147:EX147" si="2542">EW$1*ED147</f>
        <v>0</v>
      </c>
      <c r="EX147" s="39">
        <f t="shared" si="2542"/>
        <v>0</v>
      </c>
      <c r="EY147" s="2"/>
      <c r="EZ147" s="39">
        <f t="shared" si="17"/>
        <v>0</v>
      </c>
      <c r="FA147" s="39">
        <f t="shared" si="18"/>
        <v>0</v>
      </c>
      <c r="FB147" s="2">
        <f t="shared" si="19"/>
        <v>0</v>
      </c>
      <c r="FC147" s="2">
        <f t="shared" ref="FC147:FD147" si="2543">BV147*$BT147+CQ147*$CO147</f>
        <v>0</v>
      </c>
      <c r="FD147" s="2">
        <f t="shared" si="2543"/>
        <v>0</v>
      </c>
      <c r="FE147" s="2">
        <f t="shared" ref="FE147:FJ147" si="2544">(BX147*$BT147+CS147*$CO147)/100</f>
        <v>0</v>
      </c>
      <c r="FF147" s="2">
        <f t="shared" si="2544"/>
        <v>0</v>
      </c>
      <c r="FG147" s="2">
        <f t="shared" si="2544"/>
        <v>0</v>
      </c>
      <c r="FH147" s="2">
        <f t="shared" si="2544"/>
        <v>0</v>
      </c>
      <c r="FI147" s="2">
        <f t="shared" si="2544"/>
        <v>0</v>
      </c>
      <c r="FJ147" s="2">
        <f t="shared" si="2544"/>
        <v>0</v>
      </c>
      <c r="FK147" s="2">
        <f t="shared" ref="FK147:FO147" si="2545">CD147*$BT147+CY147*$CO147</f>
        <v>0</v>
      </c>
      <c r="FL147" s="2">
        <f t="shared" si="2545"/>
        <v>0</v>
      </c>
      <c r="FM147" s="2">
        <f t="shared" si="2545"/>
        <v>0</v>
      </c>
      <c r="FN147" s="2">
        <f t="shared" si="2545"/>
        <v>0</v>
      </c>
      <c r="FO147" s="2">
        <f t="shared" si="2545"/>
        <v>0</v>
      </c>
      <c r="FP147" s="2">
        <f t="shared" ref="FP147:FQ147" si="2546">(CI147*$BT147+DD147*$CO147)/100</f>
        <v>0</v>
      </c>
      <c r="FQ147" s="2">
        <f t="shared" si="2546"/>
        <v>0</v>
      </c>
      <c r="FR147" s="2"/>
      <c r="FS147" s="2">
        <f t="shared" si="24"/>
        <v>0</v>
      </c>
      <c r="FT147" s="2">
        <f t="shared" si="25"/>
        <v>0</v>
      </c>
      <c r="FU147" s="39">
        <f t="shared" si="26"/>
        <v>0</v>
      </c>
      <c r="FV147" s="39">
        <f t="shared" ref="FV147:FW147" si="2547">FV$1*FC147/1000000</f>
        <v>0</v>
      </c>
      <c r="FW147" s="39">
        <f t="shared" si="2547"/>
        <v>0</v>
      </c>
      <c r="FX147" s="39">
        <f t="shared" ref="FX147:GC147" si="2548">FX$1*FE147</f>
        <v>0</v>
      </c>
      <c r="FY147" s="39">
        <f t="shared" si="2548"/>
        <v>0</v>
      </c>
      <c r="FZ147" s="39">
        <f t="shared" si="2548"/>
        <v>0</v>
      </c>
      <c r="GA147" s="39">
        <f t="shared" si="2548"/>
        <v>0</v>
      </c>
      <c r="GB147" s="39">
        <f t="shared" si="2548"/>
        <v>0</v>
      </c>
      <c r="GC147" s="39">
        <f t="shared" si="2548"/>
        <v>0</v>
      </c>
      <c r="GD147" s="39">
        <f t="shared" ref="GD147:GH147" si="2549">GD$1*FK147/1000000</f>
        <v>0</v>
      </c>
      <c r="GE147" s="39">
        <f t="shared" si="2549"/>
        <v>0</v>
      </c>
      <c r="GF147" s="39">
        <f t="shared" si="2549"/>
        <v>0</v>
      </c>
      <c r="GG147" s="39">
        <f t="shared" si="2549"/>
        <v>0</v>
      </c>
      <c r="GH147" s="39">
        <f t="shared" si="2549"/>
        <v>0</v>
      </c>
      <c r="GI147" s="39">
        <f t="shared" ref="GI147:GJ147" si="2550">GI$1*FP147</f>
        <v>0</v>
      </c>
      <c r="GJ147" s="39">
        <f t="shared" si="2550"/>
        <v>0</v>
      </c>
      <c r="GK147" s="2"/>
      <c r="GL147" s="39">
        <f t="shared" si="31"/>
        <v>0</v>
      </c>
      <c r="GM147" s="39">
        <f t="shared" si="32"/>
        <v>0</v>
      </c>
      <c r="GN147" s="2" t="s">
        <v>3</v>
      </c>
      <c r="GO147" s="2">
        <f t="shared" si="33"/>
        <v>2.5</v>
      </c>
      <c r="GP147" s="2">
        <f t="shared" si="34"/>
        <v>0.8</v>
      </c>
      <c r="GQ147" s="15">
        <f t="shared" si="35"/>
        <v>20</v>
      </c>
      <c r="GR147" s="15">
        <f t="shared" si="36"/>
        <v>371.20928600000002</v>
      </c>
      <c r="GS147" s="15">
        <f t="shared" si="37"/>
        <v>148.4837144</v>
      </c>
      <c r="GT147" s="2">
        <f t="shared" si="38"/>
        <v>0</v>
      </c>
      <c r="GU147" s="2">
        <f t="shared" si="39"/>
        <v>0</v>
      </c>
      <c r="GV147" s="2">
        <f t="shared" si="40"/>
        <v>20</v>
      </c>
      <c r="GW147" s="2">
        <f t="shared" si="41"/>
        <v>0</v>
      </c>
      <c r="GX147" s="2"/>
      <c r="GY147" s="2"/>
      <c r="GZ147" s="2"/>
      <c r="HA147" s="2"/>
      <c r="HB147" s="2">
        <f t="shared" si="42"/>
        <v>0</v>
      </c>
      <c r="HC147" s="2">
        <f t="shared" si="43"/>
        <v>0</v>
      </c>
      <c r="HD147" s="2" t="s">
        <v>3</v>
      </c>
      <c r="HE147" s="2" t="s">
        <v>37</v>
      </c>
      <c r="HF147" s="2" t="s">
        <v>229</v>
      </c>
      <c r="HG147" s="2"/>
      <c r="HH147" s="2"/>
      <c r="HI147" s="2" t="s">
        <v>100</v>
      </c>
      <c r="HJ147" s="2" t="s">
        <v>3</v>
      </c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 t="s">
        <v>3</v>
      </c>
    </row>
    <row r="148" spans="1:268" ht="15.75" customHeight="1" x14ac:dyDescent="0.2">
      <c r="A148" s="13" t="s">
        <v>1151</v>
      </c>
      <c r="B148" s="2" t="s">
        <v>99</v>
      </c>
      <c r="C148" s="2"/>
      <c r="D148" s="2"/>
      <c r="E148" s="2"/>
      <c r="F148" s="2" t="s">
        <v>79</v>
      </c>
      <c r="G148" s="2"/>
      <c r="H148" s="2"/>
      <c r="I148" s="2">
        <v>0</v>
      </c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>
        <v>0</v>
      </c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>
        <v>18</v>
      </c>
      <c r="AZ148" s="2"/>
      <c r="BA148" s="2"/>
      <c r="BB148" s="2"/>
      <c r="BC148" s="2"/>
      <c r="BD148" s="2"/>
      <c r="BE148" s="2"/>
      <c r="BF148" s="2"/>
      <c r="BG148" s="2">
        <v>1.07</v>
      </c>
      <c r="BH148" s="2">
        <v>5.5E-2</v>
      </c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>
        <v>0</v>
      </c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>
        <v>0</v>
      </c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 t="s">
        <v>100</v>
      </c>
      <c r="DK148" s="2" t="s">
        <v>100</v>
      </c>
      <c r="DL148" s="2">
        <f t="shared" si="3"/>
        <v>1.07</v>
      </c>
      <c r="DM148" s="2">
        <f t="shared" si="4"/>
        <v>5.5E-2</v>
      </c>
      <c r="DN148" s="2" t="s">
        <v>113</v>
      </c>
      <c r="DO148" s="2" t="s">
        <v>3</v>
      </c>
      <c r="DP148" s="2">
        <f t="shared" si="5"/>
        <v>0</v>
      </c>
      <c r="DQ148" s="2">
        <f t="shared" ref="DQ148:DR148" si="2551">K148*$I148+AF148*$AD148+BA148*$AY148</f>
        <v>0</v>
      </c>
      <c r="DR148" s="2">
        <f t="shared" si="2551"/>
        <v>0</v>
      </c>
      <c r="DS148" s="2">
        <f t="shared" ref="DS148:DX148" si="2552">(M148*$I148+AH148*$AD148+BC148*$AY148)/100</f>
        <v>0</v>
      </c>
      <c r="DT148" s="2">
        <f t="shared" si="2552"/>
        <v>0</v>
      </c>
      <c r="DU148" s="2">
        <f t="shared" si="2552"/>
        <v>0</v>
      </c>
      <c r="DV148" s="2">
        <f t="shared" si="2552"/>
        <v>0</v>
      </c>
      <c r="DW148" s="2">
        <f t="shared" si="2552"/>
        <v>0.19260000000000002</v>
      </c>
      <c r="DX148" s="2">
        <f t="shared" si="2552"/>
        <v>9.8999999999999991E-3</v>
      </c>
      <c r="DY148" s="2">
        <f t="shared" ref="DY148:EC148" si="2553">S148*$I148+AN148*$AD148+BI148*$AY148</f>
        <v>0</v>
      </c>
      <c r="DZ148" s="2">
        <f t="shared" si="2553"/>
        <v>0</v>
      </c>
      <c r="EA148" s="2">
        <f t="shared" si="2553"/>
        <v>0</v>
      </c>
      <c r="EB148" s="2">
        <f t="shared" si="2553"/>
        <v>0</v>
      </c>
      <c r="EC148" s="2">
        <f t="shared" si="2553"/>
        <v>0</v>
      </c>
      <c r="ED148" s="2">
        <f t="shared" ref="ED148:EE148" si="2554">(X148*$I148+AS148*$AD148+BN148*$AY148)/100</f>
        <v>0</v>
      </c>
      <c r="EE148" s="2">
        <f t="shared" si="2554"/>
        <v>0</v>
      </c>
      <c r="EF148" s="2"/>
      <c r="EG148" s="2">
        <f t="shared" si="10"/>
        <v>0</v>
      </c>
      <c r="EH148" s="2">
        <f t="shared" si="11"/>
        <v>0</v>
      </c>
      <c r="EI148" s="39">
        <f t="shared" si="12"/>
        <v>0</v>
      </c>
      <c r="EJ148" s="39">
        <f t="shared" ref="EJ148:EK148" si="2555">EJ$1*DQ148/1000000</f>
        <v>0</v>
      </c>
      <c r="EK148" s="39">
        <f t="shared" si="2555"/>
        <v>0</v>
      </c>
      <c r="EL148" s="39">
        <f t="shared" ref="EL148:EQ148" si="2556">EL$1*DS148</f>
        <v>0</v>
      </c>
      <c r="EM148" s="39">
        <f t="shared" si="2556"/>
        <v>0</v>
      </c>
      <c r="EN148" s="39">
        <f t="shared" si="2556"/>
        <v>0</v>
      </c>
      <c r="EO148" s="39">
        <f t="shared" si="2556"/>
        <v>0</v>
      </c>
      <c r="EP148" s="39">
        <f t="shared" si="2556"/>
        <v>2525.7564000000002</v>
      </c>
      <c r="EQ148" s="39">
        <f t="shared" si="2556"/>
        <v>718.93328759999986</v>
      </c>
      <c r="ER148" s="39">
        <f t="shared" ref="ER148:EV148" si="2557">ER$1*DY148/1000000</f>
        <v>0</v>
      </c>
      <c r="ES148" s="39">
        <f t="shared" si="2557"/>
        <v>0</v>
      </c>
      <c r="ET148" s="39">
        <f t="shared" si="2557"/>
        <v>0</v>
      </c>
      <c r="EU148" s="39">
        <f t="shared" si="2557"/>
        <v>0</v>
      </c>
      <c r="EV148" s="39">
        <f t="shared" si="2557"/>
        <v>0</v>
      </c>
      <c r="EW148" s="39">
        <f t="shared" ref="EW148:EX148" si="2558">EW$1*ED148</f>
        <v>0</v>
      </c>
      <c r="EX148" s="39">
        <f t="shared" si="2558"/>
        <v>0</v>
      </c>
      <c r="EY148" s="2"/>
      <c r="EZ148" s="39">
        <f t="shared" si="17"/>
        <v>0</v>
      </c>
      <c r="FA148" s="39">
        <f t="shared" si="18"/>
        <v>0</v>
      </c>
      <c r="FB148" s="2">
        <f t="shared" si="19"/>
        <v>0</v>
      </c>
      <c r="FC148" s="2">
        <f t="shared" ref="FC148:FD148" si="2559">BV148*$BT148+CQ148*$CO148</f>
        <v>0</v>
      </c>
      <c r="FD148" s="2">
        <f t="shared" si="2559"/>
        <v>0</v>
      </c>
      <c r="FE148" s="2">
        <f t="shared" ref="FE148:FJ148" si="2560">(BX148*$BT148+CS148*$CO148)/100</f>
        <v>0</v>
      </c>
      <c r="FF148" s="2">
        <f t="shared" si="2560"/>
        <v>0</v>
      </c>
      <c r="FG148" s="2">
        <f t="shared" si="2560"/>
        <v>0</v>
      </c>
      <c r="FH148" s="2">
        <f t="shared" si="2560"/>
        <v>0</v>
      </c>
      <c r="FI148" s="2">
        <f t="shared" si="2560"/>
        <v>0</v>
      </c>
      <c r="FJ148" s="2">
        <f t="shared" si="2560"/>
        <v>0</v>
      </c>
      <c r="FK148" s="2">
        <f t="shared" ref="FK148:FO148" si="2561">CD148*$BT148+CY148*$CO148</f>
        <v>0</v>
      </c>
      <c r="FL148" s="2">
        <f t="shared" si="2561"/>
        <v>0</v>
      </c>
      <c r="FM148" s="2">
        <f t="shared" si="2561"/>
        <v>0</v>
      </c>
      <c r="FN148" s="2">
        <f t="shared" si="2561"/>
        <v>0</v>
      </c>
      <c r="FO148" s="2">
        <f t="shared" si="2561"/>
        <v>0</v>
      </c>
      <c r="FP148" s="2">
        <f t="shared" ref="FP148:FQ148" si="2562">(CI148*$BT148+DD148*$CO148)/100</f>
        <v>0</v>
      </c>
      <c r="FQ148" s="2">
        <f t="shared" si="2562"/>
        <v>0</v>
      </c>
      <c r="FR148" s="2"/>
      <c r="FS148" s="2">
        <f t="shared" si="24"/>
        <v>0</v>
      </c>
      <c r="FT148" s="2">
        <f t="shared" si="25"/>
        <v>0</v>
      </c>
      <c r="FU148" s="39">
        <f t="shared" si="26"/>
        <v>0</v>
      </c>
      <c r="FV148" s="39">
        <f t="shared" ref="FV148:FW148" si="2563">FV$1*FC148/1000000</f>
        <v>0</v>
      </c>
      <c r="FW148" s="39">
        <f t="shared" si="2563"/>
        <v>0</v>
      </c>
      <c r="FX148" s="39">
        <f t="shared" ref="FX148:GC148" si="2564">FX$1*FE148</f>
        <v>0</v>
      </c>
      <c r="FY148" s="39">
        <f t="shared" si="2564"/>
        <v>0</v>
      </c>
      <c r="FZ148" s="39">
        <f t="shared" si="2564"/>
        <v>0</v>
      </c>
      <c r="GA148" s="39">
        <f t="shared" si="2564"/>
        <v>0</v>
      </c>
      <c r="GB148" s="39">
        <f t="shared" si="2564"/>
        <v>0</v>
      </c>
      <c r="GC148" s="39">
        <f t="shared" si="2564"/>
        <v>0</v>
      </c>
      <c r="GD148" s="39">
        <f t="shared" ref="GD148:GH148" si="2565">GD$1*FK148/1000000</f>
        <v>0</v>
      </c>
      <c r="GE148" s="39">
        <f t="shared" si="2565"/>
        <v>0</v>
      </c>
      <c r="GF148" s="39">
        <f t="shared" si="2565"/>
        <v>0</v>
      </c>
      <c r="GG148" s="39">
        <f t="shared" si="2565"/>
        <v>0</v>
      </c>
      <c r="GH148" s="39">
        <f t="shared" si="2565"/>
        <v>0</v>
      </c>
      <c r="GI148" s="39">
        <f t="shared" ref="GI148:GJ148" si="2566">GI$1*FP148</f>
        <v>0</v>
      </c>
      <c r="GJ148" s="39">
        <f t="shared" si="2566"/>
        <v>0</v>
      </c>
      <c r="GK148" s="2"/>
      <c r="GL148" s="39">
        <f t="shared" si="31"/>
        <v>0</v>
      </c>
      <c r="GM148" s="39">
        <f t="shared" si="32"/>
        <v>0</v>
      </c>
      <c r="GN148" s="2" t="s">
        <v>3</v>
      </c>
      <c r="GO148" s="2">
        <f t="shared" si="33"/>
        <v>18</v>
      </c>
      <c r="GP148" s="2">
        <f t="shared" si="34"/>
        <v>1.07</v>
      </c>
      <c r="GQ148" s="15">
        <f t="shared" si="35"/>
        <v>192.6</v>
      </c>
      <c r="GR148" s="15">
        <f t="shared" si="36"/>
        <v>3244.6896876000001</v>
      </c>
      <c r="GS148" s="15">
        <f t="shared" si="37"/>
        <v>180.26053820000001</v>
      </c>
      <c r="GT148" s="2">
        <f t="shared" si="38"/>
        <v>0</v>
      </c>
      <c r="GU148" s="2">
        <f t="shared" si="39"/>
        <v>0</v>
      </c>
      <c r="GV148" s="2">
        <f t="shared" si="40"/>
        <v>192.6</v>
      </c>
      <c r="GW148" s="2">
        <f t="shared" si="41"/>
        <v>0</v>
      </c>
      <c r="GX148" s="2"/>
      <c r="GY148" s="2"/>
      <c r="GZ148" s="2"/>
      <c r="HA148" s="2"/>
      <c r="HB148" s="2">
        <f t="shared" si="42"/>
        <v>0</v>
      </c>
      <c r="HC148" s="2">
        <f t="shared" si="43"/>
        <v>0</v>
      </c>
      <c r="HD148" s="2" t="s">
        <v>3</v>
      </c>
      <c r="HE148" s="2" t="s">
        <v>37</v>
      </c>
      <c r="HF148" s="2" t="s">
        <v>229</v>
      </c>
      <c r="HG148" s="2"/>
      <c r="HH148" s="2"/>
      <c r="HI148" s="2" t="s">
        <v>100</v>
      </c>
      <c r="HJ148" s="2" t="s">
        <v>3</v>
      </c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 t="s">
        <v>3</v>
      </c>
    </row>
    <row r="149" spans="1:268" ht="15.75" customHeight="1" x14ac:dyDescent="0.2">
      <c r="A149" s="13" t="s">
        <v>649</v>
      </c>
      <c r="B149" s="2" t="s">
        <v>99</v>
      </c>
      <c r="C149" s="2"/>
      <c r="D149" s="2"/>
      <c r="E149" s="2" t="s">
        <v>78</v>
      </c>
      <c r="F149" s="2" t="s">
        <v>497</v>
      </c>
      <c r="G149" s="2"/>
      <c r="H149" s="2" t="s">
        <v>80</v>
      </c>
      <c r="I149" s="2">
        <v>0</v>
      </c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>
        <v>34.200000000000003</v>
      </c>
      <c r="AE149" s="2"/>
      <c r="AF149" s="2"/>
      <c r="AG149" s="2"/>
      <c r="AH149" s="2"/>
      <c r="AI149" s="2"/>
      <c r="AJ149" s="2"/>
      <c r="AK149" s="2"/>
      <c r="AL149" s="2">
        <v>0.71</v>
      </c>
      <c r="AM149" s="2">
        <v>0.08</v>
      </c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>
        <v>7.6</v>
      </c>
      <c r="AZ149" s="2"/>
      <c r="BA149" s="2"/>
      <c r="BB149" s="2"/>
      <c r="BC149" s="2"/>
      <c r="BD149" s="2"/>
      <c r="BE149" s="2"/>
      <c r="BF149" s="2"/>
      <c r="BG149" s="2">
        <v>0.61</v>
      </c>
      <c r="BH149" s="2">
        <v>0.09</v>
      </c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>
        <v>0</v>
      </c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>
        <v>0</v>
      </c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 t="s">
        <v>81</v>
      </c>
      <c r="DK149" s="2" t="s">
        <v>81</v>
      </c>
      <c r="DL149" s="2">
        <f t="shared" si="3"/>
        <v>0.69181818181818178</v>
      </c>
      <c r="DM149" s="2">
        <f t="shared" si="4"/>
        <v>8.1818181818181804E-2</v>
      </c>
      <c r="DN149" s="2" t="s">
        <v>211</v>
      </c>
      <c r="DO149" s="2" t="s">
        <v>3</v>
      </c>
      <c r="DP149" s="2">
        <f t="shared" si="5"/>
        <v>0</v>
      </c>
      <c r="DQ149" s="2">
        <f t="shared" ref="DQ149:DR149" si="2567">K149*$I149+AF149*$AD149+BA149*$AY149</f>
        <v>0</v>
      </c>
      <c r="DR149" s="2">
        <f t="shared" si="2567"/>
        <v>0</v>
      </c>
      <c r="DS149" s="2">
        <f t="shared" ref="DS149:DX149" si="2568">(M149*$I149+AH149*$AD149+BC149*$AY149)/100</f>
        <v>0</v>
      </c>
      <c r="DT149" s="2">
        <f t="shared" si="2568"/>
        <v>0</v>
      </c>
      <c r="DU149" s="2">
        <f t="shared" si="2568"/>
        <v>0</v>
      </c>
      <c r="DV149" s="2">
        <f t="shared" si="2568"/>
        <v>0</v>
      </c>
      <c r="DW149" s="2">
        <f t="shared" si="2568"/>
        <v>0.28917999999999999</v>
      </c>
      <c r="DX149" s="2">
        <f t="shared" si="2568"/>
        <v>3.4200000000000001E-2</v>
      </c>
      <c r="DY149" s="2">
        <f t="shared" ref="DY149:EC149" si="2569">S149*$I149+AN149*$AD149+BI149*$AY149</f>
        <v>0</v>
      </c>
      <c r="DZ149" s="2">
        <f t="shared" si="2569"/>
        <v>0</v>
      </c>
      <c r="EA149" s="2">
        <f t="shared" si="2569"/>
        <v>0</v>
      </c>
      <c r="EB149" s="2">
        <f t="shared" si="2569"/>
        <v>0</v>
      </c>
      <c r="EC149" s="2">
        <f t="shared" si="2569"/>
        <v>0</v>
      </c>
      <c r="ED149" s="2">
        <f t="shared" ref="ED149:EE149" si="2570">(X149*$I149+AS149*$AD149+BN149*$AY149)/100</f>
        <v>0</v>
      </c>
      <c r="EE149" s="2">
        <f t="shared" si="2570"/>
        <v>0</v>
      </c>
      <c r="EF149" s="2"/>
      <c r="EG149" s="2">
        <f t="shared" si="10"/>
        <v>0</v>
      </c>
      <c r="EH149" s="2">
        <f t="shared" si="11"/>
        <v>0</v>
      </c>
      <c r="EI149" s="39">
        <f t="shared" si="12"/>
        <v>0</v>
      </c>
      <c r="EJ149" s="39">
        <f t="shared" ref="EJ149:EK149" si="2571">EJ$1*DQ149/1000000</f>
        <v>0</v>
      </c>
      <c r="EK149" s="39">
        <f t="shared" si="2571"/>
        <v>0</v>
      </c>
      <c r="EL149" s="39">
        <f t="shared" ref="EL149:EQ149" si="2572">EL$1*DS149</f>
        <v>0</v>
      </c>
      <c r="EM149" s="39">
        <f t="shared" si="2572"/>
        <v>0</v>
      </c>
      <c r="EN149" s="39">
        <f t="shared" si="2572"/>
        <v>0</v>
      </c>
      <c r="EO149" s="39">
        <f t="shared" si="2572"/>
        <v>0</v>
      </c>
      <c r="EP149" s="39">
        <f t="shared" si="2572"/>
        <v>3792.3065200000001</v>
      </c>
      <c r="EQ149" s="39">
        <f t="shared" si="2572"/>
        <v>2483.5877207999997</v>
      </c>
      <c r="ER149" s="39">
        <f t="shared" ref="ER149:EV149" si="2573">ER$1*DY149/1000000</f>
        <v>0</v>
      </c>
      <c r="ES149" s="39">
        <f t="shared" si="2573"/>
        <v>0</v>
      </c>
      <c r="ET149" s="39">
        <f t="shared" si="2573"/>
        <v>0</v>
      </c>
      <c r="EU149" s="39">
        <f t="shared" si="2573"/>
        <v>0</v>
      </c>
      <c r="EV149" s="39">
        <f t="shared" si="2573"/>
        <v>0</v>
      </c>
      <c r="EW149" s="39">
        <f t="shared" ref="EW149:EX149" si="2574">EW$1*ED149</f>
        <v>0</v>
      </c>
      <c r="EX149" s="39">
        <f t="shared" si="2574"/>
        <v>0</v>
      </c>
      <c r="EY149" s="2"/>
      <c r="EZ149" s="39">
        <f t="shared" si="17"/>
        <v>0</v>
      </c>
      <c r="FA149" s="39">
        <f t="shared" si="18"/>
        <v>0</v>
      </c>
      <c r="FB149" s="2">
        <f t="shared" si="19"/>
        <v>0</v>
      </c>
      <c r="FC149" s="2">
        <f t="shared" ref="FC149:FD149" si="2575">BV149*$BT149+CQ149*$CO149</f>
        <v>0</v>
      </c>
      <c r="FD149" s="2">
        <f t="shared" si="2575"/>
        <v>0</v>
      </c>
      <c r="FE149" s="2">
        <f t="shared" ref="FE149:FJ149" si="2576">(BX149*$BT149+CS149*$CO149)/100</f>
        <v>0</v>
      </c>
      <c r="FF149" s="2">
        <f t="shared" si="2576"/>
        <v>0</v>
      </c>
      <c r="FG149" s="2">
        <f t="shared" si="2576"/>
        <v>0</v>
      </c>
      <c r="FH149" s="2">
        <f t="shared" si="2576"/>
        <v>0</v>
      </c>
      <c r="FI149" s="2">
        <f t="shared" si="2576"/>
        <v>0</v>
      </c>
      <c r="FJ149" s="2">
        <f t="shared" si="2576"/>
        <v>0</v>
      </c>
      <c r="FK149" s="2">
        <f t="shared" ref="FK149:FO149" si="2577">CD149*$BT149+CY149*$CO149</f>
        <v>0</v>
      </c>
      <c r="FL149" s="2">
        <f t="shared" si="2577"/>
        <v>0</v>
      </c>
      <c r="FM149" s="2">
        <f t="shared" si="2577"/>
        <v>0</v>
      </c>
      <c r="FN149" s="2">
        <f t="shared" si="2577"/>
        <v>0</v>
      </c>
      <c r="FO149" s="2">
        <f t="shared" si="2577"/>
        <v>0</v>
      </c>
      <c r="FP149" s="2">
        <f t="shared" ref="FP149:FQ149" si="2578">(CI149*$BT149+DD149*$CO149)/100</f>
        <v>0</v>
      </c>
      <c r="FQ149" s="2">
        <f t="shared" si="2578"/>
        <v>0</v>
      </c>
      <c r="FR149" s="2"/>
      <c r="FS149" s="2">
        <f t="shared" si="24"/>
        <v>0</v>
      </c>
      <c r="FT149" s="2">
        <f t="shared" si="25"/>
        <v>0</v>
      </c>
      <c r="FU149" s="39">
        <f t="shared" si="26"/>
        <v>0</v>
      </c>
      <c r="FV149" s="39">
        <f t="shared" ref="FV149:FW149" si="2579">FV$1*FC149/1000000</f>
        <v>0</v>
      </c>
      <c r="FW149" s="39">
        <f t="shared" si="2579"/>
        <v>0</v>
      </c>
      <c r="FX149" s="39">
        <f t="shared" ref="FX149:GC149" si="2580">FX$1*FE149</f>
        <v>0</v>
      </c>
      <c r="FY149" s="39">
        <f t="shared" si="2580"/>
        <v>0</v>
      </c>
      <c r="FZ149" s="39">
        <f t="shared" si="2580"/>
        <v>0</v>
      </c>
      <c r="GA149" s="39">
        <f t="shared" si="2580"/>
        <v>0</v>
      </c>
      <c r="GB149" s="39">
        <f t="shared" si="2580"/>
        <v>0</v>
      </c>
      <c r="GC149" s="39">
        <f t="shared" si="2580"/>
        <v>0</v>
      </c>
      <c r="GD149" s="39">
        <f t="shared" ref="GD149:GH149" si="2581">GD$1*FK149/1000000</f>
        <v>0</v>
      </c>
      <c r="GE149" s="39">
        <f t="shared" si="2581"/>
        <v>0</v>
      </c>
      <c r="GF149" s="39">
        <f t="shared" si="2581"/>
        <v>0</v>
      </c>
      <c r="GG149" s="39">
        <f t="shared" si="2581"/>
        <v>0</v>
      </c>
      <c r="GH149" s="39">
        <f t="shared" si="2581"/>
        <v>0</v>
      </c>
      <c r="GI149" s="39">
        <f t="shared" ref="GI149:GJ149" si="2582">GI$1*FP149</f>
        <v>0</v>
      </c>
      <c r="GJ149" s="39">
        <f t="shared" si="2582"/>
        <v>0</v>
      </c>
      <c r="GK149" s="2"/>
      <c r="GL149" s="39">
        <f t="shared" si="31"/>
        <v>0</v>
      </c>
      <c r="GM149" s="39">
        <f t="shared" si="32"/>
        <v>0</v>
      </c>
      <c r="GN149" s="2" t="s">
        <v>3</v>
      </c>
      <c r="GO149" s="2">
        <f t="shared" si="33"/>
        <v>41.800000000000004</v>
      </c>
      <c r="GP149" s="4">
        <f t="shared" si="34"/>
        <v>0.69181818181818178</v>
      </c>
      <c r="GQ149" s="15">
        <f t="shared" si="35"/>
        <v>289.18000000000006</v>
      </c>
      <c r="GR149" s="15">
        <f t="shared" si="36"/>
        <v>6275.8942408000003</v>
      </c>
      <c r="GS149" s="15">
        <f t="shared" si="37"/>
        <v>150.14101054545455</v>
      </c>
      <c r="GT149" s="2">
        <f t="shared" si="38"/>
        <v>0</v>
      </c>
      <c r="GU149" s="2">
        <f t="shared" si="39"/>
        <v>242.82</v>
      </c>
      <c r="GV149" s="2">
        <f t="shared" si="40"/>
        <v>46.36</v>
      </c>
      <c r="GW149" s="2">
        <f t="shared" si="41"/>
        <v>0</v>
      </c>
      <c r="GX149" s="2"/>
      <c r="GY149" s="2"/>
      <c r="GZ149" s="2"/>
      <c r="HA149" s="2"/>
      <c r="HB149" s="2">
        <f t="shared" si="42"/>
        <v>0</v>
      </c>
      <c r="HC149" s="2">
        <f t="shared" si="43"/>
        <v>0</v>
      </c>
      <c r="HD149" s="2" t="s">
        <v>3</v>
      </c>
      <c r="HE149" s="2" t="s">
        <v>37</v>
      </c>
      <c r="HF149" s="2" t="s">
        <v>114</v>
      </c>
      <c r="HG149" s="2" t="s">
        <v>114</v>
      </c>
      <c r="HH149" s="2"/>
      <c r="HI149" s="2" t="s">
        <v>81</v>
      </c>
      <c r="HJ149" s="2" t="s">
        <v>3</v>
      </c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 t="s">
        <v>3</v>
      </c>
    </row>
    <row r="150" spans="1:268" ht="15.75" customHeight="1" x14ac:dyDescent="0.2">
      <c r="A150" s="13" t="s">
        <v>652</v>
      </c>
      <c r="B150" s="2" t="s">
        <v>99</v>
      </c>
      <c r="C150" s="2"/>
      <c r="D150" s="2"/>
      <c r="E150" s="2" t="s">
        <v>78</v>
      </c>
      <c r="F150" s="2" t="s">
        <v>497</v>
      </c>
      <c r="G150" s="2"/>
      <c r="H150" s="2" t="s">
        <v>80</v>
      </c>
      <c r="I150" s="2">
        <v>5.8</v>
      </c>
      <c r="J150" s="2"/>
      <c r="K150" s="2"/>
      <c r="L150" s="2"/>
      <c r="M150" s="2"/>
      <c r="N150" s="2"/>
      <c r="O150" s="2"/>
      <c r="P150" s="2"/>
      <c r="Q150" s="2">
        <v>1.08</v>
      </c>
      <c r="R150" s="2">
        <v>0.14000000000000001</v>
      </c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>
        <v>51.4</v>
      </c>
      <c r="AE150" s="2"/>
      <c r="AF150" s="2"/>
      <c r="AG150" s="2"/>
      <c r="AH150" s="2"/>
      <c r="AI150" s="2"/>
      <c r="AJ150" s="2"/>
      <c r="AK150" s="2"/>
      <c r="AL150" s="2">
        <v>0.78</v>
      </c>
      <c r="AM150" s="2">
        <v>0.08</v>
      </c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>
        <v>25.8</v>
      </c>
      <c r="AZ150" s="2"/>
      <c r="BA150" s="2"/>
      <c r="BB150" s="2"/>
      <c r="BC150" s="2"/>
      <c r="BD150" s="2"/>
      <c r="BE150" s="2"/>
      <c r="BF150" s="2"/>
      <c r="BG150" s="2">
        <v>0.63</v>
      </c>
      <c r="BH150" s="2">
        <v>7.0000000000000007E-2</v>
      </c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>
        <v>0</v>
      </c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>
        <v>0</v>
      </c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 t="s">
        <v>81</v>
      </c>
      <c r="DK150" s="2" t="s">
        <v>81</v>
      </c>
      <c r="DL150" s="2">
        <f t="shared" si="3"/>
        <v>0.75433734939759034</v>
      </c>
      <c r="DM150" s="2">
        <f t="shared" si="4"/>
        <v>8.1084337349397601E-2</v>
      </c>
      <c r="DN150" s="2" t="s">
        <v>211</v>
      </c>
      <c r="DO150" s="2" t="s">
        <v>3</v>
      </c>
      <c r="DP150" s="2">
        <f t="shared" si="5"/>
        <v>0</v>
      </c>
      <c r="DQ150" s="2">
        <f t="shared" ref="DQ150:DR150" si="2583">K150*$I150+AF150*$AD150+BA150*$AY150</f>
        <v>0</v>
      </c>
      <c r="DR150" s="2">
        <f t="shared" si="2583"/>
        <v>0</v>
      </c>
      <c r="DS150" s="2">
        <f t="shared" ref="DS150:DX150" si="2584">(M150*$I150+AH150*$AD150+BC150*$AY150)/100</f>
        <v>0</v>
      </c>
      <c r="DT150" s="2">
        <f t="shared" si="2584"/>
        <v>0</v>
      </c>
      <c r="DU150" s="2">
        <f t="shared" si="2584"/>
        <v>0</v>
      </c>
      <c r="DV150" s="2">
        <f t="shared" si="2584"/>
        <v>0</v>
      </c>
      <c r="DW150" s="2">
        <f t="shared" si="2584"/>
        <v>0.62609999999999999</v>
      </c>
      <c r="DX150" s="2">
        <f t="shared" si="2584"/>
        <v>6.7299999999999999E-2</v>
      </c>
      <c r="DY150" s="2">
        <f t="shared" ref="DY150:EC150" si="2585">S150*$I150+AN150*$AD150+BI150*$AY150</f>
        <v>0</v>
      </c>
      <c r="DZ150" s="2">
        <f t="shared" si="2585"/>
        <v>0</v>
      </c>
      <c r="EA150" s="2">
        <f t="shared" si="2585"/>
        <v>0</v>
      </c>
      <c r="EB150" s="2">
        <f t="shared" si="2585"/>
        <v>0</v>
      </c>
      <c r="EC150" s="2">
        <f t="shared" si="2585"/>
        <v>0</v>
      </c>
      <c r="ED150" s="2">
        <f t="shared" ref="ED150:EE150" si="2586">(X150*$I150+AS150*$AD150+BN150*$AY150)/100</f>
        <v>0</v>
      </c>
      <c r="EE150" s="2">
        <f t="shared" si="2586"/>
        <v>0</v>
      </c>
      <c r="EF150" s="2"/>
      <c r="EG150" s="2">
        <f t="shared" si="10"/>
        <v>0</v>
      </c>
      <c r="EH150" s="2">
        <f t="shared" si="11"/>
        <v>0</v>
      </c>
      <c r="EI150" s="39">
        <f t="shared" si="12"/>
        <v>0</v>
      </c>
      <c r="EJ150" s="39">
        <f t="shared" ref="EJ150:EK150" si="2587">EJ$1*DQ150/1000000</f>
        <v>0</v>
      </c>
      <c r="EK150" s="39">
        <f t="shared" si="2587"/>
        <v>0</v>
      </c>
      <c r="EL150" s="39">
        <f t="shared" ref="EL150:EQ150" si="2588">EL$1*DS150</f>
        <v>0</v>
      </c>
      <c r="EM150" s="39">
        <f t="shared" si="2588"/>
        <v>0</v>
      </c>
      <c r="EN150" s="39">
        <f t="shared" si="2588"/>
        <v>0</v>
      </c>
      <c r="EO150" s="39">
        <f t="shared" si="2588"/>
        <v>0</v>
      </c>
      <c r="EP150" s="39">
        <f t="shared" si="2588"/>
        <v>8210.6754000000001</v>
      </c>
      <c r="EQ150" s="39">
        <f t="shared" si="2588"/>
        <v>4887.2939651999995</v>
      </c>
      <c r="ER150" s="39">
        <f t="shared" ref="ER150:EV150" si="2589">ER$1*DY150/1000000</f>
        <v>0</v>
      </c>
      <c r="ES150" s="39">
        <f t="shared" si="2589"/>
        <v>0</v>
      </c>
      <c r="ET150" s="39">
        <f t="shared" si="2589"/>
        <v>0</v>
      </c>
      <c r="EU150" s="39">
        <f t="shared" si="2589"/>
        <v>0</v>
      </c>
      <c r="EV150" s="39">
        <f t="shared" si="2589"/>
        <v>0</v>
      </c>
      <c r="EW150" s="39">
        <f t="shared" ref="EW150:EX150" si="2590">EW$1*ED150</f>
        <v>0</v>
      </c>
      <c r="EX150" s="39">
        <f t="shared" si="2590"/>
        <v>0</v>
      </c>
      <c r="EY150" s="2"/>
      <c r="EZ150" s="39">
        <f t="shared" si="17"/>
        <v>0</v>
      </c>
      <c r="FA150" s="39">
        <f t="shared" si="18"/>
        <v>0</v>
      </c>
      <c r="FB150" s="2">
        <f t="shared" si="19"/>
        <v>0</v>
      </c>
      <c r="FC150" s="2">
        <f t="shared" ref="FC150:FD150" si="2591">BV150*$BT150+CQ150*$CO150</f>
        <v>0</v>
      </c>
      <c r="FD150" s="2">
        <f t="shared" si="2591"/>
        <v>0</v>
      </c>
      <c r="FE150" s="2">
        <f t="shared" ref="FE150:FJ150" si="2592">(BX150*$BT150+CS150*$CO150)/100</f>
        <v>0</v>
      </c>
      <c r="FF150" s="2">
        <f t="shared" si="2592"/>
        <v>0</v>
      </c>
      <c r="FG150" s="2">
        <f t="shared" si="2592"/>
        <v>0</v>
      </c>
      <c r="FH150" s="2">
        <f t="shared" si="2592"/>
        <v>0</v>
      </c>
      <c r="FI150" s="2">
        <f t="shared" si="2592"/>
        <v>0</v>
      </c>
      <c r="FJ150" s="2">
        <f t="shared" si="2592"/>
        <v>0</v>
      </c>
      <c r="FK150" s="2">
        <f t="shared" ref="FK150:FO150" si="2593">CD150*$BT150+CY150*$CO150</f>
        <v>0</v>
      </c>
      <c r="FL150" s="2">
        <f t="shared" si="2593"/>
        <v>0</v>
      </c>
      <c r="FM150" s="2">
        <f t="shared" si="2593"/>
        <v>0</v>
      </c>
      <c r="FN150" s="2">
        <f t="shared" si="2593"/>
        <v>0</v>
      </c>
      <c r="FO150" s="2">
        <f t="shared" si="2593"/>
        <v>0</v>
      </c>
      <c r="FP150" s="2">
        <f t="shared" ref="FP150:FQ150" si="2594">(CI150*$BT150+DD150*$CO150)/100</f>
        <v>0</v>
      </c>
      <c r="FQ150" s="2">
        <f t="shared" si="2594"/>
        <v>0</v>
      </c>
      <c r="FR150" s="2"/>
      <c r="FS150" s="2">
        <f t="shared" si="24"/>
        <v>0</v>
      </c>
      <c r="FT150" s="2">
        <f t="shared" si="25"/>
        <v>0</v>
      </c>
      <c r="FU150" s="39">
        <f t="shared" si="26"/>
        <v>0</v>
      </c>
      <c r="FV150" s="39">
        <f t="shared" ref="FV150:FW150" si="2595">FV$1*FC150/1000000</f>
        <v>0</v>
      </c>
      <c r="FW150" s="39">
        <f t="shared" si="2595"/>
        <v>0</v>
      </c>
      <c r="FX150" s="39">
        <f t="shared" ref="FX150:GC150" si="2596">FX$1*FE150</f>
        <v>0</v>
      </c>
      <c r="FY150" s="39">
        <f t="shared" si="2596"/>
        <v>0</v>
      </c>
      <c r="FZ150" s="39">
        <f t="shared" si="2596"/>
        <v>0</v>
      </c>
      <c r="GA150" s="39">
        <f t="shared" si="2596"/>
        <v>0</v>
      </c>
      <c r="GB150" s="39">
        <f t="shared" si="2596"/>
        <v>0</v>
      </c>
      <c r="GC150" s="39">
        <f t="shared" si="2596"/>
        <v>0</v>
      </c>
      <c r="GD150" s="39">
        <f t="shared" ref="GD150:GH150" si="2597">GD$1*FK150/1000000</f>
        <v>0</v>
      </c>
      <c r="GE150" s="39">
        <f t="shared" si="2597"/>
        <v>0</v>
      </c>
      <c r="GF150" s="39">
        <f t="shared" si="2597"/>
        <v>0</v>
      </c>
      <c r="GG150" s="39">
        <f t="shared" si="2597"/>
        <v>0</v>
      </c>
      <c r="GH150" s="39">
        <f t="shared" si="2597"/>
        <v>0</v>
      </c>
      <c r="GI150" s="39">
        <f t="shared" ref="GI150:GJ150" si="2598">GI$1*FP150</f>
        <v>0</v>
      </c>
      <c r="GJ150" s="39">
        <f t="shared" si="2598"/>
        <v>0</v>
      </c>
      <c r="GK150" s="2"/>
      <c r="GL150" s="39">
        <f t="shared" si="31"/>
        <v>0</v>
      </c>
      <c r="GM150" s="39">
        <f t="shared" si="32"/>
        <v>0</v>
      </c>
      <c r="GN150" s="2" t="s">
        <v>3</v>
      </c>
      <c r="GO150" s="2">
        <f t="shared" si="33"/>
        <v>83</v>
      </c>
      <c r="GP150" s="4">
        <f t="shared" si="34"/>
        <v>0.75433734939759034</v>
      </c>
      <c r="GQ150" s="15">
        <f t="shared" si="35"/>
        <v>626.1</v>
      </c>
      <c r="GR150" s="15">
        <f t="shared" si="36"/>
        <v>13097.969365199999</v>
      </c>
      <c r="GS150" s="15">
        <f t="shared" si="37"/>
        <v>157.80685982168674</v>
      </c>
      <c r="GT150" s="2">
        <f t="shared" si="38"/>
        <v>62.64</v>
      </c>
      <c r="GU150" s="2">
        <f t="shared" si="39"/>
        <v>400.92</v>
      </c>
      <c r="GV150" s="2">
        <f t="shared" si="40"/>
        <v>162.54000000000002</v>
      </c>
      <c r="GW150" s="2">
        <f t="shared" si="41"/>
        <v>0</v>
      </c>
      <c r="GX150" s="2"/>
      <c r="GY150" s="2"/>
      <c r="GZ150" s="2"/>
      <c r="HA150" s="2"/>
      <c r="HB150" s="2">
        <f t="shared" si="42"/>
        <v>0</v>
      </c>
      <c r="HC150" s="2">
        <f t="shared" si="43"/>
        <v>0</v>
      </c>
      <c r="HD150" s="2" t="s">
        <v>3</v>
      </c>
      <c r="HE150" s="2" t="s">
        <v>37</v>
      </c>
      <c r="HF150" s="2" t="s">
        <v>114</v>
      </c>
      <c r="HG150" s="2" t="s">
        <v>114</v>
      </c>
      <c r="HH150" s="2"/>
      <c r="HI150" s="2" t="s">
        <v>81</v>
      </c>
      <c r="HJ150" s="2" t="s">
        <v>3</v>
      </c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 t="s">
        <v>3</v>
      </c>
    </row>
    <row r="151" spans="1:268" ht="15.75" customHeight="1" x14ac:dyDescent="0.2">
      <c r="A151" s="13" t="s">
        <v>654</v>
      </c>
      <c r="B151" s="2" t="s">
        <v>99</v>
      </c>
      <c r="C151" s="2"/>
      <c r="D151" s="2"/>
      <c r="E151" s="2" t="s">
        <v>78</v>
      </c>
      <c r="F151" s="2" t="s">
        <v>497</v>
      </c>
      <c r="G151" s="2"/>
      <c r="H151" s="2" t="s">
        <v>80</v>
      </c>
      <c r="I151" s="2">
        <v>0</v>
      </c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>
        <v>52.9</v>
      </c>
      <c r="AE151" s="2"/>
      <c r="AF151" s="2"/>
      <c r="AG151" s="2"/>
      <c r="AH151" s="2"/>
      <c r="AI151" s="2"/>
      <c r="AJ151" s="2"/>
      <c r="AK151" s="2"/>
      <c r="AL151" s="2">
        <v>0.66</v>
      </c>
      <c r="AM151" s="2">
        <v>0.04</v>
      </c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>
        <v>34.1</v>
      </c>
      <c r="AZ151" s="2"/>
      <c r="BA151" s="2"/>
      <c r="BB151" s="2"/>
      <c r="BC151" s="2"/>
      <c r="BD151" s="2"/>
      <c r="BE151" s="2"/>
      <c r="BF151" s="2"/>
      <c r="BG151" s="2">
        <v>0.64</v>
      </c>
      <c r="BH151" s="2">
        <v>0.04</v>
      </c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>
        <v>0</v>
      </c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>
        <v>0</v>
      </c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 t="s">
        <v>81</v>
      </c>
      <c r="DK151" s="2" t="s">
        <v>81</v>
      </c>
      <c r="DL151" s="2">
        <f t="shared" si="3"/>
        <v>0.65216091954022992</v>
      </c>
      <c r="DM151" s="2">
        <f t="shared" si="4"/>
        <v>4.0000000000000008E-2</v>
      </c>
      <c r="DN151" s="2" t="s">
        <v>211</v>
      </c>
      <c r="DO151" s="2" t="s">
        <v>3</v>
      </c>
      <c r="DP151" s="2">
        <f t="shared" si="5"/>
        <v>0</v>
      </c>
      <c r="DQ151" s="2">
        <f t="shared" ref="DQ151:DR151" si="2599">K151*$I151+AF151*$AD151+BA151*$AY151</f>
        <v>0</v>
      </c>
      <c r="DR151" s="2">
        <f t="shared" si="2599"/>
        <v>0</v>
      </c>
      <c r="DS151" s="2">
        <f t="shared" ref="DS151:DX151" si="2600">(M151*$I151+AH151*$AD151+BC151*$AY151)/100</f>
        <v>0</v>
      </c>
      <c r="DT151" s="2">
        <f t="shared" si="2600"/>
        <v>0</v>
      </c>
      <c r="DU151" s="2">
        <f t="shared" si="2600"/>
        <v>0</v>
      </c>
      <c r="DV151" s="2">
        <f t="shared" si="2600"/>
        <v>0</v>
      </c>
      <c r="DW151" s="2">
        <f t="shared" si="2600"/>
        <v>0.56738</v>
      </c>
      <c r="DX151" s="2">
        <f t="shared" si="2600"/>
        <v>3.4800000000000005E-2</v>
      </c>
      <c r="DY151" s="2">
        <f t="shared" ref="DY151:EC151" si="2601">S151*$I151+AN151*$AD151+BI151*$AY151</f>
        <v>0</v>
      </c>
      <c r="DZ151" s="2">
        <f t="shared" si="2601"/>
        <v>0</v>
      </c>
      <c r="EA151" s="2">
        <f t="shared" si="2601"/>
        <v>0</v>
      </c>
      <c r="EB151" s="2">
        <f t="shared" si="2601"/>
        <v>0</v>
      </c>
      <c r="EC151" s="2">
        <f t="shared" si="2601"/>
        <v>0</v>
      </c>
      <c r="ED151" s="2">
        <f t="shared" ref="ED151:EE151" si="2602">(X151*$I151+AS151*$AD151+BN151*$AY151)/100</f>
        <v>0</v>
      </c>
      <c r="EE151" s="2">
        <f t="shared" si="2602"/>
        <v>0</v>
      </c>
      <c r="EF151" s="2"/>
      <c r="EG151" s="2">
        <f t="shared" si="10"/>
        <v>0</v>
      </c>
      <c r="EH151" s="2">
        <f t="shared" si="11"/>
        <v>0</v>
      </c>
      <c r="EI151" s="39">
        <f t="shared" si="12"/>
        <v>0</v>
      </c>
      <c r="EJ151" s="39">
        <f t="shared" ref="EJ151:EK151" si="2603">EJ$1*DQ151/1000000</f>
        <v>0</v>
      </c>
      <c r="EK151" s="39">
        <f t="shared" si="2603"/>
        <v>0</v>
      </c>
      <c r="EL151" s="39">
        <f t="shared" ref="EL151:EQ151" si="2604">EL$1*DS151</f>
        <v>0</v>
      </c>
      <c r="EM151" s="39">
        <f t="shared" si="2604"/>
        <v>0</v>
      </c>
      <c r="EN151" s="39">
        <f t="shared" si="2604"/>
        <v>0</v>
      </c>
      <c r="EO151" s="39">
        <f t="shared" si="2604"/>
        <v>0</v>
      </c>
      <c r="EP151" s="39">
        <f t="shared" si="2604"/>
        <v>7440.6213200000002</v>
      </c>
      <c r="EQ151" s="39">
        <f t="shared" si="2604"/>
        <v>2527.1594352000002</v>
      </c>
      <c r="ER151" s="39">
        <f t="shared" ref="ER151:EV151" si="2605">ER$1*DY151/1000000</f>
        <v>0</v>
      </c>
      <c r="ES151" s="39">
        <f t="shared" si="2605"/>
        <v>0</v>
      </c>
      <c r="ET151" s="39">
        <f t="shared" si="2605"/>
        <v>0</v>
      </c>
      <c r="EU151" s="39">
        <f t="shared" si="2605"/>
        <v>0</v>
      </c>
      <c r="EV151" s="39">
        <f t="shared" si="2605"/>
        <v>0</v>
      </c>
      <c r="EW151" s="39">
        <f t="shared" ref="EW151:EX151" si="2606">EW$1*ED151</f>
        <v>0</v>
      </c>
      <c r="EX151" s="39">
        <f t="shared" si="2606"/>
        <v>0</v>
      </c>
      <c r="EY151" s="2"/>
      <c r="EZ151" s="39">
        <f t="shared" si="17"/>
        <v>0</v>
      </c>
      <c r="FA151" s="39">
        <f t="shared" si="18"/>
        <v>0</v>
      </c>
      <c r="FB151" s="2">
        <f t="shared" si="19"/>
        <v>0</v>
      </c>
      <c r="FC151" s="2">
        <f t="shared" ref="FC151:FD151" si="2607">BV151*$BT151+CQ151*$CO151</f>
        <v>0</v>
      </c>
      <c r="FD151" s="2">
        <f t="shared" si="2607"/>
        <v>0</v>
      </c>
      <c r="FE151" s="2">
        <f t="shared" ref="FE151:FJ151" si="2608">(BX151*$BT151+CS151*$CO151)/100</f>
        <v>0</v>
      </c>
      <c r="FF151" s="2">
        <f t="shared" si="2608"/>
        <v>0</v>
      </c>
      <c r="FG151" s="2">
        <f t="shared" si="2608"/>
        <v>0</v>
      </c>
      <c r="FH151" s="2">
        <f t="shared" si="2608"/>
        <v>0</v>
      </c>
      <c r="FI151" s="2">
        <f t="shared" si="2608"/>
        <v>0</v>
      </c>
      <c r="FJ151" s="2">
        <f t="shared" si="2608"/>
        <v>0</v>
      </c>
      <c r="FK151" s="2">
        <f t="shared" ref="FK151:FO151" si="2609">CD151*$BT151+CY151*$CO151</f>
        <v>0</v>
      </c>
      <c r="FL151" s="2">
        <f t="shared" si="2609"/>
        <v>0</v>
      </c>
      <c r="FM151" s="2">
        <f t="shared" si="2609"/>
        <v>0</v>
      </c>
      <c r="FN151" s="2">
        <f t="shared" si="2609"/>
        <v>0</v>
      </c>
      <c r="FO151" s="2">
        <f t="shared" si="2609"/>
        <v>0</v>
      </c>
      <c r="FP151" s="2">
        <f t="shared" ref="FP151:FQ151" si="2610">(CI151*$BT151+DD151*$CO151)/100</f>
        <v>0</v>
      </c>
      <c r="FQ151" s="2">
        <f t="shared" si="2610"/>
        <v>0</v>
      </c>
      <c r="FR151" s="2"/>
      <c r="FS151" s="2">
        <f t="shared" si="24"/>
        <v>0</v>
      </c>
      <c r="FT151" s="2">
        <f t="shared" si="25"/>
        <v>0</v>
      </c>
      <c r="FU151" s="39">
        <f t="shared" si="26"/>
        <v>0</v>
      </c>
      <c r="FV151" s="39">
        <f t="shared" ref="FV151:FW151" si="2611">FV$1*FC151/1000000</f>
        <v>0</v>
      </c>
      <c r="FW151" s="39">
        <f t="shared" si="2611"/>
        <v>0</v>
      </c>
      <c r="FX151" s="39">
        <f t="shared" ref="FX151:GC151" si="2612">FX$1*FE151</f>
        <v>0</v>
      </c>
      <c r="FY151" s="39">
        <f t="shared" si="2612"/>
        <v>0</v>
      </c>
      <c r="FZ151" s="39">
        <f t="shared" si="2612"/>
        <v>0</v>
      </c>
      <c r="GA151" s="39">
        <f t="shared" si="2612"/>
        <v>0</v>
      </c>
      <c r="GB151" s="39">
        <f t="shared" si="2612"/>
        <v>0</v>
      </c>
      <c r="GC151" s="39">
        <f t="shared" si="2612"/>
        <v>0</v>
      </c>
      <c r="GD151" s="39">
        <f t="shared" ref="GD151:GH151" si="2613">GD$1*FK151/1000000</f>
        <v>0</v>
      </c>
      <c r="GE151" s="39">
        <f t="shared" si="2613"/>
        <v>0</v>
      </c>
      <c r="GF151" s="39">
        <f t="shared" si="2613"/>
        <v>0</v>
      </c>
      <c r="GG151" s="39">
        <f t="shared" si="2613"/>
        <v>0</v>
      </c>
      <c r="GH151" s="39">
        <f t="shared" si="2613"/>
        <v>0</v>
      </c>
      <c r="GI151" s="39">
        <f t="shared" ref="GI151:GJ151" si="2614">GI$1*FP151</f>
        <v>0</v>
      </c>
      <c r="GJ151" s="39">
        <f t="shared" si="2614"/>
        <v>0</v>
      </c>
      <c r="GK151" s="2"/>
      <c r="GL151" s="39">
        <f t="shared" si="31"/>
        <v>0</v>
      </c>
      <c r="GM151" s="39">
        <f t="shared" si="32"/>
        <v>0</v>
      </c>
      <c r="GN151" s="2" t="s">
        <v>3</v>
      </c>
      <c r="GO151" s="2">
        <f t="shared" si="33"/>
        <v>87</v>
      </c>
      <c r="GP151" s="4">
        <f t="shared" si="34"/>
        <v>0.65216091954022992</v>
      </c>
      <c r="GQ151" s="15">
        <f t="shared" si="35"/>
        <v>567.38</v>
      </c>
      <c r="GR151" s="15">
        <f t="shared" si="36"/>
        <v>9967.7807552000013</v>
      </c>
      <c r="GS151" s="15">
        <f t="shared" si="37"/>
        <v>114.57219258850576</v>
      </c>
      <c r="GT151" s="2">
        <f t="shared" si="38"/>
        <v>0</v>
      </c>
      <c r="GU151" s="2">
        <f t="shared" si="39"/>
        <v>349.14</v>
      </c>
      <c r="GV151" s="2">
        <f t="shared" si="40"/>
        <v>218.24</v>
      </c>
      <c r="GW151" s="2">
        <f t="shared" si="41"/>
        <v>0</v>
      </c>
      <c r="GX151" s="2"/>
      <c r="GY151" s="2"/>
      <c r="GZ151" s="2"/>
      <c r="HA151" s="2"/>
      <c r="HB151" s="2">
        <f t="shared" si="42"/>
        <v>0</v>
      </c>
      <c r="HC151" s="2">
        <f t="shared" si="43"/>
        <v>0</v>
      </c>
      <c r="HD151" s="2" t="s">
        <v>3</v>
      </c>
      <c r="HE151" s="2" t="s">
        <v>37</v>
      </c>
      <c r="HF151" s="2" t="s">
        <v>114</v>
      </c>
      <c r="HG151" s="2" t="s">
        <v>114</v>
      </c>
      <c r="HH151" s="2"/>
      <c r="HI151" s="2" t="s">
        <v>81</v>
      </c>
      <c r="HJ151" s="2" t="s">
        <v>3</v>
      </c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 t="s">
        <v>3</v>
      </c>
    </row>
    <row r="152" spans="1:268" ht="15.75" customHeight="1" x14ac:dyDescent="0.2">
      <c r="A152" s="13" t="s">
        <v>656</v>
      </c>
      <c r="B152" s="2" t="s">
        <v>99</v>
      </c>
      <c r="C152" s="2"/>
      <c r="D152" s="2"/>
      <c r="E152" s="2" t="s">
        <v>78</v>
      </c>
      <c r="F152" s="2" t="s">
        <v>497</v>
      </c>
      <c r="G152" s="2"/>
      <c r="H152" s="2" t="s">
        <v>80</v>
      </c>
      <c r="I152" s="2">
        <v>0</v>
      </c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>
        <v>0</v>
      </c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>
        <v>11.2</v>
      </c>
      <c r="AZ152" s="2"/>
      <c r="BA152" s="2"/>
      <c r="BB152" s="2"/>
      <c r="BC152" s="2"/>
      <c r="BD152" s="2"/>
      <c r="BE152" s="2"/>
      <c r="BF152" s="2"/>
      <c r="BG152" s="2">
        <v>0.77</v>
      </c>
      <c r="BH152" s="2">
        <v>0.08</v>
      </c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>
        <v>0</v>
      </c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>
        <v>0</v>
      </c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 t="s">
        <v>81</v>
      </c>
      <c r="DK152" s="2" t="s">
        <v>81</v>
      </c>
      <c r="DL152" s="2">
        <f t="shared" si="3"/>
        <v>0.76999999999999991</v>
      </c>
      <c r="DM152" s="2">
        <f t="shared" si="4"/>
        <v>0.08</v>
      </c>
      <c r="DN152" s="2" t="s">
        <v>211</v>
      </c>
      <c r="DO152" s="2" t="s">
        <v>3</v>
      </c>
      <c r="DP152" s="2">
        <f t="shared" si="5"/>
        <v>0</v>
      </c>
      <c r="DQ152" s="2">
        <f t="shared" ref="DQ152:DR152" si="2615">K152*$I152+AF152*$AD152+BA152*$AY152</f>
        <v>0</v>
      </c>
      <c r="DR152" s="2">
        <f t="shared" si="2615"/>
        <v>0</v>
      </c>
      <c r="DS152" s="2">
        <f t="shared" ref="DS152:DX152" si="2616">(M152*$I152+AH152*$AD152+BC152*$AY152)/100</f>
        <v>0</v>
      </c>
      <c r="DT152" s="2">
        <f t="shared" si="2616"/>
        <v>0</v>
      </c>
      <c r="DU152" s="2">
        <f t="shared" si="2616"/>
        <v>0</v>
      </c>
      <c r="DV152" s="2">
        <f t="shared" si="2616"/>
        <v>0</v>
      </c>
      <c r="DW152" s="2">
        <f t="shared" si="2616"/>
        <v>8.6239999999999983E-2</v>
      </c>
      <c r="DX152" s="2">
        <f t="shared" si="2616"/>
        <v>8.9599999999999992E-3</v>
      </c>
      <c r="DY152" s="2">
        <f t="shared" ref="DY152:EC152" si="2617">S152*$I152+AN152*$AD152+BI152*$AY152</f>
        <v>0</v>
      </c>
      <c r="DZ152" s="2">
        <f t="shared" si="2617"/>
        <v>0</v>
      </c>
      <c r="EA152" s="2">
        <f t="shared" si="2617"/>
        <v>0</v>
      </c>
      <c r="EB152" s="2">
        <f t="shared" si="2617"/>
        <v>0</v>
      </c>
      <c r="EC152" s="2">
        <f t="shared" si="2617"/>
        <v>0</v>
      </c>
      <c r="ED152" s="2">
        <f t="shared" ref="ED152:EE152" si="2618">(X152*$I152+AS152*$AD152+BN152*$AY152)/100</f>
        <v>0</v>
      </c>
      <c r="EE152" s="2">
        <f t="shared" si="2618"/>
        <v>0</v>
      </c>
      <c r="EF152" s="2"/>
      <c r="EG152" s="2">
        <f t="shared" si="10"/>
        <v>0</v>
      </c>
      <c r="EH152" s="2">
        <f t="shared" si="11"/>
        <v>0</v>
      </c>
      <c r="EI152" s="39">
        <f t="shared" si="12"/>
        <v>0</v>
      </c>
      <c r="EJ152" s="39">
        <f t="shared" ref="EJ152:EK152" si="2619">EJ$1*DQ152/1000000</f>
        <v>0</v>
      </c>
      <c r="EK152" s="39">
        <f t="shared" si="2619"/>
        <v>0</v>
      </c>
      <c r="EL152" s="39">
        <f t="shared" ref="EL152:EQ152" si="2620">EL$1*DS152</f>
        <v>0</v>
      </c>
      <c r="EM152" s="39">
        <f t="shared" si="2620"/>
        <v>0</v>
      </c>
      <c r="EN152" s="39">
        <f t="shared" si="2620"/>
        <v>0</v>
      </c>
      <c r="EO152" s="39">
        <f t="shared" si="2620"/>
        <v>0</v>
      </c>
      <c r="EP152" s="39">
        <f t="shared" si="2620"/>
        <v>1130.9513599999998</v>
      </c>
      <c r="EQ152" s="39">
        <f t="shared" si="2620"/>
        <v>650.6709350399999</v>
      </c>
      <c r="ER152" s="39">
        <f t="shared" ref="ER152:EV152" si="2621">ER$1*DY152/1000000</f>
        <v>0</v>
      </c>
      <c r="ES152" s="39">
        <f t="shared" si="2621"/>
        <v>0</v>
      </c>
      <c r="ET152" s="39">
        <f t="shared" si="2621"/>
        <v>0</v>
      </c>
      <c r="EU152" s="39">
        <f t="shared" si="2621"/>
        <v>0</v>
      </c>
      <c r="EV152" s="39">
        <f t="shared" si="2621"/>
        <v>0</v>
      </c>
      <c r="EW152" s="39">
        <f t="shared" ref="EW152:EX152" si="2622">EW$1*ED152</f>
        <v>0</v>
      </c>
      <c r="EX152" s="39">
        <f t="shared" si="2622"/>
        <v>0</v>
      </c>
      <c r="EY152" s="2"/>
      <c r="EZ152" s="39">
        <f t="shared" si="17"/>
        <v>0</v>
      </c>
      <c r="FA152" s="39">
        <f t="shared" si="18"/>
        <v>0</v>
      </c>
      <c r="FB152" s="2">
        <f t="shared" si="19"/>
        <v>0</v>
      </c>
      <c r="FC152" s="2">
        <f t="shared" ref="FC152:FD152" si="2623">BV152*$BT152+CQ152*$CO152</f>
        <v>0</v>
      </c>
      <c r="FD152" s="2">
        <f t="shared" si="2623"/>
        <v>0</v>
      </c>
      <c r="FE152" s="2">
        <f t="shared" ref="FE152:FJ152" si="2624">(BX152*$BT152+CS152*$CO152)/100</f>
        <v>0</v>
      </c>
      <c r="FF152" s="2">
        <f t="shared" si="2624"/>
        <v>0</v>
      </c>
      <c r="FG152" s="2">
        <f t="shared" si="2624"/>
        <v>0</v>
      </c>
      <c r="FH152" s="2">
        <f t="shared" si="2624"/>
        <v>0</v>
      </c>
      <c r="FI152" s="2">
        <f t="shared" si="2624"/>
        <v>0</v>
      </c>
      <c r="FJ152" s="2">
        <f t="shared" si="2624"/>
        <v>0</v>
      </c>
      <c r="FK152" s="2">
        <f t="shared" ref="FK152:FO152" si="2625">CD152*$BT152+CY152*$CO152</f>
        <v>0</v>
      </c>
      <c r="FL152" s="2">
        <f t="shared" si="2625"/>
        <v>0</v>
      </c>
      <c r="FM152" s="2">
        <f t="shared" si="2625"/>
        <v>0</v>
      </c>
      <c r="FN152" s="2">
        <f t="shared" si="2625"/>
        <v>0</v>
      </c>
      <c r="FO152" s="2">
        <f t="shared" si="2625"/>
        <v>0</v>
      </c>
      <c r="FP152" s="2">
        <f t="shared" ref="FP152:FQ152" si="2626">(CI152*$BT152+DD152*$CO152)/100</f>
        <v>0</v>
      </c>
      <c r="FQ152" s="2">
        <f t="shared" si="2626"/>
        <v>0</v>
      </c>
      <c r="FR152" s="2"/>
      <c r="FS152" s="2">
        <f t="shared" si="24"/>
        <v>0</v>
      </c>
      <c r="FT152" s="2">
        <f t="shared" si="25"/>
        <v>0</v>
      </c>
      <c r="FU152" s="39">
        <f t="shared" si="26"/>
        <v>0</v>
      </c>
      <c r="FV152" s="39">
        <f t="shared" ref="FV152:FW152" si="2627">FV$1*FC152/1000000</f>
        <v>0</v>
      </c>
      <c r="FW152" s="39">
        <f t="shared" si="2627"/>
        <v>0</v>
      </c>
      <c r="FX152" s="39">
        <f t="shared" ref="FX152:GC152" si="2628">FX$1*FE152</f>
        <v>0</v>
      </c>
      <c r="FY152" s="39">
        <f t="shared" si="2628"/>
        <v>0</v>
      </c>
      <c r="FZ152" s="39">
        <f t="shared" si="2628"/>
        <v>0</v>
      </c>
      <c r="GA152" s="39">
        <f t="shared" si="2628"/>
        <v>0</v>
      </c>
      <c r="GB152" s="39">
        <f t="shared" si="2628"/>
        <v>0</v>
      </c>
      <c r="GC152" s="39">
        <f t="shared" si="2628"/>
        <v>0</v>
      </c>
      <c r="GD152" s="39">
        <f t="shared" ref="GD152:GH152" si="2629">GD$1*FK152/1000000</f>
        <v>0</v>
      </c>
      <c r="GE152" s="39">
        <f t="shared" si="2629"/>
        <v>0</v>
      </c>
      <c r="GF152" s="39">
        <f t="shared" si="2629"/>
        <v>0</v>
      </c>
      <c r="GG152" s="39">
        <f t="shared" si="2629"/>
        <v>0</v>
      </c>
      <c r="GH152" s="39">
        <f t="shared" si="2629"/>
        <v>0</v>
      </c>
      <c r="GI152" s="39">
        <f t="shared" ref="GI152:GJ152" si="2630">GI$1*FP152</f>
        <v>0</v>
      </c>
      <c r="GJ152" s="39">
        <f t="shared" si="2630"/>
        <v>0</v>
      </c>
      <c r="GK152" s="2"/>
      <c r="GL152" s="39">
        <f t="shared" si="31"/>
        <v>0</v>
      </c>
      <c r="GM152" s="39">
        <f t="shared" si="32"/>
        <v>0</v>
      </c>
      <c r="GN152" s="2" t="s">
        <v>3</v>
      </c>
      <c r="GO152" s="2">
        <f t="shared" si="33"/>
        <v>11.2</v>
      </c>
      <c r="GP152" s="2">
        <f t="shared" si="34"/>
        <v>0.76999999999999991</v>
      </c>
      <c r="GQ152" s="15">
        <f t="shared" si="35"/>
        <v>86.239999999999981</v>
      </c>
      <c r="GR152" s="15">
        <f t="shared" si="36"/>
        <v>1781.6222950399997</v>
      </c>
      <c r="GS152" s="15">
        <f t="shared" si="37"/>
        <v>159.07341919999999</v>
      </c>
      <c r="GT152" s="2">
        <f t="shared" si="38"/>
        <v>0</v>
      </c>
      <c r="GU152" s="2">
        <f t="shared" si="39"/>
        <v>0</v>
      </c>
      <c r="GV152" s="2">
        <f t="shared" si="40"/>
        <v>86.239999999999981</v>
      </c>
      <c r="GW152" s="2">
        <f t="shared" si="41"/>
        <v>0</v>
      </c>
      <c r="GX152" s="2"/>
      <c r="GY152" s="2"/>
      <c r="GZ152" s="2"/>
      <c r="HA152" s="2"/>
      <c r="HB152" s="2">
        <f t="shared" si="42"/>
        <v>0</v>
      </c>
      <c r="HC152" s="2">
        <f t="shared" si="43"/>
        <v>0</v>
      </c>
      <c r="HD152" s="2" t="s">
        <v>3</v>
      </c>
      <c r="HE152" s="2" t="s">
        <v>37</v>
      </c>
      <c r="HF152" s="2" t="s">
        <v>114</v>
      </c>
      <c r="HG152" s="2" t="s">
        <v>114</v>
      </c>
      <c r="HH152" s="2"/>
      <c r="HI152" s="2" t="s">
        <v>81</v>
      </c>
      <c r="HJ152" s="2" t="s">
        <v>3</v>
      </c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 t="s">
        <v>3</v>
      </c>
    </row>
    <row r="153" spans="1:268" ht="15.75" customHeight="1" x14ac:dyDescent="0.2">
      <c r="A153" s="13" t="s">
        <v>1046</v>
      </c>
      <c r="B153" s="2" t="s">
        <v>120</v>
      </c>
      <c r="C153" s="2"/>
      <c r="D153" s="2"/>
      <c r="E153" s="2" t="s">
        <v>78</v>
      </c>
      <c r="F153" s="2" t="s">
        <v>599</v>
      </c>
      <c r="G153" s="2"/>
      <c r="H153" s="2" t="s">
        <v>80</v>
      </c>
      <c r="I153" s="2">
        <f>74.2+12.6</f>
        <v>86.8</v>
      </c>
      <c r="J153" s="2"/>
      <c r="K153" s="2"/>
      <c r="L153" s="2"/>
      <c r="M153" s="2"/>
      <c r="N153" s="2"/>
      <c r="O153" s="2"/>
      <c r="P153" s="2"/>
      <c r="Q153" s="4">
        <f>(0.62*74.2+0.72*12.6)/I153</f>
        <v>0.63451612903225818</v>
      </c>
      <c r="R153" s="4">
        <f>(0.03*74.2+0.02*12.6)/I153</f>
        <v>2.8548387096774191E-2</v>
      </c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>
        <v>141.9</v>
      </c>
      <c r="AE153" s="2"/>
      <c r="AF153" s="2"/>
      <c r="AG153" s="2"/>
      <c r="AH153" s="2"/>
      <c r="AI153" s="2"/>
      <c r="AJ153" s="2"/>
      <c r="AK153" s="2"/>
      <c r="AL153" s="2">
        <v>0.57999999999999996</v>
      </c>
      <c r="AM153" s="2">
        <v>0.03</v>
      </c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15">
        <v>110</v>
      </c>
      <c r="AZ153" s="2"/>
      <c r="BA153" s="2"/>
      <c r="BB153" s="2"/>
      <c r="BC153" s="2"/>
      <c r="BD153" s="2"/>
      <c r="BE153" s="2"/>
      <c r="BF153" s="2"/>
      <c r="BG153" s="2">
        <v>0.52</v>
      </c>
      <c r="BH153" s="2">
        <v>0.02</v>
      </c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>
        <v>81.8</v>
      </c>
      <c r="BU153" s="2"/>
      <c r="BV153" s="2"/>
      <c r="BW153" s="2"/>
      <c r="BX153" s="2"/>
      <c r="BY153" s="2"/>
      <c r="BZ153" s="2"/>
      <c r="CA153" s="2"/>
      <c r="CB153" s="2">
        <v>0.63</v>
      </c>
      <c r="CC153" s="2">
        <v>0.03</v>
      </c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>
        <v>115.4</v>
      </c>
      <c r="CP153" s="2"/>
      <c r="CQ153" s="2"/>
      <c r="CR153" s="2"/>
      <c r="CS153" s="2"/>
      <c r="CT153" s="2"/>
      <c r="CU153" s="2"/>
      <c r="CV153" s="2"/>
      <c r="CW153" s="2">
        <v>0.57999999999999996</v>
      </c>
      <c r="CX153" s="2">
        <v>0.03</v>
      </c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 t="s">
        <v>81</v>
      </c>
      <c r="DK153" s="2" t="s">
        <v>81</v>
      </c>
      <c r="DL153" s="2">
        <f t="shared" si="3"/>
        <v>0.57448479480366099</v>
      </c>
      <c r="DM153" s="2">
        <f t="shared" si="4"/>
        <v>2.6380277531739001E-2</v>
      </c>
      <c r="DN153" s="2" t="s">
        <v>150</v>
      </c>
      <c r="DO153" s="2" t="s">
        <v>3</v>
      </c>
      <c r="DP153" s="2">
        <f t="shared" si="5"/>
        <v>0</v>
      </c>
      <c r="DQ153" s="2">
        <f t="shared" ref="DQ153:DR153" si="2631">K153*$I153+AF153*$AD153+BA153*$AY153</f>
        <v>0</v>
      </c>
      <c r="DR153" s="2">
        <f t="shared" si="2631"/>
        <v>0</v>
      </c>
      <c r="DS153" s="2">
        <f t="shared" ref="DS153:DX153" si="2632">(M153*$I153+AH153*$AD153+BC153*$AY153)/100</f>
        <v>0</v>
      </c>
      <c r="DT153" s="2">
        <f t="shared" si="2632"/>
        <v>0</v>
      </c>
      <c r="DU153" s="2">
        <f t="shared" si="2632"/>
        <v>0</v>
      </c>
      <c r="DV153" s="2">
        <f t="shared" si="2632"/>
        <v>0</v>
      </c>
      <c r="DW153" s="2">
        <f t="shared" si="2632"/>
        <v>1.9457799999999998</v>
      </c>
      <c r="DX153" s="2">
        <f t="shared" si="2632"/>
        <v>8.9349999999999985E-2</v>
      </c>
      <c r="DY153" s="2">
        <f t="shared" ref="DY153:EC153" si="2633">S153*$I153+AN153*$AD153+BI153*$AY153</f>
        <v>0</v>
      </c>
      <c r="DZ153" s="2">
        <f t="shared" si="2633"/>
        <v>0</v>
      </c>
      <c r="EA153" s="2">
        <f t="shared" si="2633"/>
        <v>0</v>
      </c>
      <c r="EB153" s="2">
        <f t="shared" si="2633"/>
        <v>0</v>
      </c>
      <c r="EC153" s="2">
        <f t="shared" si="2633"/>
        <v>0</v>
      </c>
      <c r="ED153" s="2">
        <f t="shared" ref="ED153:EE153" si="2634">(X153*$I153+AS153*$AD153+BN153*$AY153)/100</f>
        <v>0</v>
      </c>
      <c r="EE153" s="2">
        <f t="shared" si="2634"/>
        <v>0</v>
      </c>
      <c r="EF153" s="2"/>
      <c r="EG153" s="2">
        <f t="shared" si="10"/>
        <v>0</v>
      </c>
      <c r="EH153" s="2">
        <f t="shared" si="11"/>
        <v>0</v>
      </c>
      <c r="EI153" s="39">
        <f t="shared" si="12"/>
        <v>0</v>
      </c>
      <c r="EJ153" s="39">
        <f t="shared" ref="EJ153:EK153" si="2635">EJ$1*DQ153/1000000</f>
        <v>0</v>
      </c>
      <c r="EK153" s="39">
        <f t="shared" si="2635"/>
        <v>0</v>
      </c>
      <c r="EL153" s="39">
        <f t="shared" ref="EL153:EQ153" si="2636">EL$1*DS153</f>
        <v>0</v>
      </c>
      <c r="EM153" s="39">
        <f t="shared" si="2636"/>
        <v>0</v>
      </c>
      <c r="EN153" s="39">
        <f t="shared" si="2636"/>
        <v>0</v>
      </c>
      <c r="EO153" s="39">
        <f t="shared" si="2636"/>
        <v>0</v>
      </c>
      <c r="EP153" s="39">
        <f t="shared" si="2636"/>
        <v>25516.958919999997</v>
      </c>
      <c r="EQ153" s="39">
        <f t="shared" si="2636"/>
        <v>6488.5544693999982</v>
      </c>
      <c r="ER153" s="39">
        <f t="shared" ref="ER153:EV153" si="2637">ER$1*DY153/1000000</f>
        <v>0</v>
      </c>
      <c r="ES153" s="39">
        <f t="shared" si="2637"/>
        <v>0</v>
      </c>
      <c r="ET153" s="39">
        <f t="shared" si="2637"/>
        <v>0</v>
      </c>
      <c r="EU153" s="39">
        <f t="shared" si="2637"/>
        <v>0</v>
      </c>
      <c r="EV153" s="39">
        <f t="shared" si="2637"/>
        <v>0</v>
      </c>
      <c r="EW153" s="39">
        <f t="shared" ref="EW153:EX153" si="2638">EW$1*ED153</f>
        <v>0</v>
      </c>
      <c r="EX153" s="39">
        <f t="shared" si="2638"/>
        <v>0</v>
      </c>
      <c r="EY153" s="2"/>
      <c r="EZ153" s="39">
        <f t="shared" si="17"/>
        <v>0</v>
      </c>
      <c r="FA153" s="39">
        <f t="shared" si="18"/>
        <v>0</v>
      </c>
      <c r="FB153" s="2">
        <f t="shared" si="19"/>
        <v>0</v>
      </c>
      <c r="FC153" s="2">
        <f t="shared" ref="FC153:FD153" si="2639">BV153*$BT153+CQ153*$CO153</f>
        <v>0</v>
      </c>
      <c r="FD153" s="2">
        <f t="shared" si="2639"/>
        <v>0</v>
      </c>
      <c r="FE153" s="2">
        <f t="shared" ref="FE153:FJ153" si="2640">(BX153*$BT153+CS153*$CO153)/100</f>
        <v>0</v>
      </c>
      <c r="FF153" s="2">
        <f t="shared" si="2640"/>
        <v>0</v>
      </c>
      <c r="FG153" s="2">
        <f t="shared" si="2640"/>
        <v>0</v>
      </c>
      <c r="FH153" s="2">
        <f t="shared" si="2640"/>
        <v>0</v>
      </c>
      <c r="FI153" s="2">
        <f t="shared" si="2640"/>
        <v>1.18466</v>
      </c>
      <c r="FJ153" s="2">
        <f t="shared" si="2640"/>
        <v>5.9160000000000004E-2</v>
      </c>
      <c r="FK153" s="2">
        <f t="shared" ref="FK153:FO153" si="2641">CD153*$BT153+CY153*$CO153</f>
        <v>0</v>
      </c>
      <c r="FL153" s="2">
        <f t="shared" si="2641"/>
        <v>0</v>
      </c>
      <c r="FM153" s="2">
        <f t="shared" si="2641"/>
        <v>0</v>
      </c>
      <c r="FN153" s="2">
        <f t="shared" si="2641"/>
        <v>0</v>
      </c>
      <c r="FO153" s="2">
        <f t="shared" si="2641"/>
        <v>0</v>
      </c>
      <c r="FP153" s="2">
        <f t="shared" ref="FP153:FQ153" si="2642">(CI153*$BT153+DD153*$CO153)/100</f>
        <v>0</v>
      </c>
      <c r="FQ153" s="2">
        <f t="shared" si="2642"/>
        <v>0</v>
      </c>
      <c r="FR153" s="2"/>
      <c r="FS153" s="2">
        <f t="shared" si="24"/>
        <v>0</v>
      </c>
      <c r="FT153" s="2">
        <f t="shared" si="25"/>
        <v>0</v>
      </c>
      <c r="FU153" s="39">
        <f t="shared" si="26"/>
        <v>0</v>
      </c>
      <c r="FV153" s="39">
        <f t="shared" ref="FV153:FW153" si="2643">FV$1*FC153/1000000</f>
        <v>0</v>
      </c>
      <c r="FW153" s="39">
        <f t="shared" si="2643"/>
        <v>0</v>
      </c>
      <c r="FX153" s="39">
        <f t="shared" ref="FX153:GC153" si="2644">FX$1*FE153</f>
        <v>0</v>
      </c>
      <c r="FY153" s="39">
        <f t="shared" si="2644"/>
        <v>0</v>
      </c>
      <c r="FZ153" s="39">
        <f t="shared" si="2644"/>
        <v>0</v>
      </c>
      <c r="GA153" s="39">
        <f t="shared" si="2644"/>
        <v>0</v>
      </c>
      <c r="GB153" s="39">
        <f t="shared" si="2644"/>
        <v>15535.631240000001</v>
      </c>
      <c r="GC153" s="39">
        <f t="shared" si="2644"/>
        <v>4296.17103984</v>
      </c>
      <c r="GD153" s="39">
        <f t="shared" ref="GD153:GH153" si="2645">GD$1*FK153/1000000</f>
        <v>0</v>
      </c>
      <c r="GE153" s="39">
        <f t="shared" si="2645"/>
        <v>0</v>
      </c>
      <c r="GF153" s="39">
        <f t="shared" si="2645"/>
        <v>0</v>
      </c>
      <c r="GG153" s="39">
        <f t="shared" si="2645"/>
        <v>0</v>
      </c>
      <c r="GH153" s="39">
        <f t="shared" si="2645"/>
        <v>0</v>
      </c>
      <c r="GI153" s="39">
        <f t="shared" ref="GI153:GJ153" si="2646">GI$1*FP153</f>
        <v>0</v>
      </c>
      <c r="GJ153" s="39">
        <f t="shared" si="2646"/>
        <v>0</v>
      </c>
      <c r="GK153" s="2"/>
      <c r="GL153" s="39">
        <f t="shared" si="31"/>
        <v>0</v>
      </c>
      <c r="GM153" s="39">
        <f t="shared" si="32"/>
        <v>0</v>
      </c>
      <c r="GN153" s="2" t="s">
        <v>3</v>
      </c>
      <c r="GO153" s="15">
        <f t="shared" si="33"/>
        <v>338.7</v>
      </c>
      <c r="GP153" s="4">
        <f t="shared" si="34"/>
        <v>0.57448479480366099</v>
      </c>
      <c r="GQ153" s="18">
        <f t="shared" si="35"/>
        <v>1945.7799999999997</v>
      </c>
      <c r="GR153" s="15">
        <f t="shared" si="36"/>
        <v>32005.513389399996</v>
      </c>
      <c r="GS153" s="15">
        <f t="shared" si="37"/>
        <v>94.49516796397991</v>
      </c>
      <c r="GT153" s="2">
        <f t="shared" si="38"/>
        <v>550.7600000000001</v>
      </c>
      <c r="GU153" s="2">
        <f t="shared" si="39"/>
        <v>823.01999999999987</v>
      </c>
      <c r="GV153" s="2">
        <f t="shared" si="40"/>
        <v>572</v>
      </c>
      <c r="GW153" s="2">
        <f t="shared" si="41"/>
        <v>197.2</v>
      </c>
      <c r="GX153" s="4">
        <f t="shared" ref="GX153:GX154" si="2647">(BT153*CB153+CO153*CW153)/GW153</f>
        <v>0.60074036511156192</v>
      </c>
      <c r="GY153" s="18">
        <f t="shared" ref="GY153:GY154" si="2648">1000*GW153*GX153/100</f>
        <v>1184.6600000000001</v>
      </c>
      <c r="GZ153" s="15">
        <f t="shared" ref="GZ153:GZ154" si="2649">SUM(FU153:GM153)</f>
        <v>19831.802279840002</v>
      </c>
      <c r="HA153" s="15">
        <f t="shared" ref="HA153:HA154" si="2650">GZ153/GW153</f>
        <v>100.56694868073023</v>
      </c>
      <c r="HB153" s="2">
        <f t="shared" si="42"/>
        <v>515.34</v>
      </c>
      <c r="HC153" s="2">
        <f t="shared" si="43"/>
        <v>669.32</v>
      </c>
      <c r="HD153" s="2" t="s">
        <v>3</v>
      </c>
      <c r="HE153" s="2" t="s">
        <v>37</v>
      </c>
      <c r="HF153" s="2" t="s">
        <v>114</v>
      </c>
      <c r="HG153" s="2" t="s">
        <v>114</v>
      </c>
      <c r="HH153" s="2"/>
      <c r="HI153" s="2" t="s">
        <v>81</v>
      </c>
      <c r="HJ153" s="2" t="s">
        <v>3</v>
      </c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 t="s">
        <v>3</v>
      </c>
    </row>
    <row r="154" spans="1:268" ht="15.75" customHeight="1" x14ac:dyDescent="0.2">
      <c r="A154" s="13" t="s">
        <v>1315</v>
      </c>
      <c r="B154" s="2" t="s">
        <v>99</v>
      </c>
      <c r="C154" s="2"/>
      <c r="D154" s="2"/>
      <c r="E154" s="2" t="s">
        <v>78</v>
      </c>
      <c r="F154" s="2" t="s">
        <v>364</v>
      </c>
      <c r="G154" s="2"/>
      <c r="H154" s="2" t="s">
        <v>80</v>
      </c>
      <c r="I154" s="2">
        <v>37.6</v>
      </c>
      <c r="J154" s="2"/>
      <c r="K154" s="2"/>
      <c r="L154" s="2"/>
      <c r="M154" s="2"/>
      <c r="N154" s="2"/>
      <c r="O154" s="2"/>
      <c r="P154" s="2"/>
      <c r="Q154" s="2">
        <v>0.98</v>
      </c>
      <c r="R154" s="2">
        <v>7.0000000000000007E-2</v>
      </c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>
        <v>130.9</v>
      </c>
      <c r="AE154" s="2"/>
      <c r="AF154" s="2"/>
      <c r="AG154" s="2"/>
      <c r="AH154" s="2"/>
      <c r="AI154" s="2"/>
      <c r="AJ154" s="2"/>
      <c r="AK154" s="2"/>
      <c r="AL154" s="2">
        <v>0.91</v>
      </c>
      <c r="AM154" s="2">
        <v>7.0000000000000007E-2</v>
      </c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>
        <v>14.1</v>
      </c>
      <c r="AZ154" s="2"/>
      <c r="BA154" s="2"/>
      <c r="BB154" s="2"/>
      <c r="BC154" s="2"/>
      <c r="BD154" s="2"/>
      <c r="BE154" s="2"/>
      <c r="BF154" s="2"/>
      <c r="BG154" s="2">
        <v>0.87</v>
      </c>
      <c r="BH154" s="2">
        <v>0.06</v>
      </c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>
        <v>0</v>
      </c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>
        <v>168.4</v>
      </c>
      <c r="CP154" s="2"/>
      <c r="CQ154" s="2"/>
      <c r="CR154" s="2"/>
      <c r="CS154" s="2"/>
      <c r="CT154" s="2"/>
      <c r="CU154" s="2"/>
      <c r="CV154" s="2"/>
      <c r="CW154" s="2">
        <v>0.93</v>
      </c>
      <c r="CX154" s="2">
        <v>7.0000000000000007E-2</v>
      </c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 t="s">
        <v>81</v>
      </c>
      <c r="DK154" s="2" t="s">
        <v>81</v>
      </c>
      <c r="DL154" s="2">
        <f t="shared" si="3"/>
        <v>0.92132530120481937</v>
      </c>
      <c r="DM154" s="2">
        <f t="shared" si="4"/>
        <v>6.9227820372398691E-2</v>
      </c>
      <c r="DN154" s="2" t="s">
        <v>1316</v>
      </c>
      <c r="DO154" s="2" t="s">
        <v>3</v>
      </c>
      <c r="DP154" s="2">
        <f t="shared" si="5"/>
        <v>0</v>
      </c>
      <c r="DQ154" s="2">
        <f t="shared" ref="DQ154:DR154" si="2651">K154*$I154+AF154*$AD154+BA154*$AY154</f>
        <v>0</v>
      </c>
      <c r="DR154" s="2">
        <f t="shared" si="2651"/>
        <v>0</v>
      </c>
      <c r="DS154" s="2">
        <f t="shared" ref="DS154:DX154" si="2652">(M154*$I154+AH154*$AD154+BC154*$AY154)/100</f>
        <v>0</v>
      </c>
      <c r="DT154" s="2">
        <f t="shared" si="2652"/>
        <v>0</v>
      </c>
      <c r="DU154" s="2">
        <f t="shared" si="2652"/>
        <v>0</v>
      </c>
      <c r="DV154" s="2">
        <f t="shared" si="2652"/>
        <v>0</v>
      </c>
      <c r="DW154" s="2">
        <f t="shared" si="2652"/>
        <v>1.6823400000000002</v>
      </c>
      <c r="DX154" s="2">
        <f t="shared" si="2652"/>
        <v>0.12641000000000002</v>
      </c>
      <c r="DY154" s="2">
        <f t="shared" ref="DY154:EC154" si="2653">S154*$I154+AN154*$AD154+BI154*$AY154</f>
        <v>0</v>
      </c>
      <c r="DZ154" s="2">
        <f t="shared" si="2653"/>
        <v>0</v>
      </c>
      <c r="EA154" s="2">
        <f t="shared" si="2653"/>
        <v>0</v>
      </c>
      <c r="EB154" s="2">
        <f t="shared" si="2653"/>
        <v>0</v>
      </c>
      <c r="EC154" s="2">
        <f t="shared" si="2653"/>
        <v>0</v>
      </c>
      <c r="ED154" s="2">
        <f t="shared" ref="ED154:EE154" si="2654">(X154*$I154+AS154*$AD154+BN154*$AY154)/100</f>
        <v>0</v>
      </c>
      <c r="EE154" s="2">
        <f t="shared" si="2654"/>
        <v>0</v>
      </c>
      <c r="EF154" s="2"/>
      <c r="EG154" s="2">
        <f t="shared" si="10"/>
        <v>0</v>
      </c>
      <c r="EH154" s="2">
        <f t="shared" si="11"/>
        <v>0</v>
      </c>
      <c r="EI154" s="39">
        <f t="shared" si="12"/>
        <v>0</v>
      </c>
      <c r="EJ154" s="39">
        <f t="shared" ref="EJ154:EK154" si="2655">EJ$1*DQ154/1000000</f>
        <v>0</v>
      </c>
      <c r="EK154" s="39">
        <f t="shared" si="2655"/>
        <v>0</v>
      </c>
      <c r="EL154" s="39">
        <f t="shared" ref="EL154:EQ154" si="2656">EL$1*DS154</f>
        <v>0</v>
      </c>
      <c r="EM154" s="39">
        <f t="shared" si="2656"/>
        <v>0</v>
      </c>
      <c r="EN154" s="39">
        <f t="shared" si="2656"/>
        <v>0</v>
      </c>
      <c r="EO154" s="39">
        <f t="shared" si="2656"/>
        <v>0</v>
      </c>
      <c r="EP154" s="39">
        <f t="shared" si="2656"/>
        <v>22062.206760000001</v>
      </c>
      <c r="EQ154" s="39">
        <f t="shared" si="2656"/>
        <v>9179.8340288399995</v>
      </c>
      <c r="ER154" s="39">
        <f t="shared" ref="ER154:EV154" si="2657">ER$1*DY154/1000000</f>
        <v>0</v>
      </c>
      <c r="ES154" s="39">
        <f t="shared" si="2657"/>
        <v>0</v>
      </c>
      <c r="ET154" s="39">
        <f t="shared" si="2657"/>
        <v>0</v>
      </c>
      <c r="EU154" s="39">
        <f t="shared" si="2657"/>
        <v>0</v>
      </c>
      <c r="EV154" s="39">
        <f t="shared" si="2657"/>
        <v>0</v>
      </c>
      <c r="EW154" s="39">
        <f t="shared" ref="EW154:EX154" si="2658">EW$1*ED154</f>
        <v>0</v>
      </c>
      <c r="EX154" s="39">
        <f t="shared" si="2658"/>
        <v>0</v>
      </c>
      <c r="EY154" s="2"/>
      <c r="EZ154" s="39">
        <f t="shared" si="17"/>
        <v>0</v>
      </c>
      <c r="FA154" s="39">
        <f t="shared" si="18"/>
        <v>0</v>
      </c>
      <c r="FB154" s="2">
        <f t="shared" si="19"/>
        <v>0</v>
      </c>
      <c r="FC154" s="2">
        <f t="shared" ref="FC154:FD154" si="2659">BV154*$BT154+CQ154*$CO154</f>
        <v>0</v>
      </c>
      <c r="FD154" s="2">
        <f t="shared" si="2659"/>
        <v>0</v>
      </c>
      <c r="FE154" s="2">
        <f t="shared" ref="FE154:FJ154" si="2660">(BX154*$BT154+CS154*$CO154)/100</f>
        <v>0</v>
      </c>
      <c r="FF154" s="2">
        <f t="shared" si="2660"/>
        <v>0</v>
      </c>
      <c r="FG154" s="2">
        <f t="shared" si="2660"/>
        <v>0</v>
      </c>
      <c r="FH154" s="2">
        <f t="shared" si="2660"/>
        <v>0</v>
      </c>
      <c r="FI154" s="2">
        <f t="shared" si="2660"/>
        <v>1.5661200000000002</v>
      </c>
      <c r="FJ154" s="2">
        <f t="shared" si="2660"/>
        <v>0.11788000000000003</v>
      </c>
      <c r="FK154" s="2">
        <f t="shared" ref="FK154:FO154" si="2661">CD154*$BT154+CY154*$CO154</f>
        <v>0</v>
      </c>
      <c r="FL154" s="2">
        <f t="shared" si="2661"/>
        <v>0</v>
      </c>
      <c r="FM154" s="2">
        <f t="shared" si="2661"/>
        <v>0</v>
      </c>
      <c r="FN154" s="2">
        <f t="shared" si="2661"/>
        <v>0</v>
      </c>
      <c r="FO154" s="2">
        <f t="shared" si="2661"/>
        <v>0</v>
      </c>
      <c r="FP154" s="2">
        <f t="shared" ref="FP154:FQ154" si="2662">(CI154*$BT154+DD154*$CO154)/100</f>
        <v>0</v>
      </c>
      <c r="FQ154" s="2">
        <f t="shared" si="2662"/>
        <v>0</v>
      </c>
      <c r="FR154" s="2"/>
      <c r="FS154" s="2">
        <f t="shared" si="24"/>
        <v>0</v>
      </c>
      <c r="FT154" s="2">
        <f t="shared" si="25"/>
        <v>0</v>
      </c>
      <c r="FU154" s="39">
        <f t="shared" si="26"/>
        <v>0</v>
      </c>
      <c r="FV154" s="39">
        <f t="shared" ref="FV154:FW154" si="2663">FV$1*FC154/1000000</f>
        <v>0</v>
      </c>
      <c r="FW154" s="39">
        <f t="shared" si="2663"/>
        <v>0</v>
      </c>
      <c r="FX154" s="39">
        <f t="shared" ref="FX154:GC154" si="2664">FX$1*FE154</f>
        <v>0</v>
      </c>
      <c r="FY154" s="39">
        <f t="shared" si="2664"/>
        <v>0</v>
      </c>
      <c r="FZ154" s="39">
        <f t="shared" si="2664"/>
        <v>0</v>
      </c>
      <c r="GA154" s="39">
        <f t="shared" si="2664"/>
        <v>0</v>
      </c>
      <c r="GB154" s="39">
        <f t="shared" si="2664"/>
        <v>20538.097680000003</v>
      </c>
      <c r="GC154" s="39">
        <f t="shared" si="2664"/>
        <v>8560.3894891200016</v>
      </c>
      <c r="GD154" s="39">
        <f t="shared" ref="GD154:GH154" si="2665">GD$1*FK154/1000000</f>
        <v>0</v>
      </c>
      <c r="GE154" s="39">
        <f t="shared" si="2665"/>
        <v>0</v>
      </c>
      <c r="GF154" s="39">
        <f t="shared" si="2665"/>
        <v>0</v>
      </c>
      <c r="GG154" s="39">
        <f t="shared" si="2665"/>
        <v>0</v>
      </c>
      <c r="GH154" s="39">
        <f t="shared" si="2665"/>
        <v>0</v>
      </c>
      <c r="GI154" s="39">
        <f t="shared" ref="GI154:GJ154" si="2666">GI$1*FP154</f>
        <v>0</v>
      </c>
      <c r="GJ154" s="39">
        <f t="shared" si="2666"/>
        <v>0</v>
      </c>
      <c r="GK154" s="2"/>
      <c r="GL154" s="39">
        <f t="shared" si="31"/>
        <v>0</v>
      </c>
      <c r="GM154" s="39">
        <f t="shared" si="32"/>
        <v>0</v>
      </c>
      <c r="GN154" s="2" t="s">
        <v>3</v>
      </c>
      <c r="GO154" s="2">
        <f t="shared" si="33"/>
        <v>182.6</v>
      </c>
      <c r="GP154" s="4">
        <f t="shared" si="34"/>
        <v>0.92132530120481937</v>
      </c>
      <c r="GQ154" s="18">
        <f t="shared" si="35"/>
        <v>1682.3400000000004</v>
      </c>
      <c r="GR154" s="15">
        <f t="shared" si="36"/>
        <v>31242.04078884</v>
      </c>
      <c r="GS154" s="15">
        <f t="shared" si="37"/>
        <v>171.09551363001097</v>
      </c>
      <c r="GT154" s="2">
        <f t="shared" si="38"/>
        <v>368.48</v>
      </c>
      <c r="GU154" s="2">
        <f t="shared" si="39"/>
        <v>1191.19</v>
      </c>
      <c r="GV154" s="2">
        <f t="shared" si="40"/>
        <v>122.67</v>
      </c>
      <c r="GW154" s="2">
        <f t="shared" si="41"/>
        <v>168.4</v>
      </c>
      <c r="GX154" s="4">
        <f t="shared" si="2647"/>
        <v>0.93000000000000016</v>
      </c>
      <c r="GY154" s="18">
        <f t="shared" si="2648"/>
        <v>1566.1200000000003</v>
      </c>
      <c r="GZ154" s="15">
        <f t="shared" si="2649"/>
        <v>29098.487169120002</v>
      </c>
      <c r="HA154" s="15">
        <f t="shared" si="2650"/>
        <v>172.79386680000002</v>
      </c>
      <c r="HB154" s="2">
        <f t="shared" si="42"/>
        <v>0</v>
      </c>
      <c r="HC154" s="2">
        <f t="shared" si="43"/>
        <v>1566.1200000000003</v>
      </c>
      <c r="HD154" s="2" t="s">
        <v>3</v>
      </c>
      <c r="HE154" s="2" t="s">
        <v>37</v>
      </c>
      <c r="HF154" s="2" t="s">
        <v>114</v>
      </c>
      <c r="HG154" s="2" t="s">
        <v>114</v>
      </c>
      <c r="HH154" s="2"/>
      <c r="HI154" s="2" t="s">
        <v>81</v>
      </c>
      <c r="HJ154" s="2" t="s">
        <v>3</v>
      </c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 t="s">
        <v>3</v>
      </c>
    </row>
    <row r="155" spans="1:268" ht="15.75" customHeight="1" x14ac:dyDescent="0.2">
      <c r="A155" s="13" t="s">
        <v>980</v>
      </c>
      <c r="B155" s="2" t="s">
        <v>99</v>
      </c>
      <c r="C155" s="2"/>
      <c r="D155" s="2"/>
      <c r="E155" s="2" t="s">
        <v>78</v>
      </c>
      <c r="F155" s="2" t="s">
        <v>215</v>
      </c>
      <c r="G155" s="2"/>
      <c r="H155" s="2" t="s">
        <v>242</v>
      </c>
      <c r="I155" s="2">
        <v>0</v>
      </c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>
        <v>0</v>
      </c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>
        <v>0.69699999999999995</v>
      </c>
      <c r="AZ155" s="2"/>
      <c r="BA155" s="2"/>
      <c r="BB155" s="2"/>
      <c r="BC155" s="2"/>
      <c r="BD155" s="2"/>
      <c r="BE155" s="2"/>
      <c r="BF155" s="2"/>
      <c r="BG155" s="4">
        <v>0.90429999999999999</v>
      </c>
      <c r="BH155" s="19">
        <v>0.1157</v>
      </c>
      <c r="BI155" s="2"/>
      <c r="BJ155" s="2"/>
      <c r="BK155" s="20"/>
      <c r="BL155" s="20"/>
      <c r="BM155" s="20"/>
      <c r="BN155" s="2"/>
      <c r="BO155" s="2"/>
      <c r="BP155" s="2"/>
      <c r="BQ155" s="2">
        <v>39.5</v>
      </c>
      <c r="BR155" s="2"/>
      <c r="BS155" s="2"/>
      <c r="BT155" s="2">
        <v>0</v>
      </c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>
        <v>0</v>
      </c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 t="s">
        <v>81</v>
      </c>
      <c r="DK155" s="2" t="s">
        <v>81</v>
      </c>
      <c r="DL155" s="2">
        <f t="shared" si="3"/>
        <v>0.90429999999999999</v>
      </c>
      <c r="DM155" s="2">
        <f t="shared" si="4"/>
        <v>0.1157</v>
      </c>
      <c r="DN155" s="2" t="s">
        <v>981</v>
      </c>
      <c r="DO155" s="2" t="s">
        <v>3</v>
      </c>
      <c r="DP155" s="2">
        <f t="shared" si="5"/>
        <v>0</v>
      </c>
      <c r="DQ155" s="2">
        <f t="shared" ref="DQ155:DR155" si="2667">K155*$I155+AF155*$AD155+BA155*$AY155</f>
        <v>0</v>
      </c>
      <c r="DR155" s="2">
        <f t="shared" si="2667"/>
        <v>0</v>
      </c>
      <c r="DS155" s="2">
        <f t="shared" ref="DS155:DX155" si="2668">(M155*$I155+AH155*$AD155+BC155*$AY155)/100</f>
        <v>0</v>
      </c>
      <c r="DT155" s="2">
        <f t="shared" si="2668"/>
        <v>0</v>
      </c>
      <c r="DU155" s="2">
        <f t="shared" si="2668"/>
        <v>0</v>
      </c>
      <c r="DV155" s="2">
        <f t="shared" si="2668"/>
        <v>0</v>
      </c>
      <c r="DW155" s="2">
        <f t="shared" si="2668"/>
        <v>6.3029709999999992E-3</v>
      </c>
      <c r="DX155" s="2">
        <f t="shared" si="2668"/>
        <v>8.0642899999999989E-4</v>
      </c>
      <c r="DY155" s="2">
        <f t="shared" ref="DY155:EC155" si="2669">S155*$I155+AN155*$AD155+BI155*$AY155</f>
        <v>0</v>
      </c>
      <c r="DZ155" s="2">
        <f t="shared" si="2669"/>
        <v>0</v>
      </c>
      <c r="EA155" s="2">
        <f t="shared" si="2669"/>
        <v>0</v>
      </c>
      <c r="EB155" s="2">
        <f t="shared" si="2669"/>
        <v>0</v>
      </c>
      <c r="EC155" s="2">
        <f t="shared" si="2669"/>
        <v>0</v>
      </c>
      <c r="ED155" s="2">
        <f t="shared" ref="ED155:EE155" si="2670">(X155*$I155+AS155*$AD155+BN155*$AY155)/100</f>
        <v>0</v>
      </c>
      <c r="EE155" s="2">
        <f t="shared" si="2670"/>
        <v>0</v>
      </c>
      <c r="EF155" s="2"/>
      <c r="EG155" s="2">
        <f t="shared" si="10"/>
        <v>27.531499999999998</v>
      </c>
      <c r="EH155" s="2">
        <f t="shared" si="11"/>
        <v>0</v>
      </c>
      <c r="EI155" s="39">
        <f t="shared" si="12"/>
        <v>0</v>
      </c>
      <c r="EJ155" s="39">
        <f t="shared" ref="EJ155:EK155" si="2671">EJ$1*DQ155/1000000</f>
        <v>0</v>
      </c>
      <c r="EK155" s="39">
        <f t="shared" si="2671"/>
        <v>0</v>
      </c>
      <c r="EL155" s="39">
        <f t="shared" ref="EL155:EQ155" si="2672">EL$1*DS155</f>
        <v>0</v>
      </c>
      <c r="EM155" s="39">
        <f t="shared" si="2672"/>
        <v>0</v>
      </c>
      <c r="EN155" s="39">
        <f t="shared" si="2672"/>
        <v>0</v>
      </c>
      <c r="EO155" s="39">
        <f t="shared" si="2672"/>
        <v>0</v>
      </c>
      <c r="EP155" s="39">
        <f t="shared" si="2672"/>
        <v>82.657161693999996</v>
      </c>
      <c r="EQ155" s="39">
        <f t="shared" si="2672"/>
        <v>58.562490119795982</v>
      </c>
      <c r="ER155" s="39">
        <f t="shared" ref="ER155:EV155" si="2673">ER$1*DY155/1000000</f>
        <v>0</v>
      </c>
      <c r="ES155" s="39">
        <f t="shared" si="2673"/>
        <v>0</v>
      </c>
      <c r="ET155" s="39">
        <f t="shared" si="2673"/>
        <v>0</v>
      </c>
      <c r="EU155" s="39">
        <f t="shared" si="2673"/>
        <v>0</v>
      </c>
      <c r="EV155" s="39">
        <f t="shared" si="2673"/>
        <v>0</v>
      </c>
      <c r="EW155" s="39">
        <f t="shared" ref="EW155:EX155" si="2674">EW$1*ED155</f>
        <v>0</v>
      </c>
      <c r="EX155" s="39">
        <f t="shared" si="2674"/>
        <v>0</v>
      </c>
      <c r="EY155" s="2"/>
      <c r="EZ155" s="39">
        <f t="shared" si="17"/>
        <v>9.9113399999999992</v>
      </c>
      <c r="FA155" s="39">
        <f t="shared" si="18"/>
        <v>0</v>
      </c>
      <c r="FB155" s="2">
        <f t="shared" si="19"/>
        <v>0</v>
      </c>
      <c r="FC155" s="2">
        <f t="shared" ref="FC155:FD155" si="2675">BV155*$BT155+CQ155*$CO155</f>
        <v>0</v>
      </c>
      <c r="FD155" s="2">
        <f t="shared" si="2675"/>
        <v>0</v>
      </c>
      <c r="FE155" s="2">
        <f t="shared" ref="FE155:FJ155" si="2676">(BX155*$BT155+CS155*$CO155)/100</f>
        <v>0</v>
      </c>
      <c r="FF155" s="2">
        <f t="shared" si="2676"/>
        <v>0</v>
      </c>
      <c r="FG155" s="2">
        <f t="shared" si="2676"/>
        <v>0</v>
      </c>
      <c r="FH155" s="2">
        <f t="shared" si="2676"/>
        <v>0</v>
      </c>
      <c r="FI155" s="2">
        <f t="shared" si="2676"/>
        <v>0</v>
      </c>
      <c r="FJ155" s="2">
        <f t="shared" si="2676"/>
        <v>0</v>
      </c>
      <c r="FK155" s="2">
        <f t="shared" ref="FK155:FO155" si="2677">CD155*$BT155+CY155*$CO155</f>
        <v>0</v>
      </c>
      <c r="FL155" s="2">
        <f t="shared" si="2677"/>
        <v>0</v>
      </c>
      <c r="FM155" s="2">
        <f t="shared" si="2677"/>
        <v>0</v>
      </c>
      <c r="FN155" s="2">
        <f t="shared" si="2677"/>
        <v>0</v>
      </c>
      <c r="FO155" s="2">
        <f t="shared" si="2677"/>
        <v>0</v>
      </c>
      <c r="FP155" s="2">
        <f t="shared" ref="FP155:FQ155" si="2678">(CI155*$BT155+DD155*$CO155)/100</f>
        <v>0</v>
      </c>
      <c r="FQ155" s="2">
        <f t="shared" si="2678"/>
        <v>0</v>
      </c>
      <c r="FR155" s="2"/>
      <c r="FS155" s="2">
        <f t="shared" si="24"/>
        <v>0</v>
      </c>
      <c r="FT155" s="2">
        <f t="shared" si="25"/>
        <v>0</v>
      </c>
      <c r="FU155" s="39">
        <f t="shared" si="26"/>
        <v>0</v>
      </c>
      <c r="FV155" s="39">
        <f t="shared" ref="FV155:FW155" si="2679">FV$1*FC155/1000000</f>
        <v>0</v>
      </c>
      <c r="FW155" s="39">
        <f t="shared" si="2679"/>
        <v>0</v>
      </c>
      <c r="FX155" s="39">
        <f t="shared" ref="FX155:GC155" si="2680">FX$1*FE155</f>
        <v>0</v>
      </c>
      <c r="FY155" s="39">
        <f t="shared" si="2680"/>
        <v>0</v>
      </c>
      <c r="FZ155" s="39">
        <f t="shared" si="2680"/>
        <v>0</v>
      </c>
      <c r="GA155" s="39">
        <f t="shared" si="2680"/>
        <v>0</v>
      </c>
      <c r="GB155" s="39">
        <f t="shared" si="2680"/>
        <v>0</v>
      </c>
      <c r="GC155" s="39">
        <f t="shared" si="2680"/>
        <v>0</v>
      </c>
      <c r="GD155" s="39">
        <f t="shared" ref="GD155:GH155" si="2681">GD$1*FK155/1000000</f>
        <v>0</v>
      </c>
      <c r="GE155" s="39">
        <f t="shared" si="2681"/>
        <v>0</v>
      </c>
      <c r="GF155" s="39">
        <f t="shared" si="2681"/>
        <v>0</v>
      </c>
      <c r="GG155" s="39">
        <f t="shared" si="2681"/>
        <v>0</v>
      </c>
      <c r="GH155" s="39">
        <f t="shared" si="2681"/>
        <v>0</v>
      </c>
      <c r="GI155" s="39">
        <f t="shared" ref="GI155:GJ155" si="2682">GI$1*FP155</f>
        <v>0</v>
      </c>
      <c r="GJ155" s="39">
        <f t="shared" si="2682"/>
        <v>0</v>
      </c>
      <c r="GK155" s="2"/>
      <c r="GL155" s="39">
        <f t="shared" si="31"/>
        <v>0</v>
      </c>
      <c r="GM155" s="39">
        <f t="shared" si="32"/>
        <v>0</v>
      </c>
      <c r="GN155" s="2" t="s">
        <v>3</v>
      </c>
      <c r="GO155" s="2">
        <f t="shared" si="33"/>
        <v>0.69699999999999995</v>
      </c>
      <c r="GP155" s="4">
        <f t="shared" si="34"/>
        <v>0.90429999999999999</v>
      </c>
      <c r="GQ155" s="15">
        <f t="shared" si="35"/>
        <v>6.3029710000000003</v>
      </c>
      <c r="GR155" s="15">
        <f t="shared" si="36"/>
        <v>151.13099181379596</v>
      </c>
      <c r="GS155" s="15">
        <f t="shared" si="37"/>
        <v>216.83069126799995</v>
      </c>
      <c r="GT155" s="2">
        <f t="shared" si="38"/>
        <v>0</v>
      </c>
      <c r="GU155" s="2">
        <f t="shared" si="39"/>
        <v>0</v>
      </c>
      <c r="GV155" s="2">
        <f t="shared" si="40"/>
        <v>6.3029710000000003</v>
      </c>
      <c r="GW155" s="2">
        <f t="shared" si="41"/>
        <v>0</v>
      </c>
      <c r="GX155" s="2"/>
      <c r="GY155" s="2"/>
      <c r="GZ155" s="2"/>
      <c r="HA155" s="2"/>
      <c r="HB155" s="2">
        <f t="shared" si="42"/>
        <v>0</v>
      </c>
      <c r="HC155" s="2">
        <f t="shared" si="43"/>
        <v>0</v>
      </c>
      <c r="HD155" s="2" t="s">
        <v>3</v>
      </c>
      <c r="HE155" s="2" t="s">
        <v>37</v>
      </c>
      <c r="HF155" s="2" t="s">
        <v>114</v>
      </c>
      <c r="HG155" s="2" t="s">
        <v>114</v>
      </c>
      <c r="HH155" s="2"/>
      <c r="HI155" s="2" t="s">
        <v>81</v>
      </c>
      <c r="HJ155" s="2" t="s">
        <v>3</v>
      </c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 t="s">
        <v>3</v>
      </c>
    </row>
    <row r="156" spans="1:268" ht="15.75" customHeight="1" x14ac:dyDescent="0.2">
      <c r="A156" s="13" t="s">
        <v>323</v>
      </c>
      <c r="B156" s="2" t="s">
        <v>99</v>
      </c>
      <c r="C156" s="2"/>
      <c r="D156" s="2"/>
      <c r="E156" s="2" t="s">
        <v>78</v>
      </c>
      <c r="F156" s="2" t="s">
        <v>324</v>
      </c>
      <c r="G156" s="2"/>
      <c r="H156" s="2" t="s">
        <v>80</v>
      </c>
      <c r="I156" s="2">
        <v>0</v>
      </c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>
        <v>55.518000000000001</v>
      </c>
      <c r="AE156" s="2"/>
      <c r="AF156" s="2"/>
      <c r="AG156" s="2"/>
      <c r="AH156" s="2"/>
      <c r="AI156" s="2"/>
      <c r="AJ156" s="2"/>
      <c r="AK156" s="2"/>
      <c r="AL156" s="2">
        <v>0.71699999999999997</v>
      </c>
      <c r="AM156" s="2">
        <v>0.04</v>
      </c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>
        <v>0</v>
      </c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>
        <v>3.7570000000000001</v>
      </c>
      <c r="BU156" s="2"/>
      <c r="BV156" s="2"/>
      <c r="BW156" s="2"/>
      <c r="BX156" s="2"/>
      <c r="BY156" s="2"/>
      <c r="BZ156" s="2"/>
      <c r="CA156" s="2"/>
      <c r="CB156" s="2">
        <v>0.65</v>
      </c>
      <c r="CC156" s="2">
        <v>0.04</v>
      </c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>
        <v>0</v>
      </c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 t="s">
        <v>81</v>
      </c>
      <c r="DK156" s="2" t="s">
        <v>81</v>
      </c>
      <c r="DL156" s="2">
        <f t="shared" si="3"/>
        <v>0.71699999999999986</v>
      </c>
      <c r="DM156" s="2">
        <f t="shared" si="4"/>
        <v>0.04</v>
      </c>
      <c r="DN156" s="2" t="s">
        <v>175</v>
      </c>
      <c r="DO156" s="2" t="s">
        <v>3</v>
      </c>
      <c r="DP156" s="2">
        <f t="shared" si="5"/>
        <v>0</v>
      </c>
      <c r="DQ156" s="2">
        <f t="shared" ref="DQ156:DR156" si="2683">K156*$I156+AF156*$AD156+BA156*$AY156</f>
        <v>0</v>
      </c>
      <c r="DR156" s="2">
        <f t="shared" si="2683"/>
        <v>0</v>
      </c>
      <c r="DS156" s="2">
        <f t="shared" ref="DS156:DX156" si="2684">(M156*$I156+AH156*$AD156+BC156*$AY156)/100</f>
        <v>0</v>
      </c>
      <c r="DT156" s="2">
        <f t="shared" si="2684"/>
        <v>0</v>
      </c>
      <c r="DU156" s="2">
        <f t="shared" si="2684"/>
        <v>0</v>
      </c>
      <c r="DV156" s="2">
        <f t="shared" si="2684"/>
        <v>0</v>
      </c>
      <c r="DW156" s="2">
        <f t="shared" si="2684"/>
        <v>0.39806405999999994</v>
      </c>
      <c r="DX156" s="2">
        <f t="shared" si="2684"/>
        <v>2.22072E-2</v>
      </c>
      <c r="DY156" s="2">
        <f t="shared" ref="DY156:EC156" si="2685">S156*$I156+AN156*$AD156+BI156*$AY156</f>
        <v>0</v>
      </c>
      <c r="DZ156" s="2">
        <f t="shared" si="2685"/>
        <v>0</v>
      </c>
      <c r="EA156" s="2">
        <f t="shared" si="2685"/>
        <v>0</v>
      </c>
      <c r="EB156" s="2">
        <f t="shared" si="2685"/>
        <v>0</v>
      </c>
      <c r="EC156" s="2">
        <f t="shared" si="2685"/>
        <v>0</v>
      </c>
      <c r="ED156" s="2">
        <f t="shared" ref="ED156:EE156" si="2686">(X156*$I156+AS156*$AD156+BN156*$AY156)/100</f>
        <v>0</v>
      </c>
      <c r="EE156" s="2">
        <f t="shared" si="2686"/>
        <v>0</v>
      </c>
      <c r="EF156" s="2"/>
      <c r="EG156" s="2">
        <f t="shared" si="10"/>
        <v>0</v>
      </c>
      <c r="EH156" s="2">
        <f t="shared" si="11"/>
        <v>0</v>
      </c>
      <c r="EI156" s="39">
        <f t="shared" si="12"/>
        <v>0</v>
      </c>
      <c r="EJ156" s="39">
        <f t="shared" ref="EJ156:EK156" si="2687">EJ$1*DQ156/1000000</f>
        <v>0</v>
      </c>
      <c r="EK156" s="39">
        <f t="shared" si="2687"/>
        <v>0</v>
      </c>
      <c r="EL156" s="39">
        <f t="shared" ref="EL156:EQ156" si="2688">EL$1*DS156</f>
        <v>0</v>
      </c>
      <c r="EM156" s="39">
        <f t="shared" si="2688"/>
        <v>0</v>
      </c>
      <c r="EN156" s="39">
        <f t="shared" si="2688"/>
        <v>0</v>
      </c>
      <c r="EO156" s="39">
        <f t="shared" si="2688"/>
        <v>0</v>
      </c>
      <c r="EP156" s="39">
        <f t="shared" si="2688"/>
        <v>5220.2120828399993</v>
      </c>
      <c r="EQ156" s="39">
        <f t="shared" si="2688"/>
        <v>1612.6762933727998</v>
      </c>
      <c r="ER156" s="39">
        <f t="shared" ref="ER156:EV156" si="2689">ER$1*DY156/1000000</f>
        <v>0</v>
      </c>
      <c r="ES156" s="39">
        <f t="shared" si="2689"/>
        <v>0</v>
      </c>
      <c r="ET156" s="39">
        <f t="shared" si="2689"/>
        <v>0</v>
      </c>
      <c r="EU156" s="39">
        <f t="shared" si="2689"/>
        <v>0</v>
      </c>
      <c r="EV156" s="39">
        <f t="shared" si="2689"/>
        <v>0</v>
      </c>
      <c r="EW156" s="39">
        <f t="shared" ref="EW156:EX156" si="2690">EW$1*ED156</f>
        <v>0</v>
      </c>
      <c r="EX156" s="39">
        <f t="shared" si="2690"/>
        <v>0</v>
      </c>
      <c r="EY156" s="2"/>
      <c r="EZ156" s="39">
        <f t="shared" si="17"/>
        <v>0</v>
      </c>
      <c r="FA156" s="39">
        <f t="shared" si="18"/>
        <v>0</v>
      </c>
      <c r="FB156" s="2">
        <f t="shared" si="19"/>
        <v>0</v>
      </c>
      <c r="FC156" s="2">
        <f t="shared" ref="FC156:FD156" si="2691">BV156*$BT156+CQ156*$CO156</f>
        <v>0</v>
      </c>
      <c r="FD156" s="2">
        <f t="shared" si="2691"/>
        <v>0</v>
      </c>
      <c r="FE156" s="2">
        <f t="shared" ref="FE156:FJ156" si="2692">(BX156*$BT156+CS156*$CO156)/100</f>
        <v>0</v>
      </c>
      <c r="FF156" s="2">
        <f t="shared" si="2692"/>
        <v>0</v>
      </c>
      <c r="FG156" s="2">
        <f t="shared" si="2692"/>
        <v>0</v>
      </c>
      <c r="FH156" s="2">
        <f t="shared" si="2692"/>
        <v>0</v>
      </c>
      <c r="FI156" s="2">
        <f t="shared" si="2692"/>
        <v>2.4420500000000001E-2</v>
      </c>
      <c r="FJ156" s="2">
        <f t="shared" si="2692"/>
        <v>1.5027999999999999E-3</v>
      </c>
      <c r="FK156" s="2">
        <f t="shared" ref="FK156:FO156" si="2693">CD156*$BT156+CY156*$CO156</f>
        <v>0</v>
      </c>
      <c r="FL156" s="2">
        <f t="shared" si="2693"/>
        <v>0</v>
      </c>
      <c r="FM156" s="2">
        <f t="shared" si="2693"/>
        <v>0</v>
      </c>
      <c r="FN156" s="2">
        <f t="shared" si="2693"/>
        <v>0</v>
      </c>
      <c r="FO156" s="2">
        <f t="shared" si="2693"/>
        <v>0</v>
      </c>
      <c r="FP156" s="2">
        <f t="shared" ref="FP156:FQ156" si="2694">(CI156*$BT156+DD156*$CO156)/100</f>
        <v>0</v>
      </c>
      <c r="FQ156" s="2">
        <f t="shared" si="2694"/>
        <v>0</v>
      </c>
      <c r="FR156" s="2"/>
      <c r="FS156" s="2">
        <f t="shared" si="24"/>
        <v>0</v>
      </c>
      <c r="FT156" s="2">
        <f t="shared" si="25"/>
        <v>0</v>
      </c>
      <c r="FU156" s="39">
        <f t="shared" si="26"/>
        <v>0</v>
      </c>
      <c r="FV156" s="39">
        <f t="shared" ref="FV156:FW156" si="2695">FV$1*FC156/1000000</f>
        <v>0</v>
      </c>
      <c r="FW156" s="39">
        <f t="shared" si="2695"/>
        <v>0</v>
      </c>
      <c r="FX156" s="39">
        <f t="shared" ref="FX156:GC156" si="2696">FX$1*FE156</f>
        <v>0</v>
      </c>
      <c r="FY156" s="39">
        <f t="shared" si="2696"/>
        <v>0</v>
      </c>
      <c r="FZ156" s="39">
        <f t="shared" si="2696"/>
        <v>0</v>
      </c>
      <c r="GA156" s="39">
        <f t="shared" si="2696"/>
        <v>0</v>
      </c>
      <c r="GB156" s="39">
        <f t="shared" si="2696"/>
        <v>320.25043700000003</v>
      </c>
      <c r="GC156" s="39">
        <f t="shared" si="2696"/>
        <v>109.13262066719997</v>
      </c>
      <c r="GD156" s="39">
        <f t="shared" ref="GD156:GH156" si="2697">GD$1*FK156/1000000</f>
        <v>0</v>
      </c>
      <c r="GE156" s="39">
        <f t="shared" si="2697"/>
        <v>0</v>
      </c>
      <c r="GF156" s="39">
        <f t="shared" si="2697"/>
        <v>0</v>
      </c>
      <c r="GG156" s="39">
        <f t="shared" si="2697"/>
        <v>0</v>
      </c>
      <c r="GH156" s="39">
        <f t="shared" si="2697"/>
        <v>0</v>
      </c>
      <c r="GI156" s="39">
        <f t="shared" ref="GI156:GJ156" si="2698">GI$1*FP156</f>
        <v>0</v>
      </c>
      <c r="GJ156" s="39">
        <f t="shared" si="2698"/>
        <v>0</v>
      </c>
      <c r="GK156" s="2"/>
      <c r="GL156" s="39">
        <f t="shared" si="31"/>
        <v>0</v>
      </c>
      <c r="GM156" s="39">
        <f t="shared" si="32"/>
        <v>0</v>
      </c>
      <c r="GN156" s="2" t="s">
        <v>3</v>
      </c>
      <c r="GO156" s="4">
        <f t="shared" si="33"/>
        <v>55.518000000000001</v>
      </c>
      <c r="GP156" s="4">
        <f t="shared" si="34"/>
        <v>0.71699999999999986</v>
      </c>
      <c r="GQ156" s="15">
        <f t="shared" si="35"/>
        <v>398.06405999999993</v>
      </c>
      <c r="GR156" s="15">
        <f t="shared" si="36"/>
        <v>6832.8883762127989</v>
      </c>
      <c r="GS156" s="15">
        <f t="shared" si="37"/>
        <v>123.07518959999997</v>
      </c>
      <c r="GT156" s="2">
        <f t="shared" si="38"/>
        <v>0</v>
      </c>
      <c r="GU156" s="2">
        <f t="shared" si="39"/>
        <v>398.06405999999993</v>
      </c>
      <c r="GV156" s="2">
        <f t="shared" si="40"/>
        <v>0</v>
      </c>
      <c r="GW156" s="2">
        <f t="shared" si="41"/>
        <v>3.7570000000000001</v>
      </c>
      <c r="GX156" s="4">
        <f>(BT156*CB156+CO156*CW156)/GW156</f>
        <v>0.65</v>
      </c>
      <c r="GY156" s="15">
        <f>1000*GW156*GX156/100</f>
        <v>24.420500000000001</v>
      </c>
      <c r="GZ156" s="15">
        <f>SUM(FU156:GM156)</f>
        <v>429.38305766719998</v>
      </c>
      <c r="HA156" s="15">
        <f>GZ156/GW156</f>
        <v>114.28880959999999</v>
      </c>
      <c r="HB156" s="2">
        <f t="shared" si="42"/>
        <v>24.420500000000001</v>
      </c>
      <c r="HC156" s="2">
        <f t="shared" si="43"/>
        <v>0</v>
      </c>
      <c r="HD156" s="2" t="s">
        <v>3</v>
      </c>
      <c r="HE156" s="2" t="s">
        <v>37</v>
      </c>
      <c r="HF156" s="2" t="s">
        <v>114</v>
      </c>
      <c r="HG156" s="2" t="s">
        <v>114</v>
      </c>
      <c r="HH156" s="2"/>
      <c r="HI156" s="2" t="s">
        <v>81</v>
      </c>
      <c r="HJ156" s="2" t="s">
        <v>3</v>
      </c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 t="s">
        <v>3</v>
      </c>
    </row>
    <row r="157" spans="1:268" ht="15.75" customHeight="1" x14ac:dyDescent="0.2">
      <c r="A157" s="13" t="s">
        <v>363</v>
      </c>
      <c r="B157" s="2" t="s">
        <v>99</v>
      </c>
      <c r="C157" s="2"/>
      <c r="D157" s="2"/>
      <c r="E157" s="2" t="s">
        <v>78</v>
      </c>
      <c r="F157" s="2" t="s">
        <v>364</v>
      </c>
      <c r="G157" s="2"/>
      <c r="H157" s="2" t="s">
        <v>80</v>
      </c>
      <c r="I157" s="2">
        <v>0</v>
      </c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>
        <v>0</v>
      </c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>
        <v>33.299999999999997</v>
      </c>
      <c r="AZ157" s="2"/>
      <c r="BA157" s="2"/>
      <c r="BB157" s="2"/>
      <c r="BC157" s="2"/>
      <c r="BD157" s="2"/>
      <c r="BE157" s="2"/>
      <c r="BF157" s="2"/>
      <c r="BG157" s="2">
        <v>0.81</v>
      </c>
      <c r="BH157" s="2">
        <v>7.0000000000000007E-2</v>
      </c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>
        <v>0</v>
      </c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>
        <v>0</v>
      </c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 t="s">
        <v>81</v>
      </c>
      <c r="DK157" s="2" t="s">
        <v>81</v>
      </c>
      <c r="DL157" s="2">
        <f t="shared" si="3"/>
        <v>0.81</v>
      </c>
      <c r="DM157" s="2">
        <f t="shared" si="4"/>
        <v>7.0000000000000007E-2</v>
      </c>
      <c r="DN157" s="2" t="s">
        <v>211</v>
      </c>
      <c r="DO157" s="2" t="s">
        <v>3</v>
      </c>
      <c r="DP157" s="2">
        <f t="shared" si="5"/>
        <v>0</v>
      </c>
      <c r="DQ157" s="2">
        <f t="shared" ref="DQ157:DR157" si="2699">K157*$I157+AF157*$AD157+BA157*$AY157</f>
        <v>0</v>
      </c>
      <c r="DR157" s="2">
        <f t="shared" si="2699"/>
        <v>0</v>
      </c>
      <c r="DS157" s="2">
        <f t="shared" ref="DS157:DX157" si="2700">(M157*$I157+AH157*$AD157+BC157*$AY157)/100</f>
        <v>0</v>
      </c>
      <c r="DT157" s="2">
        <f t="shared" si="2700"/>
        <v>0</v>
      </c>
      <c r="DU157" s="2">
        <f t="shared" si="2700"/>
        <v>0</v>
      </c>
      <c r="DV157" s="2">
        <f t="shared" si="2700"/>
        <v>0</v>
      </c>
      <c r="DW157" s="2">
        <f t="shared" si="2700"/>
        <v>0.26972999999999997</v>
      </c>
      <c r="DX157" s="2">
        <f t="shared" si="2700"/>
        <v>2.3310000000000001E-2</v>
      </c>
      <c r="DY157" s="2">
        <f t="shared" ref="DY157:EC157" si="2701">S157*$I157+AN157*$AD157+BI157*$AY157</f>
        <v>0</v>
      </c>
      <c r="DZ157" s="2">
        <f t="shared" si="2701"/>
        <v>0</v>
      </c>
      <c r="EA157" s="2">
        <f t="shared" si="2701"/>
        <v>0</v>
      </c>
      <c r="EB157" s="2">
        <f t="shared" si="2701"/>
        <v>0</v>
      </c>
      <c r="EC157" s="2">
        <f t="shared" si="2701"/>
        <v>0</v>
      </c>
      <c r="ED157" s="2">
        <f t="shared" ref="ED157:EE157" si="2702">(X157*$I157+AS157*$AD157+BN157*$AY157)/100</f>
        <v>0</v>
      </c>
      <c r="EE157" s="2">
        <f t="shared" si="2702"/>
        <v>0</v>
      </c>
      <c r="EF157" s="2"/>
      <c r="EG157" s="2">
        <f t="shared" si="10"/>
        <v>0</v>
      </c>
      <c r="EH157" s="2">
        <f t="shared" si="11"/>
        <v>0</v>
      </c>
      <c r="EI157" s="39">
        <f t="shared" si="12"/>
        <v>0</v>
      </c>
      <c r="EJ157" s="39">
        <f t="shared" ref="EJ157:EK157" si="2703">EJ$1*DQ157/1000000</f>
        <v>0</v>
      </c>
      <c r="EK157" s="39">
        <f t="shared" si="2703"/>
        <v>0</v>
      </c>
      <c r="EL157" s="39">
        <f t="shared" ref="EL157:EQ157" si="2704">EL$1*DS157</f>
        <v>0</v>
      </c>
      <c r="EM157" s="39">
        <f t="shared" si="2704"/>
        <v>0</v>
      </c>
      <c r="EN157" s="39">
        <f t="shared" si="2704"/>
        <v>0</v>
      </c>
      <c r="EO157" s="39">
        <f t="shared" si="2704"/>
        <v>0</v>
      </c>
      <c r="EP157" s="39">
        <f t="shared" si="2704"/>
        <v>3537.2392199999995</v>
      </c>
      <c r="EQ157" s="39">
        <f t="shared" si="2704"/>
        <v>1692.7611044399998</v>
      </c>
      <c r="ER157" s="39">
        <f t="shared" ref="ER157:EV157" si="2705">ER$1*DY157/1000000</f>
        <v>0</v>
      </c>
      <c r="ES157" s="39">
        <f t="shared" si="2705"/>
        <v>0</v>
      </c>
      <c r="ET157" s="39">
        <f t="shared" si="2705"/>
        <v>0</v>
      </c>
      <c r="EU157" s="39">
        <f t="shared" si="2705"/>
        <v>0</v>
      </c>
      <c r="EV157" s="39">
        <f t="shared" si="2705"/>
        <v>0</v>
      </c>
      <c r="EW157" s="39">
        <f t="shared" ref="EW157:EX157" si="2706">EW$1*ED157</f>
        <v>0</v>
      </c>
      <c r="EX157" s="39">
        <f t="shared" si="2706"/>
        <v>0</v>
      </c>
      <c r="EY157" s="2"/>
      <c r="EZ157" s="39">
        <f t="shared" si="17"/>
        <v>0</v>
      </c>
      <c r="FA157" s="39">
        <f t="shared" si="18"/>
        <v>0</v>
      </c>
      <c r="FB157" s="2">
        <f t="shared" si="19"/>
        <v>0</v>
      </c>
      <c r="FC157" s="2">
        <f t="shared" ref="FC157:FD157" si="2707">BV157*$BT157+CQ157*$CO157</f>
        <v>0</v>
      </c>
      <c r="FD157" s="2">
        <f t="shared" si="2707"/>
        <v>0</v>
      </c>
      <c r="FE157" s="2">
        <f t="shared" ref="FE157:FJ157" si="2708">(BX157*$BT157+CS157*$CO157)/100</f>
        <v>0</v>
      </c>
      <c r="FF157" s="2">
        <f t="shared" si="2708"/>
        <v>0</v>
      </c>
      <c r="FG157" s="2">
        <f t="shared" si="2708"/>
        <v>0</v>
      </c>
      <c r="FH157" s="2">
        <f t="shared" si="2708"/>
        <v>0</v>
      </c>
      <c r="FI157" s="2">
        <f t="shared" si="2708"/>
        <v>0</v>
      </c>
      <c r="FJ157" s="2">
        <f t="shared" si="2708"/>
        <v>0</v>
      </c>
      <c r="FK157" s="2">
        <f t="shared" ref="FK157:FO157" si="2709">CD157*$BT157+CY157*$CO157</f>
        <v>0</v>
      </c>
      <c r="FL157" s="2">
        <f t="shared" si="2709"/>
        <v>0</v>
      </c>
      <c r="FM157" s="2">
        <f t="shared" si="2709"/>
        <v>0</v>
      </c>
      <c r="FN157" s="2">
        <f t="shared" si="2709"/>
        <v>0</v>
      </c>
      <c r="FO157" s="2">
        <f t="shared" si="2709"/>
        <v>0</v>
      </c>
      <c r="FP157" s="2">
        <f t="shared" ref="FP157:FQ157" si="2710">(CI157*$BT157+DD157*$CO157)/100</f>
        <v>0</v>
      </c>
      <c r="FQ157" s="2">
        <f t="shared" si="2710"/>
        <v>0</v>
      </c>
      <c r="FR157" s="2"/>
      <c r="FS157" s="2">
        <f t="shared" si="24"/>
        <v>0</v>
      </c>
      <c r="FT157" s="2">
        <f t="shared" si="25"/>
        <v>0</v>
      </c>
      <c r="FU157" s="39">
        <f t="shared" si="26"/>
        <v>0</v>
      </c>
      <c r="FV157" s="39">
        <f t="shared" ref="FV157:FW157" si="2711">FV$1*FC157/1000000</f>
        <v>0</v>
      </c>
      <c r="FW157" s="39">
        <f t="shared" si="2711"/>
        <v>0</v>
      </c>
      <c r="FX157" s="39">
        <f t="shared" ref="FX157:GC157" si="2712">FX$1*FE157</f>
        <v>0</v>
      </c>
      <c r="FY157" s="39">
        <f t="shared" si="2712"/>
        <v>0</v>
      </c>
      <c r="FZ157" s="39">
        <f t="shared" si="2712"/>
        <v>0</v>
      </c>
      <c r="GA157" s="39">
        <f t="shared" si="2712"/>
        <v>0</v>
      </c>
      <c r="GB157" s="39">
        <f t="shared" si="2712"/>
        <v>0</v>
      </c>
      <c r="GC157" s="39">
        <f t="shared" si="2712"/>
        <v>0</v>
      </c>
      <c r="GD157" s="39">
        <f t="shared" ref="GD157:GH157" si="2713">GD$1*FK157/1000000</f>
        <v>0</v>
      </c>
      <c r="GE157" s="39">
        <f t="shared" si="2713"/>
        <v>0</v>
      </c>
      <c r="GF157" s="39">
        <f t="shared" si="2713"/>
        <v>0</v>
      </c>
      <c r="GG157" s="39">
        <f t="shared" si="2713"/>
        <v>0</v>
      </c>
      <c r="GH157" s="39">
        <f t="shared" si="2713"/>
        <v>0</v>
      </c>
      <c r="GI157" s="39">
        <f t="shared" ref="GI157:GJ157" si="2714">GI$1*FP157</f>
        <v>0</v>
      </c>
      <c r="GJ157" s="39">
        <f t="shared" si="2714"/>
        <v>0</v>
      </c>
      <c r="GK157" s="2"/>
      <c r="GL157" s="39">
        <f t="shared" si="31"/>
        <v>0</v>
      </c>
      <c r="GM157" s="39">
        <f t="shared" si="32"/>
        <v>0</v>
      </c>
      <c r="GN157" s="2" t="s">
        <v>3</v>
      </c>
      <c r="GO157" s="2">
        <f t="shared" si="33"/>
        <v>33.299999999999997</v>
      </c>
      <c r="GP157" s="2">
        <f t="shared" si="34"/>
        <v>0.81</v>
      </c>
      <c r="GQ157" s="15">
        <f t="shared" si="35"/>
        <v>269.73</v>
      </c>
      <c r="GR157" s="15">
        <f t="shared" si="36"/>
        <v>5230.0003244399995</v>
      </c>
      <c r="GS157" s="15">
        <f t="shared" si="37"/>
        <v>157.0570668</v>
      </c>
      <c r="GT157" s="2">
        <f t="shared" si="38"/>
        <v>0</v>
      </c>
      <c r="GU157" s="2">
        <f t="shared" si="39"/>
        <v>0</v>
      </c>
      <c r="GV157" s="2">
        <f t="shared" si="40"/>
        <v>269.73</v>
      </c>
      <c r="GW157" s="2">
        <f t="shared" si="41"/>
        <v>0</v>
      </c>
      <c r="GX157" s="2"/>
      <c r="GY157" s="2"/>
      <c r="GZ157" s="2"/>
      <c r="HA157" s="2"/>
      <c r="HB157" s="2">
        <f t="shared" si="42"/>
        <v>0</v>
      </c>
      <c r="HC157" s="2">
        <f t="shared" si="43"/>
        <v>0</v>
      </c>
      <c r="HD157" s="2" t="s">
        <v>3</v>
      </c>
      <c r="HE157" s="2" t="s">
        <v>37</v>
      </c>
      <c r="HF157" s="2" t="s">
        <v>114</v>
      </c>
      <c r="HG157" s="2" t="s">
        <v>114</v>
      </c>
      <c r="HH157" s="2"/>
      <c r="HI157" s="2" t="s">
        <v>81</v>
      </c>
      <c r="HJ157" s="2" t="s">
        <v>3</v>
      </c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 t="s">
        <v>3</v>
      </c>
    </row>
    <row r="158" spans="1:268" ht="15.75" customHeight="1" x14ac:dyDescent="0.2">
      <c r="A158" s="13" t="s">
        <v>872</v>
      </c>
      <c r="B158" s="2" t="s">
        <v>99</v>
      </c>
      <c r="C158" s="2"/>
      <c r="D158" s="2"/>
      <c r="E158" s="2" t="s">
        <v>78</v>
      </c>
      <c r="F158" s="2" t="s">
        <v>873</v>
      </c>
      <c r="G158" s="2"/>
      <c r="H158" s="2" t="s">
        <v>242</v>
      </c>
      <c r="I158" s="2">
        <v>0</v>
      </c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>
        <v>16.600000000000001</v>
      </c>
      <c r="AE158" s="2"/>
      <c r="AF158" s="2"/>
      <c r="AG158" s="2"/>
      <c r="AH158" s="2"/>
      <c r="AI158" s="2"/>
      <c r="AJ158" s="2"/>
      <c r="AK158" s="2"/>
      <c r="AL158" s="4">
        <v>0.6</v>
      </c>
      <c r="AM158" s="2">
        <v>0.14000000000000001</v>
      </c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>
        <v>15.34</v>
      </c>
      <c r="AZ158" s="2"/>
      <c r="BA158" s="2"/>
      <c r="BB158" s="2"/>
      <c r="BC158" s="2"/>
      <c r="BD158" s="2"/>
      <c r="BE158" s="2"/>
      <c r="BF158" s="2"/>
      <c r="BG158" s="2">
        <v>0.51</v>
      </c>
      <c r="BH158" s="2">
        <v>0.11</v>
      </c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>
        <v>0</v>
      </c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>
        <v>0</v>
      </c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 t="s">
        <v>81</v>
      </c>
      <c r="DK158" s="2" t="s">
        <v>81</v>
      </c>
      <c r="DL158" s="2">
        <f t="shared" si="3"/>
        <v>0.55677520350657483</v>
      </c>
      <c r="DM158" s="2">
        <f t="shared" si="4"/>
        <v>0.1255917345021916</v>
      </c>
      <c r="DN158" s="2" t="s">
        <v>211</v>
      </c>
      <c r="DO158" s="2" t="s">
        <v>3</v>
      </c>
      <c r="DP158" s="2">
        <f t="shared" si="5"/>
        <v>0</v>
      </c>
      <c r="DQ158" s="2">
        <f t="shared" ref="DQ158:DR158" si="2715">K158*$I158+AF158*$AD158+BA158*$AY158</f>
        <v>0</v>
      </c>
      <c r="DR158" s="2">
        <f t="shared" si="2715"/>
        <v>0</v>
      </c>
      <c r="DS158" s="2">
        <f t="shared" ref="DS158:DX158" si="2716">(M158*$I158+AH158*$AD158+BC158*$AY158)/100</f>
        <v>0</v>
      </c>
      <c r="DT158" s="2">
        <f t="shared" si="2716"/>
        <v>0</v>
      </c>
      <c r="DU158" s="2">
        <f t="shared" si="2716"/>
        <v>0</v>
      </c>
      <c r="DV158" s="2">
        <f t="shared" si="2716"/>
        <v>0</v>
      </c>
      <c r="DW158" s="2">
        <f t="shared" si="2716"/>
        <v>0.17783399999999999</v>
      </c>
      <c r="DX158" s="2">
        <f t="shared" si="2716"/>
        <v>4.0114000000000004E-2</v>
      </c>
      <c r="DY158" s="2">
        <f t="shared" ref="DY158:EC158" si="2717">S158*$I158+AN158*$AD158+BI158*$AY158</f>
        <v>0</v>
      </c>
      <c r="DZ158" s="2">
        <f t="shared" si="2717"/>
        <v>0</v>
      </c>
      <c r="EA158" s="2">
        <f t="shared" si="2717"/>
        <v>0</v>
      </c>
      <c r="EB158" s="2">
        <f t="shared" si="2717"/>
        <v>0</v>
      </c>
      <c r="EC158" s="2">
        <f t="shared" si="2717"/>
        <v>0</v>
      </c>
      <c r="ED158" s="2">
        <f t="shared" ref="ED158:EE158" si="2718">(X158*$I158+AS158*$AD158+BN158*$AY158)/100</f>
        <v>0</v>
      </c>
      <c r="EE158" s="2">
        <f t="shared" si="2718"/>
        <v>0</v>
      </c>
      <c r="EF158" s="2"/>
      <c r="EG158" s="2">
        <f t="shared" si="10"/>
        <v>0</v>
      </c>
      <c r="EH158" s="2">
        <f t="shared" si="11"/>
        <v>0</v>
      </c>
      <c r="EI158" s="39">
        <f t="shared" si="12"/>
        <v>0</v>
      </c>
      <c r="EJ158" s="39">
        <f t="shared" ref="EJ158:EK158" si="2719">EJ$1*DQ158/1000000</f>
        <v>0</v>
      </c>
      <c r="EK158" s="39">
        <f t="shared" si="2719"/>
        <v>0</v>
      </c>
      <c r="EL158" s="39">
        <f t="shared" ref="EL158:EQ158" si="2720">EL$1*DS158</f>
        <v>0</v>
      </c>
      <c r="EM158" s="39">
        <f t="shared" si="2720"/>
        <v>0</v>
      </c>
      <c r="EN158" s="39">
        <f t="shared" si="2720"/>
        <v>0</v>
      </c>
      <c r="EO158" s="39">
        <f t="shared" si="2720"/>
        <v>0</v>
      </c>
      <c r="EP158" s="39">
        <f t="shared" si="2720"/>
        <v>2332.115076</v>
      </c>
      <c r="EQ158" s="39">
        <f t="shared" si="2720"/>
        <v>2913.0595857359999</v>
      </c>
      <c r="ER158" s="39">
        <f t="shared" ref="ER158:EV158" si="2721">ER$1*DY158/1000000</f>
        <v>0</v>
      </c>
      <c r="ES158" s="39">
        <f t="shared" si="2721"/>
        <v>0</v>
      </c>
      <c r="ET158" s="39">
        <f t="shared" si="2721"/>
        <v>0</v>
      </c>
      <c r="EU158" s="39">
        <f t="shared" si="2721"/>
        <v>0</v>
      </c>
      <c r="EV158" s="39">
        <f t="shared" si="2721"/>
        <v>0</v>
      </c>
      <c r="EW158" s="39">
        <f t="shared" ref="EW158:EX158" si="2722">EW$1*ED158</f>
        <v>0</v>
      </c>
      <c r="EX158" s="39">
        <f t="shared" si="2722"/>
        <v>0</v>
      </c>
      <c r="EY158" s="2"/>
      <c r="EZ158" s="39">
        <f t="shared" si="17"/>
        <v>0</v>
      </c>
      <c r="FA158" s="39">
        <f t="shared" si="18"/>
        <v>0</v>
      </c>
      <c r="FB158" s="2">
        <f t="shared" si="19"/>
        <v>0</v>
      </c>
      <c r="FC158" s="2">
        <f t="shared" ref="FC158:FD158" si="2723">BV158*$BT158+CQ158*$CO158</f>
        <v>0</v>
      </c>
      <c r="FD158" s="2">
        <f t="shared" si="2723"/>
        <v>0</v>
      </c>
      <c r="FE158" s="2">
        <f t="shared" ref="FE158:FJ158" si="2724">(BX158*$BT158+CS158*$CO158)/100</f>
        <v>0</v>
      </c>
      <c r="FF158" s="2">
        <f t="shared" si="2724"/>
        <v>0</v>
      </c>
      <c r="FG158" s="2">
        <f t="shared" si="2724"/>
        <v>0</v>
      </c>
      <c r="FH158" s="2">
        <f t="shared" si="2724"/>
        <v>0</v>
      </c>
      <c r="FI158" s="2">
        <f t="shared" si="2724"/>
        <v>0</v>
      </c>
      <c r="FJ158" s="2">
        <f t="shared" si="2724"/>
        <v>0</v>
      </c>
      <c r="FK158" s="2">
        <f t="shared" ref="FK158:FO158" si="2725">CD158*$BT158+CY158*$CO158</f>
        <v>0</v>
      </c>
      <c r="FL158" s="2">
        <f t="shared" si="2725"/>
        <v>0</v>
      </c>
      <c r="FM158" s="2">
        <f t="shared" si="2725"/>
        <v>0</v>
      </c>
      <c r="FN158" s="2">
        <f t="shared" si="2725"/>
        <v>0</v>
      </c>
      <c r="FO158" s="2">
        <f t="shared" si="2725"/>
        <v>0</v>
      </c>
      <c r="FP158" s="2">
        <f t="shared" ref="FP158:FQ158" si="2726">(CI158*$BT158+DD158*$CO158)/100</f>
        <v>0</v>
      </c>
      <c r="FQ158" s="2">
        <f t="shared" si="2726"/>
        <v>0</v>
      </c>
      <c r="FR158" s="2"/>
      <c r="FS158" s="2">
        <f t="shared" si="24"/>
        <v>0</v>
      </c>
      <c r="FT158" s="2">
        <f t="shared" si="25"/>
        <v>0</v>
      </c>
      <c r="FU158" s="39">
        <f t="shared" si="26"/>
        <v>0</v>
      </c>
      <c r="FV158" s="39">
        <f t="shared" ref="FV158:FW158" si="2727">FV$1*FC158/1000000</f>
        <v>0</v>
      </c>
      <c r="FW158" s="39">
        <f t="shared" si="2727"/>
        <v>0</v>
      </c>
      <c r="FX158" s="39">
        <f t="shared" ref="FX158:GC158" si="2728">FX$1*FE158</f>
        <v>0</v>
      </c>
      <c r="FY158" s="39">
        <f t="shared" si="2728"/>
        <v>0</v>
      </c>
      <c r="FZ158" s="39">
        <f t="shared" si="2728"/>
        <v>0</v>
      </c>
      <c r="GA158" s="39">
        <f t="shared" si="2728"/>
        <v>0</v>
      </c>
      <c r="GB158" s="39">
        <f t="shared" si="2728"/>
        <v>0</v>
      </c>
      <c r="GC158" s="39">
        <f t="shared" si="2728"/>
        <v>0</v>
      </c>
      <c r="GD158" s="39">
        <f t="shared" ref="GD158:GH158" si="2729">GD$1*FK158/1000000</f>
        <v>0</v>
      </c>
      <c r="GE158" s="39">
        <f t="shared" si="2729"/>
        <v>0</v>
      </c>
      <c r="GF158" s="39">
        <f t="shared" si="2729"/>
        <v>0</v>
      </c>
      <c r="GG158" s="39">
        <f t="shared" si="2729"/>
        <v>0</v>
      </c>
      <c r="GH158" s="39">
        <f t="shared" si="2729"/>
        <v>0</v>
      </c>
      <c r="GI158" s="39">
        <f t="shared" ref="GI158:GJ158" si="2730">GI$1*FP158</f>
        <v>0</v>
      </c>
      <c r="GJ158" s="39">
        <f t="shared" si="2730"/>
        <v>0</v>
      </c>
      <c r="GK158" s="2"/>
      <c r="GL158" s="39">
        <f t="shared" si="31"/>
        <v>0</v>
      </c>
      <c r="GM158" s="39">
        <f t="shared" si="32"/>
        <v>0</v>
      </c>
      <c r="GN158" s="2" t="s">
        <v>3</v>
      </c>
      <c r="GO158" s="2">
        <f t="shared" si="33"/>
        <v>31.94</v>
      </c>
      <c r="GP158" s="4">
        <f t="shared" si="34"/>
        <v>0.55677520350657483</v>
      </c>
      <c r="GQ158" s="15">
        <f t="shared" si="35"/>
        <v>177.834</v>
      </c>
      <c r="GR158" s="15">
        <f t="shared" si="36"/>
        <v>5245.1746617360004</v>
      </c>
      <c r="GS158" s="15">
        <f t="shared" si="37"/>
        <v>164.21961996668753</v>
      </c>
      <c r="GT158" s="2">
        <f t="shared" si="38"/>
        <v>0</v>
      </c>
      <c r="GU158" s="2">
        <f t="shared" si="39"/>
        <v>99.6</v>
      </c>
      <c r="GV158" s="2">
        <f t="shared" si="40"/>
        <v>78.234000000000009</v>
      </c>
      <c r="GW158" s="2">
        <f t="shared" si="41"/>
        <v>0</v>
      </c>
      <c r="GX158" s="2"/>
      <c r="GY158" s="2"/>
      <c r="GZ158" s="2"/>
      <c r="HA158" s="2"/>
      <c r="HB158" s="2">
        <f t="shared" si="42"/>
        <v>0</v>
      </c>
      <c r="HC158" s="2">
        <f t="shared" si="43"/>
        <v>0</v>
      </c>
      <c r="HD158" s="2" t="s">
        <v>3</v>
      </c>
      <c r="HE158" s="2" t="s">
        <v>37</v>
      </c>
      <c r="HF158" s="2" t="s">
        <v>114</v>
      </c>
      <c r="HG158" s="2" t="s">
        <v>114</v>
      </c>
      <c r="HH158" s="2"/>
      <c r="HI158" s="2" t="s">
        <v>81</v>
      </c>
      <c r="HJ158" s="2" t="s">
        <v>3</v>
      </c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 t="s">
        <v>3</v>
      </c>
    </row>
    <row r="159" spans="1:268" ht="15.75" customHeight="1" x14ac:dyDescent="0.2">
      <c r="A159" s="13" t="s">
        <v>921</v>
      </c>
      <c r="B159" s="2" t="s">
        <v>99</v>
      </c>
      <c r="C159" s="2"/>
      <c r="D159" s="2"/>
      <c r="E159" s="2" t="s">
        <v>78</v>
      </c>
      <c r="F159" s="2" t="s">
        <v>922</v>
      </c>
      <c r="G159" s="2"/>
      <c r="H159" s="2" t="s">
        <v>80</v>
      </c>
      <c r="I159" s="2">
        <v>0</v>
      </c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>
        <v>0</v>
      </c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>
        <f>16+2+31</f>
        <v>49</v>
      </c>
      <c r="AZ159" s="2"/>
      <c r="BA159" s="2"/>
      <c r="BB159" s="2"/>
      <c r="BC159" s="2"/>
      <c r="BD159" s="2"/>
      <c r="BE159" s="2"/>
      <c r="BF159" s="2"/>
      <c r="BG159" s="4">
        <f>(0.56*16+0.74*2+0.55*31)/AY159</f>
        <v>0.56102040816326537</v>
      </c>
      <c r="BH159" s="4">
        <f>(0.026*16+0*2+0.02*31)/AY159</f>
        <v>2.1142857142857144E-2</v>
      </c>
      <c r="BI159" s="2"/>
      <c r="BJ159" s="2"/>
      <c r="BK159" s="2"/>
      <c r="BL159" s="2"/>
      <c r="BM159" s="2"/>
      <c r="BN159" s="2"/>
      <c r="BO159" s="15">
        <f>(0*16+0*2+11.3*31)/AY159</f>
        <v>7.1489795918367349</v>
      </c>
      <c r="BP159" s="2"/>
      <c r="BQ159" s="2"/>
      <c r="BR159" s="2"/>
      <c r="BS159" s="2"/>
      <c r="BT159" s="2">
        <v>0</v>
      </c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>
        <v>0</v>
      </c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 t="s">
        <v>81</v>
      </c>
      <c r="DK159" s="2" t="s">
        <v>81</v>
      </c>
      <c r="DL159" s="2">
        <f t="shared" si="3"/>
        <v>0.56102040816326537</v>
      </c>
      <c r="DM159" s="2">
        <f t="shared" si="4"/>
        <v>2.1142857142857144E-2</v>
      </c>
      <c r="DN159" s="2" t="s">
        <v>175</v>
      </c>
      <c r="DO159" s="2" t="s">
        <v>3</v>
      </c>
      <c r="DP159" s="2">
        <f t="shared" si="5"/>
        <v>0</v>
      </c>
      <c r="DQ159" s="2">
        <f t="shared" ref="DQ159:DR159" si="2731">K159*$I159+AF159*$AD159+BA159*$AY159</f>
        <v>0</v>
      </c>
      <c r="DR159" s="2">
        <f t="shared" si="2731"/>
        <v>0</v>
      </c>
      <c r="DS159" s="2">
        <f t="shared" ref="DS159:DX159" si="2732">(M159*$I159+AH159*$AD159+BC159*$AY159)/100</f>
        <v>0</v>
      </c>
      <c r="DT159" s="2">
        <f t="shared" si="2732"/>
        <v>0</v>
      </c>
      <c r="DU159" s="2">
        <f t="shared" si="2732"/>
        <v>0</v>
      </c>
      <c r="DV159" s="2">
        <f t="shared" si="2732"/>
        <v>0</v>
      </c>
      <c r="DW159" s="2">
        <f t="shared" si="2732"/>
        <v>0.27490000000000003</v>
      </c>
      <c r="DX159" s="2">
        <f t="shared" si="2732"/>
        <v>1.0360000000000001E-2</v>
      </c>
      <c r="DY159" s="2">
        <f t="shared" ref="DY159:EC159" si="2733">S159*$I159+AN159*$AD159+BI159*$AY159</f>
        <v>0</v>
      </c>
      <c r="DZ159" s="2">
        <f t="shared" si="2733"/>
        <v>0</v>
      </c>
      <c r="EA159" s="2">
        <f t="shared" si="2733"/>
        <v>0</v>
      </c>
      <c r="EB159" s="2">
        <f t="shared" si="2733"/>
        <v>0</v>
      </c>
      <c r="EC159" s="2">
        <f t="shared" si="2733"/>
        <v>0</v>
      </c>
      <c r="ED159" s="2">
        <f t="shared" ref="ED159:EE159" si="2734">(X159*$I159+AS159*$AD159+BN159*$AY159)/100</f>
        <v>0</v>
      </c>
      <c r="EE159" s="2">
        <f t="shared" si="2734"/>
        <v>3.5030000000000001</v>
      </c>
      <c r="EF159" s="2"/>
      <c r="EG159" s="2">
        <f t="shared" si="10"/>
        <v>0</v>
      </c>
      <c r="EH159" s="2">
        <f t="shared" si="11"/>
        <v>0</v>
      </c>
      <c r="EI159" s="39">
        <f t="shared" si="12"/>
        <v>0</v>
      </c>
      <c r="EJ159" s="39">
        <f t="shared" ref="EJ159:EK159" si="2735">EJ$1*DQ159/1000000</f>
        <v>0</v>
      </c>
      <c r="EK159" s="39">
        <f t="shared" si="2735"/>
        <v>0</v>
      </c>
      <c r="EL159" s="39">
        <f t="shared" ref="EL159:EQ159" si="2736">EL$1*DS159</f>
        <v>0</v>
      </c>
      <c r="EM159" s="39">
        <f t="shared" si="2736"/>
        <v>0</v>
      </c>
      <c r="EN159" s="39">
        <f t="shared" si="2736"/>
        <v>0</v>
      </c>
      <c r="EO159" s="39">
        <f t="shared" si="2736"/>
        <v>0</v>
      </c>
      <c r="EP159" s="39">
        <f t="shared" si="2736"/>
        <v>3605.0386000000003</v>
      </c>
      <c r="EQ159" s="39">
        <f t="shared" si="2736"/>
        <v>752.33826864000002</v>
      </c>
      <c r="ER159" s="39">
        <f t="shared" ref="ER159:EV159" si="2737">ER$1*DY159/1000000</f>
        <v>0</v>
      </c>
      <c r="ES159" s="39">
        <f t="shared" si="2737"/>
        <v>0</v>
      </c>
      <c r="ET159" s="39">
        <f t="shared" si="2737"/>
        <v>0</v>
      </c>
      <c r="EU159" s="39">
        <f t="shared" si="2737"/>
        <v>0</v>
      </c>
      <c r="EV159" s="39">
        <f t="shared" si="2737"/>
        <v>0</v>
      </c>
      <c r="EW159" s="39">
        <f t="shared" ref="EW159:EX159" si="2738">EW$1*ED159</f>
        <v>0</v>
      </c>
      <c r="EX159" s="39">
        <f t="shared" si="2738"/>
        <v>325.779</v>
      </c>
      <c r="EY159" s="2"/>
      <c r="EZ159" s="39">
        <f t="shared" si="17"/>
        <v>0</v>
      </c>
      <c r="FA159" s="39">
        <f t="shared" si="18"/>
        <v>0</v>
      </c>
      <c r="FB159" s="2">
        <f t="shared" si="19"/>
        <v>0</v>
      </c>
      <c r="FC159" s="2">
        <f t="shared" ref="FC159:FD159" si="2739">BV159*$BT159+CQ159*$CO159</f>
        <v>0</v>
      </c>
      <c r="FD159" s="2">
        <f t="shared" si="2739"/>
        <v>0</v>
      </c>
      <c r="FE159" s="2">
        <f t="shared" ref="FE159:FJ159" si="2740">(BX159*$BT159+CS159*$CO159)/100</f>
        <v>0</v>
      </c>
      <c r="FF159" s="2">
        <f t="shared" si="2740"/>
        <v>0</v>
      </c>
      <c r="FG159" s="2">
        <f t="shared" si="2740"/>
        <v>0</v>
      </c>
      <c r="FH159" s="2">
        <f t="shared" si="2740"/>
        <v>0</v>
      </c>
      <c r="FI159" s="2">
        <f t="shared" si="2740"/>
        <v>0</v>
      </c>
      <c r="FJ159" s="2">
        <f t="shared" si="2740"/>
        <v>0</v>
      </c>
      <c r="FK159" s="2">
        <f t="shared" ref="FK159:FO159" si="2741">CD159*$BT159+CY159*$CO159</f>
        <v>0</v>
      </c>
      <c r="FL159" s="2">
        <f t="shared" si="2741"/>
        <v>0</v>
      </c>
      <c r="FM159" s="2">
        <f t="shared" si="2741"/>
        <v>0</v>
      </c>
      <c r="FN159" s="2">
        <f t="shared" si="2741"/>
        <v>0</v>
      </c>
      <c r="FO159" s="2">
        <f t="shared" si="2741"/>
        <v>0</v>
      </c>
      <c r="FP159" s="2">
        <f t="shared" ref="FP159:FQ159" si="2742">(CI159*$BT159+DD159*$CO159)/100</f>
        <v>0</v>
      </c>
      <c r="FQ159" s="2">
        <f t="shared" si="2742"/>
        <v>0</v>
      </c>
      <c r="FR159" s="2"/>
      <c r="FS159" s="2">
        <f t="shared" si="24"/>
        <v>0</v>
      </c>
      <c r="FT159" s="2">
        <f t="shared" si="25"/>
        <v>0</v>
      </c>
      <c r="FU159" s="39">
        <f t="shared" si="26"/>
        <v>0</v>
      </c>
      <c r="FV159" s="39">
        <f t="shared" ref="FV159:FW159" si="2743">FV$1*FC159/1000000</f>
        <v>0</v>
      </c>
      <c r="FW159" s="39">
        <f t="shared" si="2743"/>
        <v>0</v>
      </c>
      <c r="FX159" s="39">
        <f t="shared" ref="FX159:GC159" si="2744">FX$1*FE159</f>
        <v>0</v>
      </c>
      <c r="FY159" s="39">
        <f t="shared" si="2744"/>
        <v>0</v>
      </c>
      <c r="FZ159" s="39">
        <f t="shared" si="2744"/>
        <v>0</v>
      </c>
      <c r="GA159" s="39">
        <f t="shared" si="2744"/>
        <v>0</v>
      </c>
      <c r="GB159" s="39">
        <f t="shared" si="2744"/>
        <v>0</v>
      </c>
      <c r="GC159" s="39">
        <f t="shared" si="2744"/>
        <v>0</v>
      </c>
      <c r="GD159" s="39">
        <f t="shared" ref="GD159:GH159" si="2745">GD$1*FK159/1000000</f>
        <v>0</v>
      </c>
      <c r="GE159" s="39">
        <f t="shared" si="2745"/>
        <v>0</v>
      </c>
      <c r="GF159" s="39">
        <f t="shared" si="2745"/>
        <v>0</v>
      </c>
      <c r="GG159" s="39">
        <f t="shared" si="2745"/>
        <v>0</v>
      </c>
      <c r="GH159" s="39">
        <f t="shared" si="2745"/>
        <v>0</v>
      </c>
      <c r="GI159" s="39">
        <f t="shared" ref="GI159:GJ159" si="2746">GI$1*FP159</f>
        <v>0</v>
      </c>
      <c r="GJ159" s="39">
        <f t="shared" si="2746"/>
        <v>0</v>
      </c>
      <c r="GK159" s="2"/>
      <c r="GL159" s="39">
        <f t="shared" si="31"/>
        <v>0</v>
      </c>
      <c r="GM159" s="39">
        <f t="shared" si="32"/>
        <v>0</v>
      </c>
      <c r="GN159" s="2" t="s">
        <v>3</v>
      </c>
      <c r="GO159" s="2">
        <f t="shared" si="33"/>
        <v>49</v>
      </c>
      <c r="GP159" s="4">
        <f t="shared" si="34"/>
        <v>0.56102040816326537</v>
      </c>
      <c r="GQ159" s="15">
        <f t="shared" si="35"/>
        <v>274.90000000000003</v>
      </c>
      <c r="GR159" s="15">
        <f t="shared" si="36"/>
        <v>4683.1558686400003</v>
      </c>
      <c r="GS159" s="15">
        <f t="shared" si="37"/>
        <v>95.574609564081641</v>
      </c>
      <c r="GT159" s="2">
        <f t="shared" si="38"/>
        <v>0</v>
      </c>
      <c r="GU159" s="2">
        <f t="shared" si="39"/>
        <v>0</v>
      </c>
      <c r="GV159" s="2">
        <f t="shared" si="40"/>
        <v>274.90000000000003</v>
      </c>
      <c r="GW159" s="2">
        <f t="shared" si="41"/>
        <v>0</v>
      </c>
      <c r="GX159" s="2"/>
      <c r="GY159" s="2"/>
      <c r="GZ159" s="2"/>
      <c r="HA159" s="2"/>
      <c r="HB159" s="2">
        <f t="shared" si="42"/>
        <v>0</v>
      </c>
      <c r="HC159" s="2">
        <f t="shared" si="43"/>
        <v>0</v>
      </c>
      <c r="HD159" s="2" t="s">
        <v>3</v>
      </c>
      <c r="HE159" s="2" t="s">
        <v>37</v>
      </c>
      <c r="HF159" s="2" t="s">
        <v>114</v>
      </c>
      <c r="HG159" s="2" t="s">
        <v>114</v>
      </c>
      <c r="HH159" s="2"/>
      <c r="HI159" s="2" t="s">
        <v>81</v>
      </c>
      <c r="HJ159" s="2" t="s">
        <v>3</v>
      </c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 t="s">
        <v>3</v>
      </c>
    </row>
    <row r="160" spans="1:268" ht="15.75" customHeight="1" x14ac:dyDescent="0.2">
      <c r="A160" s="13" t="s">
        <v>1101</v>
      </c>
      <c r="B160" s="2" t="s">
        <v>99</v>
      </c>
      <c r="C160" s="2"/>
      <c r="D160" s="2"/>
      <c r="E160" s="2" t="s">
        <v>78</v>
      </c>
      <c r="F160" s="2" t="s">
        <v>1102</v>
      </c>
      <c r="G160" s="2"/>
      <c r="H160" s="2" t="s">
        <v>80</v>
      </c>
      <c r="I160" s="2">
        <v>7.8</v>
      </c>
      <c r="J160" s="2"/>
      <c r="K160" s="2"/>
      <c r="L160" s="2"/>
      <c r="M160" s="2"/>
      <c r="N160" s="2"/>
      <c r="O160" s="2"/>
      <c r="P160" s="2"/>
      <c r="Q160" s="2">
        <v>0.96</v>
      </c>
      <c r="R160" s="2">
        <v>7.0000000000000007E-2</v>
      </c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15">
        <f>0.1+2+2.5+0.4</f>
        <v>5</v>
      </c>
      <c r="AE160" s="2"/>
      <c r="AF160" s="2"/>
      <c r="AG160" s="2"/>
      <c r="AH160" s="2"/>
      <c r="AI160" s="2"/>
      <c r="AJ160" s="2"/>
      <c r="AK160" s="2"/>
      <c r="AL160" s="4">
        <f>(0.81*0.1+0.86*2+0.81*2.5+0.84*0.4)/AD160</f>
        <v>0.83240000000000014</v>
      </c>
      <c r="AM160" s="4">
        <f>(0.05*0.1+0.03*2+0.05*2.5+0.03*0.4)/AD160</f>
        <v>4.0400000000000005E-2</v>
      </c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>
        <v>0</v>
      </c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>
        <v>0</v>
      </c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>
        <v>0</v>
      </c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 t="s">
        <v>81</v>
      </c>
      <c r="DK160" s="2" t="s">
        <v>81</v>
      </c>
      <c r="DL160" s="2">
        <f t="shared" si="3"/>
        <v>0.91015625</v>
      </c>
      <c r="DM160" s="2">
        <f t="shared" si="4"/>
        <v>5.8437499999999996E-2</v>
      </c>
      <c r="DN160" s="2" t="s">
        <v>1103</v>
      </c>
      <c r="DO160" s="2" t="s">
        <v>3</v>
      </c>
      <c r="DP160" s="2">
        <f t="shared" si="5"/>
        <v>0</v>
      </c>
      <c r="DQ160" s="2">
        <f t="shared" ref="DQ160:DR160" si="2747">K160*$I160+AF160*$AD160+BA160*$AY160</f>
        <v>0</v>
      </c>
      <c r="DR160" s="2">
        <f t="shared" si="2747"/>
        <v>0</v>
      </c>
      <c r="DS160" s="2">
        <f t="shared" ref="DS160:DX160" si="2748">(M160*$I160+AH160*$AD160+BC160*$AY160)/100</f>
        <v>0</v>
      </c>
      <c r="DT160" s="2">
        <f t="shared" si="2748"/>
        <v>0</v>
      </c>
      <c r="DU160" s="2">
        <f t="shared" si="2748"/>
        <v>0</v>
      </c>
      <c r="DV160" s="2">
        <f t="shared" si="2748"/>
        <v>0</v>
      </c>
      <c r="DW160" s="2">
        <f t="shared" si="2748"/>
        <v>0.11650000000000001</v>
      </c>
      <c r="DX160" s="2">
        <f t="shared" si="2748"/>
        <v>7.4799999999999997E-3</v>
      </c>
      <c r="DY160" s="2">
        <f t="shared" ref="DY160:EC160" si="2749">S160*$I160+AN160*$AD160+BI160*$AY160</f>
        <v>0</v>
      </c>
      <c r="DZ160" s="2">
        <f t="shared" si="2749"/>
        <v>0</v>
      </c>
      <c r="EA160" s="2">
        <f t="shared" si="2749"/>
        <v>0</v>
      </c>
      <c r="EB160" s="2">
        <f t="shared" si="2749"/>
        <v>0</v>
      </c>
      <c r="EC160" s="2">
        <f t="shared" si="2749"/>
        <v>0</v>
      </c>
      <c r="ED160" s="2">
        <f t="shared" ref="ED160:EE160" si="2750">(X160*$I160+AS160*$AD160+BN160*$AY160)/100</f>
        <v>0</v>
      </c>
      <c r="EE160" s="2">
        <f t="shared" si="2750"/>
        <v>0</v>
      </c>
      <c r="EF160" s="2"/>
      <c r="EG160" s="2">
        <f t="shared" si="10"/>
        <v>0</v>
      </c>
      <c r="EH160" s="2">
        <f t="shared" si="11"/>
        <v>0</v>
      </c>
      <c r="EI160" s="39">
        <f t="shared" si="12"/>
        <v>0</v>
      </c>
      <c r="EJ160" s="39">
        <f t="shared" ref="EJ160:EK160" si="2751">EJ$1*DQ160/1000000</f>
        <v>0</v>
      </c>
      <c r="EK160" s="39">
        <f t="shared" si="2751"/>
        <v>0</v>
      </c>
      <c r="EL160" s="39">
        <f t="shared" ref="EL160:EQ160" si="2752">EL$1*DS160</f>
        <v>0</v>
      </c>
      <c r="EM160" s="39">
        <f t="shared" si="2752"/>
        <v>0</v>
      </c>
      <c r="EN160" s="39">
        <f t="shared" si="2752"/>
        <v>0</v>
      </c>
      <c r="EO160" s="39">
        <f t="shared" si="2752"/>
        <v>0</v>
      </c>
      <c r="EP160" s="39">
        <f t="shared" si="2752"/>
        <v>1527.7810000000002</v>
      </c>
      <c r="EQ160" s="39">
        <f t="shared" si="2752"/>
        <v>543.19403951999993</v>
      </c>
      <c r="ER160" s="39">
        <f t="shared" ref="ER160:EV160" si="2753">ER$1*DY160/1000000</f>
        <v>0</v>
      </c>
      <c r="ES160" s="39">
        <f t="shared" si="2753"/>
        <v>0</v>
      </c>
      <c r="ET160" s="39">
        <f t="shared" si="2753"/>
        <v>0</v>
      </c>
      <c r="EU160" s="39">
        <f t="shared" si="2753"/>
        <v>0</v>
      </c>
      <c r="EV160" s="39">
        <f t="shared" si="2753"/>
        <v>0</v>
      </c>
      <c r="EW160" s="39">
        <f t="shared" ref="EW160:EX160" si="2754">EW$1*ED160</f>
        <v>0</v>
      </c>
      <c r="EX160" s="39">
        <f t="shared" si="2754"/>
        <v>0</v>
      </c>
      <c r="EY160" s="2"/>
      <c r="EZ160" s="39">
        <f t="shared" si="17"/>
        <v>0</v>
      </c>
      <c r="FA160" s="39">
        <f t="shared" si="18"/>
        <v>0</v>
      </c>
      <c r="FB160" s="2">
        <f t="shared" si="19"/>
        <v>0</v>
      </c>
      <c r="FC160" s="2">
        <f t="shared" ref="FC160:FD160" si="2755">BV160*$BT160+CQ160*$CO160</f>
        <v>0</v>
      </c>
      <c r="FD160" s="2">
        <f t="shared" si="2755"/>
        <v>0</v>
      </c>
      <c r="FE160" s="2">
        <f t="shared" ref="FE160:FJ160" si="2756">(BX160*$BT160+CS160*$CO160)/100</f>
        <v>0</v>
      </c>
      <c r="FF160" s="2">
        <f t="shared" si="2756"/>
        <v>0</v>
      </c>
      <c r="FG160" s="2">
        <f t="shared" si="2756"/>
        <v>0</v>
      </c>
      <c r="FH160" s="2">
        <f t="shared" si="2756"/>
        <v>0</v>
      </c>
      <c r="FI160" s="2">
        <f t="shared" si="2756"/>
        <v>0</v>
      </c>
      <c r="FJ160" s="2">
        <f t="shared" si="2756"/>
        <v>0</v>
      </c>
      <c r="FK160" s="2">
        <f t="shared" ref="FK160:FO160" si="2757">CD160*$BT160+CY160*$CO160</f>
        <v>0</v>
      </c>
      <c r="FL160" s="2">
        <f t="shared" si="2757"/>
        <v>0</v>
      </c>
      <c r="FM160" s="2">
        <f t="shared" si="2757"/>
        <v>0</v>
      </c>
      <c r="FN160" s="2">
        <f t="shared" si="2757"/>
        <v>0</v>
      </c>
      <c r="FO160" s="2">
        <f t="shared" si="2757"/>
        <v>0</v>
      </c>
      <c r="FP160" s="2">
        <f t="shared" ref="FP160:FQ160" si="2758">(CI160*$BT160+DD160*$CO160)/100</f>
        <v>0</v>
      </c>
      <c r="FQ160" s="2">
        <f t="shared" si="2758"/>
        <v>0</v>
      </c>
      <c r="FR160" s="2"/>
      <c r="FS160" s="2">
        <f t="shared" si="24"/>
        <v>0</v>
      </c>
      <c r="FT160" s="2">
        <f t="shared" si="25"/>
        <v>0</v>
      </c>
      <c r="FU160" s="39">
        <f t="shared" si="26"/>
        <v>0</v>
      </c>
      <c r="FV160" s="39">
        <f t="shared" ref="FV160:FW160" si="2759">FV$1*FC160/1000000</f>
        <v>0</v>
      </c>
      <c r="FW160" s="39">
        <f t="shared" si="2759"/>
        <v>0</v>
      </c>
      <c r="FX160" s="39">
        <f t="shared" ref="FX160:GC160" si="2760">FX$1*FE160</f>
        <v>0</v>
      </c>
      <c r="FY160" s="39">
        <f t="shared" si="2760"/>
        <v>0</v>
      </c>
      <c r="FZ160" s="39">
        <f t="shared" si="2760"/>
        <v>0</v>
      </c>
      <c r="GA160" s="39">
        <f t="shared" si="2760"/>
        <v>0</v>
      </c>
      <c r="GB160" s="39">
        <f t="shared" si="2760"/>
        <v>0</v>
      </c>
      <c r="GC160" s="39">
        <f t="shared" si="2760"/>
        <v>0</v>
      </c>
      <c r="GD160" s="39">
        <f t="shared" ref="GD160:GH160" si="2761">GD$1*FK160/1000000</f>
        <v>0</v>
      </c>
      <c r="GE160" s="39">
        <f t="shared" si="2761"/>
        <v>0</v>
      </c>
      <c r="GF160" s="39">
        <f t="shared" si="2761"/>
        <v>0</v>
      </c>
      <c r="GG160" s="39">
        <f t="shared" si="2761"/>
        <v>0</v>
      </c>
      <c r="GH160" s="39">
        <f t="shared" si="2761"/>
        <v>0</v>
      </c>
      <c r="GI160" s="39">
        <f t="shared" ref="GI160:GJ160" si="2762">GI$1*FP160</f>
        <v>0</v>
      </c>
      <c r="GJ160" s="39">
        <f t="shared" si="2762"/>
        <v>0</v>
      </c>
      <c r="GK160" s="2"/>
      <c r="GL160" s="39">
        <f t="shared" si="31"/>
        <v>0</v>
      </c>
      <c r="GM160" s="39">
        <f t="shared" si="32"/>
        <v>0</v>
      </c>
      <c r="GN160" s="2" t="s">
        <v>3</v>
      </c>
      <c r="GO160" s="15">
        <f t="shared" si="33"/>
        <v>12.8</v>
      </c>
      <c r="GP160" s="4">
        <f t="shared" si="34"/>
        <v>0.91015625</v>
      </c>
      <c r="GQ160" s="15">
        <f t="shared" si="35"/>
        <v>116.5</v>
      </c>
      <c r="GR160" s="15">
        <f t="shared" si="36"/>
        <v>2070.9750395199999</v>
      </c>
      <c r="GS160" s="15">
        <f t="shared" si="37"/>
        <v>161.79492496249998</v>
      </c>
      <c r="GT160" s="2">
        <f t="shared" si="38"/>
        <v>74.88</v>
      </c>
      <c r="GU160" s="2">
        <f t="shared" si="39"/>
        <v>41.620000000000012</v>
      </c>
      <c r="GV160" s="2">
        <f t="shared" si="40"/>
        <v>0</v>
      </c>
      <c r="GW160" s="2">
        <f t="shared" si="41"/>
        <v>0</v>
      </c>
      <c r="GX160" s="2"/>
      <c r="GY160" s="2"/>
      <c r="GZ160" s="2"/>
      <c r="HA160" s="2"/>
      <c r="HB160" s="2">
        <f t="shared" si="42"/>
        <v>0</v>
      </c>
      <c r="HC160" s="2">
        <f t="shared" si="43"/>
        <v>0</v>
      </c>
      <c r="HD160" s="2" t="s">
        <v>3</v>
      </c>
      <c r="HE160" s="2" t="s">
        <v>37</v>
      </c>
      <c r="HF160" s="2" t="s">
        <v>114</v>
      </c>
      <c r="HG160" s="2" t="s">
        <v>114</v>
      </c>
      <c r="HH160" s="2"/>
      <c r="HI160" s="2" t="s">
        <v>81</v>
      </c>
      <c r="HJ160" s="2" t="s">
        <v>3</v>
      </c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 t="s">
        <v>3</v>
      </c>
    </row>
    <row r="161" spans="1:268" ht="15.75" customHeight="1" x14ac:dyDescent="0.2">
      <c r="A161" s="13" t="s">
        <v>1108</v>
      </c>
      <c r="B161" s="2" t="s">
        <v>99</v>
      </c>
      <c r="C161" s="2"/>
      <c r="D161" s="2"/>
      <c r="E161" s="2" t="s">
        <v>78</v>
      </c>
      <c r="F161" s="2" t="s">
        <v>1102</v>
      </c>
      <c r="G161" s="2"/>
      <c r="H161" s="2" t="s">
        <v>80</v>
      </c>
      <c r="I161" s="2">
        <v>2.2000000000000002</v>
      </c>
      <c r="J161" s="2"/>
      <c r="K161" s="2"/>
      <c r="L161" s="2"/>
      <c r="M161" s="2"/>
      <c r="N161" s="2"/>
      <c r="O161" s="2"/>
      <c r="P161" s="2"/>
      <c r="Q161" s="2">
        <v>0.56999999999999995</v>
      </c>
      <c r="R161" s="2">
        <v>0.11</v>
      </c>
      <c r="S161" s="2"/>
      <c r="T161" s="2"/>
      <c r="U161" s="2"/>
      <c r="V161" s="2"/>
      <c r="W161" s="2"/>
      <c r="X161" s="2"/>
      <c r="Y161" s="2"/>
      <c r="Z161" s="2"/>
      <c r="AA161" s="2">
        <v>80</v>
      </c>
      <c r="AB161" s="2"/>
      <c r="AC161" s="2"/>
      <c r="AD161" s="2">
        <v>17.2</v>
      </c>
      <c r="AE161" s="2"/>
      <c r="AF161" s="2"/>
      <c r="AG161" s="2"/>
      <c r="AH161" s="2"/>
      <c r="AI161" s="2"/>
      <c r="AJ161" s="2"/>
      <c r="AK161" s="2"/>
      <c r="AL161" s="2">
        <v>0.56000000000000005</v>
      </c>
      <c r="AM161" s="2">
        <v>0.09</v>
      </c>
      <c r="AN161" s="2"/>
      <c r="AO161" s="2"/>
      <c r="AP161" s="2"/>
      <c r="AQ161" s="2"/>
      <c r="AR161" s="2"/>
      <c r="AS161" s="2"/>
      <c r="AT161" s="2"/>
      <c r="AU161" s="2"/>
      <c r="AV161" s="2">
        <v>49</v>
      </c>
      <c r="AW161" s="2"/>
      <c r="AX161" s="2"/>
      <c r="AY161" s="2">
        <v>10.199999999999999</v>
      </c>
      <c r="AZ161" s="2"/>
      <c r="BA161" s="2"/>
      <c r="BB161" s="2"/>
      <c r="BC161" s="2"/>
      <c r="BD161" s="2"/>
      <c r="BE161" s="2"/>
      <c r="BF161" s="2"/>
      <c r="BG161" s="2">
        <v>0.36</v>
      </c>
      <c r="BH161" s="2">
        <v>0.04</v>
      </c>
      <c r="BI161" s="2"/>
      <c r="BJ161" s="2"/>
      <c r="BK161" s="2"/>
      <c r="BL161" s="2"/>
      <c r="BM161" s="2"/>
      <c r="BN161" s="2"/>
      <c r="BO161" s="2"/>
      <c r="BP161" s="2"/>
      <c r="BQ161" s="2">
        <v>59</v>
      </c>
      <c r="BR161" s="2"/>
      <c r="BS161" s="2"/>
      <c r="BT161" s="2">
        <v>0</v>
      </c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>
        <v>0</v>
      </c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 t="s">
        <v>81</v>
      </c>
      <c r="DK161" s="2" t="s">
        <v>81</v>
      </c>
      <c r="DL161" s="2">
        <f t="shared" si="3"/>
        <v>0.49182432432432438</v>
      </c>
      <c r="DM161" s="2">
        <f t="shared" si="4"/>
        <v>7.4256756756756762E-2</v>
      </c>
      <c r="DN161" s="2" t="s">
        <v>1103</v>
      </c>
      <c r="DO161" s="2" t="s">
        <v>3</v>
      </c>
      <c r="DP161" s="2">
        <f t="shared" si="5"/>
        <v>0</v>
      </c>
      <c r="DQ161" s="2">
        <f t="shared" ref="DQ161:DR161" si="2763">K161*$I161+AF161*$AD161+BA161*$AY161</f>
        <v>0</v>
      </c>
      <c r="DR161" s="2">
        <f t="shared" si="2763"/>
        <v>0</v>
      </c>
      <c r="DS161" s="2">
        <f t="shared" ref="DS161:DX161" si="2764">(M161*$I161+AH161*$AD161+BC161*$AY161)/100</f>
        <v>0</v>
      </c>
      <c r="DT161" s="2">
        <f t="shared" si="2764"/>
        <v>0</v>
      </c>
      <c r="DU161" s="2">
        <f t="shared" si="2764"/>
        <v>0</v>
      </c>
      <c r="DV161" s="2">
        <f t="shared" si="2764"/>
        <v>0</v>
      </c>
      <c r="DW161" s="2">
        <f t="shared" si="2764"/>
        <v>0.14557999999999999</v>
      </c>
      <c r="DX161" s="2">
        <f t="shared" si="2764"/>
        <v>2.198E-2</v>
      </c>
      <c r="DY161" s="2">
        <f t="shared" ref="DY161:EC161" si="2765">S161*$I161+AN161*$AD161+BI161*$AY161</f>
        <v>0</v>
      </c>
      <c r="DZ161" s="2">
        <f t="shared" si="2765"/>
        <v>0</v>
      </c>
      <c r="EA161" s="2">
        <f t="shared" si="2765"/>
        <v>0</v>
      </c>
      <c r="EB161" s="2">
        <f t="shared" si="2765"/>
        <v>0</v>
      </c>
      <c r="EC161" s="2">
        <f t="shared" si="2765"/>
        <v>0</v>
      </c>
      <c r="ED161" s="2">
        <f t="shared" ref="ED161:EE161" si="2766">(X161*$I161+AS161*$AD161+BN161*$AY161)/100</f>
        <v>0</v>
      </c>
      <c r="EE161" s="2">
        <f t="shared" si="2766"/>
        <v>0</v>
      </c>
      <c r="EF161" s="2"/>
      <c r="EG161" s="2">
        <f t="shared" si="10"/>
        <v>1620.6</v>
      </c>
      <c r="EH161" s="2">
        <f t="shared" si="11"/>
        <v>0</v>
      </c>
      <c r="EI161" s="39">
        <f t="shared" si="12"/>
        <v>0</v>
      </c>
      <c r="EJ161" s="39">
        <f t="shared" ref="EJ161:EK161" si="2767">EJ$1*DQ161/1000000</f>
        <v>0</v>
      </c>
      <c r="EK161" s="39">
        <f t="shared" si="2767"/>
        <v>0</v>
      </c>
      <c r="EL161" s="39">
        <f t="shared" ref="EL161:EQ161" si="2768">EL$1*DS161</f>
        <v>0</v>
      </c>
      <c r="EM161" s="39">
        <f t="shared" si="2768"/>
        <v>0</v>
      </c>
      <c r="EN161" s="39">
        <f t="shared" si="2768"/>
        <v>0</v>
      </c>
      <c r="EO161" s="39">
        <f t="shared" si="2768"/>
        <v>0</v>
      </c>
      <c r="EP161" s="39">
        <f t="shared" si="2768"/>
        <v>1909.1361199999999</v>
      </c>
      <c r="EQ161" s="39">
        <f t="shared" si="2768"/>
        <v>1596.1771375199999</v>
      </c>
      <c r="ER161" s="39">
        <f t="shared" ref="ER161:EV161" si="2769">ER$1*DY161/1000000</f>
        <v>0</v>
      </c>
      <c r="ES161" s="39">
        <f t="shared" si="2769"/>
        <v>0</v>
      </c>
      <c r="ET161" s="39">
        <f t="shared" si="2769"/>
        <v>0</v>
      </c>
      <c r="EU161" s="39">
        <f t="shared" si="2769"/>
        <v>0</v>
      </c>
      <c r="EV161" s="39">
        <f t="shared" si="2769"/>
        <v>0</v>
      </c>
      <c r="EW161" s="39">
        <f t="shared" ref="EW161:EX161" si="2770">EW$1*ED161</f>
        <v>0</v>
      </c>
      <c r="EX161" s="39">
        <f t="shared" si="2770"/>
        <v>0</v>
      </c>
      <c r="EY161" s="2"/>
      <c r="EZ161" s="39">
        <f t="shared" si="17"/>
        <v>583.41600000000005</v>
      </c>
      <c r="FA161" s="39">
        <f t="shared" si="18"/>
        <v>0</v>
      </c>
      <c r="FB161" s="2">
        <f t="shared" si="19"/>
        <v>0</v>
      </c>
      <c r="FC161" s="2">
        <f t="shared" ref="FC161:FD161" si="2771">BV161*$BT161+CQ161*$CO161</f>
        <v>0</v>
      </c>
      <c r="FD161" s="2">
        <f t="shared" si="2771"/>
        <v>0</v>
      </c>
      <c r="FE161" s="2">
        <f t="shared" ref="FE161:FJ161" si="2772">(BX161*$BT161+CS161*$CO161)/100</f>
        <v>0</v>
      </c>
      <c r="FF161" s="2">
        <f t="shared" si="2772"/>
        <v>0</v>
      </c>
      <c r="FG161" s="2">
        <f t="shared" si="2772"/>
        <v>0</v>
      </c>
      <c r="FH161" s="2">
        <f t="shared" si="2772"/>
        <v>0</v>
      </c>
      <c r="FI161" s="2">
        <f t="shared" si="2772"/>
        <v>0</v>
      </c>
      <c r="FJ161" s="2">
        <f t="shared" si="2772"/>
        <v>0</v>
      </c>
      <c r="FK161" s="2">
        <f t="shared" ref="FK161:FO161" si="2773">CD161*$BT161+CY161*$CO161</f>
        <v>0</v>
      </c>
      <c r="FL161" s="2">
        <f t="shared" si="2773"/>
        <v>0</v>
      </c>
      <c r="FM161" s="2">
        <f t="shared" si="2773"/>
        <v>0</v>
      </c>
      <c r="FN161" s="2">
        <f t="shared" si="2773"/>
        <v>0</v>
      </c>
      <c r="FO161" s="2">
        <f t="shared" si="2773"/>
        <v>0</v>
      </c>
      <c r="FP161" s="2">
        <f t="shared" ref="FP161:FQ161" si="2774">(CI161*$BT161+DD161*$CO161)/100</f>
        <v>0</v>
      </c>
      <c r="FQ161" s="2">
        <f t="shared" si="2774"/>
        <v>0</v>
      </c>
      <c r="FR161" s="2"/>
      <c r="FS161" s="2">
        <f t="shared" si="24"/>
        <v>0</v>
      </c>
      <c r="FT161" s="2">
        <f t="shared" si="25"/>
        <v>0</v>
      </c>
      <c r="FU161" s="39">
        <f t="shared" si="26"/>
        <v>0</v>
      </c>
      <c r="FV161" s="39">
        <f t="shared" ref="FV161:FW161" si="2775">FV$1*FC161/1000000</f>
        <v>0</v>
      </c>
      <c r="FW161" s="39">
        <f t="shared" si="2775"/>
        <v>0</v>
      </c>
      <c r="FX161" s="39">
        <f t="shared" ref="FX161:GC161" si="2776">FX$1*FE161</f>
        <v>0</v>
      </c>
      <c r="FY161" s="39">
        <f t="shared" si="2776"/>
        <v>0</v>
      </c>
      <c r="FZ161" s="39">
        <f t="shared" si="2776"/>
        <v>0</v>
      </c>
      <c r="GA161" s="39">
        <f t="shared" si="2776"/>
        <v>0</v>
      </c>
      <c r="GB161" s="39">
        <f t="shared" si="2776"/>
        <v>0</v>
      </c>
      <c r="GC161" s="39">
        <f t="shared" si="2776"/>
        <v>0</v>
      </c>
      <c r="GD161" s="39">
        <f t="shared" ref="GD161:GH161" si="2777">GD$1*FK161/1000000</f>
        <v>0</v>
      </c>
      <c r="GE161" s="39">
        <f t="shared" si="2777"/>
        <v>0</v>
      </c>
      <c r="GF161" s="39">
        <f t="shared" si="2777"/>
        <v>0</v>
      </c>
      <c r="GG161" s="39">
        <f t="shared" si="2777"/>
        <v>0</v>
      </c>
      <c r="GH161" s="39">
        <f t="shared" si="2777"/>
        <v>0</v>
      </c>
      <c r="GI161" s="39">
        <f t="shared" ref="GI161:GJ161" si="2778">GI$1*FP161</f>
        <v>0</v>
      </c>
      <c r="GJ161" s="39">
        <f t="shared" si="2778"/>
        <v>0</v>
      </c>
      <c r="GK161" s="2"/>
      <c r="GL161" s="39">
        <f t="shared" si="31"/>
        <v>0</v>
      </c>
      <c r="GM161" s="39">
        <f t="shared" si="32"/>
        <v>0</v>
      </c>
      <c r="GN161" s="2" t="s">
        <v>3</v>
      </c>
      <c r="GO161" s="2">
        <f t="shared" si="33"/>
        <v>29.599999999999998</v>
      </c>
      <c r="GP161" s="4">
        <f t="shared" si="34"/>
        <v>0.49182432432432438</v>
      </c>
      <c r="GQ161" s="15">
        <f t="shared" si="35"/>
        <v>145.58000000000001</v>
      </c>
      <c r="GR161" s="15">
        <f t="shared" si="36"/>
        <v>4088.7292575199999</v>
      </c>
      <c r="GS161" s="15">
        <f t="shared" si="37"/>
        <v>138.13274518648649</v>
      </c>
      <c r="GT161" s="2">
        <f t="shared" si="38"/>
        <v>12.54</v>
      </c>
      <c r="GU161" s="2">
        <f t="shared" si="39"/>
        <v>96.32</v>
      </c>
      <c r="GV161" s="2">
        <f t="shared" si="40"/>
        <v>36.72</v>
      </c>
      <c r="GW161" s="2">
        <f t="shared" si="41"/>
        <v>0</v>
      </c>
      <c r="GX161" s="2"/>
      <c r="GY161" s="2"/>
      <c r="GZ161" s="2"/>
      <c r="HA161" s="2"/>
      <c r="HB161" s="2">
        <f t="shared" si="42"/>
        <v>0</v>
      </c>
      <c r="HC161" s="2">
        <f t="shared" si="43"/>
        <v>0</v>
      </c>
      <c r="HD161" s="2" t="s">
        <v>3</v>
      </c>
      <c r="HE161" s="2" t="s">
        <v>37</v>
      </c>
      <c r="HF161" s="2" t="s">
        <v>114</v>
      </c>
      <c r="HG161" s="2" t="s">
        <v>114</v>
      </c>
      <c r="HH161" s="2"/>
      <c r="HI161" s="2" t="s">
        <v>81</v>
      </c>
      <c r="HJ161" s="2" t="s">
        <v>3</v>
      </c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 t="s">
        <v>3</v>
      </c>
    </row>
    <row r="162" spans="1:268" ht="15.75" customHeight="1" x14ac:dyDescent="0.2">
      <c r="A162" s="13" t="s">
        <v>1105</v>
      </c>
      <c r="B162" s="2" t="s">
        <v>99</v>
      </c>
      <c r="C162" s="2"/>
      <c r="D162" s="2"/>
      <c r="E162" s="2" t="s">
        <v>78</v>
      </c>
      <c r="F162" s="2" t="s">
        <v>1102</v>
      </c>
      <c r="G162" s="2"/>
      <c r="H162" s="2" t="s">
        <v>80</v>
      </c>
      <c r="I162" s="2">
        <v>4.7</v>
      </c>
      <c r="J162" s="2"/>
      <c r="K162" s="2"/>
      <c r="L162" s="2"/>
      <c r="M162" s="2"/>
      <c r="N162" s="2"/>
      <c r="O162" s="2"/>
      <c r="P162" s="2"/>
      <c r="Q162" s="2">
        <v>0.82</v>
      </c>
      <c r="R162" s="2">
        <v>0.05</v>
      </c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>
        <v>0.9</v>
      </c>
      <c r="AE162" s="2"/>
      <c r="AF162" s="2"/>
      <c r="AG162" s="2"/>
      <c r="AH162" s="2"/>
      <c r="AI162" s="2"/>
      <c r="AJ162" s="2"/>
      <c r="AK162" s="2"/>
      <c r="AL162" s="2">
        <v>0.78</v>
      </c>
      <c r="AM162" s="2">
        <v>0.04</v>
      </c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>
        <v>0</v>
      </c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>
        <v>0</v>
      </c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>
        <v>0</v>
      </c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 t="s">
        <v>81</v>
      </c>
      <c r="DK162" s="2" t="s">
        <v>81</v>
      </c>
      <c r="DL162" s="2">
        <f t="shared" si="3"/>
        <v>0.8135714285714285</v>
      </c>
      <c r="DM162" s="2">
        <f t="shared" si="4"/>
        <v>4.839285714285714E-2</v>
      </c>
      <c r="DN162" s="2" t="s">
        <v>1103</v>
      </c>
      <c r="DO162" s="2" t="s">
        <v>3</v>
      </c>
      <c r="DP162" s="2">
        <f t="shared" si="5"/>
        <v>0</v>
      </c>
      <c r="DQ162" s="2">
        <f t="shared" ref="DQ162:DR162" si="2779">K162*$I162+AF162*$AD162+BA162*$AY162</f>
        <v>0</v>
      </c>
      <c r="DR162" s="2">
        <f t="shared" si="2779"/>
        <v>0</v>
      </c>
      <c r="DS162" s="2">
        <f t="shared" ref="DS162:DX162" si="2780">(M162*$I162+AH162*$AD162+BC162*$AY162)/100</f>
        <v>0</v>
      </c>
      <c r="DT162" s="2">
        <f t="shared" si="2780"/>
        <v>0</v>
      </c>
      <c r="DU162" s="2">
        <f t="shared" si="2780"/>
        <v>0</v>
      </c>
      <c r="DV162" s="2">
        <f t="shared" si="2780"/>
        <v>0</v>
      </c>
      <c r="DW162" s="2">
        <f t="shared" si="2780"/>
        <v>4.5560000000000003E-2</v>
      </c>
      <c r="DX162" s="2">
        <f t="shared" si="2780"/>
        <v>2.7100000000000002E-3</v>
      </c>
      <c r="DY162" s="2">
        <f t="shared" ref="DY162:EC162" si="2781">S162*$I162+AN162*$AD162+BI162*$AY162</f>
        <v>0</v>
      </c>
      <c r="DZ162" s="2">
        <f t="shared" si="2781"/>
        <v>0</v>
      </c>
      <c r="EA162" s="2">
        <f t="shared" si="2781"/>
        <v>0</v>
      </c>
      <c r="EB162" s="2">
        <f t="shared" si="2781"/>
        <v>0</v>
      </c>
      <c r="EC162" s="2">
        <f t="shared" si="2781"/>
        <v>0</v>
      </c>
      <c r="ED162" s="2">
        <f t="shared" ref="ED162:EE162" si="2782">(X162*$I162+AS162*$AD162+BN162*$AY162)/100</f>
        <v>0</v>
      </c>
      <c r="EE162" s="2">
        <f t="shared" si="2782"/>
        <v>0</v>
      </c>
      <c r="EF162" s="2"/>
      <c r="EG162" s="2">
        <f t="shared" si="10"/>
        <v>0</v>
      </c>
      <c r="EH162" s="2">
        <f t="shared" si="11"/>
        <v>0</v>
      </c>
      <c r="EI162" s="39">
        <f t="shared" si="12"/>
        <v>0</v>
      </c>
      <c r="EJ162" s="39">
        <f t="shared" ref="EJ162:EK162" si="2783">EJ$1*DQ162/1000000</f>
        <v>0</v>
      </c>
      <c r="EK162" s="39">
        <f t="shared" si="2783"/>
        <v>0</v>
      </c>
      <c r="EL162" s="39">
        <f t="shared" ref="EL162:EQ162" si="2784">EL$1*DS162</f>
        <v>0</v>
      </c>
      <c r="EM162" s="39">
        <f t="shared" si="2784"/>
        <v>0</v>
      </c>
      <c r="EN162" s="39">
        <f t="shared" si="2784"/>
        <v>0</v>
      </c>
      <c r="EO162" s="39">
        <f t="shared" si="2784"/>
        <v>0</v>
      </c>
      <c r="EP162" s="39">
        <f t="shared" si="2784"/>
        <v>597.47384</v>
      </c>
      <c r="EQ162" s="39">
        <f t="shared" si="2784"/>
        <v>196.79891003999998</v>
      </c>
      <c r="ER162" s="39">
        <f t="shared" ref="ER162:EV162" si="2785">ER$1*DY162/1000000</f>
        <v>0</v>
      </c>
      <c r="ES162" s="39">
        <f t="shared" si="2785"/>
        <v>0</v>
      </c>
      <c r="ET162" s="39">
        <f t="shared" si="2785"/>
        <v>0</v>
      </c>
      <c r="EU162" s="39">
        <f t="shared" si="2785"/>
        <v>0</v>
      </c>
      <c r="EV162" s="39">
        <f t="shared" si="2785"/>
        <v>0</v>
      </c>
      <c r="EW162" s="39">
        <f t="shared" ref="EW162:EX162" si="2786">EW$1*ED162</f>
        <v>0</v>
      </c>
      <c r="EX162" s="39">
        <f t="shared" si="2786"/>
        <v>0</v>
      </c>
      <c r="EY162" s="2"/>
      <c r="EZ162" s="39">
        <f t="shared" si="17"/>
        <v>0</v>
      </c>
      <c r="FA162" s="39">
        <f t="shared" si="18"/>
        <v>0</v>
      </c>
      <c r="FB162" s="2">
        <f t="shared" si="19"/>
        <v>0</v>
      </c>
      <c r="FC162" s="2">
        <f t="shared" ref="FC162:FD162" si="2787">BV162*$BT162+CQ162*$CO162</f>
        <v>0</v>
      </c>
      <c r="FD162" s="2">
        <f t="shared" si="2787"/>
        <v>0</v>
      </c>
      <c r="FE162" s="2">
        <f t="shared" ref="FE162:FJ162" si="2788">(BX162*$BT162+CS162*$CO162)/100</f>
        <v>0</v>
      </c>
      <c r="FF162" s="2">
        <f t="shared" si="2788"/>
        <v>0</v>
      </c>
      <c r="FG162" s="2">
        <f t="shared" si="2788"/>
        <v>0</v>
      </c>
      <c r="FH162" s="2">
        <f t="shared" si="2788"/>
        <v>0</v>
      </c>
      <c r="FI162" s="2">
        <f t="shared" si="2788"/>
        <v>0</v>
      </c>
      <c r="FJ162" s="2">
        <f t="shared" si="2788"/>
        <v>0</v>
      </c>
      <c r="FK162" s="2">
        <f t="shared" ref="FK162:FO162" si="2789">CD162*$BT162+CY162*$CO162</f>
        <v>0</v>
      </c>
      <c r="FL162" s="2">
        <f t="shared" si="2789"/>
        <v>0</v>
      </c>
      <c r="FM162" s="2">
        <f t="shared" si="2789"/>
        <v>0</v>
      </c>
      <c r="FN162" s="2">
        <f t="shared" si="2789"/>
        <v>0</v>
      </c>
      <c r="FO162" s="2">
        <f t="shared" si="2789"/>
        <v>0</v>
      </c>
      <c r="FP162" s="2">
        <f t="shared" ref="FP162:FQ162" si="2790">(CI162*$BT162+DD162*$CO162)/100</f>
        <v>0</v>
      </c>
      <c r="FQ162" s="2">
        <f t="shared" si="2790"/>
        <v>0</v>
      </c>
      <c r="FR162" s="2"/>
      <c r="FS162" s="2">
        <f t="shared" si="24"/>
        <v>0</v>
      </c>
      <c r="FT162" s="2">
        <f t="shared" si="25"/>
        <v>0</v>
      </c>
      <c r="FU162" s="39">
        <f t="shared" si="26"/>
        <v>0</v>
      </c>
      <c r="FV162" s="39">
        <f t="shared" ref="FV162:FW162" si="2791">FV$1*FC162/1000000</f>
        <v>0</v>
      </c>
      <c r="FW162" s="39">
        <f t="shared" si="2791"/>
        <v>0</v>
      </c>
      <c r="FX162" s="39">
        <f t="shared" ref="FX162:GC162" si="2792">FX$1*FE162</f>
        <v>0</v>
      </c>
      <c r="FY162" s="39">
        <f t="shared" si="2792"/>
        <v>0</v>
      </c>
      <c r="FZ162" s="39">
        <f t="shared" si="2792"/>
        <v>0</v>
      </c>
      <c r="GA162" s="39">
        <f t="shared" si="2792"/>
        <v>0</v>
      </c>
      <c r="GB162" s="39">
        <f t="shared" si="2792"/>
        <v>0</v>
      </c>
      <c r="GC162" s="39">
        <f t="shared" si="2792"/>
        <v>0</v>
      </c>
      <c r="GD162" s="39">
        <f t="shared" ref="GD162:GH162" si="2793">GD$1*FK162/1000000</f>
        <v>0</v>
      </c>
      <c r="GE162" s="39">
        <f t="shared" si="2793"/>
        <v>0</v>
      </c>
      <c r="GF162" s="39">
        <f t="shared" si="2793"/>
        <v>0</v>
      </c>
      <c r="GG162" s="39">
        <f t="shared" si="2793"/>
        <v>0</v>
      </c>
      <c r="GH162" s="39">
        <f t="shared" si="2793"/>
        <v>0</v>
      </c>
      <c r="GI162" s="39">
        <f t="shared" ref="GI162:GJ162" si="2794">GI$1*FP162</f>
        <v>0</v>
      </c>
      <c r="GJ162" s="39">
        <f t="shared" si="2794"/>
        <v>0</v>
      </c>
      <c r="GK162" s="2"/>
      <c r="GL162" s="39">
        <f t="shared" si="31"/>
        <v>0</v>
      </c>
      <c r="GM162" s="39">
        <f t="shared" si="32"/>
        <v>0</v>
      </c>
      <c r="GN162" s="2" t="s">
        <v>3</v>
      </c>
      <c r="GO162" s="2">
        <f t="shared" si="33"/>
        <v>5.6000000000000005</v>
      </c>
      <c r="GP162" s="4">
        <f t="shared" si="34"/>
        <v>0.8135714285714285</v>
      </c>
      <c r="GQ162" s="15">
        <f t="shared" si="35"/>
        <v>45.56</v>
      </c>
      <c r="GR162" s="15">
        <f t="shared" si="36"/>
        <v>794.27275004000001</v>
      </c>
      <c r="GS162" s="15">
        <f t="shared" si="37"/>
        <v>141.83441965</v>
      </c>
      <c r="GT162" s="2">
        <f t="shared" si="38"/>
        <v>38.54</v>
      </c>
      <c r="GU162" s="2">
        <f t="shared" si="39"/>
        <v>7.0200000000000014</v>
      </c>
      <c r="GV162" s="2">
        <f t="shared" si="40"/>
        <v>0</v>
      </c>
      <c r="GW162" s="2">
        <f t="shared" si="41"/>
        <v>0</v>
      </c>
      <c r="GX162" s="2"/>
      <c r="GY162" s="2"/>
      <c r="GZ162" s="2"/>
      <c r="HA162" s="2"/>
      <c r="HB162" s="2">
        <f t="shared" si="42"/>
        <v>0</v>
      </c>
      <c r="HC162" s="2">
        <f t="shared" si="43"/>
        <v>0</v>
      </c>
      <c r="HD162" s="2" t="s">
        <v>3</v>
      </c>
      <c r="HE162" s="2" t="s">
        <v>37</v>
      </c>
      <c r="HF162" s="2" t="s">
        <v>114</v>
      </c>
      <c r="HG162" s="2" t="s">
        <v>114</v>
      </c>
      <c r="HH162" s="2"/>
      <c r="HI162" s="2" t="s">
        <v>81</v>
      </c>
      <c r="HJ162" s="2" t="s">
        <v>3</v>
      </c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 t="s">
        <v>3</v>
      </c>
    </row>
    <row r="163" spans="1:268" ht="15.75" customHeight="1" x14ac:dyDescent="0.2">
      <c r="A163" s="13" t="s">
        <v>1110</v>
      </c>
      <c r="B163" s="2" t="s">
        <v>99</v>
      </c>
      <c r="C163" s="2"/>
      <c r="D163" s="2"/>
      <c r="E163" s="2" t="s">
        <v>78</v>
      </c>
      <c r="F163" s="2" t="s">
        <v>1102</v>
      </c>
      <c r="G163" s="2"/>
      <c r="H163" s="2" t="s">
        <v>80</v>
      </c>
      <c r="I163" s="2">
        <v>1.7</v>
      </c>
      <c r="J163" s="2"/>
      <c r="K163" s="2"/>
      <c r="L163" s="2"/>
      <c r="M163" s="2"/>
      <c r="N163" s="2"/>
      <c r="O163" s="2"/>
      <c r="P163" s="2"/>
      <c r="Q163" s="2">
        <v>0.45</v>
      </c>
      <c r="R163" s="4">
        <v>0.1</v>
      </c>
      <c r="S163" s="2"/>
      <c r="T163" s="2"/>
      <c r="U163" s="2"/>
      <c r="V163" s="2"/>
      <c r="W163" s="2"/>
      <c r="X163" s="2"/>
      <c r="Y163" s="2"/>
      <c r="Z163" s="2"/>
      <c r="AA163" s="2">
        <v>103</v>
      </c>
      <c r="AB163" s="2"/>
      <c r="AC163" s="2"/>
      <c r="AD163" s="2">
        <v>10.6</v>
      </c>
      <c r="AE163" s="2"/>
      <c r="AF163" s="2"/>
      <c r="AG163" s="2"/>
      <c r="AH163" s="2"/>
      <c r="AI163" s="2"/>
      <c r="AJ163" s="2"/>
      <c r="AK163" s="2"/>
      <c r="AL163" s="2">
        <v>0.27</v>
      </c>
      <c r="AM163" s="2">
        <v>7.0000000000000007E-2</v>
      </c>
      <c r="AN163" s="2"/>
      <c r="AO163" s="2"/>
      <c r="AP163" s="2"/>
      <c r="AQ163" s="2"/>
      <c r="AR163" s="2"/>
      <c r="AS163" s="2"/>
      <c r="AT163" s="2"/>
      <c r="AU163" s="2"/>
      <c r="AV163" s="2">
        <v>128</v>
      </c>
      <c r="AW163" s="2"/>
      <c r="AX163" s="2"/>
      <c r="AY163" s="2">
        <v>1.5</v>
      </c>
      <c r="AZ163" s="2"/>
      <c r="BA163" s="2"/>
      <c r="BB163" s="2"/>
      <c r="BC163" s="2"/>
      <c r="BD163" s="2"/>
      <c r="BE163" s="2"/>
      <c r="BF163" s="2"/>
      <c r="BG163" s="4">
        <v>0.4</v>
      </c>
      <c r="BH163" s="2">
        <v>7.0000000000000007E-2</v>
      </c>
      <c r="BI163" s="2"/>
      <c r="BJ163" s="2"/>
      <c r="BK163" s="2"/>
      <c r="BL163" s="2"/>
      <c r="BM163" s="2"/>
      <c r="BN163" s="2"/>
      <c r="BO163" s="2"/>
      <c r="BP163" s="2"/>
      <c r="BQ163" s="2">
        <v>41</v>
      </c>
      <c r="BR163" s="2"/>
      <c r="BS163" s="2"/>
      <c r="BT163" s="2">
        <v>0</v>
      </c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>
        <v>0</v>
      </c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 t="s">
        <v>81</v>
      </c>
      <c r="DK163" s="2" t="s">
        <v>81</v>
      </c>
      <c r="DL163" s="2">
        <f t="shared" si="3"/>
        <v>0.30630434782608701</v>
      </c>
      <c r="DM163" s="2">
        <f t="shared" si="4"/>
        <v>7.3695652173913065E-2</v>
      </c>
      <c r="DN163" s="2" t="s">
        <v>1103</v>
      </c>
      <c r="DO163" s="2" t="s">
        <v>3</v>
      </c>
      <c r="DP163" s="2">
        <f t="shared" si="5"/>
        <v>0</v>
      </c>
      <c r="DQ163" s="2">
        <f t="shared" ref="DQ163:DR163" si="2795">K163*$I163+AF163*$AD163+BA163*$AY163</f>
        <v>0</v>
      </c>
      <c r="DR163" s="2">
        <f t="shared" si="2795"/>
        <v>0</v>
      </c>
      <c r="DS163" s="2">
        <f t="shared" ref="DS163:DX163" si="2796">(M163*$I163+AH163*$AD163+BC163*$AY163)/100</f>
        <v>0</v>
      </c>
      <c r="DT163" s="2">
        <f t="shared" si="2796"/>
        <v>0</v>
      </c>
      <c r="DU163" s="2">
        <f t="shared" si="2796"/>
        <v>0</v>
      </c>
      <c r="DV163" s="2">
        <f t="shared" si="2796"/>
        <v>0</v>
      </c>
      <c r="DW163" s="2">
        <f t="shared" si="2796"/>
        <v>4.2270000000000002E-2</v>
      </c>
      <c r="DX163" s="2">
        <f t="shared" si="2796"/>
        <v>1.0170000000000002E-2</v>
      </c>
      <c r="DY163" s="2">
        <f t="shared" ref="DY163:EC163" si="2797">S163*$I163+AN163*$AD163+BI163*$AY163</f>
        <v>0</v>
      </c>
      <c r="DZ163" s="2">
        <f t="shared" si="2797"/>
        <v>0</v>
      </c>
      <c r="EA163" s="2">
        <f t="shared" si="2797"/>
        <v>0</v>
      </c>
      <c r="EB163" s="2">
        <f t="shared" si="2797"/>
        <v>0</v>
      </c>
      <c r="EC163" s="2">
        <f t="shared" si="2797"/>
        <v>0</v>
      </c>
      <c r="ED163" s="2">
        <f t="shared" ref="ED163:EE163" si="2798">(X163*$I163+AS163*$AD163+BN163*$AY163)/100</f>
        <v>0</v>
      </c>
      <c r="EE163" s="2">
        <f t="shared" si="2798"/>
        <v>0</v>
      </c>
      <c r="EF163" s="2"/>
      <c r="EG163" s="2">
        <f t="shared" si="10"/>
        <v>1593.3999999999999</v>
      </c>
      <c r="EH163" s="2">
        <f t="shared" si="11"/>
        <v>0</v>
      </c>
      <c r="EI163" s="39">
        <f t="shared" si="12"/>
        <v>0</v>
      </c>
      <c r="EJ163" s="39">
        <f t="shared" ref="EJ163:EK163" si="2799">EJ$1*DQ163/1000000</f>
        <v>0</v>
      </c>
      <c r="EK163" s="39">
        <f t="shared" si="2799"/>
        <v>0</v>
      </c>
      <c r="EL163" s="39">
        <f t="shared" ref="EL163:EQ163" si="2800">EL$1*DS163</f>
        <v>0</v>
      </c>
      <c r="EM163" s="39">
        <f t="shared" si="2800"/>
        <v>0</v>
      </c>
      <c r="EN163" s="39">
        <f t="shared" si="2800"/>
        <v>0</v>
      </c>
      <c r="EO163" s="39">
        <f t="shared" si="2800"/>
        <v>0</v>
      </c>
      <c r="EP163" s="39">
        <f t="shared" si="2800"/>
        <v>554.32878000000005</v>
      </c>
      <c r="EQ163" s="39">
        <f t="shared" si="2800"/>
        <v>738.54055908000009</v>
      </c>
      <c r="ER163" s="39">
        <f t="shared" ref="ER163:EV163" si="2801">ER$1*DY163/1000000</f>
        <v>0</v>
      </c>
      <c r="ES163" s="39">
        <f t="shared" si="2801"/>
        <v>0</v>
      </c>
      <c r="ET163" s="39">
        <f t="shared" si="2801"/>
        <v>0</v>
      </c>
      <c r="EU163" s="39">
        <f t="shared" si="2801"/>
        <v>0</v>
      </c>
      <c r="EV163" s="39">
        <f t="shared" si="2801"/>
        <v>0</v>
      </c>
      <c r="EW163" s="39">
        <f t="shared" ref="EW163:EX163" si="2802">EW$1*ED163</f>
        <v>0</v>
      </c>
      <c r="EX163" s="39">
        <f t="shared" si="2802"/>
        <v>0</v>
      </c>
      <c r="EY163" s="2"/>
      <c r="EZ163" s="39">
        <f t="shared" si="17"/>
        <v>573.62400000000002</v>
      </c>
      <c r="FA163" s="39">
        <f t="shared" si="18"/>
        <v>0</v>
      </c>
      <c r="FB163" s="2">
        <f t="shared" si="19"/>
        <v>0</v>
      </c>
      <c r="FC163" s="2">
        <f t="shared" ref="FC163:FD163" si="2803">BV163*$BT163+CQ163*$CO163</f>
        <v>0</v>
      </c>
      <c r="FD163" s="2">
        <f t="shared" si="2803"/>
        <v>0</v>
      </c>
      <c r="FE163" s="2">
        <f t="shared" ref="FE163:FJ163" si="2804">(BX163*$BT163+CS163*$CO163)/100</f>
        <v>0</v>
      </c>
      <c r="FF163" s="2">
        <f t="shared" si="2804"/>
        <v>0</v>
      </c>
      <c r="FG163" s="2">
        <f t="shared" si="2804"/>
        <v>0</v>
      </c>
      <c r="FH163" s="2">
        <f t="shared" si="2804"/>
        <v>0</v>
      </c>
      <c r="FI163" s="2">
        <f t="shared" si="2804"/>
        <v>0</v>
      </c>
      <c r="FJ163" s="2">
        <f t="shared" si="2804"/>
        <v>0</v>
      </c>
      <c r="FK163" s="2">
        <f t="shared" ref="FK163:FO163" si="2805">CD163*$BT163+CY163*$CO163</f>
        <v>0</v>
      </c>
      <c r="FL163" s="2">
        <f t="shared" si="2805"/>
        <v>0</v>
      </c>
      <c r="FM163" s="2">
        <f t="shared" si="2805"/>
        <v>0</v>
      </c>
      <c r="FN163" s="2">
        <f t="shared" si="2805"/>
        <v>0</v>
      </c>
      <c r="FO163" s="2">
        <f t="shared" si="2805"/>
        <v>0</v>
      </c>
      <c r="FP163" s="2">
        <f t="shared" ref="FP163:FQ163" si="2806">(CI163*$BT163+DD163*$CO163)/100</f>
        <v>0</v>
      </c>
      <c r="FQ163" s="2">
        <f t="shared" si="2806"/>
        <v>0</v>
      </c>
      <c r="FR163" s="2"/>
      <c r="FS163" s="2">
        <f t="shared" si="24"/>
        <v>0</v>
      </c>
      <c r="FT163" s="2">
        <f t="shared" si="25"/>
        <v>0</v>
      </c>
      <c r="FU163" s="39">
        <f t="shared" si="26"/>
        <v>0</v>
      </c>
      <c r="FV163" s="39">
        <f t="shared" ref="FV163:FW163" si="2807">FV$1*FC163/1000000</f>
        <v>0</v>
      </c>
      <c r="FW163" s="39">
        <f t="shared" si="2807"/>
        <v>0</v>
      </c>
      <c r="FX163" s="39">
        <f t="shared" ref="FX163:GC163" si="2808">FX$1*FE163</f>
        <v>0</v>
      </c>
      <c r="FY163" s="39">
        <f t="shared" si="2808"/>
        <v>0</v>
      </c>
      <c r="FZ163" s="39">
        <f t="shared" si="2808"/>
        <v>0</v>
      </c>
      <c r="GA163" s="39">
        <f t="shared" si="2808"/>
        <v>0</v>
      </c>
      <c r="GB163" s="39">
        <f t="shared" si="2808"/>
        <v>0</v>
      </c>
      <c r="GC163" s="39">
        <f t="shared" si="2808"/>
        <v>0</v>
      </c>
      <c r="GD163" s="39">
        <f t="shared" ref="GD163:GH163" si="2809">GD$1*FK163/1000000</f>
        <v>0</v>
      </c>
      <c r="GE163" s="39">
        <f t="shared" si="2809"/>
        <v>0</v>
      </c>
      <c r="GF163" s="39">
        <f t="shared" si="2809"/>
        <v>0</v>
      </c>
      <c r="GG163" s="39">
        <f t="shared" si="2809"/>
        <v>0</v>
      </c>
      <c r="GH163" s="39">
        <f t="shared" si="2809"/>
        <v>0</v>
      </c>
      <c r="GI163" s="39">
        <f t="shared" ref="GI163:GJ163" si="2810">GI$1*FP163</f>
        <v>0</v>
      </c>
      <c r="GJ163" s="39">
        <f t="shared" si="2810"/>
        <v>0</v>
      </c>
      <c r="GK163" s="2"/>
      <c r="GL163" s="39">
        <f t="shared" si="31"/>
        <v>0</v>
      </c>
      <c r="GM163" s="39">
        <f t="shared" si="32"/>
        <v>0</v>
      </c>
      <c r="GN163" s="2" t="s">
        <v>3</v>
      </c>
      <c r="GO163" s="2">
        <f t="shared" si="33"/>
        <v>13.799999999999999</v>
      </c>
      <c r="GP163" s="4">
        <f t="shared" si="34"/>
        <v>0.30630434782608701</v>
      </c>
      <c r="GQ163" s="15">
        <f t="shared" si="35"/>
        <v>42.27</v>
      </c>
      <c r="GR163" s="15">
        <f t="shared" si="36"/>
        <v>1866.4933390800002</v>
      </c>
      <c r="GS163" s="15">
        <f t="shared" si="37"/>
        <v>135.25314051304349</v>
      </c>
      <c r="GT163" s="2">
        <f t="shared" si="38"/>
        <v>7.65</v>
      </c>
      <c r="GU163" s="2">
        <f t="shared" si="39"/>
        <v>28.62</v>
      </c>
      <c r="GV163" s="2">
        <f t="shared" si="40"/>
        <v>6.0000000000000009</v>
      </c>
      <c r="GW163" s="2">
        <f t="shared" si="41"/>
        <v>0</v>
      </c>
      <c r="GX163" s="2"/>
      <c r="GY163" s="2"/>
      <c r="GZ163" s="2"/>
      <c r="HA163" s="2"/>
      <c r="HB163" s="2">
        <f t="shared" si="42"/>
        <v>0</v>
      </c>
      <c r="HC163" s="2">
        <f t="shared" si="43"/>
        <v>0</v>
      </c>
      <c r="HD163" s="2" t="s">
        <v>3</v>
      </c>
      <c r="HE163" s="2" t="s">
        <v>37</v>
      </c>
      <c r="HF163" s="2" t="s">
        <v>114</v>
      </c>
      <c r="HG163" s="2" t="s">
        <v>114</v>
      </c>
      <c r="HH163" s="2"/>
      <c r="HI163" s="2" t="s">
        <v>81</v>
      </c>
      <c r="HJ163" s="2" t="s">
        <v>3</v>
      </c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 t="s">
        <v>3</v>
      </c>
    </row>
    <row r="164" spans="1:268" ht="15.75" customHeight="1" x14ac:dyDescent="0.2">
      <c r="A164" s="13" t="s">
        <v>977</v>
      </c>
      <c r="B164" s="2" t="s">
        <v>99</v>
      </c>
      <c r="C164" s="2"/>
      <c r="D164" s="2"/>
      <c r="E164" s="2" t="s">
        <v>78</v>
      </c>
      <c r="F164" s="2" t="s">
        <v>978</v>
      </c>
      <c r="G164" s="2"/>
      <c r="H164" s="2" t="s">
        <v>242</v>
      </c>
      <c r="I164" s="2">
        <v>7.8</v>
      </c>
      <c r="J164" s="2"/>
      <c r="K164" s="2"/>
      <c r="L164" s="2"/>
      <c r="M164" s="2"/>
      <c r="N164" s="2"/>
      <c r="O164" s="2"/>
      <c r="P164" s="2"/>
      <c r="Q164" s="2">
        <v>0.13</v>
      </c>
      <c r="R164" s="2">
        <v>7.0000000000000007E-2</v>
      </c>
      <c r="S164" s="2">
        <v>0.42</v>
      </c>
      <c r="T164" s="2"/>
      <c r="U164" s="2"/>
      <c r="V164" s="2"/>
      <c r="W164" s="2"/>
      <c r="X164" s="2"/>
      <c r="Y164" s="2"/>
      <c r="Z164" s="2"/>
      <c r="AA164" s="2">
        <v>435</v>
      </c>
      <c r="AB164" s="2"/>
      <c r="AC164" s="2"/>
      <c r="AD164" s="2">
        <v>12.5</v>
      </c>
      <c r="AE164" s="2"/>
      <c r="AF164" s="2"/>
      <c r="AG164" s="2"/>
      <c r="AH164" s="2"/>
      <c r="AI164" s="2"/>
      <c r="AJ164" s="2"/>
      <c r="AK164" s="2"/>
      <c r="AL164" s="2">
        <v>0.11</v>
      </c>
      <c r="AM164" s="2">
        <v>0.06</v>
      </c>
      <c r="AN164" s="2">
        <v>0.26</v>
      </c>
      <c r="AO164" s="2"/>
      <c r="AP164" s="2"/>
      <c r="AQ164" s="2"/>
      <c r="AR164" s="2"/>
      <c r="AS164" s="2"/>
      <c r="AT164" s="2"/>
      <c r="AU164" s="2"/>
      <c r="AV164" s="2">
        <v>410</v>
      </c>
      <c r="AW164" s="2"/>
      <c r="AX164" s="2"/>
      <c r="AY164" s="2">
        <v>15.3</v>
      </c>
      <c r="AZ164" s="2"/>
      <c r="BA164" s="2"/>
      <c r="BB164" s="2"/>
      <c r="BC164" s="2"/>
      <c r="BD164" s="2"/>
      <c r="BE164" s="2"/>
      <c r="BF164" s="2"/>
      <c r="BG164" s="2">
        <v>0.08</v>
      </c>
      <c r="BH164" s="2">
        <v>0.05</v>
      </c>
      <c r="BI164" s="2">
        <v>0.22</v>
      </c>
      <c r="BJ164" s="2"/>
      <c r="BK164" s="2"/>
      <c r="BL164" s="2"/>
      <c r="BM164" s="2"/>
      <c r="BN164" s="2"/>
      <c r="BO164" s="2"/>
      <c r="BP164" s="2"/>
      <c r="BQ164" s="2">
        <v>380</v>
      </c>
      <c r="BR164" s="2"/>
      <c r="BS164" s="2"/>
      <c r="BT164" s="2">
        <v>2.2250000000000001</v>
      </c>
      <c r="BU164" s="2"/>
      <c r="BV164" s="2"/>
      <c r="BW164" s="2"/>
      <c r="BX164" s="2"/>
      <c r="BY164" s="2"/>
      <c r="BZ164" s="2"/>
      <c r="CA164" s="2"/>
      <c r="CB164" s="2">
        <v>0.13</v>
      </c>
      <c r="CC164" s="2">
        <v>0.09</v>
      </c>
      <c r="CD164" s="2"/>
      <c r="CE164" s="2"/>
      <c r="CF164" s="2"/>
      <c r="CG164" s="2"/>
      <c r="CH164" s="2"/>
      <c r="CI164" s="2"/>
      <c r="CJ164" s="2"/>
      <c r="CK164" s="2"/>
      <c r="CL164" s="2">
        <v>560</v>
      </c>
      <c r="CM164" s="2"/>
      <c r="CN164" s="2"/>
      <c r="CO164" s="2">
        <v>1.7649999999999999</v>
      </c>
      <c r="CP164" s="2"/>
      <c r="CQ164" s="2"/>
      <c r="CR164" s="2"/>
      <c r="CS164" s="2"/>
      <c r="CT164" s="2"/>
      <c r="CU164" s="2"/>
      <c r="CV164" s="2"/>
      <c r="CW164" s="2">
        <v>0.13</v>
      </c>
      <c r="CX164" s="2">
        <v>0.08</v>
      </c>
      <c r="CY164" s="2"/>
      <c r="CZ164" s="2"/>
      <c r="DA164" s="2"/>
      <c r="DB164" s="2"/>
      <c r="DC164" s="2"/>
      <c r="DD164" s="2"/>
      <c r="DE164" s="2"/>
      <c r="DF164" s="2"/>
      <c r="DG164" s="2">
        <v>540</v>
      </c>
      <c r="DH164" s="2"/>
      <c r="DI164" s="2"/>
      <c r="DJ164" s="2" t="s">
        <v>81</v>
      </c>
      <c r="DK164" s="2" t="s">
        <v>81</v>
      </c>
      <c r="DL164" s="2">
        <f t="shared" si="3"/>
        <v>0.10148876404494382</v>
      </c>
      <c r="DM164" s="2">
        <f t="shared" si="4"/>
        <v>5.7893258426966285E-2</v>
      </c>
      <c r="DN164" s="2" t="s">
        <v>211</v>
      </c>
      <c r="DO164" s="2" t="s">
        <v>3</v>
      </c>
      <c r="DP164" s="2">
        <f t="shared" si="5"/>
        <v>0</v>
      </c>
      <c r="DQ164" s="2">
        <f t="shared" ref="DQ164:DR164" si="2811">K164*$I164+AF164*$AD164+BA164*$AY164</f>
        <v>0</v>
      </c>
      <c r="DR164" s="2">
        <f t="shared" si="2811"/>
        <v>0</v>
      </c>
      <c r="DS164" s="2">
        <f t="shared" ref="DS164:DX164" si="2812">(M164*$I164+AH164*$AD164+BC164*$AY164)/100</f>
        <v>0</v>
      </c>
      <c r="DT164" s="2">
        <f t="shared" si="2812"/>
        <v>0</v>
      </c>
      <c r="DU164" s="2">
        <f t="shared" si="2812"/>
        <v>0</v>
      </c>
      <c r="DV164" s="2">
        <f t="shared" si="2812"/>
        <v>0</v>
      </c>
      <c r="DW164" s="2">
        <f t="shared" si="2812"/>
        <v>3.6130000000000002E-2</v>
      </c>
      <c r="DX164" s="2">
        <f t="shared" si="2812"/>
        <v>2.061E-2</v>
      </c>
      <c r="DY164" s="2">
        <f t="shared" ref="DY164:EC164" si="2813">S164*$I164+AN164*$AD164+BI164*$AY164</f>
        <v>9.8919999999999995</v>
      </c>
      <c r="DZ164" s="2">
        <f t="shared" si="2813"/>
        <v>0</v>
      </c>
      <c r="EA164" s="2">
        <f t="shared" si="2813"/>
        <v>0</v>
      </c>
      <c r="EB164" s="2">
        <f t="shared" si="2813"/>
        <v>0</v>
      </c>
      <c r="EC164" s="2">
        <f t="shared" si="2813"/>
        <v>0</v>
      </c>
      <c r="ED164" s="2">
        <f t="shared" ref="ED164:EE164" si="2814">(X164*$I164+AS164*$AD164+BN164*$AY164)/100</f>
        <v>0</v>
      </c>
      <c r="EE164" s="2">
        <f t="shared" si="2814"/>
        <v>0</v>
      </c>
      <c r="EF164" s="2"/>
      <c r="EG164" s="2">
        <f t="shared" si="10"/>
        <v>14332</v>
      </c>
      <c r="EH164" s="2">
        <f t="shared" si="11"/>
        <v>0</v>
      </c>
      <c r="EI164" s="39">
        <f t="shared" si="12"/>
        <v>0</v>
      </c>
      <c r="EJ164" s="39">
        <f t="shared" ref="EJ164:EK164" si="2815">EJ$1*DQ164/1000000</f>
        <v>0</v>
      </c>
      <c r="EK164" s="39">
        <f t="shared" si="2815"/>
        <v>0</v>
      </c>
      <c r="EL164" s="39">
        <f t="shared" ref="EL164:EQ164" si="2816">EL$1*DS164</f>
        <v>0</v>
      </c>
      <c r="EM164" s="39">
        <f t="shared" si="2816"/>
        <v>0</v>
      </c>
      <c r="EN164" s="39">
        <f t="shared" si="2816"/>
        <v>0</v>
      </c>
      <c r="EO164" s="39">
        <f t="shared" si="2816"/>
        <v>0</v>
      </c>
      <c r="EP164" s="39">
        <f t="shared" si="2816"/>
        <v>473.80882000000003</v>
      </c>
      <c r="EQ164" s="39">
        <f t="shared" si="2816"/>
        <v>1496.6883896399997</v>
      </c>
      <c r="ER164" s="39">
        <f t="shared" ref="ER164:EV164" si="2817">ER$1*DY164/1000000</f>
        <v>280.74831897106105</v>
      </c>
      <c r="ES164" s="39">
        <f t="shared" si="2817"/>
        <v>0</v>
      </c>
      <c r="ET164" s="39">
        <f t="shared" si="2817"/>
        <v>0</v>
      </c>
      <c r="EU164" s="39">
        <f t="shared" si="2817"/>
        <v>0</v>
      </c>
      <c r="EV164" s="39">
        <f t="shared" si="2817"/>
        <v>0</v>
      </c>
      <c r="EW164" s="39">
        <f t="shared" ref="EW164:EX164" si="2818">EW$1*ED164</f>
        <v>0</v>
      </c>
      <c r="EX164" s="39">
        <f t="shared" si="2818"/>
        <v>0</v>
      </c>
      <c r="EY164" s="2"/>
      <c r="EZ164" s="39">
        <f t="shared" si="17"/>
        <v>5159.5200000000004</v>
      </c>
      <c r="FA164" s="39">
        <f t="shared" si="18"/>
        <v>0</v>
      </c>
      <c r="FB164" s="2">
        <f t="shared" si="19"/>
        <v>0</v>
      </c>
      <c r="FC164" s="2">
        <f t="shared" ref="FC164:FD164" si="2819">BV164*$BT164+CQ164*$CO164</f>
        <v>0</v>
      </c>
      <c r="FD164" s="2">
        <f t="shared" si="2819"/>
        <v>0</v>
      </c>
      <c r="FE164" s="2">
        <f t="shared" ref="FE164:FJ164" si="2820">(BX164*$BT164+CS164*$CO164)/100</f>
        <v>0</v>
      </c>
      <c r="FF164" s="2">
        <f t="shared" si="2820"/>
        <v>0</v>
      </c>
      <c r="FG164" s="2">
        <f t="shared" si="2820"/>
        <v>0</v>
      </c>
      <c r="FH164" s="2">
        <f t="shared" si="2820"/>
        <v>0</v>
      </c>
      <c r="FI164" s="2">
        <f t="shared" si="2820"/>
        <v>5.1869999999999998E-3</v>
      </c>
      <c r="FJ164" s="2">
        <f t="shared" si="2820"/>
        <v>3.4145000000000004E-3</v>
      </c>
      <c r="FK164" s="2">
        <f t="shared" ref="FK164:FO164" si="2821">CD164*$BT164+CY164*$CO164</f>
        <v>0</v>
      </c>
      <c r="FL164" s="2">
        <f t="shared" si="2821"/>
        <v>0</v>
      </c>
      <c r="FM164" s="2">
        <f t="shared" si="2821"/>
        <v>0</v>
      </c>
      <c r="FN164" s="2">
        <f t="shared" si="2821"/>
        <v>0</v>
      </c>
      <c r="FO164" s="2">
        <f t="shared" si="2821"/>
        <v>0</v>
      </c>
      <c r="FP164" s="2">
        <f t="shared" ref="FP164:FQ164" si="2822">(CI164*$BT164+DD164*$CO164)/100</f>
        <v>0</v>
      </c>
      <c r="FQ164" s="2">
        <f t="shared" si="2822"/>
        <v>0</v>
      </c>
      <c r="FR164" s="2"/>
      <c r="FS164" s="2">
        <f t="shared" si="24"/>
        <v>2199.1</v>
      </c>
      <c r="FT164" s="2">
        <f t="shared" si="25"/>
        <v>0</v>
      </c>
      <c r="FU164" s="39">
        <f t="shared" si="26"/>
        <v>0</v>
      </c>
      <c r="FV164" s="39">
        <f t="shared" ref="FV164:FW164" si="2823">FV$1*FC164/1000000</f>
        <v>0</v>
      </c>
      <c r="FW164" s="39">
        <f t="shared" si="2823"/>
        <v>0</v>
      </c>
      <c r="FX164" s="39">
        <f t="shared" ref="FX164:GC164" si="2824">FX$1*FE164</f>
        <v>0</v>
      </c>
      <c r="FY164" s="39">
        <f t="shared" si="2824"/>
        <v>0</v>
      </c>
      <c r="FZ164" s="39">
        <f t="shared" si="2824"/>
        <v>0</v>
      </c>
      <c r="GA164" s="39">
        <f t="shared" si="2824"/>
        <v>0</v>
      </c>
      <c r="GB164" s="39">
        <f t="shared" si="2824"/>
        <v>68.022317999999999</v>
      </c>
      <c r="GC164" s="39">
        <f t="shared" si="2824"/>
        <v>247.959364698</v>
      </c>
      <c r="GD164" s="39">
        <f t="shared" ref="GD164:GH164" si="2825">GD$1*FK164/1000000</f>
        <v>0</v>
      </c>
      <c r="GE164" s="39">
        <f t="shared" si="2825"/>
        <v>0</v>
      </c>
      <c r="GF164" s="39">
        <f t="shared" si="2825"/>
        <v>0</v>
      </c>
      <c r="GG164" s="39">
        <f t="shared" si="2825"/>
        <v>0</v>
      </c>
      <c r="GH164" s="39">
        <f t="shared" si="2825"/>
        <v>0</v>
      </c>
      <c r="GI164" s="39">
        <f t="shared" ref="GI164:GJ164" si="2826">GI$1*FP164</f>
        <v>0</v>
      </c>
      <c r="GJ164" s="39">
        <f t="shared" si="2826"/>
        <v>0</v>
      </c>
      <c r="GK164" s="2"/>
      <c r="GL164" s="39">
        <f t="shared" si="31"/>
        <v>791.67600000000004</v>
      </c>
      <c r="GM164" s="39">
        <f t="shared" si="32"/>
        <v>0</v>
      </c>
      <c r="GN164" s="2" t="s">
        <v>3</v>
      </c>
      <c r="GO164" s="2">
        <f t="shared" si="33"/>
        <v>35.6</v>
      </c>
      <c r="GP164" s="4">
        <f t="shared" si="34"/>
        <v>0.10148876404494382</v>
      </c>
      <c r="GQ164" s="15">
        <f t="shared" si="35"/>
        <v>36.130000000000003</v>
      </c>
      <c r="GR164" s="15">
        <f t="shared" si="36"/>
        <v>7410.7655286110612</v>
      </c>
      <c r="GS164" s="15">
        <f t="shared" si="37"/>
        <v>208.16757102840057</v>
      </c>
      <c r="GT164" s="2">
        <f t="shared" si="38"/>
        <v>10.14</v>
      </c>
      <c r="GU164" s="2">
        <f t="shared" si="39"/>
        <v>13.75</v>
      </c>
      <c r="GV164" s="2">
        <f t="shared" si="40"/>
        <v>12.24</v>
      </c>
      <c r="GW164" s="2">
        <f t="shared" si="41"/>
        <v>3.99</v>
      </c>
      <c r="GX164" s="4">
        <f>(BT164*CB164+CO164*CW164)/GW164</f>
        <v>0.12999999999999998</v>
      </c>
      <c r="GY164" s="15">
        <f>1000*GW164*GX164/100</f>
        <v>5.1869999999999994</v>
      </c>
      <c r="GZ164" s="15">
        <f>SUM(FU164:GM164)</f>
        <v>1107.6576826979999</v>
      </c>
      <c r="HA164" s="15">
        <f>GZ164/GW164</f>
        <v>277.60844177894734</v>
      </c>
      <c r="HB164" s="2">
        <f t="shared" si="42"/>
        <v>2.8925000000000001</v>
      </c>
      <c r="HC164" s="2">
        <f t="shared" si="43"/>
        <v>2.2944999999999998</v>
      </c>
      <c r="HD164" s="2" t="s">
        <v>3</v>
      </c>
      <c r="HE164" s="2" t="s">
        <v>37</v>
      </c>
      <c r="HF164" s="2" t="s">
        <v>114</v>
      </c>
      <c r="HG164" s="2" t="s">
        <v>114</v>
      </c>
      <c r="HH164" s="2"/>
      <c r="HI164" s="2" t="s">
        <v>81</v>
      </c>
      <c r="HJ164" s="2" t="s">
        <v>3</v>
      </c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 t="s">
        <v>3</v>
      </c>
    </row>
    <row r="165" spans="1:268" ht="15.75" customHeight="1" x14ac:dyDescent="0.2">
      <c r="A165" s="13" t="s">
        <v>727</v>
      </c>
      <c r="B165" s="2" t="s">
        <v>99</v>
      </c>
      <c r="C165" s="2"/>
      <c r="D165" s="2"/>
      <c r="E165" s="2" t="s">
        <v>78</v>
      </c>
      <c r="F165" s="2" t="s">
        <v>607</v>
      </c>
      <c r="G165" s="2"/>
      <c r="H165" s="2" t="s">
        <v>242</v>
      </c>
      <c r="I165" s="2">
        <v>0</v>
      </c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>
        <v>178</v>
      </c>
      <c r="AE165" s="2"/>
      <c r="AF165" s="2"/>
      <c r="AG165" s="2"/>
      <c r="AH165" s="2"/>
      <c r="AI165" s="2"/>
      <c r="AJ165" s="2"/>
      <c r="AK165" s="2"/>
      <c r="AL165" s="2">
        <v>0.64</v>
      </c>
      <c r="AM165" s="2">
        <v>0.04</v>
      </c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>
        <v>34</v>
      </c>
      <c r="AZ165" s="2"/>
      <c r="BA165" s="2"/>
      <c r="BB165" s="2"/>
      <c r="BC165" s="2"/>
      <c r="BD165" s="2"/>
      <c r="BE165" s="2"/>
      <c r="BF165" s="2"/>
      <c r="BG165" s="2">
        <v>0.6</v>
      </c>
      <c r="BH165" s="2">
        <v>4.1000000000000002E-2</v>
      </c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>
        <v>0</v>
      </c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>
        <v>0</v>
      </c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 t="s">
        <v>81</v>
      </c>
      <c r="DK165" s="2" t="s">
        <v>81</v>
      </c>
      <c r="DL165" s="2">
        <f t="shared" si="3"/>
        <v>0.63358490566037728</v>
      </c>
      <c r="DM165" s="2">
        <f t="shared" si="4"/>
        <v>4.0160377358490561E-2</v>
      </c>
      <c r="DN165" s="2" t="s">
        <v>175</v>
      </c>
      <c r="DO165" s="2" t="s">
        <v>3</v>
      </c>
      <c r="DP165" s="2">
        <f t="shared" si="5"/>
        <v>0</v>
      </c>
      <c r="DQ165" s="2">
        <f t="shared" ref="DQ165:DR165" si="2827">K165*$I165+AF165*$AD165+BA165*$AY165</f>
        <v>0</v>
      </c>
      <c r="DR165" s="2">
        <f t="shared" si="2827"/>
        <v>0</v>
      </c>
      <c r="DS165" s="2">
        <f t="shared" ref="DS165:DX165" si="2828">(M165*$I165+AH165*$AD165+BC165*$AY165)/100</f>
        <v>0</v>
      </c>
      <c r="DT165" s="2">
        <f t="shared" si="2828"/>
        <v>0</v>
      </c>
      <c r="DU165" s="2">
        <f t="shared" si="2828"/>
        <v>0</v>
      </c>
      <c r="DV165" s="2">
        <f t="shared" si="2828"/>
        <v>0</v>
      </c>
      <c r="DW165" s="2">
        <f t="shared" si="2828"/>
        <v>1.3431999999999999</v>
      </c>
      <c r="DX165" s="2">
        <f t="shared" si="2828"/>
        <v>8.5139999999999993E-2</v>
      </c>
      <c r="DY165" s="2">
        <f t="shared" ref="DY165:EC165" si="2829">S165*$I165+AN165*$AD165+BI165*$AY165</f>
        <v>0</v>
      </c>
      <c r="DZ165" s="2">
        <f t="shared" si="2829"/>
        <v>0</v>
      </c>
      <c r="EA165" s="2">
        <f t="shared" si="2829"/>
        <v>0</v>
      </c>
      <c r="EB165" s="2">
        <f t="shared" si="2829"/>
        <v>0</v>
      </c>
      <c r="EC165" s="2">
        <f t="shared" si="2829"/>
        <v>0</v>
      </c>
      <c r="ED165" s="2">
        <f t="shared" ref="ED165:EE165" si="2830">(X165*$I165+AS165*$AD165+BN165*$AY165)/100</f>
        <v>0</v>
      </c>
      <c r="EE165" s="2">
        <f t="shared" si="2830"/>
        <v>0</v>
      </c>
      <c r="EF165" s="2"/>
      <c r="EG165" s="2">
        <f t="shared" si="10"/>
        <v>0</v>
      </c>
      <c r="EH165" s="2">
        <f t="shared" si="11"/>
        <v>0</v>
      </c>
      <c r="EI165" s="39">
        <f t="shared" si="12"/>
        <v>0</v>
      </c>
      <c r="EJ165" s="39">
        <f t="shared" ref="EJ165:EK165" si="2831">EJ$1*DQ165/1000000</f>
        <v>0</v>
      </c>
      <c r="EK165" s="39">
        <f t="shared" si="2831"/>
        <v>0</v>
      </c>
      <c r="EL165" s="39">
        <f t="shared" ref="EL165:EQ165" si="2832">EL$1*DS165</f>
        <v>0</v>
      </c>
      <c r="EM165" s="39">
        <f t="shared" si="2832"/>
        <v>0</v>
      </c>
      <c r="EN165" s="39">
        <f t="shared" si="2832"/>
        <v>0</v>
      </c>
      <c r="EO165" s="39">
        <f t="shared" si="2832"/>
        <v>0</v>
      </c>
      <c r="EP165" s="39">
        <f t="shared" si="2832"/>
        <v>17614.7248</v>
      </c>
      <c r="EQ165" s="39">
        <f t="shared" si="2832"/>
        <v>6182.8262733599986</v>
      </c>
      <c r="ER165" s="39">
        <f t="shared" ref="ER165:EV165" si="2833">ER$1*DY165/1000000</f>
        <v>0</v>
      </c>
      <c r="ES165" s="39">
        <f t="shared" si="2833"/>
        <v>0</v>
      </c>
      <c r="ET165" s="39">
        <f t="shared" si="2833"/>
        <v>0</v>
      </c>
      <c r="EU165" s="39">
        <f t="shared" si="2833"/>
        <v>0</v>
      </c>
      <c r="EV165" s="39">
        <f t="shared" si="2833"/>
        <v>0</v>
      </c>
      <c r="EW165" s="39">
        <f t="shared" ref="EW165:EX165" si="2834">EW$1*ED165</f>
        <v>0</v>
      </c>
      <c r="EX165" s="39">
        <f t="shared" si="2834"/>
        <v>0</v>
      </c>
      <c r="EY165" s="2"/>
      <c r="EZ165" s="39">
        <f t="shared" si="17"/>
        <v>0</v>
      </c>
      <c r="FA165" s="39">
        <f t="shared" si="18"/>
        <v>0</v>
      </c>
      <c r="FB165" s="2">
        <f t="shared" si="19"/>
        <v>0</v>
      </c>
      <c r="FC165" s="2">
        <f t="shared" ref="FC165:FD165" si="2835">BV165*$BT165+CQ165*$CO165</f>
        <v>0</v>
      </c>
      <c r="FD165" s="2">
        <f t="shared" si="2835"/>
        <v>0</v>
      </c>
      <c r="FE165" s="2">
        <f t="shared" ref="FE165:FJ165" si="2836">(BX165*$BT165+CS165*$CO165)/100</f>
        <v>0</v>
      </c>
      <c r="FF165" s="2">
        <f t="shared" si="2836"/>
        <v>0</v>
      </c>
      <c r="FG165" s="2">
        <f t="shared" si="2836"/>
        <v>0</v>
      </c>
      <c r="FH165" s="2">
        <f t="shared" si="2836"/>
        <v>0</v>
      </c>
      <c r="FI165" s="2">
        <f t="shared" si="2836"/>
        <v>0</v>
      </c>
      <c r="FJ165" s="2">
        <f t="shared" si="2836"/>
        <v>0</v>
      </c>
      <c r="FK165" s="2">
        <f t="shared" ref="FK165:FO165" si="2837">CD165*$BT165+CY165*$CO165</f>
        <v>0</v>
      </c>
      <c r="FL165" s="2">
        <f t="shared" si="2837"/>
        <v>0</v>
      </c>
      <c r="FM165" s="2">
        <f t="shared" si="2837"/>
        <v>0</v>
      </c>
      <c r="FN165" s="2">
        <f t="shared" si="2837"/>
        <v>0</v>
      </c>
      <c r="FO165" s="2">
        <f t="shared" si="2837"/>
        <v>0</v>
      </c>
      <c r="FP165" s="2">
        <f t="shared" ref="FP165:FQ165" si="2838">(CI165*$BT165+DD165*$CO165)/100</f>
        <v>0</v>
      </c>
      <c r="FQ165" s="2">
        <f t="shared" si="2838"/>
        <v>0</v>
      </c>
      <c r="FR165" s="2"/>
      <c r="FS165" s="2">
        <f t="shared" si="24"/>
        <v>0</v>
      </c>
      <c r="FT165" s="2">
        <f t="shared" si="25"/>
        <v>0</v>
      </c>
      <c r="FU165" s="39">
        <f t="shared" si="26"/>
        <v>0</v>
      </c>
      <c r="FV165" s="39">
        <f t="shared" ref="FV165:FW165" si="2839">FV$1*FC165/1000000</f>
        <v>0</v>
      </c>
      <c r="FW165" s="39">
        <f t="shared" si="2839"/>
        <v>0</v>
      </c>
      <c r="FX165" s="39">
        <f t="shared" ref="FX165:GC165" si="2840">FX$1*FE165</f>
        <v>0</v>
      </c>
      <c r="FY165" s="39">
        <f t="shared" si="2840"/>
        <v>0</v>
      </c>
      <c r="FZ165" s="39">
        <f t="shared" si="2840"/>
        <v>0</v>
      </c>
      <c r="GA165" s="39">
        <f t="shared" si="2840"/>
        <v>0</v>
      </c>
      <c r="GB165" s="39">
        <f t="shared" si="2840"/>
        <v>0</v>
      </c>
      <c r="GC165" s="39">
        <f t="shared" si="2840"/>
        <v>0</v>
      </c>
      <c r="GD165" s="39">
        <f t="shared" ref="GD165:GH165" si="2841">GD$1*FK165/1000000</f>
        <v>0</v>
      </c>
      <c r="GE165" s="39">
        <f t="shared" si="2841"/>
        <v>0</v>
      </c>
      <c r="GF165" s="39">
        <f t="shared" si="2841"/>
        <v>0</v>
      </c>
      <c r="GG165" s="39">
        <f t="shared" si="2841"/>
        <v>0</v>
      </c>
      <c r="GH165" s="39">
        <f t="shared" si="2841"/>
        <v>0</v>
      </c>
      <c r="GI165" s="39">
        <f t="shared" ref="GI165:GJ165" si="2842">GI$1*FP165</f>
        <v>0</v>
      </c>
      <c r="GJ165" s="39">
        <f t="shared" si="2842"/>
        <v>0</v>
      </c>
      <c r="GK165" s="2"/>
      <c r="GL165" s="39">
        <f t="shared" si="31"/>
        <v>0</v>
      </c>
      <c r="GM165" s="39">
        <f t="shared" si="32"/>
        <v>0</v>
      </c>
      <c r="GN165" s="2" t="s">
        <v>3</v>
      </c>
      <c r="GO165" s="2">
        <f t="shared" si="33"/>
        <v>212</v>
      </c>
      <c r="GP165" s="4">
        <f t="shared" si="34"/>
        <v>0.63358490566037728</v>
      </c>
      <c r="GQ165" s="18">
        <f t="shared" si="35"/>
        <v>1343.1999999999998</v>
      </c>
      <c r="GR165" s="15">
        <f t="shared" si="36"/>
        <v>23797.551073359999</v>
      </c>
      <c r="GS165" s="15">
        <f t="shared" si="37"/>
        <v>112.25259940264151</v>
      </c>
      <c r="GT165" s="2">
        <f t="shared" si="38"/>
        <v>0</v>
      </c>
      <c r="GU165" s="2">
        <f t="shared" si="39"/>
        <v>1139.2</v>
      </c>
      <c r="GV165" s="2">
        <f t="shared" si="40"/>
        <v>204</v>
      </c>
      <c r="GW165" s="2">
        <f t="shared" si="41"/>
        <v>0</v>
      </c>
      <c r="GX165" s="2"/>
      <c r="GY165" s="2"/>
      <c r="GZ165" s="2"/>
      <c r="HA165" s="2"/>
      <c r="HB165" s="2">
        <f t="shared" si="42"/>
        <v>0</v>
      </c>
      <c r="HC165" s="2">
        <f t="shared" si="43"/>
        <v>0</v>
      </c>
      <c r="HD165" s="2" t="s">
        <v>3</v>
      </c>
      <c r="HE165" s="2" t="s">
        <v>37</v>
      </c>
      <c r="HF165" s="2" t="s">
        <v>114</v>
      </c>
      <c r="HG165" s="2" t="s">
        <v>114</v>
      </c>
      <c r="HH165" s="2"/>
      <c r="HI165" s="2" t="s">
        <v>81</v>
      </c>
      <c r="HJ165" s="2" t="s">
        <v>3</v>
      </c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  <c r="JE165" s="2"/>
      <c r="JF165" s="2"/>
      <c r="JG165" s="2"/>
      <c r="JH165" s="2" t="s">
        <v>3</v>
      </c>
    </row>
    <row r="166" spans="1:268" ht="15.75" customHeight="1" x14ac:dyDescent="0.2">
      <c r="A166" s="13" t="s">
        <v>798</v>
      </c>
      <c r="B166" s="2" t="s">
        <v>99</v>
      </c>
      <c r="C166" s="2"/>
      <c r="D166" s="2"/>
      <c r="E166" s="2" t="s">
        <v>78</v>
      </c>
      <c r="F166" s="2" t="s">
        <v>79</v>
      </c>
      <c r="G166" s="2"/>
      <c r="H166" s="2" t="s">
        <v>80</v>
      </c>
      <c r="I166" s="2">
        <v>137</v>
      </c>
      <c r="J166" s="2"/>
      <c r="K166" s="2"/>
      <c r="L166" s="2"/>
      <c r="M166" s="2"/>
      <c r="N166" s="2"/>
      <c r="O166" s="2"/>
      <c r="P166" s="2"/>
      <c r="Q166" s="2">
        <v>0.7</v>
      </c>
      <c r="R166" s="2">
        <v>3.9E-2</v>
      </c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>
        <v>168</v>
      </c>
      <c r="AE166" s="2"/>
      <c r="AF166" s="2"/>
      <c r="AG166" s="2"/>
      <c r="AH166" s="2"/>
      <c r="AI166" s="2"/>
      <c r="AJ166" s="2"/>
      <c r="AK166" s="2"/>
      <c r="AL166" s="2">
        <v>0.68</v>
      </c>
      <c r="AM166" s="2">
        <v>4.1000000000000002E-2</v>
      </c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>
        <v>0</v>
      </c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>
        <v>0</v>
      </c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>
        <v>0</v>
      </c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 t="s">
        <v>81</v>
      </c>
      <c r="DK166" s="2" t="s">
        <v>81</v>
      </c>
      <c r="DL166" s="2">
        <f t="shared" si="3"/>
        <v>0.688983606557377</v>
      </c>
      <c r="DM166" s="2">
        <f t="shared" si="4"/>
        <v>4.0101639344262294E-2</v>
      </c>
      <c r="DN166" s="2" t="s">
        <v>175</v>
      </c>
      <c r="DO166" s="2" t="s">
        <v>3</v>
      </c>
      <c r="DP166" s="2">
        <f t="shared" si="5"/>
        <v>0</v>
      </c>
      <c r="DQ166" s="2">
        <f t="shared" ref="DQ166:DR166" si="2843">K166*$I166+AF166*$AD166+BA166*$AY166</f>
        <v>0</v>
      </c>
      <c r="DR166" s="2">
        <f t="shared" si="2843"/>
        <v>0</v>
      </c>
      <c r="DS166" s="2">
        <f t="shared" ref="DS166:DX166" si="2844">(M166*$I166+AH166*$AD166+BC166*$AY166)/100</f>
        <v>0</v>
      </c>
      <c r="DT166" s="2">
        <f t="shared" si="2844"/>
        <v>0</v>
      </c>
      <c r="DU166" s="2">
        <f t="shared" si="2844"/>
        <v>0</v>
      </c>
      <c r="DV166" s="2">
        <f t="shared" si="2844"/>
        <v>0</v>
      </c>
      <c r="DW166" s="2">
        <f t="shared" si="2844"/>
        <v>2.1013999999999999</v>
      </c>
      <c r="DX166" s="2">
        <f t="shared" si="2844"/>
        <v>0.12231</v>
      </c>
      <c r="DY166" s="2">
        <f t="shared" ref="DY166:EC166" si="2845">S166*$I166+AN166*$AD166+BI166*$AY166</f>
        <v>0</v>
      </c>
      <c r="DZ166" s="2">
        <f t="shared" si="2845"/>
        <v>0</v>
      </c>
      <c r="EA166" s="2">
        <f t="shared" si="2845"/>
        <v>0</v>
      </c>
      <c r="EB166" s="2">
        <f t="shared" si="2845"/>
        <v>0</v>
      </c>
      <c r="EC166" s="2">
        <f t="shared" si="2845"/>
        <v>0</v>
      </c>
      <c r="ED166" s="2">
        <f t="shared" ref="ED166:EE166" si="2846">(X166*$I166+AS166*$AD166+BN166*$AY166)/100</f>
        <v>0</v>
      </c>
      <c r="EE166" s="2">
        <f t="shared" si="2846"/>
        <v>0</v>
      </c>
      <c r="EF166" s="2"/>
      <c r="EG166" s="2">
        <f t="shared" si="10"/>
        <v>0</v>
      </c>
      <c r="EH166" s="2">
        <f t="shared" si="11"/>
        <v>0</v>
      </c>
      <c r="EI166" s="39">
        <f t="shared" si="12"/>
        <v>0</v>
      </c>
      <c r="EJ166" s="39">
        <f t="shared" ref="EJ166:EK166" si="2847">EJ$1*DQ166/1000000</f>
        <v>0</v>
      </c>
      <c r="EK166" s="39">
        <f t="shared" si="2847"/>
        <v>0</v>
      </c>
      <c r="EL166" s="39">
        <f t="shared" ref="EL166:EQ166" si="2848">EL$1*DS166</f>
        <v>0</v>
      </c>
      <c r="EM166" s="39">
        <f t="shared" si="2848"/>
        <v>0</v>
      </c>
      <c r="EN166" s="39">
        <f t="shared" si="2848"/>
        <v>0</v>
      </c>
      <c r="EO166" s="39">
        <f t="shared" si="2848"/>
        <v>0</v>
      </c>
      <c r="EP166" s="39">
        <f t="shared" si="2848"/>
        <v>27557.759599999998</v>
      </c>
      <c r="EQ166" s="39">
        <f t="shared" si="2848"/>
        <v>8882.0939804399986</v>
      </c>
      <c r="ER166" s="39">
        <f t="shared" ref="ER166:EV166" si="2849">ER$1*DY166/1000000</f>
        <v>0</v>
      </c>
      <c r="ES166" s="39">
        <f t="shared" si="2849"/>
        <v>0</v>
      </c>
      <c r="ET166" s="39">
        <f t="shared" si="2849"/>
        <v>0</v>
      </c>
      <c r="EU166" s="39">
        <f t="shared" si="2849"/>
        <v>0</v>
      </c>
      <c r="EV166" s="39">
        <f t="shared" si="2849"/>
        <v>0</v>
      </c>
      <c r="EW166" s="39">
        <f t="shared" ref="EW166:EX166" si="2850">EW$1*ED166</f>
        <v>0</v>
      </c>
      <c r="EX166" s="39">
        <f t="shared" si="2850"/>
        <v>0</v>
      </c>
      <c r="EY166" s="2"/>
      <c r="EZ166" s="39">
        <f t="shared" si="17"/>
        <v>0</v>
      </c>
      <c r="FA166" s="39">
        <f t="shared" si="18"/>
        <v>0</v>
      </c>
      <c r="FB166" s="2">
        <f t="shared" si="19"/>
        <v>0</v>
      </c>
      <c r="FC166" s="2">
        <f t="shared" ref="FC166:FD166" si="2851">BV166*$BT166+CQ166*$CO166</f>
        <v>0</v>
      </c>
      <c r="FD166" s="2">
        <f t="shared" si="2851"/>
        <v>0</v>
      </c>
      <c r="FE166" s="2">
        <f t="shared" ref="FE166:FJ166" si="2852">(BX166*$BT166+CS166*$CO166)/100</f>
        <v>0</v>
      </c>
      <c r="FF166" s="2">
        <f t="shared" si="2852"/>
        <v>0</v>
      </c>
      <c r="FG166" s="2">
        <f t="shared" si="2852"/>
        <v>0</v>
      </c>
      <c r="FH166" s="2">
        <f t="shared" si="2852"/>
        <v>0</v>
      </c>
      <c r="FI166" s="2">
        <f t="shared" si="2852"/>
        <v>0</v>
      </c>
      <c r="FJ166" s="2">
        <f t="shared" si="2852"/>
        <v>0</v>
      </c>
      <c r="FK166" s="2">
        <f t="shared" ref="FK166:FO166" si="2853">CD166*$BT166+CY166*$CO166</f>
        <v>0</v>
      </c>
      <c r="FL166" s="2">
        <f t="shared" si="2853"/>
        <v>0</v>
      </c>
      <c r="FM166" s="2">
        <f t="shared" si="2853"/>
        <v>0</v>
      </c>
      <c r="FN166" s="2">
        <f t="shared" si="2853"/>
        <v>0</v>
      </c>
      <c r="FO166" s="2">
        <f t="shared" si="2853"/>
        <v>0</v>
      </c>
      <c r="FP166" s="2">
        <f t="shared" ref="FP166:FQ166" si="2854">(CI166*$BT166+DD166*$CO166)/100</f>
        <v>0</v>
      </c>
      <c r="FQ166" s="2">
        <f t="shared" si="2854"/>
        <v>0</v>
      </c>
      <c r="FR166" s="2"/>
      <c r="FS166" s="2">
        <f t="shared" si="24"/>
        <v>0</v>
      </c>
      <c r="FT166" s="2">
        <f t="shared" si="25"/>
        <v>0</v>
      </c>
      <c r="FU166" s="39">
        <f t="shared" si="26"/>
        <v>0</v>
      </c>
      <c r="FV166" s="39">
        <f t="shared" ref="FV166:FW166" si="2855">FV$1*FC166/1000000</f>
        <v>0</v>
      </c>
      <c r="FW166" s="39">
        <f t="shared" si="2855"/>
        <v>0</v>
      </c>
      <c r="FX166" s="39">
        <f t="shared" ref="FX166:GC166" si="2856">FX$1*FE166</f>
        <v>0</v>
      </c>
      <c r="FY166" s="39">
        <f t="shared" si="2856"/>
        <v>0</v>
      </c>
      <c r="FZ166" s="39">
        <f t="shared" si="2856"/>
        <v>0</v>
      </c>
      <c r="GA166" s="39">
        <f t="shared" si="2856"/>
        <v>0</v>
      </c>
      <c r="GB166" s="39">
        <f t="shared" si="2856"/>
        <v>0</v>
      </c>
      <c r="GC166" s="39">
        <f t="shared" si="2856"/>
        <v>0</v>
      </c>
      <c r="GD166" s="39">
        <f t="shared" ref="GD166:GH166" si="2857">GD$1*FK166/1000000</f>
        <v>0</v>
      </c>
      <c r="GE166" s="39">
        <f t="shared" si="2857"/>
        <v>0</v>
      </c>
      <c r="GF166" s="39">
        <f t="shared" si="2857"/>
        <v>0</v>
      </c>
      <c r="GG166" s="39">
        <f t="shared" si="2857"/>
        <v>0</v>
      </c>
      <c r="GH166" s="39">
        <f t="shared" si="2857"/>
        <v>0</v>
      </c>
      <c r="GI166" s="39">
        <f t="shared" ref="GI166:GJ166" si="2858">GI$1*FP166</f>
        <v>0</v>
      </c>
      <c r="GJ166" s="39">
        <f t="shared" si="2858"/>
        <v>0</v>
      </c>
      <c r="GK166" s="2"/>
      <c r="GL166" s="39">
        <f t="shared" si="31"/>
        <v>0</v>
      </c>
      <c r="GM166" s="39">
        <f t="shared" si="32"/>
        <v>0</v>
      </c>
      <c r="GN166" s="2" t="s">
        <v>3</v>
      </c>
      <c r="GO166" s="2">
        <f t="shared" si="33"/>
        <v>305</v>
      </c>
      <c r="GP166" s="4">
        <f t="shared" si="34"/>
        <v>0.688983606557377</v>
      </c>
      <c r="GQ166" s="18">
        <f t="shared" si="35"/>
        <v>2101.4</v>
      </c>
      <c r="GR166" s="15">
        <f t="shared" si="36"/>
        <v>36439.853580439994</v>
      </c>
      <c r="GS166" s="15">
        <f t="shared" si="37"/>
        <v>119.47492977193441</v>
      </c>
      <c r="GT166" s="2">
        <f t="shared" si="38"/>
        <v>958.99999999999989</v>
      </c>
      <c r="GU166" s="2">
        <f t="shared" si="39"/>
        <v>1142.4000000000001</v>
      </c>
      <c r="GV166" s="2">
        <f t="shared" si="40"/>
        <v>0</v>
      </c>
      <c r="GW166" s="2">
        <f t="shared" si="41"/>
        <v>0</v>
      </c>
      <c r="GX166" s="2"/>
      <c r="GY166" s="2"/>
      <c r="GZ166" s="2"/>
      <c r="HA166" s="2"/>
      <c r="HB166" s="2">
        <f t="shared" si="42"/>
        <v>0</v>
      </c>
      <c r="HC166" s="2">
        <f t="shared" si="43"/>
        <v>0</v>
      </c>
      <c r="HD166" s="2" t="s">
        <v>3</v>
      </c>
      <c r="HE166" s="2" t="s">
        <v>37</v>
      </c>
      <c r="HF166" s="2" t="s">
        <v>114</v>
      </c>
      <c r="HG166" s="2" t="s">
        <v>114</v>
      </c>
      <c r="HH166" s="2"/>
      <c r="HI166" s="2" t="s">
        <v>81</v>
      </c>
      <c r="HJ166" s="2" t="s">
        <v>3</v>
      </c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 t="s">
        <v>3</v>
      </c>
    </row>
    <row r="167" spans="1:268" ht="15.75" customHeight="1" x14ac:dyDescent="0.2">
      <c r="A167" s="13" t="s">
        <v>308</v>
      </c>
      <c r="B167" s="2" t="s">
        <v>99</v>
      </c>
      <c r="C167" s="2"/>
      <c r="D167" s="2"/>
      <c r="E167" s="2" t="s">
        <v>78</v>
      </c>
      <c r="F167" s="2" t="s">
        <v>309</v>
      </c>
      <c r="G167" s="2"/>
      <c r="H167" s="2" t="s">
        <v>242</v>
      </c>
      <c r="I167" s="2">
        <v>0</v>
      </c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>
        <v>0</v>
      </c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>
        <v>4.6500000000000004</v>
      </c>
      <c r="AZ167" s="2"/>
      <c r="BA167" s="2"/>
      <c r="BB167" s="2"/>
      <c r="BC167" s="2"/>
      <c r="BD167" s="2"/>
      <c r="BE167" s="2"/>
      <c r="BF167" s="2"/>
      <c r="BG167" s="2">
        <v>0.98</v>
      </c>
      <c r="BH167" s="2">
        <v>6.9000000000000006E-2</v>
      </c>
      <c r="BI167" s="2"/>
      <c r="BJ167" s="2"/>
      <c r="BK167" s="2"/>
      <c r="BL167" s="2"/>
      <c r="BM167" s="2"/>
      <c r="BN167" s="2"/>
      <c r="BO167" s="2">
        <v>18.5</v>
      </c>
      <c r="BP167" s="2"/>
      <c r="BQ167" s="2"/>
      <c r="BR167" s="2"/>
      <c r="BS167" s="2"/>
      <c r="BT167" s="2">
        <v>0</v>
      </c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>
        <v>0</v>
      </c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 t="s">
        <v>81</v>
      </c>
      <c r="DK167" s="2" t="s">
        <v>81</v>
      </c>
      <c r="DL167" s="2">
        <f t="shared" si="3"/>
        <v>0.98</v>
      </c>
      <c r="DM167" s="2">
        <f t="shared" si="4"/>
        <v>6.9000000000000006E-2</v>
      </c>
      <c r="DN167" s="2" t="s">
        <v>175</v>
      </c>
      <c r="DO167" s="2" t="s">
        <v>3</v>
      </c>
      <c r="DP167" s="2">
        <f t="shared" si="5"/>
        <v>0</v>
      </c>
      <c r="DQ167" s="2">
        <f t="shared" ref="DQ167:DR167" si="2859">K167*$I167+AF167*$AD167+BA167*$AY167</f>
        <v>0</v>
      </c>
      <c r="DR167" s="2">
        <f t="shared" si="2859"/>
        <v>0</v>
      </c>
      <c r="DS167" s="2">
        <f t="shared" ref="DS167:DX167" si="2860">(M167*$I167+AH167*$AD167+BC167*$AY167)/100</f>
        <v>0</v>
      </c>
      <c r="DT167" s="2">
        <f t="shared" si="2860"/>
        <v>0</v>
      </c>
      <c r="DU167" s="2">
        <f t="shared" si="2860"/>
        <v>0</v>
      </c>
      <c r="DV167" s="2">
        <f t="shared" si="2860"/>
        <v>0</v>
      </c>
      <c r="DW167" s="2">
        <f t="shared" si="2860"/>
        <v>4.5570000000000006E-2</v>
      </c>
      <c r="DX167" s="2">
        <f t="shared" si="2860"/>
        <v>3.2085000000000004E-3</v>
      </c>
      <c r="DY167" s="2">
        <f t="shared" ref="DY167:EC167" si="2861">S167*$I167+AN167*$AD167+BI167*$AY167</f>
        <v>0</v>
      </c>
      <c r="DZ167" s="2">
        <f t="shared" si="2861"/>
        <v>0</v>
      </c>
      <c r="EA167" s="2">
        <f t="shared" si="2861"/>
        <v>0</v>
      </c>
      <c r="EB167" s="2">
        <f t="shared" si="2861"/>
        <v>0</v>
      </c>
      <c r="EC167" s="2">
        <f t="shared" si="2861"/>
        <v>0</v>
      </c>
      <c r="ED167" s="2">
        <f t="shared" ref="ED167:EE167" si="2862">(X167*$I167+AS167*$AD167+BN167*$AY167)/100</f>
        <v>0</v>
      </c>
      <c r="EE167" s="2">
        <f t="shared" si="2862"/>
        <v>0.86025000000000007</v>
      </c>
      <c r="EF167" s="2"/>
      <c r="EG167" s="2">
        <f t="shared" si="10"/>
        <v>0</v>
      </c>
      <c r="EH167" s="2">
        <f t="shared" si="11"/>
        <v>0</v>
      </c>
      <c r="EI167" s="39">
        <f t="shared" si="12"/>
        <v>0</v>
      </c>
      <c r="EJ167" s="39">
        <f t="shared" ref="EJ167:EK167" si="2863">EJ$1*DQ167/1000000</f>
        <v>0</v>
      </c>
      <c r="EK167" s="39">
        <f t="shared" si="2863"/>
        <v>0</v>
      </c>
      <c r="EL167" s="39">
        <f t="shared" ref="EL167:EQ167" si="2864">EL$1*DS167</f>
        <v>0</v>
      </c>
      <c r="EM167" s="39">
        <f t="shared" si="2864"/>
        <v>0</v>
      </c>
      <c r="EN167" s="39">
        <f t="shared" si="2864"/>
        <v>0</v>
      </c>
      <c r="EO167" s="39">
        <f t="shared" si="2864"/>
        <v>0</v>
      </c>
      <c r="EP167" s="39">
        <f t="shared" si="2864"/>
        <v>597.60498000000007</v>
      </c>
      <c r="EQ167" s="39">
        <f t="shared" si="2864"/>
        <v>232.99974275400001</v>
      </c>
      <c r="ER167" s="39">
        <f t="shared" ref="ER167:EV167" si="2865">ER$1*DY167/1000000</f>
        <v>0</v>
      </c>
      <c r="ES167" s="39">
        <f t="shared" si="2865"/>
        <v>0</v>
      </c>
      <c r="ET167" s="39">
        <f t="shared" si="2865"/>
        <v>0</v>
      </c>
      <c r="EU167" s="39">
        <f t="shared" si="2865"/>
        <v>0</v>
      </c>
      <c r="EV167" s="39">
        <f t="shared" si="2865"/>
        <v>0</v>
      </c>
      <c r="EW167" s="39">
        <f t="shared" ref="EW167:EX167" si="2866">EW$1*ED167</f>
        <v>0</v>
      </c>
      <c r="EX167" s="39">
        <f t="shared" si="2866"/>
        <v>80.003250000000008</v>
      </c>
      <c r="EY167" s="2"/>
      <c r="EZ167" s="39">
        <f t="shared" si="17"/>
        <v>0</v>
      </c>
      <c r="FA167" s="39">
        <f t="shared" si="18"/>
        <v>0</v>
      </c>
      <c r="FB167" s="2">
        <f t="shared" si="19"/>
        <v>0</v>
      </c>
      <c r="FC167" s="2">
        <f t="shared" ref="FC167:FD167" si="2867">BV167*$BT167+CQ167*$CO167</f>
        <v>0</v>
      </c>
      <c r="FD167" s="2">
        <f t="shared" si="2867"/>
        <v>0</v>
      </c>
      <c r="FE167" s="2">
        <f t="shared" ref="FE167:FJ167" si="2868">(BX167*$BT167+CS167*$CO167)/100</f>
        <v>0</v>
      </c>
      <c r="FF167" s="2">
        <f t="shared" si="2868"/>
        <v>0</v>
      </c>
      <c r="FG167" s="2">
        <f t="shared" si="2868"/>
        <v>0</v>
      </c>
      <c r="FH167" s="2">
        <f t="shared" si="2868"/>
        <v>0</v>
      </c>
      <c r="FI167" s="2">
        <f t="shared" si="2868"/>
        <v>0</v>
      </c>
      <c r="FJ167" s="2">
        <f t="shared" si="2868"/>
        <v>0</v>
      </c>
      <c r="FK167" s="2">
        <f t="shared" ref="FK167:FO167" si="2869">CD167*$BT167+CY167*$CO167</f>
        <v>0</v>
      </c>
      <c r="FL167" s="2">
        <f t="shared" si="2869"/>
        <v>0</v>
      </c>
      <c r="FM167" s="2">
        <f t="shared" si="2869"/>
        <v>0</v>
      </c>
      <c r="FN167" s="2">
        <f t="shared" si="2869"/>
        <v>0</v>
      </c>
      <c r="FO167" s="2">
        <f t="shared" si="2869"/>
        <v>0</v>
      </c>
      <c r="FP167" s="2">
        <f t="shared" ref="FP167:FQ167" si="2870">(CI167*$BT167+DD167*$CO167)/100</f>
        <v>0</v>
      </c>
      <c r="FQ167" s="2">
        <f t="shared" si="2870"/>
        <v>0</v>
      </c>
      <c r="FR167" s="2"/>
      <c r="FS167" s="2">
        <f t="shared" si="24"/>
        <v>0</v>
      </c>
      <c r="FT167" s="2">
        <f t="shared" si="25"/>
        <v>0</v>
      </c>
      <c r="FU167" s="39">
        <f t="shared" si="26"/>
        <v>0</v>
      </c>
      <c r="FV167" s="39">
        <f t="shared" ref="FV167:FW167" si="2871">FV$1*FC167/1000000</f>
        <v>0</v>
      </c>
      <c r="FW167" s="39">
        <f t="shared" si="2871"/>
        <v>0</v>
      </c>
      <c r="FX167" s="39">
        <f t="shared" ref="FX167:GC167" si="2872">FX$1*FE167</f>
        <v>0</v>
      </c>
      <c r="FY167" s="39">
        <f t="shared" si="2872"/>
        <v>0</v>
      </c>
      <c r="FZ167" s="39">
        <f t="shared" si="2872"/>
        <v>0</v>
      </c>
      <c r="GA167" s="39">
        <f t="shared" si="2872"/>
        <v>0</v>
      </c>
      <c r="GB167" s="39">
        <f t="shared" si="2872"/>
        <v>0</v>
      </c>
      <c r="GC167" s="39">
        <f t="shared" si="2872"/>
        <v>0</v>
      </c>
      <c r="GD167" s="39">
        <f t="shared" ref="GD167:GH167" si="2873">GD$1*FK167/1000000</f>
        <v>0</v>
      </c>
      <c r="GE167" s="39">
        <f t="shared" si="2873"/>
        <v>0</v>
      </c>
      <c r="GF167" s="39">
        <f t="shared" si="2873"/>
        <v>0</v>
      </c>
      <c r="GG167" s="39">
        <f t="shared" si="2873"/>
        <v>0</v>
      </c>
      <c r="GH167" s="39">
        <f t="shared" si="2873"/>
        <v>0</v>
      </c>
      <c r="GI167" s="39">
        <f t="shared" ref="GI167:GJ167" si="2874">GI$1*FP167</f>
        <v>0</v>
      </c>
      <c r="GJ167" s="39">
        <f t="shared" si="2874"/>
        <v>0</v>
      </c>
      <c r="GK167" s="2"/>
      <c r="GL167" s="39">
        <f t="shared" si="31"/>
        <v>0</v>
      </c>
      <c r="GM167" s="39">
        <f t="shared" si="32"/>
        <v>0</v>
      </c>
      <c r="GN167" s="2" t="s">
        <v>3</v>
      </c>
      <c r="GO167" s="2">
        <f t="shared" si="33"/>
        <v>4.6500000000000004</v>
      </c>
      <c r="GP167" s="2">
        <f t="shared" si="34"/>
        <v>0.98</v>
      </c>
      <c r="GQ167" s="15">
        <f t="shared" si="35"/>
        <v>45.57</v>
      </c>
      <c r="GR167" s="15">
        <f t="shared" si="36"/>
        <v>910.607972754</v>
      </c>
      <c r="GS167" s="15">
        <f t="shared" si="37"/>
        <v>195.82967155999998</v>
      </c>
      <c r="GT167" s="2">
        <f t="shared" si="38"/>
        <v>0</v>
      </c>
      <c r="GU167" s="2">
        <f t="shared" si="39"/>
        <v>0</v>
      </c>
      <c r="GV167" s="2">
        <f t="shared" si="40"/>
        <v>45.57</v>
      </c>
      <c r="GW167" s="2">
        <f t="shared" si="41"/>
        <v>0</v>
      </c>
      <c r="GX167" s="2"/>
      <c r="GY167" s="2"/>
      <c r="GZ167" s="2"/>
      <c r="HA167" s="2"/>
      <c r="HB167" s="2">
        <f t="shared" si="42"/>
        <v>0</v>
      </c>
      <c r="HC167" s="2">
        <f t="shared" si="43"/>
        <v>0</v>
      </c>
      <c r="HD167" s="2" t="s">
        <v>3</v>
      </c>
      <c r="HE167" s="2" t="s">
        <v>37</v>
      </c>
      <c r="HF167" s="2" t="s">
        <v>114</v>
      </c>
      <c r="HG167" s="2" t="s">
        <v>114</v>
      </c>
      <c r="HH167" s="2"/>
      <c r="HI167" s="2" t="s">
        <v>81</v>
      </c>
      <c r="HJ167" s="2" t="s">
        <v>3</v>
      </c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 t="s">
        <v>3</v>
      </c>
    </row>
    <row r="168" spans="1:268" ht="15.75" customHeight="1" x14ac:dyDescent="0.2">
      <c r="A168" s="13" t="s">
        <v>300</v>
      </c>
      <c r="B168" s="2" t="s">
        <v>109</v>
      </c>
      <c r="C168" s="2"/>
      <c r="D168" s="2"/>
      <c r="E168" s="2" t="s">
        <v>78</v>
      </c>
      <c r="F168" s="2" t="s">
        <v>301</v>
      </c>
      <c r="G168" s="2"/>
      <c r="H168" s="2" t="s">
        <v>141</v>
      </c>
      <c r="I168" s="2">
        <v>32.774999999999999</v>
      </c>
      <c r="J168" s="2"/>
      <c r="K168" s="2"/>
      <c r="L168" s="2"/>
      <c r="M168" s="2"/>
      <c r="N168" s="2"/>
      <c r="O168" s="2"/>
      <c r="P168" s="2"/>
      <c r="Q168" s="2">
        <v>1.1000000000000001</v>
      </c>
      <c r="R168" s="2"/>
      <c r="S168" s="2"/>
      <c r="T168" s="2"/>
      <c r="U168" s="2"/>
      <c r="V168" s="2"/>
      <c r="W168" s="2"/>
      <c r="X168" s="2"/>
      <c r="Y168" s="2">
        <v>35.200000000000003</v>
      </c>
      <c r="Z168" s="2"/>
      <c r="AA168" s="2"/>
      <c r="AB168" s="2"/>
      <c r="AC168" s="2"/>
      <c r="AD168" s="2">
        <v>21.385000000000002</v>
      </c>
      <c r="AE168" s="2"/>
      <c r="AF168" s="2"/>
      <c r="AG168" s="2"/>
      <c r="AH168" s="2"/>
      <c r="AI168" s="2"/>
      <c r="AJ168" s="2"/>
      <c r="AK168" s="2"/>
      <c r="AL168" s="2">
        <v>1.2</v>
      </c>
      <c r="AM168" s="2"/>
      <c r="AN168" s="2"/>
      <c r="AO168" s="2"/>
      <c r="AP168" s="2"/>
      <c r="AQ168" s="2"/>
      <c r="AR168" s="2"/>
      <c r="AS168" s="2"/>
      <c r="AT168" s="2">
        <v>25.7</v>
      </c>
      <c r="AU168" s="2"/>
      <c r="AV168" s="2"/>
      <c r="AW168" s="2"/>
      <c r="AX168" s="2"/>
      <c r="AY168" s="2">
        <v>0</v>
      </c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4">
        <v>25.081603000000001</v>
      </c>
      <c r="BU168" s="2"/>
      <c r="BV168" s="2"/>
      <c r="BW168" s="2"/>
      <c r="BX168" s="2"/>
      <c r="BY168" s="2"/>
      <c r="BZ168" s="2"/>
      <c r="CA168" s="2"/>
      <c r="CB168" s="2">
        <v>1.17</v>
      </c>
      <c r="CC168" s="2"/>
      <c r="CD168" s="2"/>
      <c r="CE168" s="2"/>
      <c r="CF168" s="2"/>
      <c r="CG168" s="2"/>
      <c r="CH168" s="2"/>
      <c r="CI168" s="2"/>
      <c r="CJ168" s="2">
        <v>35.46</v>
      </c>
      <c r="CK168" s="2"/>
      <c r="CL168" s="2"/>
      <c r="CM168" s="2"/>
      <c r="CN168" s="2"/>
      <c r="CO168" s="4">
        <v>11.261068</v>
      </c>
      <c r="CP168" s="2"/>
      <c r="CQ168" s="2"/>
      <c r="CR168" s="2"/>
      <c r="CS168" s="2"/>
      <c r="CT168" s="2"/>
      <c r="CU168" s="2"/>
      <c r="CV168" s="2"/>
      <c r="CW168" s="2">
        <v>1.34</v>
      </c>
      <c r="CX168" s="2"/>
      <c r="CY168" s="2"/>
      <c r="CZ168" s="2"/>
      <c r="DA168" s="2"/>
      <c r="DB168" s="2"/>
      <c r="DC168" s="2"/>
      <c r="DD168" s="2"/>
      <c r="DE168" s="2">
        <v>23.37</v>
      </c>
      <c r="DF168" s="2"/>
      <c r="DG168" s="2"/>
      <c r="DH168" s="2"/>
      <c r="DI168" s="2"/>
      <c r="DJ168" s="2" t="s">
        <v>81</v>
      </c>
      <c r="DK168" s="2"/>
      <c r="DL168" s="2">
        <f t="shared" si="3"/>
        <v>1.1394848596750371</v>
      </c>
      <c r="DM168" s="2">
        <f t="shared" si="4"/>
        <v>0</v>
      </c>
      <c r="DN168" s="2" t="s">
        <v>302</v>
      </c>
      <c r="DO168" s="2" t="s">
        <v>3</v>
      </c>
      <c r="DP168" s="2">
        <f t="shared" si="5"/>
        <v>0</v>
      </c>
      <c r="DQ168" s="2">
        <f t="shared" ref="DQ168:DR168" si="2875">K168*$I168+AF168*$AD168+BA168*$AY168</f>
        <v>0</v>
      </c>
      <c r="DR168" s="2">
        <f t="shared" si="2875"/>
        <v>0</v>
      </c>
      <c r="DS168" s="2">
        <f t="shared" ref="DS168:DX168" si="2876">(M168*$I168+AH168*$AD168+BC168*$AY168)/100</f>
        <v>0</v>
      </c>
      <c r="DT168" s="2">
        <f t="shared" si="2876"/>
        <v>0</v>
      </c>
      <c r="DU168" s="2">
        <f t="shared" si="2876"/>
        <v>0</v>
      </c>
      <c r="DV168" s="2">
        <f t="shared" si="2876"/>
        <v>0</v>
      </c>
      <c r="DW168" s="2">
        <f t="shared" si="2876"/>
        <v>0.61714500000000005</v>
      </c>
      <c r="DX168" s="2">
        <f t="shared" si="2876"/>
        <v>0</v>
      </c>
      <c r="DY168" s="2">
        <f t="shared" ref="DY168:EC168" si="2877">S168*$I168+AN168*$AD168+BI168*$AY168</f>
        <v>0</v>
      </c>
      <c r="DZ168" s="2">
        <f t="shared" si="2877"/>
        <v>0</v>
      </c>
      <c r="EA168" s="2">
        <f t="shared" si="2877"/>
        <v>0</v>
      </c>
      <c r="EB168" s="2">
        <f t="shared" si="2877"/>
        <v>0</v>
      </c>
      <c r="EC168" s="2">
        <f t="shared" si="2877"/>
        <v>0</v>
      </c>
      <c r="ED168" s="2">
        <f t="shared" ref="ED168:EE168" si="2878">(X168*$I168+AS168*$AD168+BN168*$AY168)/100</f>
        <v>0</v>
      </c>
      <c r="EE168" s="2">
        <f t="shared" si="2878"/>
        <v>17.032744999999998</v>
      </c>
      <c r="EF168" s="2"/>
      <c r="EG168" s="2">
        <f t="shared" si="10"/>
        <v>0</v>
      </c>
      <c r="EH168" s="2">
        <f t="shared" si="11"/>
        <v>0</v>
      </c>
      <c r="EI168" s="39">
        <f t="shared" si="12"/>
        <v>0</v>
      </c>
      <c r="EJ168" s="39">
        <f t="shared" ref="EJ168:EK168" si="2879">EJ$1*DQ168/1000000</f>
        <v>0</v>
      </c>
      <c r="EK168" s="39">
        <f t="shared" si="2879"/>
        <v>0</v>
      </c>
      <c r="EL168" s="39">
        <f t="shared" ref="EL168:EQ168" si="2880">EL$1*DS168</f>
        <v>0</v>
      </c>
      <c r="EM168" s="39">
        <f t="shared" si="2880"/>
        <v>0</v>
      </c>
      <c r="EN168" s="39">
        <f t="shared" si="2880"/>
        <v>0</v>
      </c>
      <c r="EO168" s="39">
        <f t="shared" si="2880"/>
        <v>0</v>
      </c>
      <c r="EP168" s="39">
        <f t="shared" si="2880"/>
        <v>8093.2395300000007</v>
      </c>
      <c r="EQ168" s="39">
        <f t="shared" si="2880"/>
        <v>0</v>
      </c>
      <c r="ER168" s="39">
        <f t="shared" ref="ER168:EV168" si="2881">ER$1*DY168/1000000</f>
        <v>0</v>
      </c>
      <c r="ES168" s="39">
        <f t="shared" si="2881"/>
        <v>0</v>
      </c>
      <c r="ET168" s="39">
        <f t="shared" si="2881"/>
        <v>0</v>
      </c>
      <c r="EU168" s="39">
        <f t="shared" si="2881"/>
        <v>0</v>
      </c>
      <c r="EV168" s="39">
        <f t="shared" si="2881"/>
        <v>0</v>
      </c>
      <c r="EW168" s="39">
        <f t="shared" ref="EW168:EX168" si="2882">EW$1*ED168</f>
        <v>0</v>
      </c>
      <c r="EX168" s="39">
        <f t="shared" si="2882"/>
        <v>1584.0452849999999</v>
      </c>
      <c r="EY168" s="2"/>
      <c r="EZ168" s="39">
        <f t="shared" si="17"/>
        <v>0</v>
      </c>
      <c r="FA168" s="39">
        <f t="shared" si="18"/>
        <v>0</v>
      </c>
      <c r="FB168" s="2">
        <f t="shared" si="19"/>
        <v>0</v>
      </c>
      <c r="FC168" s="2">
        <f t="shared" ref="FC168:FD168" si="2883">BV168*$BT168+CQ168*$CO168</f>
        <v>0</v>
      </c>
      <c r="FD168" s="2">
        <f t="shared" si="2883"/>
        <v>0</v>
      </c>
      <c r="FE168" s="2">
        <f t="shared" ref="FE168:FJ168" si="2884">(BX168*$BT168+CS168*$CO168)/100</f>
        <v>0</v>
      </c>
      <c r="FF168" s="2">
        <f t="shared" si="2884"/>
        <v>0</v>
      </c>
      <c r="FG168" s="2">
        <f t="shared" si="2884"/>
        <v>0</v>
      </c>
      <c r="FH168" s="2">
        <f t="shared" si="2884"/>
        <v>0</v>
      </c>
      <c r="FI168" s="2">
        <f t="shared" si="2884"/>
        <v>0.44435306629999999</v>
      </c>
      <c r="FJ168" s="2">
        <f t="shared" si="2884"/>
        <v>0</v>
      </c>
      <c r="FK168" s="2">
        <f t="shared" ref="FK168:FO168" si="2885">CD168*$BT168+CY168*$CO168</f>
        <v>0</v>
      </c>
      <c r="FL168" s="2">
        <f t="shared" si="2885"/>
        <v>0</v>
      </c>
      <c r="FM168" s="2">
        <f t="shared" si="2885"/>
        <v>0</v>
      </c>
      <c r="FN168" s="2">
        <f t="shared" si="2885"/>
        <v>0</v>
      </c>
      <c r="FO168" s="2">
        <f t="shared" si="2885"/>
        <v>0</v>
      </c>
      <c r="FP168" s="2">
        <f t="shared" ref="FP168:FQ168" si="2886">(CI168*$BT168+DD168*$CO168)/100</f>
        <v>0</v>
      </c>
      <c r="FQ168" s="2">
        <f t="shared" si="2886"/>
        <v>11.525648015400002</v>
      </c>
      <c r="FR168" s="2"/>
      <c r="FS168" s="2">
        <f t="shared" si="24"/>
        <v>0</v>
      </c>
      <c r="FT168" s="2">
        <f t="shared" si="25"/>
        <v>0</v>
      </c>
      <c r="FU168" s="39">
        <f t="shared" si="26"/>
        <v>0</v>
      </c>
      <c r="FV168" s="39">
        <f t="shared" ref="FV168:FW168" si="2887">FV$1*FC168/1000000</f>
        <v>0</v>
      </c>
      <c r="FW168" s="39">
        <f t="shared" si="2887"/>
        <v>0</v>
      </c>
      <c r="FX168" s="39">
        <f t="shared" ref="FX168:GC168" si="2888">FX$1*FE168</f>
        <v>0</v>
      </c>
      <c r="FY168" s="39">
        <f t="shared" si="2888"/>
        <v>0</v>
      </c>
      <c r="FZ168" s="39">
        <f t="shared" si="2888"/>
        <v>0</v>
      </c>
      <c r="GA168" s="39">
        <f t="shared" si="2888"/>
        <v>0</v>
      </c>
      <c r="GB168" s="39">
        <f t="shared" si="2888"/>
        <v>5827.2461114582002</v>
      </c>
      <c r="GC168" s="39">
        <f t="shared" si="2888"/>
        <v>0</v>
      </c>
      <c r="GD168" s="39">
        <f t="shared" ref="GD168:GH168" si="2889">GD$1*FK168/1000000</f>
        <v>0</v>
      </c>
      <c r="GE168" s="39">
        <f t="shared" si="2889"/>
        <v>0</v>
      </c>
      <c r="GF168" s="39">
        <f t="shared" si="2889"/>
        <v>0</v>
      </c>
      <c r="GG168" s="39">
        <f t="shared" si="2889"/>
        <v>0</v>
      </c>
      <c r="GH168" s="39">
        <f t="shared" si="2889"/>
        <v>0</v>
      </c>
      <c r="GI168" s="39">
        <f t="shared" ref="GI168:GJ168" si="2890">GI$1*FP168</f>
        <v>0</v>
      </c>
      <c r="GJ168" s="39">
        <f t="shared" si="2890"/>
        <v>1071.8852654322002</v>
      </c>
      <c r="GK168" s="2"/>
      <c r="GL168" s="39">
        <f t="shared" si="31"/>
        <v>0</v>
      </c>
      <c r="GM168" s="39">
        <f t="shared" si="32"/>
        <v>0</v>
      </c>
      <c r="GN168" s="2" t="s">
        <v>3</v>
      </c>
      <c r="GO168" s="2">
        <f t="shared" si="33"/>
        <v>54.16</v>
      </c>
      <c r="GP168" s="4">
        <f t="shared" si="34"/>
        <v>1.1394848596750371</v>
      </c>
      <c r="GQ168" s="15">
        <f t="shared" si="35"/>
        <v>617.1450000000001</v>
      </c>
      <c r="GR168" s="15">
        <f t="shared" si="36"/>
        <v>9677.2848150000009</v>
      </c>
      <c r="GS168" s="15">
        <f t="shared" si="37"/>
        <v>178.67955714549487</v>
      </c>
      <c r="GT168" s="2">
        <f t="shared" si="38"/>
        <v>360.52499999999998</v>
      </c>
      <c r="GU168" s="2">
        <f t="shared" si="39"/>
        <v>256.62000000000006</v>
      </c>
      <c r="GV168" s="2">
        <f t="shared" si="40"/>
        <v>0</v>
      </c>
      <c r="GW168" s="4">
        <f t="shared" si="41"/>
        <v>36.342671000000003</v>
      </c>
      <c r="GX168" s="4">
        <f t="shared" ref="GX168:GX169" si="2891">(BT168*CB168+CO168*CW168)/GW168</f>
        <v>1.2226758630371444</v>
      </c>
      <c r="GY168" s="15">
        <f t="shared" ref="GY168:GY169" si="2892">1000*GW168*GX168/100</f>
        <v>444.35306629999997</v>
      </c>
      <c r="GZ168" s="15">
        <f t="shared" ref="GZ168:GZ169" si="2893">SUM(FU168:GM168)</f>
        <v>6899.1313768904001</v>
      </c>
      <c r="HA168" s="15">
        <f t="shared" ref="HA168:HA169" si="2894">GZ168/GW168</f>
        <v>189.83556208321616</v>
      </c>
      <c r="HB168" s="2">
        <f t="shared" si="42"/>
        <v>293.4547551</v>
      </c>
      <c r="HC168" s="2">
        <f t="shared" si="43"/>
        <v>150.89831119999999</v>
      </c>
      <c r="HD168" s="2" t="s">
        <v>3</v>
      </c>
      <c r="HE168" s="2" t="s">
        <v>37</v>
      </c>
      <c r="HF168" s="2" t="s">
        <v>114</v>
      </c>
      <c r="HG168" s="2" t="s">
        <v>114</v>
      </c>
      <c r="HH168" s="2"/>
      <c r="HI168" s="2" t="s">
        <v>81</v>
      </c>
      <c r="HJ168" s="2" t="s">
        <v>3</v>
      </c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 t="s">
        <v>3</v>
      </c>
    </row>
    <row r="169" spans="1:268" ht="15.75" customHeight="1" x14ac:dyDescent="0.2">
      <c r="A169" s="13" t="s">
        <v>303</v>
      </c>
      <c r="B169" s="2" t="s">
        <v>109</v>
      </c>
      <c r="C169" s="2"/>
      <c r="D169" s="2"/>
      <c r="E169" s="2" t="s">
        <v>78</v>
      </c>
      <c r="F169" s="2" t="s">
        <v>304</v>
      </c>
      <c r="G169" s="2"/>
      <c r="H169" s="2" t="s">
        <v>141</v>
      </c>
      <c r="I169" s="2">
        <v>0</v>
      </c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4">
        <f>18.818+12.879</f>
        <v>31.697000000000003</v>
      </c>
      <c r="AE169" s="2"/>
      <c r="AF169" s="2"/>
      <c r="AG169" s="2"/>
      <c r="AH169" s="2"/>
      <c r="AI169" s="2"/>
      <c r="AJ169" s="2"/>
      <c r="AK169" s="2"/>
      <c r="AL169" s="4">
        <f>(1.36*18.818+1.21*12.879)/AD169</f>
        <v>1.2990525917279239</v>
      </c>
      <c r="AM169" s="2"/>
      <c r="AN169" s="2"/>
      <c r="AO169" s="2"/>
      <c r="AP169" s="2"/>
      <c r="AQ169" s="2"/>
      <c r="AR169" s="2"/>
      <c r="AS169" s="2"/>
      <c r="AT169" s="4">
        <f>(12.85*18.818+34.25*12.879)/AD169</f>
        <v>21.545163580149541</v>
      </c>
      <c r="AU169" s="2"/>
      <c r="AV169" s="2"/>
      <c r="AW169" s="2"/>
      <c r="AX169" s="4">
        <f>100*((28.96+19.851)-(18.818+12.879))/(28.96+19.851)</f>
        <v>35.061768863575828</v>
      </c>
      <c r="AY169" s="4">
        <f>1.916+0.567</f>
        <v>2.4829999999999997</v>
      </c>
      <c r="AZ169" s="2"/>
      <c r="BA169" s="2"/>
      <c r="BB169" s="2"/>
      <c r="BC169" s="2"/>
      <c r="BD169" s="2"/>
      <c r="BE169" s="2"/>
      <c r="BF169" s="2"/>
      <c r="BG169" s="4">
        <f>(1.2*1.916+1.14*0.567)/AY169</f>
        <v>1.1862988320579944</v>
      </c>
      <c r="BH169" s="2"/>
      <c r="BI169" s="2"/>
      <c r="BJ169" s="2"/>
      <c r="BK169" s="2"/>
      <c r="BL169" s="2"/>
      <c r="BM169" s="2"/>
      <c r="BN169" s="2"/>
      <c r="BO169" s="4">
        <f>(13.73*1.916+30.99*0.567)/AY169</f>
        <v>17.671369311316955</v>
      </c>
      <c r="BP169" s="2"/>
      <c r="BQ169" s="2"/>
      <c r="BR169" s="2"/>
      <c r="BS169" s="4">
        <f>100*((2.947+0.873)-(1.916+0.567))/(2.947+0.873)</f>
        <v>35.000000000000014</v>
      </c>
      <c r="BT169" s="2">
        <v>0</v>
      </c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4">
        <f>12.82+12.395</f>
        <v>25.215</v>
      </c>
      <c r="CP169" s="2"/>
      <c r="CQ169" s="2"/>
      <c r="CR169" s="2"/>
      <c r="CS169" s="2"/>
      <c r="CT169" s="2"/>
      <c r="CU169" s="2"/>
      <c r="CV169" s="2"/>
      <c r="CW169" s="4">
        <f>(1.49*12.82+1.19*12.395)/CO169</f>
        <v>1.3425282569898869</v>
      </c>
      <c r="CX169" s="2"/>
      <c r="CY169" s="2"/>
      <c r="CZ169" s="2"/>
      <c r="DA169" s="2"/>
      <c r="DB169" s="2"/>
      <c r="DC169" s="2"/>
      <c r="DD169" s="2"/>
      <c r="DE169" s="4">
        <f>(17.21*12.82+27.42*12.395)/CO169</f>
        <v>22.228954987110846</v>
      </c>
      <c r="DF169" s="2"/>
      <c r="DG169" s="2"/>
      <c r="DH169" s="2"/>
      <c r="DI169" s="4">
        <f>100*((19.723+19.07)-(12.82+12.395))/(19.723+19.07)</f>
        <v>35.001160003093339</v>
      </c>
      <c r="DJ169" s="2" t="s">
        <v>81</v>
      </c>
      <c r="DK169" s="2"/>
      <c r="DL169" s="2">
        <f t="shared" si="3"/>
        <v>1.2908616149795202</v>
      </c>
      <c r="DM169" s="2">
        <f t="shared" si="4"/>
        <v>0</v>
      </c>
      <c r="DN169" s="2" t="s">
        <v>211</v>
      </c>
      <c r="DO169" s="2" t="s">
        <v>3</v>
      </c>
      <c r="DP169" s="2">
        <f t="shared" si="5"/>
        <v>0</v>
      </c>
      <c r="DQ169" s="2">
        <f t="shared" ref="DQ169:DR169" si="2895">K169*$I169+AF169*$AD169+BA169*$AY169</f>
        <v>0</v>
      </c>
      <c r="DR169" s="2">
        <f t="shared" si="2895"/>
        <v>0</v>
      </c>
      <c r="DS169" s="2">
        <f t="shared" ref="DS169:DX169" si="2896">(M169*$I169+AH169*$AD169+BC169*$AY169)/100</f>
        <v>0</v>
      </c>
      <c r="DT169" s="2">
        <f t="shared" si="2896"/>
        <v>0</v>
      </c>
      <c r="DU169" s="2">
        <f t="shared" si="2896"/>
        <v>0</v>
      </c>
      <c r="DV169" s="2">
        <f t="shared" si="2896"/>
        <v>0</v>
      </c>
      <c r="DW169" s="2">
        <f t="shared" si="2896"/>
        <v>0.44121650000000001</v>
      </c>
      <c r="DX169" s="2">
        <f t="shared" si="2896"/>
        <v>0</v>
      </c>
      <c r="DY169" s="2">
        <f t="shared" ref="DY169:EC169" si="2897">S169*$I169+AN169*$AD169+BI169*$AY169</f>
        <v>0</v>
      </c>
      <c r="DZ169" s="2">
        <f t="shared" si="2897"/>
        <v>0</v>
      </c>
      <c r="EA169" s="2">
        <f t="shared" si="2897"/>
        <v>0</v>
      </c>
      <c r="EB169" s="2">
        <f t="shared" si="2897"/>
        <v>0</v>
      </c>
      <c r="EC169" s="2">
        <f t="shared" si="2897"/>
        <v>0</v>
      </c>
      <c r="ED169" s="2">
        <f t="shared" ref="ED169:EE169" si="2898">(X169*$I169+AS169*$AD169+BN169*$AY169)/100</f>
        <v>0</v>
      </c>
      <c r="EE169" s="2">
        <f t="shared" si="2898"/>
        <v>7.2679506000000007</v>
      </c>
      <c r="EF169" s="2"/>
      <c r="EG169" s="2">
        <f t="shared" si="10"/>
        <v>0</v>
      </c>
      <c r="EH169" s="2">
        <f t="shared" si="11"/>
        <v>0</v>
      </c>
      <c r="EI169" s="39">
        <f t="shared" si="12"/>
        <v>0</v>
      </c>
      <c r="EJ169" s="39">
        <f t="shared" ref="EJ169:EK169" si="2899">EJ$1*DQ169/1000000</f>
        <v>0</v>
      </c>
      <c r="EK169" s="39">
        <f t="shared" si="2899"/>
        <v>0</v>
      </c>
      <c r="EL169" s="39">
        <f t="shared" ref="EL169:EQ169" si="2900">EL$1*DS169</f>
        <v>0</v>
      </c>
      <c r="EM169" s="39">
        <f t="shared" si="2900"/>
        <v>0</v>
      </c>
      <c r="EN169" s="39">
        <f t="shared" si="2900"/>
        <v>0</v>
      </c>
      <c r="EO169" s="39">
        <f t="shared" si="2900"/>
        <v>0</v>
      </c>
      <c r="EP169" s="39">
        <f t="shared" si="2900"/>
        <v>5786.1131809999997</v>
      </c>
      <c r="EQ169" s="39">
        <f t="shared" si="2900"/>
        <v>0</v>
      </c>
      <c r="ER169" s="39">
        <f t="shared" ref="ER169:EV169" si="2901">ER$1*DY169/1000000</f>
        <v>0</v>
      </c>
      <c r="ES169" s="39">
        <f t="shared" si="2901"/>
        <v>0</v>
      </c>
      <c r="ET169" s="39">
        <f t="shared" si="2901"/>
        <v>0</v>
      </c>
      <c r="EU169" s="39">
        <f t="shared" si="2901"/>
        <v>0</v>
      </c>
      <c r="EV169" s="39">
        <f t="shared" si="2901"/>
        <v>0</v>
      </c>
      <c r="EW169" s="39">
        <f t="shared" ref="EW169:EX169" si="2902">EW$1*ED169</f>
        <v>0</v>
      </c>
      <c r="EX169" s="39">
        <f t="shared" si="2902"/>
        <v>675.91940580000005</v>
      </c>
      <c r="EY169" s="2"/>
      <c r="EZ169" s="39">
        <f t="shared" si="17"/>
        <v>0</v>
      </c>
      <c r="FA169" s="39">
        <f t="shared" si="18"/>
        <v>0</v>
      </c>
      <c r="FB169" s="2">
        <f t="shared" si="19"/>
        <v>0</v>
      </c>
      <c r="FC169" s="2">
        <f t="shared" ref="FC169:FD169" si="2903">BV169*$BT169+CQ169*$CO169</f>
        <v>0</v>
      </c>
      <c r="FD169" s="2">
        <f t="shared" si="2903"/>
        <v>0</v>
      </c>
      <c r="FE169" s="2">
        <f t="shared" ref="FE169:FJ169" si="2904">(BX169*$BT169+CS169*$CO169)/100</f>
        <v>0</v>
      </c>
      <c r="FF169" s="2">
        <f t="shared" si="2904"/>
        <v>0</v>
      </c>
      <c r="FG169" s="2">
        <f t="shared" si="2904"/>
        <v>0</v>
      </c>
      <c r="FH169" s="2">
        <f t="shared" si="2904"/>
        <v>0</v>
      </c>
      <c r="FI169" s="2">
        <f t="shared" si="2904"/>
        <v>0.3385185</v>
      </c>
      <c r="FJ169" s="2">
        <f t="shared" si="2904"/>
        <v>0</v>
      </c>
      <c r="FK169" s="2">
        <f t="shared" ref="FK169:FO169" si="2905">CD169*$BT169+CY169*$CO169</f>
        <v>0</v>
      </c>
      <c r="FL169" s="2">
        <f t="shared" si="2905"/>
        <v>0</v>
      </c>
      <c r="FM169" s="2">
        <f t="shared" si="2905"/>
        <v>0</v>
      </c>
      <c r="FN169" s="2">
        <f t="shared" si="2905"/>
        <v>0</v>
      </c>
      <c r="FO169" s="2">
        <f t="shared" si="2905"/>
        <v>0</v>
      </c>
      <c r="FP169" s="2">
        <f t="shared" ref="FP169:FQ169" si="2906">(CI169*$BT169+DD169*$CO169)/100</f>
        <v>0</v>
      </c>
      <c r="FQ169" s="2">
        <f t="shared" si="2906"/>
        <v>5.6050310000000003</v>
      </c>
      <c r="FR169" s="2"/>
      <c r="FS169" s="2">
        <f t="shared" si="24"/>
        <v>0</v>
      </c>
      <c r="FT169" s="2">
        <f t="shared" si="25"/>
        <v>0</v>
      </c>
      <c r="FU169" s="39">
        <f t="shared" si="26"/>
        <v>0</v>
      </c>
      <c r="FV169" s="39">
        <f t="shared" ref="FV169:FW169" si="2907">FV$1*FC169/1000000</f>
        <v>0</v>
      </c>
      <c r="FW169" s="39">
        <f t="shared" si="2907"/>
        <v>0</v>
      </c>
      <c r="FX169" s="39">
        <f t="shared" ref="FX169:GC169" si="2908">FX$1*FE169</f>
        <v>0</v>
      </c>
      <c r="FY169" s="39">
        <f t="shared" si="2908"/>
        <v>0</v>
      </c>
      <c r="FZ169" s="39">
        <f t="shared" si="2908"/>
        <v>0</v>
      </c>
      <c r="GA169" s="39">
        <f t="shared" si="2908"/>
        <v>0</v>
      </c>
      <c r="GB169" s="39">
        <f t="shared" si="2908"/>
        <v>4439.3316089999998</v>
      </c>
      <c r="GC169" s="39">
        <f t="shared" si="2908"/>
        <v>0</v>
      </c>
      <c r="GD169" s="39">
        <f t="shared" ref="GD169:GH169" si="2909">GD$1*FK169/1000000</f>
        <v>0</v>
      </c>
      <c r="GE169" s="39">
        <f t="shared" si="2909"/>
        <v>0</v>
      </c>
      <c r="GF169" s="39">
        <f t="shared" si="2909"/>
        <v>0</v>
      </c>
      <c r="GG169" s="39">
        <f t="shared" si="2909"/>
        <v>0</v>
      </c>
      <c r="GH169" s="39">
        <f t="shared" si="2909"/>
        <v>0</v>
      </c>
      <c r="GI169" s="39">
        <f t="shared" ref="GI169:GJ169" si="2910">GI$1*FP169</f>
        <v>0</v>
      </c>
      <c r="GJ169" s="39">
        <f t="shared" si="2910"/>
        <v>521.26788299999998</v>
      </c>
      <c r="GK169" s="2"/>
      <c r="GL169" s="39">
        <f t="shared" si="31"/>
        <v>0</v>
      </c>
      <c r="GM169" s="39">
        <f t="shared" si="32"/>
        <v>0</v>
      </c>
      <c r="GN169" s="2" t="s">
        <v>3</v>
      </c>
      <c r="GO169" s="4">
        <f t="shared" si="33"/>
        <v>34.18</v>
      </c>
      <c r="GP169" s="4">
        <f t="shared" si="34"/>
        <v>1.2908616149795202</v>
      </c>
      <c r="GQ169" s="15">
        <f t="shared" si="35"/>
        <v>441.2165</v>
      </c>
      <c r="GR169" s="15">
        <f t="shared" si="36"/>
        <v>6462.0325868</v>
      </c>
      <c r="GS169" s="15">
        <f t="shared" si="37"/>
        <v>189.05888200117028</v>
      </c>
      <c r="GT169" s="2">
        <f t="shared" si="38"/>
        <v>0</v>
      </c>
      <c r="GU169" s="2">
        <f t="shared" si="39"/>
        <v>411.76069999999999</v>
      </c>
      <c r="GV169" s="2">
        <f t="shared" si="40"/>
        <v>29.455799999999996</v>
      </c>
      <c r="GW169" s="4">
        <f t="shared" si="41"/>
        <v>25.215</v>
      </c>
      <c r="GX169" s="4">
        <f t="shared" si="2891"/>
        <v>1.3425282569898869</v>
      </c>
      <c r="GY169" s="15">
        <f t="shared" si="2892"/>
        <v>338.51849999999996</v>
      </c>
      <c r="GZ169" s="15">
        <f t="shared" si="2893"/>
        <v>4960.5994919999994</v>
      </c>
      <c r="HA169" s="15">
        <f t="shared" si="2894"/>
        <v>196.73208375966684</v>
      </c>
      <c r="HB169" s="2">
        <f t="shared" si="42"/>
        <v>0</v>
      </c>
      <c r="HC169" s="2">
        <f t="shared" si="43"/>
        <v>338.51849999999996</v>
      </c>
      <c r="HD169" s="2" t="s">
        <v>3</v>
      </c>
      <c r="HE169" s="2" t="s">
        <v>37</v>
      </c>
      <c r="HF169" s="2" t="s">
        <v>114</v>
      </c>
      <c r="HG169" s="2" t="s">
        <v>114</v>
      </c>
      <c r="HH169" s="2"/>
      <c r="HI169" s="2" t="s">
        <v>81</v>
      </c>
      <c r="HJ169" s="2" t="s">
        <v>3</v>
      </c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 t="s">
        <v>3</v>
      </c>
    </row>
    <row r="170" spans="1:268" ht="15.75" customHeight="1" x14ac:dyDescent="0.2">
      <c r="A170" s="13" t="s">
        <v>773</v>
      </c>
      <c r="B170" s="2" t="s">
        <v>99</v>
      </c>
      <c r="C170" s="29">
        <f>-8-46.444/60</f>
        <v>-8.7740666666666662</v>
      </c>
      <c r="D170" s="29">
        <f>147+44.454/60</f>
        <v>147.74090000000001</v>
      </c>
      <c r="E170" s="2" t="s">
        <v>78</v>
      </c>
      <c r="F170" s="2" t="s">
        <v>774</v>
      </c>
      <c r="G170" s="2"/>
      <c r="H170" s="2" t="s">
        <v>775</v>
      </c>
      <c r="I170" s="2">
        <v>0</v>
      </c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>
        <v>0</v>
      </c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>
        <v>162.5</v>
      </c>
      <c r="AZ170" s="2"/>
      <c r="BA170" s="2"/>
      <c r="BB170" s="2"/>
      <c r="BC170" s="2"/>
      <c r="BD170" s="2"/>
      <c r="BE170" s="2"/>
      <c r="BF170" s="2"/>
      <c r="BG170" s="2">
        <v>0.94</v>
      </c>
      <c r="BH170" s="2">
        <v>0.09</v>
      </c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>
        <v>0</v>
      </c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>
        <v>0</v>
      </c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 t="s">
        <v>81</v>
      </c>
      <c r="DK170" s="2" t="s">
        <v>81</v>
      </c>
      <c r="DL170" s="2">
        <f t="shared" si="3"/>
        <v>0.94</v>
      </c>
      <c r="DM170" s="2">
        <f t="shared" si="4"/>
        <v>0.09</v>
      </c>
      <c r="DN170" s="2" t="s">
        <v>211</v>
      </c>
      <c r="DO170" s="2" t="s">
        <v>3</v>
      </c>
      <c r="DP170" s="2">
        <f t="shared" si="5"/>
        <v>0</v>
      </c>
      <c r="DQ170" s="2">
        <f t="shared" ref="DQ170:DR170" si="2911">K170*$I170+AF170*$AD170+BA170*$AY170</f>
        <v>0</v>
      </c>
      <c r="DR170" s="2">
        <f t="shared" si="2911"/>
        <v>0</v>
      </c>
      <c r="DS170" s="2">
        <f t="shared" ref="DS170:DX170" si="2912">(M170*$I170+AH170*$AD170+BC170*$AY170)/100</f>
        <v>0</v>
      </c>
      <c r="DT170" s="2">
        <f t="shared" si="2912"/>
        <v>0</v>
      </c>
      <c r="DU170" s="2">
        <f t="shared" si="2912"/>
        <v>0</v>
      </c>
      <c r="DV170" s="2">
        <f t="shared" si="2912"/>
        <v>0</v>
      </c>
      <c r="DW170" s="2">
        <f t="shared" si="2912"/>
        <v>1.5275000000000001</v>
      </c>
      <c r="DX170" s="2">
        <f t="shared" si="2912"/>
        <v>0.14624999999999999</v>
      </c>
      <c r="DY170" s="2">
        <f t="shared" ref="DY170:EC170" si="2913">S170*$I170+AN170*$AD170+BI170*$AY170</f>
        <v>0</v>
      </c>
      <c r="DZ170" s="2">
        <f t="shared" si="2913"/>
        <v>0</v>
      </c>
      <c r="EA170" s="2">
        <f t="shared" si="2913"/>
        <v>0</v>
      </c>
      <c r="EB170" s="2">
        <f t="shared" si="2913"/>
        <v>0</v>
      </c>
      <c r="EC170" s="2">
        <f t="shared" si="2913"/>
        <v>0</v>
      </c>
      <c r="ED170" s="2">
        <f t="shared" ref="ED170:EE170" si="2914">(X170*$I170+AS170*$AD170+BN170*$AY170)/100</f>
        <v>0</v>
      </c>
      <c r="EE170" s="2">
        <f t="shared" si="2914"/>
        <v>0</v>
      </c>
      <c r="EF170" s="2"/>
      <c r="EG170" s="2">
        <f t="shared" si="10"/>
        <v>0</v>
      </c>
      <c r="EH170" s="2">
        <f t="shared" si="11"/>
        <v>0</v>
      </c>
      <c r="EI170" s="39">
        <f t="shared" si="12"/>
        <v>0</v>
      </c>
      <c r="EJ170" s="39">
        <f t="shared" ref="EJ170:EK170" si="2915">EJ$1*DQ170/1000000</f>
        <v>0</v>
      </c>
      <c r="EK170" s="39">
        <f t="shared" si="2915"/>
        <v>0</v>
      </c>
      <c r="EL170" s="39">
        <f t="shared" ref="EL170:EQ170" si="2916">EL$1*DS170</f>
        <v>0</v>
      </c>
      <c r="EM170" s="39">
        <f t="shared" si="2916"/>
        <v>0</v>
      </c>
      <c r="EN170" s="39">
        <f t="shared" si="2916"/>
        <v>0</v>
      </c>
      <c r="EO170" s="39">
        <f t="shared" si="2916"/>
        <v>0</v>
      </c>
      <c r="EP170" s="39">
        <f t="shared" si="2916"/>
        <v>20031.635000000002</v>
      </c>
      <c r="EQ170" s="39">
        <f t="shared" si="2916"/>
        <v>10620.605384999997</v>
      </c>
      <c r="ER170" s="39">
        <f t="shared" ref="ER170:EV170" si="2917">ER$1*DY170/1000000</f>
        <v>0</v>
      </c>
      <c r="ES170" s="39">
        <f t="shared" si="2917"/>
        <v>0</v>
      </c>
      <c r="ET170" s="39">
        <f t="shared" si="2917"/>
        <v>0</v>
      </c>
      <c r="EU170" s="39">
        <f t="shared" si="2917"/>
        <v>0</v>
      </c>
      <c r="EV170" s="39">
        <f t="shared" si="2917"/>
        <v>0</v>
      </c>
      <c r="EW170" s="39">
        <f t="shared" ref="EW170:EX170" si="2918">EW$1*ED170</f>
        <v>0</v>
      </c>
      <c r="EX170" s="39">
        <f t="shared" si="2918"/>
        <v>0</v>
      </c>
      <c r="EY170" s="2"/>
      <c r="EZ170" s="39">
        <f t="shared" si="17"/>
        <v>0</v>
      </c>
      <c r="FA170" s="39">
        <f t="shared" si="18"/>
        <v>0</v>
      </c>
      <c r="FB170" s="2">
        <f t="shared" si="19"/>
        <v>0</v>
      </c>
      <c r="FC170" s="2">
        <f t="shared" ref="FC170:FD170" si="2919">BV170*$BT170+CQ170*$CO170</f>
        <v>0</v>
      </c>
      <c r="FD170" s="2">
        <f t="shared" si="2919"/>
        <v>0</v>
      </c>
      <c r="FE170" s="2">
        <f t="shared" ref="FE170:FJ170" si="2920">(BX170*$BT170+CS170*$CO170)/100</f>
        <v>0</v>
      </c>
      <c r="FF170" s="2">
        <f t="shared" si="2920"/>
        <v>0</v>
      </c>
      <c r="FG170" s="2">
        <f t="shared" si="2920"/>
        <v>0</v>
      </c>
      <c r="FH170" s="2">
        <f t="shared" si="2920"/>
        <v>0</v>
      </c>
      <c r="FI170" s="2">
        <f t="shared" si="2920"/>
        <v>0</v>
      </c>
      <c r="FJ170" s="2">
        <f t="shared" si="2920"/>
        <v>0</v>
      </c>
      <c r="FK170" s="2">
        <f t="shared" ref="FK170:FO170" si="2921">CD170*$BT170+CY170*$CO170</f>
        <v>0</v>
      </c>
      <c r="FL170" s="2">
        <f t="shared" si="2921"/>
        <v>0</v>
      </c>
      <c r="FM170" s="2">
        <f t="shared" si="2921"/>
        <v>0</v>
      </c>
      <c r="FN170" s="2">
        <f t="shared" si="2921"/>
        <v>0</v>
      </c>
      <c r="FO170" s="2">
        <f t="shared" si="2921"/>
        <v>0</v>
      </c>
      <c r="FP170" s="2">
        <f t="shared" ref="FP170:FQ170" si="2922">(CI170*$BT170+DD170*$CO170)/100</f>
        <v>0</v>
      </c>
      <c r="FQ170" s="2">
        <f t="shared" si="2922"/>
        <v>0</v>
      </c>
      <c r="FR170" s="2"/>
      <c r="FS170" s="2">
        <f t="shared" si="24"/>
        <v>0</v>
      </c>
      <c r="FT170" s="2">
        <f t="shared" si="25"/>
        <v>0</v>
      </c>
      <c r="FU170" s="39">
        <f t="shared" si="26"/>
        <v>0</v>
      </c>
      <c r="FV170" s="39">
        <f t="shared" ref="FV170:FW170" si="2923">FV$1*FC170/1000000</f>
        <v>0</v>
      </c>
      <c r="FW170" s="39">
        <f t="shared" si="2923"/>
        <v>0</v>
      </c>
      <c r="FX170" s="39">
        <f t="shared" ref="FX170:GC170" si="2924">FX$1*FE170</f>
        <v>0</v>
      </c>
      <c r="FY170" s="39">
        <f t="shared" si="2924"/>
        <v>0</v>
      </c>
      <c r="FZ170" s="39">
        <f t="shared" si="2924"/>
        <v>0</v>
      </c>
      <c r="GA170" s="39">
        <f t="shared" si="2924"/>
        <v>0</v>
      </c>
      <c r="GB170" s="39">
        <f t="shared" si="2924"/>
        <v>0</v>
      </c>
      <c r="GC170" s="39">
        <f t="shared" si="2924"/>
        <v>0</v>
      </c>
      <c r="GD170" s="39">
        <f t="shared" ref="GD170:GH170" si="2925">GD$1*FK170/1000000</f>
        <v>0</v>
      </c>
      <c r="GE170" s="39">
        <f t="shared" si="2925"/>
        <v>0</v>
      </c>
      <c r="GF170" s="39">
        <f t="shared" si="2925"/>
        <v>0</v>
      </c>
      <c r="GG170" s="39">
        <f t="shared" si="2925"/>
        <v>0</v>
      </c>
      <c r="GH170" s="39">
        <f t="shared" si="2925"/>
        <v>0</v>
      </c>
      <c r="GI170" s="39">
        <f t="shared" ref="GI170:GJ170" si="2926">GI$1*FP170</f>
        <v>0</v>
      </c>
      <c r="GJ170" s="39">
        <f t="shared" si="2926"/>
        <v>0</v>
      </c>
      <c r="GK170" s="2"/>
      <c r="GL170" s="39">
        <f t="shared" si="31"/>
        <v>0</v>
      </c>
      <c r="GM170" s="39">
        <f t="shared" si="32"/>
        <v>0</v>
      </c>
      <c r="GN170" s="2" t="s">
        <v>3</v>
      </c>
      <c r="GO170" s="2">
        <f t="shared" si="33"/>
        <v>162.5</v>
      </c>
      <c r="GP170" s="2">
        <f t="shared" si="34"/>
        <v>0.94</v>
      </c>
      <c r="GQ170" s="18">
        <f t="shared" si="35"/>
        <v>1527.5</v>
      </c>
      <c r="GR170" s="15">
        <f t="shared" si="36"/>
        <v>30652.240384999997</v>
      </c>
      <c r="GS170" s="15">
        <f t="shared" si="37"/>
        <v>188.62917159999998</v>
      </c>
      <c r="GT170" s="2">
        <f t="shared" si="38"/>
        <v>0</v>
      </c>
      <c r="GU170" s="2">
        <f t="shared" si="39"/>
        <v>0</v>
      </c>
      <c r="GV170" s="2">
        <f t="shared" si="40"/>
        <v>1527.5</v>
      </c>
      <c r="GW170" s="2">
        <f t="shared" si="41"/>
        <v>0</v>
      </c>
      <c r="GX170" s="2"/>
      <c r="GY170" s="2"/>
      <c r="GZ170" s="2"/>
      <c r="HA170" s="2"/>
      <c r="HB170" s="2">
        <f t="shared" si="42"/>
        <v>0</v>
      </c>
      <c r="HC170" s="2">
        <f t="shared" si="43"/>
        <v>0</v>
      </c>
      <c r="HD170" s="2" t="s">
        <v>3</v>
      </c>
      <c r="HE170" s="2" t="s">
        <v>37</v>
      </c>
      <c r="HF170" s="2" t="s">
        <v>114</v>
      </c>
      <c r="HG170" s="2" t="s">
        <v>114</v>
      </c>
      <c r="HH170" s="2"/>
      <c r="HI170" s="2" t="s">
        <v>81</v>
      </c>
      <c r="HJ170" s="2" t="s">
        <v>3</v>
      </c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 t="s">
        <v>3</v>
      </c>
    </row>
    <row r="171" spans="1:268" ht="15.75" customHeight="1" x14ac:dyDescent="0.2">
      <c r="A171" s="13" t="s">
        <v>434</v>
      </c>
      <c r="B171" s="2" t="s">
        <v>99</v>
      </c>
      <c r="C171" s="2"/>
      <c r="D171" s="2"/>
      <c r="E171" s="2"/>
      <c r="F171" s="2" t="s">
        <v>435</v>
      </c>
      <c r="G171" s="2"/>
      <c r="H171" s="2" t="s">
        <v>436</v>
      </c>
      <c r="I171" s="2">
        <v>0</v>
      </c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>
        <f>30.5+10.9+4.7+42+13.2</f>
        <v>101.3</v>
      </c>
      <c r="AE171" s="2"/>
      <c r="AF171" s="2"/>
      <c r="AG171" s="2"/>
      <c r="AH171" s="2"/>
      <c r="AI171" s="2"/>
      <c r="AJ171" s="2"/>
      <c r="AK171" s="2"/>
      <c r="AL171" s="4">
        <f>(0.87*30.5+0.97*10.9+1.01*4.7+0.93*42+0.99*13.2)/AD171</f>
        <v>0.92776900296150056</v>
      </c>
      <c r="AM171" s="19">
        <f>(0.035*30.5+0.028*10.9+0.026*4.7+0.027*42+0.019*13.2)/AD171</f>
        <v>2.8427443237907205E-2</v>
      </c>
      <c r="AN171" s="2"/>
      <c r="AO171" s="2"/>
      <c r="AP171" s="2"/>
      <c r="AQ171" s="2"/>
      <c r="AR171" s="2"/>
      <c r="AS171" s="2"/>
      <c r="AT171" s="4">
        <f>((12.95*30.5+14.29*10.9+7.81*4.7+12.33*42+11.31*13.2)/AD171)*(2*55.85/(2*55.85+3*16.001))</f>
        <v>8.6623196517321048</v>
      </c>
      <c r="AU171" s="4">
        <f>(71.96*30.5+52.35*10.9+37.71*4.7+72.3*42+51.61*13.2)/AD171</f>
        <v>65.750088845014815</v>
      </c>
      <c r="AV171" s="2"/>
      <c r="AW171" s="2"/>
      <c r="AX171" s="2"/>
      <c r="AY171" s="2">
        <f>0.7+0.41+1.62+1.48+0.37+0.84</f>
        <v>5.42</v>
      </c>
      <c r="AZ171" s="2"/>
      <c r="BA171" s="2"/>
      <c r="BB171" s="2"/>
      <c r="BC171" s="2"/>
      <c r="BD171" s="2"/>
      <c r="BE171" s="2"/>
      <c r="BF171" s="2"/>
      <c r="BG171" s="4">
        <f>(0.99*0.7+0.91*0.41+0.74*1.62+0.72*1.48+0.66*0.37+1*0.84)/AY171</f>
        <v>0.81452029520295199</v>
      </c>
      <c r="BH171" s="19">
        <f>(0.027*0.7+0.02*0.41+0.019*1.62+0.031*1.48+0.018*0.37+0.016*0.84)/AY171</f>
        <v>2.285239852398524E-2</v>
      </c>
      <c r="BI171" s="2"/>
      <c r="BJ171" s="2"/>
      <c r="BK171" s="2"/>
      <c r="BL171" s="2"/>
      <c r="BM171" s="2"/>
      <c r="BN171" s="2"/>
      <c r="BO171" s="4">
        <f>((13.29*0.7+12.24*0.41+8.62*1.62+11.96*1.48+12.08*0.37+7.78*0.84)/AY171)*(2*55.85/(2*55.85+3*16.001))</f>
        <v>7.3544489514010944</v>
      </c>
      <c r="BP171" s="4">
        <f>(74.32*0.7+50.25*0.41+39.58*1.62+73.23*1.48+52.21*0.37+36.07*0.84)/AY171</f>
        <v>54.38062730627307</v>
      </c>
      <c r="BQ171" s="2"/>
      <c r="BR171" s="2"/>
      <c r="BS171" s="2"/>
      <c r="BT171" s="2">
        <v>0</v>
      </c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>
        <v>0</v>
      </c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 t="s">
        <v>81</v>
      </c>
      <c r="DK171" s="2" t="s">
        <v>81</v>
      </c>
      <c r="DL171" s="2">
        <f t="shared" si="3"/>
        <v>0.92201742878560722</v>
      </c>
      <c r="DM171" s="2">
        <f t="shared" si="4"/>
        <v>2.8144302848575709E-2</v>
      </c>
      <c r="DN171" s="2" t="s">
        <v>437</v>
      </c>
      <c r="DO171" s="2" t="s">
        <v>3</v>
      </c>
      <c r="DP171" s="2">
        <f t="shared" si="5"/>
        <v>0</v>
      </c>
      <c r="DQ171" s="2">
        <f t="shared" ref="DQ171:DR171" si="2927">K171*$I171+AF171*$AD171+BA171*$AY171</f>
        <v>0</v>
      </c>
      <c r="DR171" s="2">
        <f t="shared" si="2927"/>
        <v>0</v>
      </c>
      <c r="DS171" s="2">
        <f t="shared" ref="DS171:DX171" si="2928">(M171*$I171+AH171*$AD171+BC171*$AY171)/100</f>
        <v>0</v>
      </c>
      <c r="DT171" s="2">
        <f t="shared" si="2928"/>
        <v>0</v>
      </c>
      <c r="DU171" s="2">
        <f t="shared" si="2928"/>
        <v>0</v>
      </c>
      <c r="DV171" s="2">
        <f t="shared" si="2928"/>
        <v>0</v>
      </c>
      <c r="DW171" s="2">
        <f t="shared" si="2928"/>
        <v>0.98397699999999999</v>
      </c>
      <c r="DX171" s="2">
        <f t="shared" si="2928"/>
        <v>3.0035599999999999E-2</v>
      </c>
      <c r="DY171" s="2">
        <f t="shared" ref="DY171:EC171" si="2929">S171*$I171+AN171*$AD171+BI171*$AY171</f>
        <v>0</v>
      </c>
      <c r="DZ171" s="2">
        <f t="shared" si="2929"/>
        <v>0</v>
      </c>
      <c r="EA171" s="2">
        <f t="shared" si="2929"/>
        <v>0</v>
      </c>
      <c r="EB171" s="2">
        <f t="shared" si="2929"/>
        <v>0</v>
      </c>
      <c r="EC171" s="2">
        <f t="shared" si="2929"/>
        <v>0</v>
      </c>
      <c r="ED171" s="2">
        <f t="shared" ref="ED171:EE171" si="2930">(X171*$I171+AS171*$AD171+BN171*$AY171)/100</f>
        <v>0</v>
      </c>
      <c r="EE171" s="2">
        <f t="shared" si="2930"/>
        <v>9.173540940370561</v>
      </c>
      <c r="EF171" s="2"/>
      <c r="EG171" s="2">
        <f t="shared" si="10"/>
        <v>0</v>
      </c>
      <c r="EH171" s="2">
        <f t="shared" si="11"/>
        <v>0</v>
      </c>
      <c r="EI171" s="39">
        <f t="shared" si="12"/>
        <v>0</v>
      </c>
      <c r="EJ171" s="39">
        <f t="shared" ref="EJ171:EK171" si="2931">EJ$1*DQ171/1000000</f>
        <v>0</v>
      </c>
      <c r="EK171" s="39">
        <f t="shared" si="2931"/>
        <v>0</v>
      </c>
      <c r="EL171" s="39">
        <f t="shared" ref="EL171:EQ171" si="2932">EL$1*DS171</f>
        <v>0</v>
      </c>
      <c r="EM171" s="39">
        <f t="shared" si="2932"/>
        <v>0</v>
      </c>
      <c r="EN171" s="39">
        <f t="shared" si="2932"/>
        <v>0</v>
      </c>
      <c r="EO171" s="39">
        <f t="shared" si="2932"/>
        <v>0</v>
      </c>
      <c r="EP171" s="39">
        <f t="shared" si="2932"/>
        <v>12903.874378</v>
      </c>
      <c r="EQ171" s="39">
        <f t="shared" si="2932"/>
        <v>2181.1709750543996</v>
      </c>
      <c r="ER171" s="39">
        <f t="shared" ref="ER171:EV171" si="2933">ER$1*DY171/1000000</f>
        <v>0</v>
      </c>
      <c r="ES171" s="39">
        <f t="shared" si="2933"/>
        <v>0</v>
      </c>
      <c r="ET171" s="39">
        <f t="shared" si="2933"/>
        <v>0</v>
      </c>
      <c r="EU171" s="39">
        <f t="shared" si="2933"/>
        <v>0</v>
      </c>
      <c r="EV171" s="39">
        <f t="shared" si="2933"/>
        <v>0</v>
      </c>
      <c r="EW171" s="39">
        <f t="shared" ref="EW171:EX171" si="2934">EW$1*ED171</f>
        <v>0</v>
      </c>
      <c r="EX171" s="39">
        <f t="shared" si="2934"/>
        <v>853.13930745446214</v>
      </c>
      <c r="EY171" s="2"/>
      <c r="EZ171" s="39">
        <f t="shared" si="17"/>
        <v>0</v>
      </c>
      <c r="FA171" s="39">
        <f t="shared" si="18"/>
        <v>0</v>
      </c>
      <c r="FB171" s="2">
        <f t="shared" si="19"/>
        <v>0</v>
      </c>
      <c r="FC171" s="2">
        <f t="shared" ref="FC171:FD171" si="2935">BV171*$BT171+CQ171*$CO171</f>
        <v>0</v>
      </c>
      <c r="FD171" s="2">
        <f t="shared" si="2935"/>
        <v>0</v>
      </c>
      <c r="FE171" s="2">
        <f t="shared" ref="FE171:FJ171" si="2936">(BX171*$BT171+CS171*$CO171)/100</f>
        <v>0</v>
      </c>
      <c r="FF171" s="2">
        <f t="shared" si="2936"/>
        <v>0</v>
      </c>
      <c r="FG171" s="2">
        <f t="shared" si="2936"/>
        <v>0</v>
      </c>
      <c r="FH171" s="2">
        <f t="shared" si="2936"/>
        <v>0</v>
      </c>
      <c r="FI171" s="2">
        <f t="shared" si="2936"/>
        <v>0</v>
      </c>
      <c r="FJ171" s="2">
        <f t="shared" si="2936"/>
        <v>0</v>
      </c>
      <c r="FK171" s="2">
        <f t="shared" ref="FK171:FO171" si="2937">CD171*$BT171+CY171*$CO171</f>
        <v>0</v>
      </c>
      <c r="FL171" s="2">
        <f t="shared" si="2937"/>
        <v>0</v>
      </c>
      <c r="FM171" s="2">
        <f t="shared" si="2937"/>
        <v>0</v>
      </c>
      <c r="FN171" s="2">
        <f t="shared" si="2937"/>
        <v>0</v>
      </c>
      <c r="FO171" s="2">
        <f t="shared" si="2937"/>
        <v>0</v>
      </c>
      <c r="FP171" s="2">
        <f t="shared" ref="FP171:FQ171" si="2938">(CI171*$BT171+DD171*$CO171)/100</f>
        <v>0</v>
      </c>
      <c r="FQ171" s="2">
        <f t="shared" si="2938"/>
        <v>0</v>
      </c>
      <c r="FR171" s="2"/>
      <c r="FS171" s="2">
        <f t="shared" si="24"/>
        <v>0</v>
      </c>
      <c r="FT171" s="2">
        <f t="shared" si="25"/>
        <v>0</v>
      </c>
      <c r="FU171" s="39">
        <f t="shared" si="26"/>
        <v>0</v>
      </c>
      <c r="FV171" s="39">
        <f t="shared" ref="FV171:FW171" si="2939">FV$1*FC171/1000000</f>
        <v>0</v>
      </c>
      <c r="FW171" s="39">
        <f t="shared" si="2939"/>
        <v>0</v>
      </c>
      <c r="FX171" s="39">
        <f t="shared" ref="FX171:GC171" si="2940">FX$1*FE171</f>
        <v>0</v>
      </c>
      <c r="FY171" s="39">
        <f t="shared" si="2940"/>
        <v>0</v>
      </c>
      <c r="FZ171" s="39">
        <f t="shared" si="2940"/>
        <v>0</v>
      </c>
      <c r="GA171" s="39">
        <f t="shared" si="2940"/>
        <v>0</v>
      </c>
      <c r="GB171" s="39">
        <f t="shared" si="2940"/>
        <v>0</v>
      </c>
      <c r="GC171" s="39">
        <f t="shared" si="2940"/>
        <v>0</v>
      </c>
      <c r="GD171" s="39">
        <f t="shared" ref="GD171:GH171" si="2941">GD$1*FK171/1000000</f>
        <v>0</v>
      </c>
      <c r="GE171" s="39">
        <f t="shared" si="2941"/>
        <v>0</v>
      </c>
      <c r="GF171" s="39">
        <f t="shared" si="2941"/>
        <v>0</v>
      </c>
      <c r="GG171" s="39">
        <f t="shared" si="2941"/>
        <v>0</v>
      </c>
      <c r="GH171" s="39">
        <f t="shared" si="2941"/>
        <v>0</v>
      </c>
      <c r="GI171" s="39">
        <f t="shared" ref="GI171:GJ171" si="2942">GI$1*FP171</f>
        <v>0</v>
      </c>
      <c r="GJ171" s="39">
        <f t="shared" si="2942"/>
        <v>0</v>
      </c>
      <c r="GK171" s="2"/>
      <c r="GL171" s="39">
        <f t="shared" si="31"/>
        <v>0</v>
      </c>
      <c r="GM171" s="39">
        <f t="shared" si="32"/>
        <v>0</v>
      </c>
      <c r="GN171" s="2" t="s">
        <v>3</v>
      </c>
      <c r="GO171" s="15">
        <f t="shared" si="33"/>
        <v>106.72</v>
      </c>
      <c r="GP171" s="4">
        <f t="shared" si="34"/>
        <v>0.92201742878560722</v>
      </c>
      <c r="GQ171" s="15">
        <f t="shared" si="35"/>
        <v>983.97699999999998</v>
      </c>
      <c r="GR171" s="15">
        <f t="shared" si="36"/>
        <v>15938.184660508861</v>
      </c>
      <c r="GS171" s="15">
        <f t="shared" si="37"/>
        <v>149.34580828812651</v>
      </c>
      <c r="GT171" s="2">
        <f t="shared" si="38"/>
        <v>0</v>
      </c>
      <c r="GU171" s="2">
        <f t="shared" si="39"/>
        <v>939.83</v>
      </c>
      <c r="GV171" s="2">
        <f t="shared" si="40"/>
        <v>44.146999999999998</v>
      </c>
      <c r="GW171" s="2">
        <f t="shared" si="41"/>
        <v>0</v>
      </c>
      <c r="GX171" s="2"/>
      <c r="GY171" s="2"/>
      <c r="GZ171" s="2"/>
      <c r="HA171" s="2"/>
      <c r="HB171" s="2">
        <f t="shared" si="42"/>
        <v>0</v>
      </c>
      <c r="HC171" s="2">
        <f t="shared" si="43"/>
        <v>0</v>
      </c>
      <c r="HD171" s="2" t="s">
        <v>3</v>
      </c>
      <c r="HE171" s="2" t="s">
        <v>37</v>
      </c>
      <c r="HF171" s="2" t="s">
        <v>114</v>
      </c>
      <c r="HG171" s="2" t="s">
        <v>114</v>
      </c>
      <c r="HH171" s="2"/>
      <c r="HI171" s="2" t="s">
        <v>81</v>
      </c>
      <c r="HJ171" s="2" t="s">
        <v>3</v>
      </c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 t="s">
        <v>3</v>
      </c>
    </row>
    <row r="172" spans="1:268" ht="15.75" customHeight="1" x14ac:dyDescent="0.2">
      <c r="A172" s="13" t="s">
        <v>888</v>
      </c>
      <c r="B172" s="2" t="s">
        <v>99</v>
      </c>
      <c r="C172" s="2"/>
      <c r="D172" s="2"/>
      <c r="E172" s="2" t="s">
        <v>78</v>
      </c>
      <c r="F172" s="2" t="s">
        <v>889</v>
      </c>
      <c r="G172" s="2"/>
      <c r="H172" s="2" t="s">
        <v>242</v>
      </c>
      <c r="I172" s="2">
        <v>0</v>
      </c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>
        <v>0</v>
      </c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>
        <v>1</v>
      </c>
      <c r="AZ172" s="2"/>
      <c r="BA172" s="2"/>
      <c r="BB172" s="2"/>
      <c r="BC172" s="2"/>
      <c r="BD172" s="2"/>
      <c r="BE172" s="2"/>
      <c r="BF172" s="2"/>
      <c r="BG172" s="2">
        <v>1</v>
      </c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>
        <v>0</v>
      </c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>
        <v>0</v>
      </c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 t="s">
        <v>81</v>
      </c>
      <c r="DK172" s="2"/>
      <c r="DL172" s="2">
        <f t="shared" si="3"/>
        <v>1</v>
      </c>
      <c r="DM172" s="2">
        <f t="shared" si="4"/>
        <v>0</v>
      </c>
      <c r="DN172" s="2" t="s">
        <v>175</v>
      </c>
      <c r="DO172" s="2" t="s">
        <v>3</v>
      </c>
      <c r="DP172" s="2">
        <f t="shared" si="5"/>
        <v>0</v>
      </c>
      <c r="DQ172" s="2">
        <f t="shared" ref="DQ172:DR172" si="2943">K172*$I172+AF172*$AD172+BA172*$AY172</f>
        <v>0</v>
      </c>
      <c r="DR172" s="2">
        <f t="shared" si="2943"/>
        <v>0</v>
      </c>
      <c r="DS172" s="2">
        <f t="shared" ref="DS172:DX172" si="2944">(M172*$I172+AH172*$AD172+BC172*$AY172)/100</f>
        <v>0</v>
      </c>
      <c r="DT172" s="2">
        <f t="shared" si="2944"/>
        <v>0</v>
      </c>
      <c r="DU172" s="2">
        <f t="shared" si="2944"/>
        <v>0</v>
      </c>
      <c r="DV172" s="2">
        <f t="shared" si="2944"/>
        <v>0</v>
      </c>
      <c r="DW172" s="2">
        <f t="shared" si="2944"/>
        <v>0.01</v>
      </c>
      <c r="DX172" s="2">
        <f t="shared" si="2944"/>
        <v>0</v>
      </c>
      <c r="DY172" s="2">
        <f t="shared" ref="DY172:EC172" si="2945">S172*$I172+AN172*$AD172+BI172*$AY172</f>
        <v>0</v>
      </c>
      <c r="DZ172" s="2">
        <f t="shared" si="2945"/>
        <v>0</v>
      </c>
      <c r="EA172" s="2">
        <f t="shared" si="2945"/>
        <v>0</v>
      </c>
      <c r="EB172" s="2">
        <f t="shared" si="2945"/>
        <v>0</v>
      </c>
      <c r="EC172" s="2">
        <f t="shared" si="2945"/>
        <v>0</v>
      </c>
      <c r="ED172" s="2">
        <f t="shared" ref="ED172:EE172" si="2946">(X172*$I172+AS172*$AD172+BN172*$AY172)/100</f>
        <v>0</v>
      </c>
      <c r="EE172" s="2">
        <f t="shared" si="2946"/>
        <v>0</v>
      </c>
      <c r="EF172" s="2"/>
      <c r="EG172" s="2">
        <f t="shared" si="10"/>
        <v>0</v>
      </c>
      <c r="EH172" s="2">
        <f t="shared" si="11"/>
        <v>0</v>
      </c>
      <c r="EI172" s="39">
        <f t="shared" si="12"/>
        <v>0</v>
      </c>
      <c r="EJ172" s="39">
        <f t="shared" ref="EJ172:EK172" si="2947">EJ$1*DQ172/1000000</f>
        <v>0</v>
      </c>
      <c r="EK172" s="39">
        <f t="shared" si="2947"/>
        <v>0</v>
      </c>
      <c r="EL172" s="39">
        <f t="shared" ref="EL172:EQ172" si="2948">EL$1*DS172</f>
        <v>0</v>
      </c>
      <c r="EM172" s="39">
        <f t="shared" si="2948"/>
        <v>0</v>
      </c>
      <c r="EN172" s="39">
        <f t="shared" si="2948"/>
        <v>0</v>
      </c>
      <c r="EO172" s="39">
        <f t="shared" si="2948"/>
        <v>0</v>
      </c>
      <c r="EP172" s="39">
        <f t="shared" si="2948"/>
        <v>131.14000000000001</v>
      </c>
      <c r="EQ172" s="39">
        <f t="shared" si="2948"/>
        <v>0</v>
      </c>
      <c r="ER172" s="39">
        <f t="shared" ref="ER172:EV172" si="2949">ER$1*DY172/1000000</f>
        <v>0</v>
      </c>
      <c r="ES172" s="39">
        <f t="shared" si="2949"/>
        <v>0</v>
      </c>
      <c r="ET172" s="39">
        <f t="shared" si="2949"/>
        <v>0</v>
      </c>
      <c r="EU172" s="39">
        <f t="shared" si="2949"/>
        <v>0</v>
      </c>
      <c r="EV172" s="39">
        <f t="shared" si="2949"/>
        <v>0</v>
      </c>
      <c r="EW172" s="39">
        <f t="shared" ref="EW172:EX172" si="2950">EW$1*ED172</f>
        <v>0</v>
      </c>
      <c r="EX172" s="39">
        <f t="shared" si="2950"/>
        <v>0</v>
      </c>
      <c r="EY172" s="2"/>
      <c r="EZ172" s="39">
        <f t="shared" si="17"/>
        <v>0</v>
      </c>
      <c r="FA172" s="39">
        <f t="shared" si="18"/>
        <v>0</v>
      </c>
      <c r="FB172" s="2">
        <f t="shared" si="19"/>
        <v>0</v>
      </c>
      <c r="FC172" s="2">
        <f t="shared" ref="FC172:FD172" si="2951">BV172*$BT172+CQ172*$CO172</f>
        <v>0</v>
      </c>
      <c r="FD172" s="2">
        <f t="shared" si="2951"/>
        <v>0</v>
      </c>
      <c r="FE172" s="2">
        <f t="shared" ref="FE172:FJ172" si="2952">(BX172*$BT172+CS172*$CO172)/100</f>
        <v>0</v>
      </c>
      <c r="FF172" s="2">
        <f t="shared" si="2952"/>
        <v>0</v>
      </c>
      <c r="FG172" s="2">
        <f t="shared" si="2952"/>
        <v>0</v>
      </c>
      <c r="FH172" s="2">
        <f t="shared" si="2952"/>
        <v>0</v>
      </c>
      <c r="FI172" s="2">
        <f t="shared" si="2952"/>
        <v>0</v>
      </c>
      <c r="FJ172" s="2">
        <f t="shared" si="2952"/>
        <v>0</v>
      </c>
      <c r="FK172" s="2">
        <f t="shared" ref="FK172:FO172" si="2953">CD172*$BT172+CY172*$CO172</f>
        <v>0</v>
      </c>
      <c r="FL172" s="2">
        <f t="shared" si="2953"/>
        <v>0</v>
      </c>
      <c r="FM172" s="2">
        <f t="shared" si="2953"/>
        <v>0</v>
      </c>
      <c r="FN172" s="2">
        <f t="shared" si="2953"/>
        <v>0</v>
      </c>
      <c r="FO172" s="2">
        <f t="shared" si="2953"/>
        <v>0</v>
      </c>
      <c r="FP172" s="2">
        <f t="shared" ref="FP172:FQ172" si="2954">(CI172*$BT172+DD172*$CO172)/100</f>
        <v>0</v>
      </c>
      <c r="FQ172" s="2">
        <f t="shared" si="2954"/>
        <v>0</v>
      </c>
      <c r="FR172" s="2"/>
      <c r="FS172" s="2">
        <f t="shared" si="24"/>
        <v>0</v>
      </c>
      <c r="FT172" s="2">
        <f t="shared" si="25"/>
        <v>0</v>
      </c>
      <c r="FU172" s="39">
        <f t="shared" si="26"/>
        <v>0</v>
      </c>
      <c r="FV172" s="39">
        <f t="shared" ref="FV172:FW172" si="2955">FV$1*FC172/1000000</f>
        <v>0</v>
      </c>
      <c r="FW172" s="39">
        <f t="shared" si="2955"/>
        <v>0</v>
      </c>
      <c r="FX172" s="39">
        <f t="shared" ref="FX172:GC172" si="2956">FX$1*FE172</f>
        <v>0</v>
      </c>
      <c r="FY172" s="39">
        <f t="shared" si="2956"/>
        <v>0</v>
      </c>
      <c r="FZ172" s="39">
        <f t="shared" si="2956"/>
        <v>0</v>
      </c>
      <c r="GA172" s="39">
        <f t="shared" si="2956"/>
        <v>0</v>
      </c>
      <c r="GB172" s="39">
        <f t="shared" si="2956"/>
        <v>0</v>
      </c>
      <c r="GC172" s="39">
        <f t="shared" si="2956"/>
        <v>0</v>
      </c>
      <c r="GD172" s="39">
        <f t="shared" ref="GD172:GH172" si="2957">GD$1*FK172/1000000</f>
        <v>0</v>
      </c>
      <c r="GE172" s="39">
        <f t="shared" si="2957"/>
        <v>0</v>
      </c>
      <c r="GF172" s="39">
        <f t="shared" si="2957"/>
        <v>0</v>
      </c>
      <c r="GG172" s="39">
        <f t="shared" si="2957"/>
        <v>0</v>
      </c>
      <c r="GH172" s="39">
        <f t="shared" si="2957"/>
        <v>0</v>
      </c>
      <c r="GI172" s="39">
        <f t="shared" ref="GI172:GJ172" si="2958">GI$1*FP172</f>
        <v>0</v>
      </c>
      <c r="GJ172" s="39">
        <f t="shared" si="2958"/>
        <v>0</v>
      </c>
      <c r="GK172" s="2"/>
      <c r="GL172" s="39">
        <f t="shared" si="31"/>
        <v>0</v>
      </c>
      <c r="GM172" s="39">
        <f t="shared" si="32"/>
        <v>0</v>
      </c>
      <c r="GN172" s="2" t="s">
        <v>3</v>
      </c>
      <c r="GO172" s="2">
        <f t="shared" si="33"/>
        <v>1</v>
      </c>
      <c r="GP172" s="2">
        <f t="shared" si="34"/>
        <v>1</v>
      </c>
      <c r="GQ172" s="15">
        <f t="shared" si="35"/>
        <v>10</v>
      </c>
      <c r="GR172" s="15">
        <f t="shared" si="36"/>
        <v>131.14000000000001</v>
      </c>
      <c r="GS172" s="15">
        <f t="shared" si="37"/>
        <v>131.14000000000001</v>
      </c>
      <c r="GT172" s="2">
        <f t="shared" si="38"/>
        <v>0</v>
      </c>
      <c r="GU172" s="2">
        <f t="shared" si="39"/>
        <v>0</v>
      </c>
      <c r="GV172" s="2">
        <f t="shared" si="40"/>
        <v>10</v>
      </c>
      <c r="GW172" s="2">
        <f t="shared" si="41"/>
        <v>0</v>
      </c>
      <c r="GX172" s="2"/>
      <c r="GY172" s="2"/>
      <c r="GZ172" s="2"/>
      <c r="HA172" s="2"/>
      <c r="HB172" s="2">
        <f t="shared" si="42"/>
        <v>0</v>
      </c>
      <c r="HC172" s="2">
        <f t="shared" si="43"/>
        <v>0</v>
      </c>
      <c r="HD172" s="2" t="s">
        <v>3</v>
      </c>
      <c r="HE172" s="2" t="s">
        <v>37</v>
      </c>
      <c r="HF172" s="2" t="s">
        <v>114</v>
      </c>
      <c r="HG172" s="2" t="s">
        <v>114</v>
      </c>
      <c r="HH172" s="2"/>
      <c r="HI172" s="2" t="s">
        <v>81</v>
      </c>
      <c r="HJ172" s="2" t="s">
        <v>3</v>
      </c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 t="s">
        <v>3</v>
      </c>
    </row>
    <row r="173" spans="1:268" ht="15.75" customHeight="1" x14ac:dyDescent="0.2">
      <c r="A173" s="13" t="s">
        <v>1327</v>
      </c>
      <c r="B173" s="2" t="s">
        <v>99</v>
      </c>
      <c r="C173" s="2"/>
      <c r="D173" s="2"/>
      <c r="E173" s="2" t="s">
        <v>78</v>
      </c>
      <c r="F173" s="2" t="s">
        <v>79</v>
      </c>
      <c r="G173" s="2"/>
      <c r="H173" s="2" t="s">
        <v>292</v>
      </c>
      <c r="I173" s="2">
        <v>0</v>
      </c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>
        <v>0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>
        <v>23.5</v>
      </c>
      <c r="AZ173" s="2"/>
      <c r="BA173" s="2"/>
      <c r="BB173" s="2"/>
      <c r="BC173" s="2"/>
      <c r="BD173" s="2"/>
      <c r="BE173" s="2"/>
      <c r="BF173" s="2"/>
      <c r="BG173" s="2">
        <v>1.18</v>
      </c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>
        <v>0</v>
      </c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>
        <v>0</v>
      </c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 t="s">
        <v>81</v>
      </c>
      <c r="DK173" s="2"/>
      <c r="DL173" s="2">
        <f t="shared" si="3"/>
        <v>1.18</v>
      </c>
      <c r="DM173" s="2">
        <f t="shared" si="4"/>
        <v>0</v>
      </c>
      <c r="DN173" s="2" t="s">
        <v>501</v>
      </c>
      <c r="DO173" s="2" t="s">
        <v>3</v>
      </c>
      <c r="DP173" s="2">
        <f t="shared" si="5"/>
        <v>0</v>
      </c>
      <c r="DQ173" s="2">
        <f t="shared" ref="DQ173:DR173" si="2959">K173*$I173+AF173*$AD173+BA173*$AY173</f>
        <v>0</v>
      </c>
      <c r="DR173" s="2">
        <f t="shared" si="2959"/>
        <v>0</v>
      </c>
      <c r="DS173" s="2">
        <f t="shared" ref="DS173:DX173" si="2960">(M173*$I173+AH173*$AD173+BC173*$AY173)/100</f>
        <v>0</v>
      </c>
      <c r="DT173" s="2">
        <f t="shared" si="2960"/>
        <v>0</v>
      </c>
      <c r="DU173" s="2">
        <f t="shared" si="2960"/>
        <v>0</v>
      </c>
      <c r="DV173" s="2">
        <f t="shared" si="2960"/>
        <v>0</v>
      </c>
      <c r="DW173" s="2">
        <f t="shared" si="2960"/>
        <v>0.27729999999999999</v>
      </c>
      <c r="DX173" s="2">
        <f t="shared" si="2960"/>
        <v>0</v>
      </c>
      <c r="DY173" s="2">
        <f t="shared" ref="DY173:EC173" si="2961">S173*$I173+AN173*$AD173+BI173*$AY173</f>
        <v>0</v>
      </c>
      <c r="DZ173" s="2">
        <f t="shared" si="2961"/>
        <v>0</v>
      </c>
      <c r="EA173" s="2">
        <f t="shared" si="2961"/>
        <v>0</v>
      </c>
      <c r="EB173" s="2">
        <f t="shared" si="2961"/>
        <v>0</v>
      </c>
      <c r="EC173" s="2">
        <f t="shared" si="2961"/>
        <v>0</v>
      </c>
      <c r="ED173" s="2">
        <f t="shared" ref="ED173:EE173" si="2962">(X173*$I173+AS173*$AD173+BN173*$AY173)/100</f>
        <v>0</v>
      </c>
      <c r="EE173" s="2">
        <f t="shared" si="2962"/>
        <v>0</v>
      </c>
      <c r="EF173" s="2"/>
      <c r="EG173" s="2">
        <f t="shared" si="10"/>
        <v>0</v>
      </c>
      <c r="EH173" s="2">
        <f t="shared" si="11"/>
        <v>0</v>
      </c>
      <c r="EI173" s="39">
        <f t="shared" si="12"/>
        <v>0</v>
      </c>
      <c r="EJ173" s="39">
        <f t="shared" ref="EJ173:EK173" si="2963">EJ$1*DQ173/1000000</f>
        <v>0</v>
      </c>
      <c r="EK173" s="39">
        <f t="shared" si="2963"/>
        <v>0</v>
      </c>
      <c r="EL173" s="39">
        <f t="shared" ref="EL173:EQ173" si="2964">EL$1*DS173</f>
        <v>0</v>
      </c>
      <c r="EM173" s="39">
        <f t="shared" si="2964"/>
        <v>0</v>
      </c>
      <c r="EN173" s="39">
        <f t="shared" si="2964"/>
        <v>0</v>
      </c>
      <c r="EO173" s="39">
        <f t="shared" si="2964"/>
        <v>0</v>
      </c>
      <c r="EP173" s="39">
        <f t="shared" si="2964"/>
        <v>3636.5121999999997</v>
      </c>
      <c r="EQ173" s="39">
        <f t="shared" si="2964"/>
        <v>0</v>
      </c>
      <c r="ER173" s="39">
        <f t="shared" ref="ER173:EV173" si="2965">ER$1*DY173/1000000</f>
        <v>0</v>
      </c>
      <c r="ES173" s="39">
        <f t="shared" si="2965"/>
        <v>0</v>
      </c>
      <c r="ET173" s="39">
        <f t="shared" si="2965"/>
        <v>0</v>
      </c>
      <c r="EU173" s="39">
        <f t="shared" si="2965"/>
        <v>0</v>
      </c>
      <c r="EV173" s="39">
        <f t="shared" si="2965"/>
        <v>0</v>
      </c>
      <c r="EW173" s="39">
        <f t="shared" ref="EW173:EX173" si="2966">EW$1*ED173</f>
        <v>0</v>
      </c>
      <c r="EX173" s="39">
        <f t="shared" si="2966"/>
        <v>0</v>
      </c>
      <c r="EY173" s="2"/>
      <c r="EZ173" s="39">
        <f t="shared" si="17"/>
        <v>0</v>
      </c>
      <c r="FA173" s="39">
        <f t="shared" si="18"/>
        <v>0</v>
      </c>
      <c r="FB173" s="2">
        <f t="shared" si="19"/>
        <v>0</v>
      </c>
      <c r="FC173" s="2">
        <f t="shared" ref="FC173:FD173" si="2967">BV173*$BT173+CQ173*$CO173</f>
        <v>0</v>
      </c>
      <c r="FD173" s="2">
        <f t="shared" si="2967"/>
        <v>0</v>
      </c>
      <c r="FE173" s="2">
        <f t="shared" ref="FE173:FJ173" si="2968">(BX173*$BT173+CS173*$CO173)/100</f>
        <v>0</v>
      </c>
      <c r="FF173" s="2">
        <f t="shared" si="2968"/>
        <v>0</v>
      </c>
      <c r="FG173" s="2">
        <f t="shared" si="2968"/>
        <v>0</v>
      </c>
      <c r="FH173" s="2">
        <f t="shared" si="2968"/>
        <v>0</v>
      </c>
      <c r="FI173" s="2">
        <f t="shared" si="2968"/>
        <v>0</v>
      </c>
      <c r="FJ173" s="2">
        <f t="shared" si="2968"/>
        <v>0</v>
      </c>
      <c r="FK173" s="2">
        <f t="shared" ref="FK173:FO173" si="2969">CD173*$BT173+CY173*$CO173</f>
        <v>0</v>
      </c>
      <c r="FL173" s="2">
        <f t="shared" si="2969"/>
        <v>0</v>
      </c>
      <c r="FM173" s="2">
        <f t="shared" si="2969"/>
        <v>0</v>
      </c>
      <c r="FN173" s="2">
        <f t="shared" si="2969"/>
        <v>0</v>
      </c>
      <c r="FO173" s="2">
        <f t="shared" si="2969"/>
        <v>0</v>
      </c>
      <c r="FP173" s="2">
        <f t="shared" ref="FP173:FQ173" si="2970">(CI173*$BT173+DD173*$CO173)/100</f>
        <v>0</v>
      </c>
      <c r="FQ173" s="2">
        <f t="shared" si="2970"/>
        <v>0</v>
      </c>
      <c r="FR173" s="2"/>
      <c r="FS173" s="2">
        <f t="shared" si="24"/>
        <v>0</v>
      </c>
      <c r="FT173" s="2">
        <f t="shared" si="25"/>
        <v>0</v>
      </c>
      <c r="FU173" s="39">
        <f t="shared" si="26"/>
        <v>0</v>
      </c>
      <c r="FV173" s="39">
        <f t="shared" ref="FV173:FW173" si="2971">FV$1*FC173/1000000</f>
        <v>0</v>
      </c>
      <c r="FW173" s="39">
        <f t="shared" si="2971"/>
        <v>0</v>
      </c>
      <c r="FX173" s="39">
        <f t="shared" ref="FX173:GC173" si="2972">FX$1*FE173</f>
        <v>0</v>
      </c>
      <c r="FY173" s="39">
        <f t="shared" si="2972"/>
        <v>0</v>
      </c>
      <c r="FZ173" s="39">
        <f t="shared" si="2972"/>
        <v>0</v>
      </c>
      <c r="GA173" s="39">
        <f t="shared" si="2972"/>
        <v>0</v>
      </c>
      <c r="GB173" s="39">
        <f t="shared" si="2972"/>
        <v>0</v>
      </c>
      <c r="GC173" s="39">
        <f t="shared" si="2972"/>
        <v>0</v>
      </c>
      <c r="GD173" s="39">
        <f t="shared" ref="GD173:GH173" si="2973">GD$1*FK173/1000000</f>
        <v>0</v>
      </c>
      <c r="GE173" s="39">
        <f t="shared" si="2973"/>
        <v>0</v>
      </c>
      <c r="GF173" s="39">
        <f t="shared" si="2973"/>
        <v>0</v>
      </c>
      <c r="GG173" s="39">
        <f t="shared" si="2973"/>
        <v>0</v>
      </c>
      <c r="GH173" s="39">
        <f t="shared" si="2973"/>
        <v>0</v>
      </c>
      <c r="GI173" s="39">
        <f t="shared" ref="GI173:GJ173" si="2974">GI$1*FP173</f>
        <v>0</v>
      </c>
      <c r="GJ173" s="39">
        <f t="shared" si="2974"/>
        <v>0</v>
      </c>
      <c r="GK173" s="2"/>
      <c r="GL173" s="39">
        <f t="shared" si="31"/>
        <v>0</v>
      </c>
      <c r="GM173" s="39">
        <f t="shared" si="32"/>
        <v>0</v>
      </c>
      <c r="GN173" s="2" t="s">
        <v>3</v>
      </c>
      <c r="GO173" s="2">
        <f t="shared" si="33"/>
        <v>23.5</v>
      </c>
      <c r="GP173" s="4">
        <f t="shared" si="34"/>
        <v>1.18</v>
      </c>
      <c r="GQ173" s="15">
        <f t="shared" si="35"/>
        <v>277.3</v>
      </c>
      <c r="GR173" s="15">
        <f t="shared" si="36"/>
        <v>3636.5121999999997</v>
      </c>
      <c r="GS173" s="15">
        <f t="shared" si="37"/>
        <v>154.74519999999998</v>
      </c>
      <c r="GT173" s="2">
        <f t="shared" si="38"/>
        <v>0</v>
      </c>
      <c r="GU173" s="2">
        <f t="shared" si="39"/>
        <v>0</v>
      </c>
      <c r="GV173" s="2">
        <f t="shared" si="40"/>
        <v>277.29999999999995</v>
      </c>
      <c r="GW173" s="2">
        <f t="shared" si="41"/>
        <v>0</v>
      </c>
      <c r="GX173" s="2"/>
      <c r="GY173" s="2"/>
      <c r="GZ173" s="2"/>
      <c r="HA173" s="2"/>
      <c r="HB173" s="2">
        <f t="shared" si="42"/>
        <v>0</v>
      </c>
      <c r="HC173" s="2">
        <f t="shared" si="43"/>
        <v>0</v>
      </c>
      <c r="HD173" s="2" t="s">
        <v>3</v>
      </c>
      <c r="HE173" s="2" t="s">
        <v>37</v>
      </c>
      <c r="HF173" s="2" t="s">
        <v>114</v>
      </c>
      <c r="HG173" s="2" t="s">
        <v>114</v>
      </c>
      <c r="HH173" s="2"/>
      <c r="HI173" s="2" t="s">
        <v>81</v>
      </c>
      <c r="HJ173" s="2" t="s">
        <v>3</v>
      </c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2" t="s">
        <v>3</v>
      </c>
    </row>
    <row r="174" spans="1:268" ht="15.75" customHeight="1" x14ac:dyDescent="0.2">
      <c r="A174" s="13" t="s">
        <v>247</v>
      </c>
      <c r="B174" s="2" t="s">
        <v>99</v>
      </c>
      <c r="C174" s="2"/>
      <c r="D174" s="2"/>
      <c r="E174" s="2" t="s">
        <v>78</v>
      </c>
      <c r="F174" s="2" t="s">
        <v>248</v>
      </c>
      <c r="G174" s="2"/>
      <c r="H174" s="2" t="s">
        <v>242</v>
      </c>
      <c r="I174" s="2">
        <v>0</v>
      </c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>
        <v>0</v>
      </c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>
        <v>30</v>
      </c>
      <c r="AZ174" s="2"/>
      <c r="BA174" s="2"/>
      <c r="BB174" s="2"/>
      <c r="BC174" s="2"/>
      <c r="BD174" s="2"/>
      <c r="BE174" s="2"/>
      <c r="BF174" s="2"/>
      <c r="BG174" s="2">
        <v>0.64</v>
      </c>
      <c r="BH174" s="2">
        <v>0.03</v>
      </c>
      <c r="BI174" s="2"/>
      <c r="BJ174" s="2"/>
      <c r="BK174" s="2"/>
      <c r="BL174" s="2"/>
      <c r="BM174" s="2"/>
      <c r="BN174" s="2"/>
      <c r="BO174" s="2">
        <v>12.98</v>
      </c>
      <c r="BP174" s="2"/>
      <c r="BQ174" s="2"/>
      <c r="BR174" s="2"/>
      <c r="BS174" s="2"/>
      <c r="BT174" s="2">
        <v>0</v>
      </c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>
        <v>0</v>
      </c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 t="s">
        <v>81</v>
      </c>
      <c r="DK174" s="2" t="s">
        <v>81</v>
      </c>
      <c r="DL174" s="2">
        <f t="shared" si="3"/>
        <v>0.64</v>
      </c>
      <c r="DM174" s="2">
        <f t="shared" si="4"/>
        <v>2.9999999999999995E-2</v>
      </c>
      <c r="DN174" s="2" t="s">
        <v>175</v>
      </c>
      <c r="DO174" s="2" t="s">
        <v>3</v>
      </c>
      <c r="DP174" s="2">
        <f t="shared" si="5"/>
        <v>0</v>
      </c>
      <c r="DQ174" s="2">
        <f t="shared" ref="DQ174:DR174" si="2975">K174*$I174+AF174*$AD174+BA174*$AY174</f>
        <v>0</v>
      </c>
      <c r="DR174" s="2">
        <f t="shared" si="2975"/>
        <v>0</v>
      </c>
      <c r="DS174" s="2">
        <f t="shared" ref="DS174:DX174" si="2976">(M174*$I174+AH174*$AD174+BC174*$AY174)/100</f>
        <v>0</v>
      </c>
      <c r="DT174" s="2">
        <f t="shared" si="2976"/>
        <v>0</v>
      </c>
      <c r="DU174" s="2">
        <f t="shared" si="2976"/>
        <v>0</v>
      </c>
      <c r="DV174" s="2">
        <f t="shared" si="2976"/>
        <v>0</v>
      </c>
      <c r="DW174" s="2">
        <f t="shared" si="2976"/>
        <v>0.192</v>
      </c>
      <c r="DX174" s="2">
        <f t="shared" si="2976"/>
        <v>8.9999999999999993E-3</v>
      </c>
      <c r="DY174" s="2">
        <f t="shared" ref="DY174:EC174" si="2977">S174*$I174+AN174*$AD174+BI174*$AY174</f>
        <v>0</v>
      </c>
      <c r="DZ174" s="2">
        <f t="shared" si="2977"/>
        <v>0</v>
      </c>
      <c r="EA174" s="2">
        <f t="shared" si="2977"/>
        <v>0</v>
      </c>
      <c r="EB174" s="2">
        <f t="shared" si="2977"/>
        <v>0</v>
      </c>
      <c r="EC174" s="2">
        <f t="shared" si="2977"/>
        <v>0</v>
      </c>
      <c r="ED174" s="2">
        <f t="shared" ref="ED174:EE174" si="2978">(X174*$I174+AS174*$AD174+BN174*$AY174)/100</f>
        <v>0</v>
      </c>
      <c r="EE174" s="2">
        <f t="shared" si="2978"/>
        <v>3.8940000000000001</v>
      </c>
      <c r="EF174" s="2"/>
      <c r="EG174" s="2">
        <f t="shared" si="10"/>
        <v>0</v>
      </c>
      <c r="EH174" s="2">
        <f t="shared" si="11"/>
        <v>0</v>
      </c>
      <c r="EI174" s="39">
        <f t="shared" si="12"/>
        <v>0</v>
      </c>
      <c r="EJ174" s="39">
        <f t="shared" ref="EJ174:EK174" si="2979">EJ$1*DQ174/1000000</f>
        <v>0</v>
      </c>
      <c r="EK174" s="39">
        <f t="shared" si="2979"/>
        <v>0</v>
      </c>
      <c r="EL174" s="39">
        <f t="shared" ref="EL174:EQ174" si="2980">EL$1*DS174</f>
        <v>0</v>
      </c>
      <c r="EM174" s="39">
        <f t="shared" si="2980"/>
        <v>0</v>
      </c>
      <c r="EN174" s="39">
        <f t="shared" si="2980"/>
        <v>0</v>
      </c>
      <c r="EO174" s="39">
        <f t="shared" si="2980"/>
        <v>0</v>
      </c>
      <c r="EP174" s="39">
        <f t="shared" si="2980"/>
        <v>2517.8879999999999</v>
      </c>
      <c r="EQ174" s="39">
        <f t="shared" si="2980"/>
        <v>653.57571599999983</v>
      </c>
      <c r="ER174" s="39">
        <f t="shared" ref="ER174:EV174" si="2981">ER$1*DY174/1000000</f>
        <v>0</v>
      </c>
      <c r="ES174" s="39">
        <f t="shared" si="2981"/>
        <v>0</v>
      </c>
      <c r="ET174" s="39">
        <f t="shared" si="2981"/>
        <v>0</v>
      </c>
      <c r="EU174" s="39">
        <f t="shared" si="2981"/>
        <v>0</v>
      </c>
      <c r="EV174" s="39">
        <f t="shared" si="2981"/>
        <v>0</v>
      </c>
      <c r="EW174" s="39">
        <f t="shared" ref="EW174:EX174" si="2982">EW$1*ED174</f>
        <v>0</v>
      </c>
      <c r="EX174" s="39">
        <f t="shared" si="2982"/>
        <v>362.142</v>
      </c>
      <c r="EY174" s="2"/>
      <c r="EZ174" s="39">
        <f t="shared" si="17"/>
        <v>0</v>
      </c>
      <c r="FA174" s="39">
        <f t="shared" si="18"/>
        <v>0</v>
      </c>
      <c r="FB174" s="2">
        <f t="shared" si="19"/>
        <v>0</v>
      </c>
      <c r="FC174" s="2">
        <f t="shared" ref="FC174:FD174" si="2983">BV174*$BT174+CQ174*$CO174</f>
        <v>0</v>
      </c>
      <c r="FD174" s="2">
        <f t="shared" si="2983"/>
        <v>0</v>
      </c>
      <c r="FE174" s="2">
        <f t="shared" ref="FE174:FJ174" si="2984">(BX174*$BT174+CS174*$CO174)/100</f>
        <v>0</v>
      </c>
      <c r="FF174" s="2">
        <f t="shared" si="2984"/>
        <v>0</v>
      </c>
      <c r="FG174" s="2">
        <f t="shared" si="2984"/>
        <v>0</v>
      </c>
      <c r="FH174" s="2">
        <f t="shared" si="2984"/>
        <v>0</v>
      </c>
      <c r="FI174" s="2">
        <f t="shared" si="2984"/>
        <v>0</v>
      </c>
      <c r="FJ174" s="2">
        <f t="shared" si="2984"/>
        <v>0</v>
      </c>
      <c r="FK174" s="2">
        <f t="shared" ref="FK174:FO174" si="2985">CD174*$BT174+CY174*$CO174</f>
        <v>0</v>
      </c>
      <c r="FL174" s="2">
        <f t="shared" si="2985"/>
        <v>0</v>
      </c>
      <c r="FM174" s="2">
        <f t="shared" si="2985"/>
        <v>0</v>
      </c>
      <c r="FN174" s="2">
        <f t="shared" si="2985"/>
        <v>0</v>
      </c>
      <c r="FO174" s="2">
        <f t="shared" si="2985"/>
        <v>0</v>
      </c>
      <c r="FP174" s="2">
        <f t="shared" ref="FP174:FQ174" si="2986">(CI174*$BT174+DD174*$CO174)/100</f>
        <v>0</v>
      </c>
      <c r="FQ174" s="2">
        <f t="shared" si="2986"/>
        <v>0</v>
      </c>
      <c r="FR174" s="2"/>
      <c r="FS174" s="2">
        <f t="shared" si="24"/>
        <v>0</v>
      </c>
      <c r="FT174" s="2">
        <f t="shared" si="25"/>
        <v>0</v>
      </c>
      <c r="FU174" s="39">
        <f t="shared" si="26"/>
        <v>0</v>
      </c>
      <c r="FV174" s="39">
        <f t="shared" ref="FV174:FW174" si="2987">FV$1*FC174/1000000</f>
        <v>0</v>
      </c>
      <c r="FW174" s="39">
        <f t="shared" si="2987"/>
        <v>0</v>
      </c>
      <c r="FX174" s="39">
        <f t="shared" ref="FX174:GC174" si="2988">FX$1*FE174</f>
        <v>0</v>
      </c>
      <c r="FY174" s="39">
        <f t="shared" si="2988"/>
        <v>0</v>
      </c>
      <c r="FZ174" s="39">
        <f t="shared" si="2988"/>
        <v>0</v>
      </c>
      <c r="GA174" s="39">
        <f t="shared" si="2988"/>
        <v>0</v>
      </c>
      <c r="GB174" s="39">
        <f t="shared" si="2988"/>
        <v>0</v>
      </c>
      <c r="GC174" s="39">
        <f t="shared" si="2988"/>
        <v>0</v>
      </c>
      <c r="GD174" s="39">
        <f t="shared" ref="GD174:GH174" si="2989">GD$1*FK174/1000000</f>
        <v>0</v>
      </c>
      <c r="GE174" s="39">
        <f t="shared" si="2989"/>
        <v>0</v>
      </c>
      <c r="GF174" s="39">
        <f t="shared" si="2989"/>
        <v>0</v>
      </c>
      <c r="GG174" s="39">
        <f t="shared" si="2989"/>
        <v>0</v>
      </c>
      <c r="GH174" s="39">
        <f t="shared" si="2989"/>
        <v>0</v>
      </c>
      <c r="GI174" s="39">
        <f t="shared" ref="GI174:GJ174" si="2990">GI$1*FP174</f>
        <v>0</v>
      </c>
      <c r="GJ174" s="39">
        <f t="shared" si="2990"/>
        <v>0</v>
      </c>
      <c r="GK174" s="2"/>
      <c r="GL174" s="39">
        <f t="shared" si="31"/>
        <v>0</v>
      </c>
      <c r="GM174" s="39">
        <f t="shared" si="32"/>
        <v>0</v>
      </c>
      <c r="GN174" s="2" t="s">
        <v>3</v>
      </c>
      <c r="GO174" s="2">
        <f t="shared" si="33"/>
        <v>30</v>
      </c>
      <c r="GP174" s="2">
        <f t="shared" si="34"/>
        <v>0.64</v>
      </c>
      <c r="GQ174" s="15">
        <f t="shared" si="35"/>
        <v>192</v>
      </c>
      <c r="GR174" s="15">
        <f t="shared" si="36"/>
        <v>3533.6057159999996</v>
      </c>
      <c r="GS174" s="15">
        <f t="shared" si="37"/>
        <v>117.78685719999999</v>
      </c>
      <c r="GT174" s="2">
        <f t="shared" si="38"/>
        <v>0</v>
      </c>
      <c r="GU174" s="2">
        <f t="shared" si="39"/>
        <v>0</v>
      </c>
      <c r="GV174" s="2">
        <f t="shared" si="40"/>
        <v>192</v>
      </c>
      <c r="GW174" s="2">
        <f t="shared" si="41"/>
        <v>0</v>
      </c>
      <c r="GX174" s="2"/>
      <c r="GY174" s="2"/>
      <c r="GZ174" s="2"/>
      <c r="HA174" s="2"/>
      <c r="HB174" s="2">
        <f t="shared" si="42"/>
        <v>0</v>
      </c>
      <c r="HC174" s="2">
        <f t="shared" si="43"/>
        <v>0</v>
      </c>
      <c r="HD174" s="2" t="s">
        <v>3</v>
      </c>
      <c r="HE174" s="2" t="s">
        <v>37</v>
      </c>
      <c r="HF174" s="2" t="s">
        <v>114</v>
      </c>
      <c r="HG174" s="2" t="s">
        <v>114</v>
      </c>
      <c r="HH174" s="2"/>
      <c r="HI174" s="2" t="s">
        <v>81</v>
      </c>
      <c r="HJ174" s="2" t="s">
        <v>3</v>
      </c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 t="s">
        <v>3</v>
      </c>
    </row>
    <row r="175" spans="1:268" ht="15.75" customHeight="1" x14ac:dyDescent="0.2">
      <c r="A175" s="13" t="s">
        <v>556</v>
      </c>
      <c r="B175" s="2" t="s">
        <v>99</v>
      </c>
      <c r="C175" s="2"/>
      <c r="D175" s="2"/>
      <c r="E175" s="2" t="s">
        <v>78</v>
      </c>
      <c r="F175" s="2" t="s">
        <v>557</v>
      </c>
      <c r="G175" s="2"/>
      <c r="H175" s="2" t="s">
        <v>141</v>
      </c>
      <c r="I175" s="2">
        <v>13.475</v>
      </c>
      <c r="J175" s="2"/>
      <c r="K175" s="2"/>
      <c r="L175" s="2"/>
      <c r="M175" s="2"/>
      <c r="N175" s="2"/>
      <c r="O175" s="2"/>
      <c r="P175" s="2"/>
      <c r="Q175" s="2">
        <v>1.22</v>
      </c>
      <c r="R175" s="2"/>
      <c r="S175" s="2"/>
      <c r="T175" s="2"/>
      <c r="U175" s="2"/>
      <c r="V175" s="2"/>
      <c r="W175" s="2"/>
      <c r="X175" s="2"/>
      <c r="Y175" s="2">
        <v>32.409999999999997</v>
      </c>
      <c r="Z175" s="2"/>
      <c r="AA175" s="2"/>
      <c r="AB175" s="2"/>
      <c r="AC175" s="2"/>
      <c r="AD175" s="2">
        <v>35.534999999999997</v>
      </c>
      <c r="AE175" s="2"/>
      <c r="AF175" s="2"/>
      <c r="AG175" s="2"/>
      <c r="AH175" s="2"/>
      <c r="AI175" s="2"/>
      <c r="AJ175" s="2"/>
      <c r="AK175" s="2"/>
      <c r="AL175" s="2">
        <v>1.08</v>
      </c>
      <c r="AM175" s="2"/>
      <c r="AN175" s="2"/>
      <c r="AO175" s="2"/>
      <c r="AP175" s="2"/>
      <c r="AQ175" s="2"/>
      <c r="AR175" s="2"/>
      <c r="AS175" s="2"/>
      <c r="AT175" s="2">
        <v>25.21</v>
      </c>
      <c r="AU175" s="2"/>
      <c r="AV175" s="2"/>
      <c r="AW175" s="2"/>
      <c r="AX175" s="2"/>
      <c r="AY175" s="2">
        <v>3.7360000000000002</v>
      </c>
      <c r="AZ175" s="2"/>
      <c r="BA175" s="2"/>
      <c r="BB175" s="2"/>
      <c r="BC175" s="2"/>
      <c r="BD175" s="2"/>
      <c r="BE175" s="2"/>
      <c r="BF175" s="2"/>
      <c r="BG175" s="2">
        <v>1.04</v>
      </c>
      <c r="BH175" s="2"/>
      <c r="BI175" s="2"/>
      <c r="BJ175" s="2"/>
      <c r="BK175" s="2"/>
      <c r="BL175" s="2"/>
      <c r="BM175" s="2"/>
      <c r="BN175" s="2"/>
      <c r="BO175" s="2">
        <v>27.29</v>
      </c>
      <c r="BP175" s="2"/>
      <c r="BQ175" s="2"/>
      <c r="BR175" s="2"/>
      <c r="BS175" s="2"/>
      <c r="BT175" s="2">
        <v>0</v>
      </c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>
        <v>0</v>
      </c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 t="s">
        <v>81</v>
      </c>
      <c r="DK175" s="2"/>
      <c r="DL175" s="2">
        <f t="shared" si="3"/>
        <v>1.1129325446479357</v>
      </c>
      <c r="DM175" s="2">
        <f t="shared" si="4"/>
        <v>0</v>
      </c>
      <c r="DN175" s="2" t="s">
        <v>558</v>
      </c>
      <c r="DO175" s="2" t="s">
        <v>3</v>
      </c>
      <c r="DP175" s="2">
        <f t="shared" si="5"/>
        <v>0</v>
      </c>
      <c r="DQ175" s="2">
        <f t="shared" ref="DQ175:DR175" si="2991">K175*$I175+AF175*$AD175+BA175*$AY175</f>
        <v>0</v>
      </c>
      <c r="DR175" s="2">
        <f t="shared" si="2991"/>
        <v>0</v>
      </c>
      <c r="DS175" s="2">
        <f t="shared" ref="DS175:DX175" si="2992">(M175*$I175+AH175*$AD175+BC175*$AY175)/100</f>
        <v>0</v>
      </c>
      <c r="DT175" s="2">
        <f t="shared" si="2992"/>
        <v>0</v>
      </c>
      <c r="DU175" s="2">
        <f t="shared" si="2992"/>
        <v>0</v>
      </c>
      <c r="DV175" s="2">
        <f t="shared" si="2992"/>
        <v>0</v>
      </c>
      <c r="DW175" s="2">
        <f t="shared" si="2992"/>
        <v>0.58702740000000009</v>
      </c>
      <c r="DX175" s="2">
        <f t="shared" si="2992"/>
        <v>0</v>
      </c>
      <c r="DY175" s="2">
        <f t="shared" ref="DY175:EC175" si="2993">S175*$I175+AN175*$AD175+BI175*$AY175</f>
        <v>0</v>
      </c>
      <c r="DZ175" s="2">
        <f t="shared" si="2993"/>
        <v>0</v>
      </c>
      <c r="EA175" s="2">
        <f t="shared" si="2993"/>
        <v>0</v>
      </c>
      <c r="EB175" s="2">
        <f t="shared" si="2993"/>
        <v>0</v>
      </c>
      <c r="EC175" s="2">
        <f t="shared" si="2993"/>
        <v>0</v>
      </c>
      <c r="ED175" s="2">
        <f t="shared" ref="ED175:EE175" si="2994">(X175*$I175+AS175*$AD175+BN175*$AY175)/100</f>
        <v>0</v>
      </c>
      <c r="EE175" s="2">
        <f t="shared" si="2994"/>
        <v>14.345175399999999</v>
      </c>
      <c r="EF175" s="2"/>
      <c r="EG175" s="2">
        <f t="shared" si="10"/>
        <v>0</v>
      </c>
      <c r="EH175" s="2">
        <f t="shared" si="11"/>
        <v>0</v>
      </c>
      <c r="EI175" s="39">
        <f t="shared" si="12"/>
        <v>0</v>
      </c>
      <c r="EJ175" s="39">
        <f t="shared" ref="EJ175:EK175" si="2995">EJ$1*DQ175/1000000</f>
        <v>0</v>
      </c>
      <c r="EK175" s="39">
        <f t="shared" si="2995"/>
        <v>0</v>
      </c>
      <c r="EL175" s="39">
        <f t="shared" ref="EL175:EQ175" si="2996">EL$1*DS175</f>
        <v>0</v>
      </c>
      <c r="EM175" s="39">
        <f t="shared" si="2996"/>
        <v>0</v>
      </c>
      <c r="EN175" s="39">
        <f t="shared" si="2996"/>
        <v>0</v>
      </c>
      <c r="EO175" s="39">
        <f t="shared" si="2996"/>
        <v>0</v>
      </c>
      <c r="EP175" s="39">
        <f t="shared" si="2996"/>
        <v>7698.2773236000012</v>
      </c>
      <c r="EQ175" s="39">
        <f t="shared" si="2996"/>
        <v>0</v>
      </c>
      <c r="ER175" s="39">
        <f t="shared" ref="ER175:EV175" si="2997">ER$1*DY175/1000000</f>
        <v>0</v>
      </c>
      <c r="ES175" s="39">
        <f t="shared" si="2997"/>
        <v>0</v>
      </c>
      <c r="ET175" s="39">
        <f t="shared" si="2997"/>
        <v>0</v>
      </c>
      <c r="EU175" s="39">
        <f t="shared" si="2997"/>
        <v>0</v>
      </c>
      <c r="EV175" s="39">
        <f t="shared" si="2997"/>
        <v>0</v>
      </c>
      <c r="EW175" s="39">
        <f t="shared" ref="EW175:EX175" si="2998">EW$1*ED175</f>
        <v>0</v>
      </c>
      <c r="EX175" s="39">
        <f t="shared" si="2998"/>
        <v>1334.1013121999999</v>
      </c>
      <c r="EY175" s="2"/>
      <c r="EZ175" s="39">
        <f t="shared" si="17"/>
        <v>0</v>
      </c>
      <c r="FA175" s="39">
        <f t="shared" si="18"/>
        <v>0</v>
      </c>
      <c r="FB175" s="2">
        <f t="shared" si="19"/>
        <v>0</v>
      </c>
      <c r="FC175" s="2">
        <f t="shared" ref="FC175:FD175" si="2999">BV175*$BT175+CQ175*$CO175</f>
        <v>0</v>
      </c>
      <c r="FD175" s="2">
        <f t="shared" si="2999"/>
        <v>0</v>
      </c>
      <c r="FE175" s="2">
        <f t="shared" ref="FE175:FJ175" si="3000">(BX175*$BT175+CS175*$CO175)/100</f>
        <v>0</v>
      </c>
      <c r="FF175" s="2">
        <f t="shared" si="3000"/>
        <v>0</v>
      </c>
      <c r="FG175" s="2">
        <f t="shared" si="3000"/>
        <v>0</v>
      </c>
      <c r="FH175" s="2">
        <f t="shared" si="3000"/>
        <v>0</v>
      </c>
      <c r="FI175" s="2">
        <f t="shared" si="3000"/>
        <v>0</v>
      </c>
      <c r="FJ175" s="2">
        <f t="shared" si="3000"/>
        <v>0</v>
      </c>
      <c r="FK175" s="2">
        <f t="shared" ref="FK175:FO175" si="3001">CD175*$BT175+CY175*$CO175</f>
        <v>0</v>
      </c>
      <c r="FL175" s="2">
        <f t="shared" si="3001"/>
        <v>0</v>
      </c>
      <c r="FM175" s="2">
        <f t="shared" si="3001"/>
        <v>0</v>
      </c>
      <c r="FN175" s="2">
        <f t="shared" si="3001"/>
        <v>0</v>
      </c>
      <c r="FO175" s="2">
        <f t="shared" si="3001"/>
        <v>0</v>
      </c>
      <c r="FP175" s="2">
        <f t="shared" ref="FP175:FQ175" si="3002">(CI175*$BT175+DD175*$CO175)/100</f>
        <v>0</v>
      </c>
      <c r="FQ175" s="2">
        <f t="shared" si="3002"/>
        <v>0</v>
      </c>
      <c r="FR175" s="2"/>
      <c r="FS175" s="2">
        <f t="shared" si="24"/>
        <v>0</v>
      </c>
      <c r="FT175" s="2">
        <f t="shared" si="25"/>
        <v>0</v>
      </c>
      <c r="FU175" s="39">
        <f t="shared" si="26"/>
        <v>0</v>
      </c>
      <c r="FV175" s="39">
        <f t="shared" ref="FV175:FW175" si="3003">FV$1*FC175/1000000</f>
        <v>0</v>
      </c>
      <c r="FW175" s="39">
        <f t="shared" si="3003"/>
        <v>0</v>
      </c>
      <c r="FX175" s="39">
        <f t="shared" ref="FX175:GC175" si="3004">FX$1*FE175</f>
        <v>0</v>
      </c>
      <c r="FY175" s="39">
        <f t="shared" si="3004"/>
        <v>0</v>
      </c>
      <c r="FZ175" s="39">
        <f t="shared" si="3004"/>
        <v>0</v>
      </c>
      <c r="GA175" s="39">
        <f t="shared" si="3004"/>
        <v>0</v>
      </c>
      <c r="GB175" s="39">
        <f t="shared" si="3004"/>
        <v>0</v>
      </c>
      <c r="GC175" s="39">
        <f t="shared" si="3004"/>
        <v>0</v>
      </c>
      <c r="GD175" s="39">
        <f t="shared" ref="GD175:GH175" si="3005">GD$1*FK175/1000000</f>
        <v>0</v>
      </c>
      <c r="GE175" s="39">
        <f t="shared" si="3005"/>
        <v>0</v>
      </c>
      <c r="GF175" s="39">
        <f t="shared" si="3005"/>
        <v>0</v>
      </c>
      <c r="GG175" s="39">
        <f t="shared" si="3005"/>
        <v>0</v>
      </c>
      <c r="GH175" s="39">
        <f t="shared" si="3005"/>
        <v>0</v>
      </c>
      <c r="GI175" s="39">
        <f t="shared" ref="GI175:GJ175" si="3006">GI$1*FP175</f>
        <v>0</v>
      </c>
      <c r="GJ175" s="39">
        <f t="shared" si="3006"/>
        <v>0</v>
      </c>
      <c r="GK175" s="2"/>
      <c r="GL175" s="39">
        <f t="shared" si="31"/>
        <v>0</v>
      </c>
      <c r="GM175" s="39">
        <f t="shared" si="32"/>
        <v>0</v>
      </c>
      <c r="GN175" s="2" t="s">
        <v>3</v>
      </c>
      <c r="GO175" s="2">
        <f t="shared" si="33"/>
        <v>52.745999999999995</v>
      </c>
      <c r="GP175" s="4">
        <f t="shared" si="34"/>
        <v>1.1129325446479357</v>
      </c>
      <c r="GQ175" s="15">
        <f t="shared" si="35"/>
        <v>587.02740000000006</v>
      </c>
      <c r="GR175" s="15">
        <f t="shared" si="36"/>
        <v>9032.3786358000016</v>
      </c>
      <c r="GS175" s="15">
        <f t="shared" si="37"/>
        <v>171.2429119895348</v>
      </c>
      <c r="GT175" s="2">
        <f t="shared" si="38"/>
        <v>164.39500000000001</v>
      </c>
      <c r="GU175" s="2">
        <f t="shared" si="39"/>
        <v>383.77800000000002</v>
      </c>
      <c r="GV175" s="2">
        <f t="shared" si="40"/>
        <v>38.854400000000005</v>
      </c>
      <c r="GW175" s="2">
        <f t="shared" si="41"/>
        <v>0</v>
      </c>
      <c r="GX175" s="2"/>
      <c r="GY175" s="2"/>
      <c r="GZ175" s="2"/>
      <c r="HA175" s="2"/>
      <c r="HB175" s="2">
        <f t="shared" si="42"/>
        <v>0</v>
      </c>
      <c r="HC175" s="2">
        <f t="shared" si="43"/>
        <v>0</v>
      </c>
      <c r="HD175" s="2" t="s">
        <v>3</v>
      </c>
      <c r="HE175" s="2" t="s">
        <v>37</v>
      </c>
      <c r="HF175" s="2" t="s">
        <v>114</v>
      </c>
      <c r="HG175" s="2" t="s">
        <v>151</v>
      </c>
      <c r="HH175" s="2"/>
      <c r="HI175" s="2" t="s">
        <v>81</v>
      </c>
      <c r="HJ175" s="2" t="s">
        <v>3</v>
      </c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  <c r="JE175" s="2"/>
      <c r="JF175" s="2"/>
      <c r="JG175" s="2"/>
      <c r="JH175" s="2" t="s">
        <v>3</v>
      </c>
    </row>
    <row r="176" spans="1:268" ht="15.75" customHeight="1" x14ac:dyDescent="0.2">
      <c r="A176" s="13" t="s">
        <v>368</v>
      </c>
      <c r="B176" s="2" t="s">
        <v>99</v>
      </c>
      <c r="C176" s="2"/>
      <c r="D176" s="2"/>
      <c r="E176" s="2" t="s">
        <v>78</v>
      </c>
      <c r="F176" s="2" t="s">
        <v>369</v>
      </c>
      <c r="G176" s="2"/>
      <c r="H176" s="2" t="s">
        <v>242</v>
      </c>
      <c r="I176" s="2">
        <v>0</v>
      </c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>
        <v>0</v>
      </c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>
        <v>7.5</v>
      </c>
      <c r="AZ176" s="2"/>
      <c r="BA176" s="2"/>
      <c r="BB176" s="2"/>
      <c r="BC176" s="2"/>
      <c r="BD176" s="2"/>
      <c r="BE176" s="2"/>
      <c r="BF176" s="2"/>
      <c r="BG176" s="2">
        <v>0.8</v>
      </c>
      <c r="BH176" s="2">
        <v>0.09</v>
      </c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>
        <v>0</v>
      </c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>
        <v>0</v>
      </c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 t="s">
        <v>81</v>
      </c>
      <c r="DK176" s="2" t="s">
        <v>81</v>
      </c>
      <c r="DL176" s="2">
        <f t="shared" si="3"/>
        <v>0.8</v>
      </c>
      <c r="DM176" s="2">
        <f t="shared" si="4"/>
        <v>0.09</v>
      </c>
      <c r="DN176" s="2" t="s">
        <v>175</v>
      </c>
      <c r="DO176" s="2" t="s">
        <v>3</v>
      </c>
      <c r="DP176" s="2">
        <f t="shared" si="5"/>
        <v>0</v>
      </c>
      <c r="DQ176" s="2">
        <f t="shared" ref="DQ176:DR176" si="3007">K176*$I176+AF176*$AD176+BA176*$AY176</f>
        <v>0</v>
      </c>
      <c r="DR176" s="2">
        <f t="shared" si="3007"/>
        <v>0</v>
      </c>
      <c r="DS176" s="2">
        <f t="shared" ref="DS176:DX176" si="3008">(M176*$I176+AH176*$AD176+BC176*$AY176)/100</f>
        <v>0</v>
      </c>
      <c r="DT176" s="2">
        <f t="shared" si="3008"/>
        <v>0</v>
      </c>
      <c r="DU176" s="2">
        <f t="shared" si="3008"/>
        <v>0</v>
      </c>
      <c r="DV176" s="2">
        <f t="shared" si="3008"/>
        <v>0</v>
      </c>
      <c r="DW176" s="2">
        <f t="shared" si="3008"/>
        <v>0.06</v>
      </c>
      <c r="DX176" s="2">
        <f t="shared" si="3008"/>
        <v>6.7499999999999991E-3</v>
      </c>
      <c r="DY176" s="2">
        <f t="shared" ref="DY176:EC176" si="3009">S176*$I176+AN176*$AD176+BI176*$AY176</f>
        <v>0</v>
      </c>
      <c r="DZ176" s="2">
        <f t="shared" si="3009"/>
        <v>0</v>
      </c>
      <c r="EA176" s="2">
        <f t="shared" si="3009"/>
        <v>0</v>
      </c>
      <c r="EB176" s="2">
        <f t="shared" si="3009"/>
        <v>0</v>
      </c>
      <c r="EC176" s="2">
        <f t="shared" si="3009"/>
        <v>0</v>
      </c>
      <c r="ED176" s="2">
        <f t="shared" ref="ED176:EE176" si="3010">(X176*$I176+AS176*$AD176+BN176*$AY176)/100</f>
        <v>0</v>
      </c>
      <c r="EE176" s="2">
        <f t="shared" si="3010"/>
        <v>0</v>
      </c>
      <c r="EF176" s="2"/>
      <c r="EG176" s="2">
        <f t="shared" si="10"/>
        <v>0</v>
      </c>
      <c r="EH176" s="2">
        <f t="shared" si="11"/>
        <v>0</v>
      </c>
      <c r="EI176" s="39">
        <f t="shared" si="12"/>
        <v>0</v>
      </c>
      <c r="EJ176" s="39">
        <f t="shared" ref="EJ176:EK176" si="3011">EJ$1*DQ176/1000000</f>
        <v>0</v>
      </c>
      <c r="EK176" s="39">
        <f t="shared" si="3011"/>
        <v>0</v>
      </c>
      <c r="EL176" s="39">
        <f t="shared" ref="EL176:EQ176" si="3012">EL$1*DS176</f>
        <v>0</v>
      </c>
      <c r="EM176" s="39">
        <f t="shared" si="3012"/>
        <v>0</v>
      </c>
      <c r="EN176" s="39">
        <f t="shared" si="3012"/>
        <v>0</v>
      </c>
      <c r="EO176" s="39">
        <f t="shared" si="3012"/>
        <v>0</v>
      </c>
      <c r="EP176" s="39">
        <f t="shared" si="3012"/>
        <v>786.83999999999992</v>
      </c>
      <c r="EQ176" s="39">
        <f t="shared" si="3012"/>
        <v>490.18178699999987</v>
      </c>
      <c r="ER176" s="39">
        <f t="shared" ref="ER176:EV176" si="3013">ER$1*DY176/1000000</f>
        <v>0</v>
      </c>
      <c r="ES176" s="39">
        <f t="shared" si="3013"/>
        <v>0</v>
      </c>
      <c r="ET176" s="39">
        <f t="shared" si="3013"/>
        <v>0</v>
      </c>
      <c r="EU176" s="39">
        <f t="shared" si="3013"/>
        <v>0</v>
      </c>
      <c r="EV176" s="39">
        <f t="shared" si="3013"/>
        <v>0</v>
      </c>
      <c r="EW176" s="39">
        <f t="shared" ref="EW176:EX176" si="3014">EW$1*ED176</f>
        <v>0</v>
      </c>
      <c r="EX176" s="39">
        <f t="shared" si="3014"/>
        <v>0</v>
      </c>
      <c r="EY176" s="2"/>
      <c r="EZ176" s="39">
        <f t="shared" si="17"/>
        <v>0</v>
      </c>
      <c r="FA176" s="39">
        <f t="shared" si="18"/>
        <v>0</v>
      </c>
      <c r="FB176" s="2">
        <f t="shared" si="19"/>
        <v>0</v>
      </c>
      <c r="FC176" s="2">
        <f t="shared" ref="FC176:FD176" si="3015">BV176*$BT176+CQ176*$CO176</f>
        <v>0</v>
      </c>
      <c r="FD176" s="2">
        <f t="shared" si="3015"/>
        <v>0</v>
      </c>
      <c r="FE176" s="2">
        <f t="shared" ref="FE176:FJ176" si="3016">(BX176*$BT176+CS176*$CO176)/100</f>
        <v>0</v>
      </c>
      <c r="FF176" s="2">
        <f t="shared" si="3016"/>
        <v>0</v>
      </c>
      <c r="FG176" s="2">
        <f t="shared" si="3016"/>
        <v>0</v>
      </c>
      <c r="FH176" s="2">
        <f t="shared" si="3016"/>
        <v>0</v>
      </c>
      <c r="FI176" s="2">
        <f t="shared" si="3016"/>
        <v>0</v>
      </c>
      <c r="FJ176" s="2">
        <f t="shared" si="3016"/>
        <v>0</v>
      </c>
      <c r="FK176" s="2">
        <f t="shared" ref="FK176:FO176" si="3017">CD176*$BT176+CY176*$CO176</f>
        <v>0</v>
      </c>
      <c r="FL176" s="2">
        <f t="shared" si="3017"/>
        <v>0</v>
      </c>
      <c r="FM176" s="2">
        <f t="shared" si="3017"/>
        <v>0</v>
      </c>
      <c r="FN176" s="2">
        <f t="shared" si="3017"/>
        <v>0</v>
      </c>
      <c r="FO176" s="2">
        <f t="shared" si="3017"/>
        <v>0</v>
      </c>
      <c r="FP176" s="2">
        <f t="shared" ref="FP176:FQ176" si="3018">(CI176*$BT176+DD176*$CO176)/100</f>
        <v>0</v>
      </c>
      <c r="FQ176" s="2">
        <f t="shared" si="3018"/>
        <v>0</v>
      </c>
      <c r="FR176" s="2"/>
      <c r="FS176" s="2">
        <f t="shared" si="24"/>
        <v>0</v>
      </c>
      <c r="FT176" s="2">
        <f t="shared" si="25"/>
        <v>0</v>
      </c>
      <c r="FU176" s="39">
        <f t="shared" si="26"/>
        <v>0</v>
      </c>
      <c r="FV176" s="39">
        <f t="shared" ref="FV176:FW176" si="3019">FV$1*FC176/1000000</f>
        <v>0</v>
      </c>
      <c r="FW176" s="39">
        <f t="shared" si="3019"/>
        <v>0</v>
      </c>
      <c r="FX176" s="39">
        <f t="shared" ref="FX176:GC176" si="3020">FX$1*FE176</f>
        <v>0</v>
      </c>
      <c r="FY176" s="39">
        <f t="shared" si="3020"/>
        <v>0</v>
      </c>
      <c r="FZ176" s="39">
        <f t="shared" si="3020"/>
        <v>0</v>
      </c>
      <c r="GA176" s="39">
        <f t="shared" si="3020"/>
        <v>0</v>
      </c>
      <c r="GB176" s="39">
        <f t="shared" si="3020"/>
        <v>0</v>
      </c>
      <c r="GC176" s="39">
        <f t="shared" si="3020"/>
        <v>0</v>
      </c>
      <c r="GD176" s="39">
        <f t="shared" ref="GD176:GH176" si="3021">GD$1*FK176/1000000</f>
        <v>0</v>
      </c>
      <c r="GE176" s="39">
        <f t="shared" si="3021"/>
        <v>0</v>
      </c>
      <c r="GF176" s="39">
        <f t="shared" si="3021"/>
        <v>0</v>
      </c>
      <c r="GG176" s="39">
        <f t="shared" si="3021"/>
        <v>0</v>
      </c>
      <c r="GH176" s="39">
        <f t="shared" si="3021"/>
        <v>0</v>
      </c>
      <c r="GI176" s="39">
        <f t="shared" ref="GI176:GJ176" si="3022">GI$1*FP176</f>
        <v>0</v>
      </c>
      <c r="GJ176" s="39">
        <f t="shared" si="3022"/>
        <v>0</v>
      </c>
      <c r="GK176" s="2"/>
      <c r="GL176" s="39">
        <f t="shared" si="31"/>
        <v>0</v>
      </c>
      <c r="GM176" s="39">
        <f t="shared" si="32"/>
        <v>0</v>
      </c>
      <c r="GN176" s="2" t="s">
        <v>3</v>
      </c>
      <c r="GO176" s="2">
        <f t="shared" si="33"/>
        <v>7.5</v>
      </c>
      <c r="GP176" s="2">
        <f t="shared" si="34"/>
        <v>0.8</v>
      </c>
      <c r="GQ176" s="15">
        <f t="shared" si="35"/>
        <v>60</v>
      </c>
      <c r="GR176" s="15">
        <f t="shared" si="36"/>
        <v>1277.0217869999997</v>
      </c>
      <c r="GS176" s="15">
        <f t="shared" si="37"/>
        <v>170.26957159999995</v>
      </c>
      <c r="GT176" s="2">
        <f t="shared" si="38"/>
        <v>0</v>
      </c>
      <c r="GU176" s="2">
        <f t="shared" si="39"/>
        <v>0</v>
      </c>
      <c r="GV176" s="2">
        <f t="shared" si="40"/>
        <v>60</v>
      </c>
      <c r="GW176" s="2">
        <f t="shared" si="41"/>
        <v>0</v>
      </c>
      <c r="GX176" s="2"/>
      <c r="GY176" s="2"/>
      <c r="GZ176" s="2"/>
      <c r="HA176" s="2"/>
      <c r="HB176" s="2">
        <f t="shared" si="42"/>
        <v>0</v>
      </c>
      <c r="HC176" s="2">
        <f t="shared" si="43"/>
        <v>0</v>
      </c>
      <c r="HD176" s="2" t="s">
        <v>3</v>
      </c>
      <c r="HE176" s="2" t="s">
        <v>37</v>
      </c>
      <c r="HF176" s="2" t="s">
        <v>114</v>
      </c>
      <c r="HG176" s="2"/>
      <c r="HH176" s="2"/>
      <c r="HI176" s="2" t="s">
        <v>81</v>
      </c>
      <c r="HJ176" s="2" t="s">
        <v>3</v>
      </c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  <c r="JE176" s="2"/>
      <c r="JF176" s="2"/>
      <c r="JG176" s="2"/>
      <c r="JH176" s="2" t="s">
        <v>3</v>
      </c>
    </row>
    <row r="177" spans="1:268" ht="15.75" customHeight="1" x14ac:dyDescent="0.2">
      <c r="A177" s="13" t="s">
        <v>586</v>
      </c>
      <c r="B177" s="2" t="s">
        <v>99</v>
      </c>
      <c r="C177" s="2"/>
      <c r="D177" s="2"/>
      <c r="E177" s="2" t="s">
        <v>179</v>
      </c>
      <c r="F177" s="2" t="s">
        <v>324</v>
      </c>
      <c r="G177" s="2"/>
      <c r="H177" s="2" t="s">
        <v>242</v>
      </c>
      <c r="I177" s="2">
        <v>0</v>
      </c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19">
        <f>3.3914+1.4289</f>
        <v>4.8202999999999996</v>
      </c>
      <c r="AE177" s="2"/>
      <c r="AF177" s="2"/>
      <c r="AG177" s="2"/>
      <c r="AH177" s="2"/>
      <c r="AI177" s="2"/>
      <c r="AJ177" s="2"/>
      <c r="AK177" s="2"/>
      <c r="AL177" s="4">
        <f>(0.79*3.3914+0.83*1.4289)/AD177</f>
        <v>0.8018573532767671</v>
      </c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19">
        <f>13.295+7.8131</f>
        <v>21.1081</v>
      </c>
      <c r="AZ177" s="2"/>
      <c r="BA177" s="2"/>
      <c r="BB177" s="2"/>
      <c r="BC177" s="2"/>
      <c r="BD177" s="2"/>
      <c r="BE177" s="2"/>
      <c r="BF177" s="2"/>
      <c r="BG177" s="4">
        <f>(0.7*13.295+0.78*7.8131)/AY177</f>
        <v>0.72961176041424858</v>
      </c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>
        <v>0</v>
      </c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>
        <v>0</v>
      </c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 t="s">
        <v>81</v>
      </c>
      <c r="DK177" s="2"/>
      <c r="DL177" s="2">
        <f t="shared" si="3"/>
        <v>0.74304280248684851</v>
      </c>
      <c r="DM177" s="2">
        <f t="shared" si="4"/>
        <v>0</v>
      </c>
      <c r="DN177" s="2" t="s">
        <v>175</v>
      </c>
      <c r="DO177" s="2" t="s">
        <v>3</v>
      </c>
      <c r="DP177" s="2">
        <f t="shared" si="5"/>
        <v>0</v>
      </c>
      <c r="DQ177" s="2">
        <f t="shared" ref="DQ177:DR177" si="3023">K177*$I177+AF177*$AD177+BA177*$AY177</f>
        <v>0</v>
      </c>
      <c r="DR177" s="2">
        <f t="shared" si="3023"/>
        <v>0</v>
      </c>
      <c r="DS177" s="2">
        <f t="shared" ref="DS177:DX177" si="3024">(M177*$I177+AH177*$AD177+BC177*$AY177)/100</f>
        <v>0</v>
      </c>
      <c r="DT177" s="2">
        <f t="shared" si="3024"/>
        <v>0</v>
      </c>
      <c r="DU177" s="2">
        <f t="shared" si="3024"/>
        <v>0</v>
      </c>
      <c r="DV177" s="2">
        <f t="shared" si="3024"/>
        <v>0</v>
      </c>
      <c r="DW177" s="2">
        <f t="shared" si="3024"/>
        <v>0.19265911000000002</v>
      </c>
      <c r="DX177" s="2">
        <f t="shared" si="3024"/>
        <v>0</v>
      </c>
      <c r="DY177" s="2">
        <f t="shared" ref="DY177:EC177" si="3025">S177*$I177+AN177*$AD177+BI177*$AY177</f>
        <v>0</v>
      </c>
      <c r="DZ177" s="2">
        <f t="shared" si="3025"/>
        <v>0</v>
      </c>
      <c r="EA177" s="2">
        <f t="shared" si="3025"/>
        <v>0</v>
      </c>
      <c r="EB177" s="2">
        <f t="shared" si="3025"/>
        <v>0</v>
      </c>
      <c r="EC177" s="2">
        <f t="shared" si="3025"/>
        <v>0</v>
      </c>
      <c r="ED177" s="2">
        <f t="shared" ref="ED177:EE177" si="3026">(X177*$I177+AS177*$AD177+BN177*$AY177)/100</f>
        <v>0</v>
      </c>
      <c r="EE177" s="2">
        <f t="shared" si="3026"/>
        <v>0</v>
      </c>
      <c r="EF177" s="2"/>
      <c r="EG177" s="2">
        <f t="shared" si="10"/>
        <v>0</v>
      </c>
      <c r="EH177" s="2">
        <f t="shared" si="11"/>
        <v>0</v>
      </c>
      <c r="EI177" s="39">
        <f t="shared" si="12"/>
        <v>0</v>
      </c>
      <c r="EJ177" s="39">
        <f t="shared" ref="EJ177:EK177" si="3027">EJ$1*DQ177/1000000</f>
        <v>0</v>
      </c>
      <c r="EK177" s="39">
        <f t="shared" si="3027"/>
        <v>0</v>
      </c>
      <c r="EL177" s="39">
        <f t="shared" ref="EL177:EQ177" si="3028">EL$1*DS177</f>
        <v>0</v>
      </c>
      <c r="EM177" s="39">
        <f t="shared" si="3028"/>
        <v>0</v>
      </c>
      <c r="EN177" s="39">
        <f t="shared" si="3028"/>
        <v>0</v>
      </c>
      <c r="EO177" s="39">
        <f t="shared" si="3028"/>
        <v>0</v>
      </c>
      <c r="EP177" s="39">
        <f t="shared" si="3028"/>
        <v>2526.5315685400001</v>
      </c>
      <c r="EQ177" s="39">
        <f t="shared" si="3028"/>
        <v>0</v>
      </c>
      <c r="ER177" s="39">
        <f t="shared" ref="ER177:EV177" si="3029">ER$1*DY177/1000000</f>
        <v>0</v>
      </c>
      <c r="ES177" s="39">
        <f t="shared" si="3029"/>
        <v>0</v>
      </c>
      <c r="ET177" s="39">
        <f t="shared" si="3029"/>
        <v>0</v>
      </c>
      <c r="EU177" s="39">
        <f t="shared" si="3029"/>
        <v>0</v>
      </c>
      <c r="EV177" s="39">
        <f t="shared" si="3029"/>
        <v>0</v>
      </c>
      <c r="EW177" s="39">
        <f t="shared" ref="EW177:EX177" si="3030">EW$1*ED177</f>
        <v>0</v>
      </c>
      <c r="EX177" s="39">
        <f t="shared" si="3030"/>
        <v>0</v>
      </c>
      <c r="EY177" s="2"/>
      <c r="EZ177" s="39">
        <f t="shared" si="17"/>
        <v>0</v>
      </c>
      <c r="FA177" s="39">
        <f t="shared" si="18"/>
        <v>0</v>
      </c>
      <c r="FB177" s="2">
        <f t="shared" si="19"/>
        <v>0</v>
      </c>
      <c r="FC177" s="2">
        <f t="shared" ref="FC177:FD177" si="3031">BV177*$BT177+CQ177*$CO177</f>
        <v>0</v>
      </c>
      <c r="FD177" s="2">
        <f t="shared" si="3031"/>
        <v>0</v>
      </c>
      <c r="FE177" s="2">
        <f t="shared" ref="FE177:FJ177" si="3032">(BX177*$BT177+CS177*$CO177)/100</f>
        <v>0</v>
      </c>
      <c r="FF177" s="2">
        <f t="shared" si="3032"/>
        <v>0</v>
      </c>
      <c r="FG177" s="2">
        <f t="shared" si="3032"/>
        <v>0</v>
      </c>
      <c r="FH177" s="2">
        <f t="shared" si="3032"/>
        <v>0</v>
      </c>
      <c r="FI177" s="2">
        <f t="shared" si="3032"/>
        <v>0</v>
      </c>
      <c r="FJ177" s="2">
        <f t="shared" si="3032"/>
        <v>0</v>
      </c>
      <c r="FK177" s="2">
        <f t="shared" ref="FK177:FO177" si="3033">CD177*$BT177+CY177*$CO177</f>
        <v>0</v>
      </c>
      <c r="FL177" s="2">
        <f t="shared" si="3033"/>
        <v>0</v>
      </c>
      <c r="FM177" s="2">
        <f t="shared" si="3033"/>
        <v>0</v>
      </c>
      <c r="FN177" s="2">
        <f t="shared" si="3033"/>
        <v>0</v>
      </c>
      <c r="FO177" s="2">
        <f t="shared" si="3033"/>
        <v>0</v>
      </c>
      <c r="FP177" s="2">
        <f t="shared" ref="FP177:FQ177" si="3034">(CI177*$BT177+DD177*$CO177)/100</f>
        <v>0</v>
      </c>
      <c r="FQ177" s="2">
        <f t="shared" si="3034"/>
        <v>0</v>
      </c>
      <c r="FR177" s="2"/>
      <c r="FS177" s="2">
        <f t="shared" si="24"/>
        <v>0</v>
      </c>
      <c r="FT177" s="2">
        <f t="shared" si="25"/>
        <v>0</v>
      </c>
      <c r="FU177" s="39">
        <f t="shared" si="26"/>
        <v>0</v>
      </c>
      <c r="FV177" s="39">
        <f t="shared" ref="FV177:FW177" si="3035">FV$1*FC177/1000000</f>
        <v>0</v>
      </c>
      <c r="FW177" s="39">
        <f t="shared" si="3035"/>
        <v>0</v>
      </c>
      <c r="FX177" s="39">
        <f t="shared" ref="FX177:GC177" si="3036">FX$1*FE177</f>
        <v>0</v>
      </c>
      <c r="FY177" s="39">
        <f t="shared" si="3036"/>
        <v>0</v>
      </c>
      <c r="FZ177" s="39">
        <f t="shared" si="3036"/>
        <v>0</v>
      </c>
      <c r="GA177" s="39">
        <f t="shared" si="3036"/>
        <v>0</v>
      </c>
      <c r="GB177" s="39">
        <f t="shared" si="3036"/>
        <v>0</v>
      </c>
      <c r="GC177" s="39">
        <f t="shared" si="3036"/>
        <v>0</v>
      </c>
      <c r="GD177" s="39">
        <f t="shared" ref="GD177:GH177" si="3037">GD$1*FK177/1000000</f>
        <v>0</v>
      </c>
      <c r="GE177" s="39">
        <f t="shared" si="3037"/>
        <v>0</v>
      </c>
      <c r="GF177" s="39">
        <f t="shared" si="3037"/>
        <v>0</v>
      </c>
      <c r="GG177" s="39">
        <f t="shared" si="3037"/>
        <v>0</v>
      </c>
      <c r="GH177" s="39">
        <f t="shared" si="3037"/>
        <v>0</v>
      </c>
      <c r="GI177" s="39">
        <f t="shared" ref="GI177:GJ177" si="3038">GI$1*FP177</f>
        <v>0</v>
      </c>
      <c r="GJ177" s="39">
        <f t="shared" si="3038"/>
        <v>0</v>
      </c>
      <c r="GK177" s="2"/>
      <c r="GL177" s="39">
        <f t="shared" si="31"/>
        <v>0</v>
      </c>
      <c r="GM177" s="39">
        <f t="shared" si="32"/>
        <v>0</v>
      </c>
      <c r="GN177" s="2" t="s">
        <v>3</v>
      </c>
      <c r="GO177" s="4">
        <f t="shared" si="33"/>
        <v>25.9284</v>
      </c>
      <c r="GP177" s="4">
        <f t="shared" si="34"/>
        <v>0.74304280248684851</v>
      </c>
      <c r="GQ177" s="15">
        <f t="shared" si="35"/>
        <v>192.65911000000003</v>
      </c>
      <c r="GR177" s="15">
        <f t="shared" si="36"/>
        <v>2526.5315685400001</v>
      </c>
      <c r="GS177" s="15">
        <f t="shared" si="37"/>
        <v>97.4426331181253</v>
      </c>
      <c r="GT177" s="2">
        <f t="shared" si="38"/>
        <v>0</v>
      </c>
      <c r="GU177" s="2">
        <f t="shared" si="39"/>
        <v>38.65193</v>
      </c>
      <c r="GV177" s="2">
        <f t="shared" si="40"/>
        <v>154.00718000000001</v>
      </c>
      <c r="GW177" s="2">
        <f t="shared" si="41"/>
        <v>0</v>
      </c>
      <c r="GX177" s="2"/>
      <c r="GY177" s="2"/>
      <c r="GZ177" s="2"/>
      <c r="HA177" s="2"/>
      <c r="HB177" s="2">
        <f t="shared" si="42"/>
        <v>0</v>
      </c>
      <c r="HC177" s="2">
        <f t="shared" si="43"/>
        <v>0</v>
      </c>
      <c r="HD177" s="2" t="s">
        <v>3</v>
      </c>
      <c r="HE177" s="2" t="s">
        <v>37</v>
      </c>
      <c r="HF177" s="2" t="s">
        <v>114</v>
      </c>
      <c r="HG177" s="2"/>
      <c r="HH177" s="2"/>
      <c r="HI177" s="2" t="s">
        <v>81</v>
      </c>
      <c r="HJ177" s="2" t="s">
        <v>3</v>
      </c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  <c r="JE177" s="2"/>
      <c r="JF177" s="2"/>
      <c r="JG177" s="2"/>
      <c r="JH177" s="2" t="s">
        <v>3</v>
      </c>
    </row>
    <row r="178" spans="1:268" ht="15.75" customHeight="1" x14ac:dyDescent="0.2">
      <c r="A178" s="13" t="s">
        <v>1027</v>
      </c>
      <c r="B178" s="2" t="s">
        <v>99</v>
      </c>
      <c r="C178" s="2"/>
      <c r="D178" s="2"/>
      <c r="E178" s="2" t="s">
        <v>78</v>
      </c>
      <c r="F178" s="2" t="s">
        <v>1028</v>
      </c>
      <c r="G178" s="2"/>
      <c r="H178" s="2" t="s">
        <v>242</v>
      </c>
      <c r="I178" s="2">
        <v>0</v>
      </c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>
        <v>4.4000000000000004</v>
      </c>
      <c r="AE178" s="2"/>
      <c r="AF178" s="2"/>
      <c r="AG178" s="2"/>
      <c r="AH178" s="2"/>
      <c r="AI178" s="2"/>
      <c r="AJ178" s="2"/>
      <c r="AK178" s="2"/>
      <c r="AL178" s="2">
        <v>0.72</v>
      </c>
      <c r="AM178" s="2">
        <v>4.9000000000000002E-2</v>
      </c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>
        <v>21.9</v>
      </c>
      <c r="AZ178" s="2"/>
      <c r="BA178" s="2"/>
      <c r="BB178" s="2"/>
      <c r="BC178" s="2"/>
      <c r="BD178" s="2"/>
      <c r="BE178" s="2"/>
      <c r="BF178" s="2"/>
      <c r="BG178" s="2">
        <v>0.63</v>
      </c>
      <c r="BH178" s="2">
        <v>4.2000000000000003E-2</v>
      </c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>
        <v>0</v>
      </c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>
        <v>0</v>
      </c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 t="s">
        <v>81</v>
      </c>
      <c r="DK178" s="2" t="s">
        <v>81</v>
      </c>
      <c r="DL178" s="2">
        <f t="shared" si="3"/>
        <v>0.6450570342205324</v>
      </c>
      <c r="DM178" s="2">
        <f t="shared" si="4"/>
        <v>4.3171102661596961E-2</v>
      </c>
      <c r="DN178" s="2" t="s">
        <v>1029</v>
      </c>
      <c r="DO178" s="2" t="s">
        <v>3</v>
      </c>
      <c r="DP178" s="2">
        <f t="shared" si="5"/>
        <v>0</v>
      </c>
      <c r="DQ178" s="2">
        <f t="shared" ref="DQ178:DR178" si="3039">K178*$I178+AF178*$AD178+BA178*$AY178</f>
        <v>0</v>
      </c>
      <c r="DR178" s="2">
        <f t="shared" si="3039"/>
        <v>0</v>
      </c>
      <c r="DS178" s="2">
        <f t="shared" ref="DS178:DX178" si="3040">(M178*$I178+AH178*$AD178+BC178*$AY178)/100</f>
        <v>0</v>
      </c>
      <c r="DT178" s="2">
        <f t="shared" si="3040"/>
        <v>0</v>
      </c>
      <c r="DU178" s="2">
        <f t="shared" si="3040"/>
        <v>0</v>
      </c>
      <c r="DV178" s="2">
        <f t="shared" si="3040"/>
        <v>0</v>
      </c>
      <c r="DW178" s="2">
        <f t="shared" si="3040"/>
        <v>0.16965</v>
      </c>
      <c r="DX178" s="2">
        <f t="shared" si="3040"/>
        <v>1.1354E-2</v>
      </c>
      <c r="DY178" s="2">
        <f t="shared" ref="DY178:EC178" si="3041">S178*$I178+AN178*$AD178+BI178*$AY178</f>
        <v>0</v>
      </c>
      <c r="DZ178" s="2">
        <f t="shared" si="3041"/>
        <v>0</v>
      </c>
      <c r="EA178" s="2">
        <f t="shared" si="3041"/>
        <v>0</v>
      </c>
      <c r="EB178" s="2">
        <f t="shared" si="3041"/>
        <v>0</v>
      </c>
      <c r="EC178" s="2">
        <f t="shared" si="3041"/>
        <v>0</v>
      </c>
      <c r="ED178" s="2">
        <f t="shared" ref="ED178:EE178" si="3042">(X178*$I178+AS178*$AD178+BN178*$AY178)/100</f>
        <v>0</v>
      </c>
      <c r="EE178" s="2">
        <f t="shared" si="3042"/>
        <v>0</v>
      </c>
      <c r="EF178" s="2"/>
      <c r="EG178" s="2">
        <f t="shared" si="10"/>
        <v>0</v>
      </c>
      <c r="EH178" s="2">
        <f t="shared" si="11"/>
        <v>0</v>
      </c>
      <c r="EI178" s="39">
        <f t="shared" si="12"/>
        <v>0</v>
      </c>
      <c r="EJ178" s="39">
        <f t="shared" ref="EJ178:EK178" si="3043">EJ$1*DQ178/1000000</f>
        <v>0</v>
      </c>
      <c r="EK178" s="39">
        <f t="shared" si="3043"/>
        <v>0</v>
      </c>
      <c r="EL178" s="39">
        <f t="shared" ref="EL178:EQ178" si="3044">EL$1*DS178</f>
        <v>0</v>
      </c>
      <c r="EM178" s="39">
        <f t="shared" si="3044"/>
        <v>0</v>
      </c>
      <c r="EN178" s="39">
        <f t="shared" si="3044"/>
        <v>0</v>
      </c>
      <c r="EO178" s="39">
        <f t="shared" si="3044"/>
        <v>0</v>
      </c>
      <c r="EP178" s="39">
        <f t="shared" si="3044"/>
        <v>2224.7900999999997</v>
      </c>
      <c r="EQ178" s="39">
        <f t="shared" si="3044"/>
        <v>824.52207549599984</v>
      </c>
      <c r="ER178" s="39">
        <f t="shared" ref="ER178:EV178" si="3045">ER$1*DY178/1000000</f>
        <v>0</v>
      </c>
      <c r="ES178" s="39">
        <f t="shared" si="3045"/>
        <v>0</v>
      </c>
      <c r="ET178" s="39">
        <f t="shared" si="3045"/>
        <v>0</v>
      </c>
      <c r="EU178" s="39">
        <f t="shared" si="3045"/>
        <v>0</v>
      </c>
      <c r="EV178" s="39">
        <f t="shared" si="3045"/>
        <v>0</v>
      </c>
      <c r="EW178" s="39">
        <f t="shared" ref="EW178:EX178" si="3046">EW$1*ED178</f>
        <v>0</v>
      </c>
      <c r="EX178" s="39">
        <f t="shared" si="3046"/>
        <v>0</v>
      </c>
      <c r="EY178" s="2"/>
      <c r="EZ178" s="39">
        <f t="shared" si="17"/>
        <v>0</v>
      </c>
      <c r="FA178" s="39">
        <f t="shared" si="18"/>
        <v>0</v>
      </c>
      <c r="FB178" s="2">
        <f t="shared" si="19"/>
        <v>0</v>
      </c>
      <c r="FC178" s="2">
        <f t="shared" ref="FC178:FD178" si="3047">BV178*$BT178+CQ178*$CO178</f>
        <v>0</v>
      </c>
      <c r="FD178" s="2">
        <f t="shared" si="3047"/>
        <v>0</v>
      </c>
      <c r="FE178" s="2">
        <f t="shared" ref="FE178:FJ178" si="3048">(BX178*$BT178+CS178*$CO178)/100</f>
        <v>0</v>
      </c>
      <c r="FF178" s="2">
        <f t="shared" si="3048"/>
        <v>0</v>
      </c>
      <c r="FG178" s="2">
        <f t="shared" si="3048"/>
        <v>0</v>
      </c>
      <c r="FH178" s="2">
        <f t="shared" si="3048"/>
        <v>0</v>
      </c>
      <c r="FI178" s="2">
        <f t="shared" si="3048"/>
        <v>0</v>
      </c>
      <c r="FJ178" s="2">
        <f t="shared" si="3048"/>
        <v>0</v>
      </c>
      <c r="FK178" s="2">
        <f t="shared" ref="FK178:FO178" si="3049">CD178*$BT178+CY178*$CO178</f>
        <v>0</v>
      </c>
      <c r="FL178" s="2">
        <f t="shared" si="3049"/>
        <v>0</v>
      </c>
      <c r="FM178" s="2">
        <f t="shared" si="3049"/>
        <v>0</v>
      </c>
      <c r="FN178" s="2">
        <f t="shared" si="3049"/>
        <v>0</v>
      </c>
      <c r="FO178" s="2">
        <f t="shared" si="3049"/>
        <v>0</v>
      </c>
      <c r="FP178" s="2">
        <f t="shared" ref="FP178:FQ178" si="3050">(CI178*$BT178+DD178*$CO178)/100</f>
        <v>0</v>
      </c>
      <c r="FQ178" s="2">
        <f t="shared" si="3050"/>
        <v>0</v>
      </c>
      <c r="FR178" s="2"/>
      <c r="FS178" s="2">
        <f t="shared" si="24"/>
        <v>0</v>
      </c>
      <c r="FT178" s="2">
        <f t="shared" si="25"/>
        <v>0</v>
      </c>
      <c r="FU178" s="39">
        <f t="shared" si="26"/>
        <v>0</v>
      </c>
      <c r="FV178" s="39">
        <f t="shared" ref="FV178:FW178" si="3051">FV$1*FC178/1000000</f>
        <v>0</v>
      </c>
      <c r="FW178" s="39">
        <f t="shared" si="3051"/>
        <v>0</v>
      </c>
      <c r="FX178" s="39">
        <f t="shared" ref="FX178:GC178" si="3052">FX$1*FE178</f>
        <v>0</v>
      </c>
      <c r="FY178" s="39">
        <f t="shared" si="3052"/>
        <v>0</v>
      </c>
      <c r="FZ178" s="39">
        <f t="shared" si="3052"/>
        <v>0</v>
      </c>
      <c r="GA178" s="39">
        <f t="shared" si="3052"/>
        <v>0</v>
      </c>
      <c r="GB178" s="39">
        <f t="shared" si="3052"/>
        <v>0</v>
      </c>
      <c r="GC178" s="39">
        <f t="shared" si="3052"/>
        <v>0</v>
      </c>
      <c r="GD178" s="39">
        <f t="shared" ref="GD178:GH178" si="3053">GD$1*FK178/1000000</f>
        <v>0</v>
      </c>
      <c r="GE178" s="39">
        <f t="shared" si="3053"/>
        <v>0</v>
      </c>
      <c r="GF178" s="39">
        <f t="shared" si="3053"/>
        <v>0</v>
      </c>
      <c r="GG178" s="39">
        <f t="shared" si="3053"/>
        <v>0</v>
      </c>
      <c r="GH178" s="39">
        <f t="shared" si="3053"/>
        <v>0</v>
      </c>
      <c r="GI178" s="39">
        <f t="shared" ref="GI178:GJ178" si="3054">GI$1*FP178</f>
        <v>0</v>
      </c>
      <c r="GJ178" s="39">
        <f t="shared" si="3054"/>
        <v>0</v>
      </c>
      <c r="GK178" s="2"/>
      <c r="GL178" s="39">
        <f t="shared" si="31"/>
        <v>0</v>
      </c>
      <c r="GM178" s="39">
        <f t="shared" si="32"/>
        <v>0</v>
      </c>
      <c r="GN178" s="2" t="s">
        <v>3</v>
      </c>
      <c r="GO178" s="2">
        <f t="shared" si="33"/>
        <v>26.299999999999997</v>
      </c>
      <c r="GP178" s="4">
        <f t="shared" si="34"/>
        <v>0.6450570342205324</v>
      </c>
      <c r="GQ178" s="15">
        <f t="shared" si="35"/>
        <v>169.65</v>
      </c>
      <c r="GR178" s="15">
        <f t="shared" si="36"/>
        <v>3049.3121754959993</v>
      </c>
      <c r="GS178" s="15">
        <f t="shared" si="37"/>
        <v>115.94342872608364</v>
      </c>
      <c r="GT178" s="2">
        <f t="shared" si="38"/>
        <v>0</v>
      </c>
      <c r="GU178" s="2">
        <f t="shared" si="39"/>
        <v>31.68</v>
      </c>
      <c r="GV178" s="2">
        <f t="shared" si="40"/>
        <v>137.96999999999997</v>
      </c>
      <c r="GW178" s="2">
        <f t="shared" si="41"/>
        <v>0</v>
      </c>
      <c r="GX178" s="2"/>
      <c r="GY178" s="2"/>
      <c r="GZ178" s="2"/>
      <c r="HA178" s="2"/>
      <c r="HB178" s="2">
        <f t="shared" si="42"/>
        <v>0</v>
      </c>
      <c r="HC178" s="2">
        <f t="shared" si="43"/>
        <v>0</v>
      </c>
      <c r="HD178" s="2" t="s">
        <v>3</v>
      </c>
      <c r="HE178" s="2" t="s">
        <v>37</v>
      </c>
      <c r="HF178" s="2" t="s">
        <v>114</v>
      </c>
      <c r="HG178" s="2"/>
      <c r="HH178" s="2"/>
      <c r="HI178" s="2" t="s">
        <v>81</v>
      </c>
      <c r="HJ178" s="2" t="s">
        <v>3</v>
      </c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 t="s">
        <v>3</v>
      </c>
    </row>
    <row r="179" spans="1:268" ht="15.75" customHeight="1" x14ac:dyDescent="0.2">
      <c r="A179" s="13" t="s">
        <v>535</v>
      </c>
      <c r="B179" s="2" t="s">
        <v>99</v>
      </c>
      <c r="C179" s="2"/>
      <c r="D179" s="2"/>
      <c r="E179" s="2" t="s">
        <v>78</v>
      </c>
      <c r="F179" s="2" t="s">
        <v>536</v>
      </c>
      <c r="G179" s="2"/>
      <c r="H179" s="2" t="s">
        <v>242</v>
      </c>
      <c r="I179" s="2">
        <v>0</v>
      </c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>
        <v>0</v>
      </c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>
        <v>339</v>
      </c>
      <c r="AZ179" s="2"/>
      <c r="BA179" s="2"/>
      <c r="BB179" s="2"/>
      <c r="BC179" s="2"/>
      <c r="BD179" s="2"/>
      <c r="BE179" s="2"/>
      <c r="BF179" s="2"/>
      <c r="BG179" s="2">
        <v>0.81</v>
      </c>
      <c r="BH179" s="2">
        <v>0.05</v>
      </c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>
        <v>0</v>
      </c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>
        <v>0</v>
      </c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 t="s">
        <v>81</v>
      </c>
      <c r="DK179" s="2"/>
      <c r="DL179" s="2">
        <f t="shared" si="3"/>
        <v>0.81</v>
      </c>
      <c r="DM179" s="2">
        <f t="shared" si="4"/>
        <v>4.9999999999999996E-2</v>
      </c>
      <c r="DN179" s="2" t="s">
        <v>211</v>
      </c>
      <c r="DO179" s="2" t="s">
        <v>3</v>
      </c>
      <c r="DP179" s="2">
        <f t="shared" si="5"/>
        <v>0</v>
      </c>
      <c r="DQ179" s="2">
        <f t="shared" ref="DQ179:DR179" si="3055">K179*$I179+AF179*$AD179+BA179*$AY179</f>
        <v>0</v>
      </c>
      <c r="DR179" s="2">
        <f t="shared" si="3055"/>
        <v>0</v>
      </c>
      <c r="DS179" s="2">
        <f t="shared" ref="DS179:DX179" si="3056">(M179*$I179+AH179*$AD179+BC179*$AY179)/100</f>
        <v>0</v>
      </c>
      <c r="DT179" s="2">
        <f t="shared" si="3056"/>
        <v>0</v>
      </c>
      <c r="DU179" s="2">
        <f t="shared" si="3056"/>
        <v>0</v>
      </c>
      <c r="DV179" s="2">
        <f t="shared" si="3056"/>
        <v>0</v>
      </c>
      <c r="DW179" s="2">
        <f t="shared" si="3056"/>
        <v>2.7459000000000002</v>
      </c>
      <c r="DX179" s="2">
        <f t="shared" si="3056"/>
        <v>0.16949999999999998</v>
      </c>
      <c r="DY179" s="2">
        <f t="shared" ref="DY179:EC179" si="3057">S179*$I179+AN179*$AD179+BI179*$AY179</f>
        <v>0</v>
      </c>
      <c r="DZ179" s="2">
        <f t="shared" si="3057"/>
        <v>0</v>
      </c>
      <c r="EA179" s="2">
        <f t="shared" si="3057"/>
        <v>0</v>
      </c>
      <c r="EB179" s="2">
        <f t="shared" si="3057"/>
        <v>0</v>
      </c>
      <c r="EC179" s="2">
        <f t="shared" si="3057"/>
        <v>0</v>
      </c>
      <c r="ED179" s="2">
        <f t="shared" ref="ED179:EE179" si="3058">(X179*$I179+AS179*$AD179+BN179*$AY179)/100</f>
        <v>0</v>
      </c>
      <c r="EE179" s="2">
        <f t="shared" si="3058"/>
        <v>0</v>
      </c>
      <c r="EF179" s="2"/>
      <c r="EG179" s="2">
        <f t="shared" si="10"/>
        <v>0</v>
      </c>
      <c r="EH179" s="2">
        <f t="shared" si="11"/>
        <v>0</v>
      </c>
      <c r="EI179" s="39">
        <f t="shared" si="12"/>
        <v>0</v>
      </c>
      <c r="EJ179" s="39">
        <f t="shared" ref="EJ179:EK179" si="3059">EJ$1*DQ179/1000000</f>
        <v>0</v>
      </c>
      <c r="EK179" s="39">
        <f t="shared" si="3059"/>
        <v>0</v>
      </c>
      <c r="EL179" s="39">
        <f t="shared" ref="EL179:EQ179" si="3060">EL$1*DS179</f>
        <v>0</v>
      </c>
      <c r="EM179" s="39">
        <f t="shared" si="3060"/>
        <v>0</v>
      </c>
      <c r="EN179" s="39">
        <f t="shared" si="3060"/>
        <v>0</v>
      </c>
      <c r="EO179" s="39">
        <f t="shared" si="3060"/>
        <v>0</v>
      </c>
      <c r="EP179" s="39">
        <f t="shared" si="3060"/>
        <v>36009.732600000003</v>
      </c>
      <c r="EQ179" s="39">
        <f t="shared" si="3060"/>
        <v>12309.009317999997</v>
      </c>
      <c r="ER179" s="39">
        <f t="shared" ref="ER179:EV179" si="3061">ER$1*DY179/1000000</f>
        <v>0</v>
      </c>
      <c r="ES179" s="39">
        <f t="shared" si="3061"/>
        <v>0</v>
      </c>
      <c r="ET179" s="39">
        <f t="shared" si="3061"/>
        <v>0</v>
      </c>
      <c r="EU179" s="39">
        <f t="shared" si="3061"/>
        <v>0</v>
      </c>
      <c r="EV179" s="39">
        <f t="shared" si="3061"/>
        <v>0</v>
      </c>
      <c r="EW179" s="39">
        <f t="shared" ref="EW179:EX179" si="3062">EW$1*ED179</f>
        <v>0</v>
      </c>
      <c r="EX179" s="39">
        <f t="shared" si="3062"/>
        <v>0</v>
      </c>
      <c r="EY179" s="2"/>
      <c r="EZ179" s="39">
        <f t="shared" si="17"/>
        <v>0</v>
      </c>
      <c r="FA179" s="39">
        <f t="shared" si="18"/>
        <v>0</v>
      </c>
      <c r="FB179" s="2">
        <f t="shared" si="19"/>
        <v>0</v>
      </c>
      <c r="FC179" s="2">
        <f t="shared" ref="FC179:FD179" si="3063">BV179*$BT179+CQ179*$CO179</f>
        <v>0</v>
      </c>
      <c r="FD179" s="2">
        <f t="shared" si="3063"/>
        <v>0</v>
      </c>
      <c r="FE179" s="2">
        <f t="shared" ref="FE179:FJ179" si="3064">(BX179*$BT179+CS179*$CO179)/100</f>
        <v>0</v>
      </c>
      <c r="FF179" s="2">
        <f t="shared" si="3064"/>
        <v>0</v>
      </c>
      <c r="FG179" s="2">
        <f t="shared" si="3064"/>
        <v>0</v>
      </c>
      <c r="FH179" s="2">
        <f t="shared" si="3064"/>
        <v>0</v>
      </c>
      <c r="FI179" s="2">
        <f t="shared" si="3064"/>
        <v>0</v>
      </c>
      <c r="FJ179" s="2">
        <f t="shared" si="3064"/>
        <v>0</v>
      </c>
      <c r="FK179" s="2">
        <f t="shared" ref="FK179:FO179" si="3065">CD179*$BT179+CY179*$CO179</f>
        <v>0</v>
      </c>
      <c r="FL179" s="2">
        <f t="shared" si="3065"/>
        <v>0</v>
      </c>
      <c r="FM179" s="2">
        <f t="shared" si="3065"/>
        <v>0</v>
      </c>
      <c r="FN179" s="2">
        <f t="shared" si="3065"/>
        <v>0</v>
      </c>
      <c r="FO179" s="2">
        <f t="shared" si="3065"/>
        <v>0</v>
      </c>
      <c r="FP179" s="2">
        <f t="shared" ref="FP179:FQ179" si="3066">(CI179*$BT179+DD179*$CO179)/100</f>
        <v>0</v>
      </c>
      <c r="FQ179" s="2">
        <f t="shared" si="3066"/>
        <v>0</v>
      </c>
      <c r="FR179" s="2"/>
      <c r="FS179" s="2">
        <f t="shared" si="24"/>
        <v>0</v>
      </c>
      <c r="FT179" s="2">
        <f t="shared" si="25"/>
        <v>0</v>
      </c>
      <c r="FU179" s="39">
        <f t="shared" si="26"/>
        <v>0</v>
      </c>
      <c r="FV179" s="39">
        <f t="shared" ref="FV179:FW179" si="3067">FV$1*FC179/1000000</f>
        <v>0</v>
      </c>
      <c r="FW179" s="39">
        <f t="shared" si="3067"/>
        <v>0</v>
      </c>
      <c r="FX179" s="39">
        <f t="shared" ref="FX179:GC179" si="3068">FX$1*FE179</f>
        <v>0</v>
      </c>
      <c r="FY179" s="39">
        <f t="shared" si="3068"/>
        <v>0</v>
      </c>
      <c r="FZ179" s="39">
        <f t="shared" si="3068"/>
        <v>0</v>
      </c>
      <c r="GA179" s="39">
        <f t="shared" si="3068"/>
        <v>0</v>
      </c>
      <c r="GB179" s="39">
        <f t="shared" si="3068"/>
        <v>0</v>
      </c>
      <c r="GC179" s="39">
        <f t="shared" si="3068"/>
        <v>0</v>
      </c>
      <c r="GD179" s="39">
        <f t="shared" ref="GD179:GH179" si="3069">GD$1*FK179/1000000</f>
        <v>0</v>
      </c>
      <c r="GE179" s="39">
        <f t="shared" si="3069"/>
        <v>0</v>
      </c>
      <c r="GF179" s="39">
        <f t="shared" si="3069"/>
        <v>0</v>
      </c>
      <c r="GG179" s="39">
        <f t="shared" si="3069"/>
        <v>0</v>
      </c>
      <c r="GH179" s="39">
        <f t="shared" si="3069"/>
        <v>0</v>
      </c>
      <c r="GI179" s="39">
        <f t="shared" ref="GI179:GJ179" si="3070">GI$1*FP179</f>
        <v>0</v>
      </c>
      <c r="GJ179" s="39">
        <f t="shared" si="3070"/>
        <v>0</v>
      </c>
      <c r="GK179" s="2"/>
      <c r="GL179" s="39">
        <f t="shared" si="31"/>
        <v>0</v>
      </c>
      <c r="GM179" s="39">
        <f t="shared" si="32"/>
        <v>0</v>
      </c>
      <c r="GN179" s="2" t="s">
        <v>3</v>
      </c>
      <c r="GO179" s="2">
        <f t="shared" si="33"/>
        <v>339</v>
      </c>
      <c r="GP179" s="2">
        <f t="shared" si="34"/>
        <v>0.81</v>
      </c>
      <c r="GQ179" s="18">
        <f t="shared" si="35"/>
        <v>2745.9</v>
      </c>
      <c r="GR179" s="15">
        <f t="shared" si="36"/>
        <v>48318.741918</v>
      </c>
      <c r="GS179" s="15">
        <f t="shared" si="37"/>
        <v>142.533162</v>
      </c>
      <c r="GT179" s="2">
        <f t="shared" si="38"/>
        <v>0</v>
      </c>
      <c r="GU179" s="2">
        <f t="shared" si="39"/>
        <v>0</v>
      </c>
      <c r="GV179" s="2">
        <f t="shared" si="40"/>
        <v>2745.9000000000005</v>
      </c>
      <c r="GW179" s="2">
        <f t="shared" si="41"/>
        <v>0</v>
      </c>
      <c r="GX179" s="2"/>
      <c r="GY179" s="2"/>
      <c r="GZ179" s="2"/>
      <c r="HA179" s="2"/>
      <c r="HB179" s="2">
        <f t="shared" si="42"/>
        <v>0</v>
      </c>
      <c r="HC179" s="2">
        <f t="shared" si="43"/>
        <v>0</v>
      </c>
      <c r="HD179" s="2" t="s">
        <v>3</v>
      </c>
      <c r="HE179" s="2" t="s">
        <v>37</v>
      </c>
      <c r="HF179" s="2" t="s">
        <v>537</v>
      </c>
      <c r="HG179" s="2" t="s">
        <v>537</v>
      </c>
      <c r="HH179" s="2"/>
      <c r="HI179" s="2" t="s">
        <v>81</v>
      </c>
      <c r="HJ179" s="2" t="s">
        <v>3</v>
      </c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  <c r="JE179" s="2"/>
      <c r="JF179" s="2"/>
      <c r="JG179" s="2"/>
      <c r="JH179" s="2" t="s">
        <v>3</v>
      </c>
    </row>
    <row r="180" spans="1:268" ht="15.75" customHeight="1" x14ac:dyDescent="0.2">
      <c r="A180" s="13" t="s">
        <v>662</v>
      </c>
      <c r="B180" s="2" t="s">
        <v>99</v>
      </c>
      <c r="C180" s="2"/>
      <c r="D180" s="2"/>
      <c r="E180" s="2" t="s">
        <v>78</v>
      </c>
      <c r="F180" s="2" t="s">
        <v>497</v>
      </c>
      <c r="G180" s="2"/>
      <c r="H180" s="2" t="s">
        <v>80</v>
      </c>
      <c r="I180" s="2">
        <v>3.8</v>
      </c>
      <c r="J180" s="2"/>
      <c r="K180" s="2"/>
      <c r="L180" s="2"/>
      <c r="M180" s="2"/>
      <c r="N180" s="2"/>
      <c r="O180" s="2"/>
      <c r="P180" s="2"/>
      <c r="Q180" s="2">
        <v>0.94</v>
      </c>
      <c r="R180" s="2">
        <v>0.05</v>
      </c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>
        <v>41.6</v>
      </c>
      <c r="AE180" s="2"/>
      <c r="AF180" s="2"/>
      <c r="AG180" s="2"/>
      <c r="AH180" s="2"/>
      <c r="AI180" s="2"/>
      <c r="AJ180" s="2"/>
      <c r="AK180" s="2"/>
      <c r="AL180" s="2">
        <v>0.78</v>
      </c>
      <c r="AM180" s="2">
        <v>0.04</v>
      </c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>
        <v>18.399999999999999</v>
      </c>
      <c r="AZ180" s="2"/>
      <c r="BA180" s="2"/>
      <c r="BB180" s="2"/>
      <c r="BC180" s="2"/>
      <c r="BD180" s="2"/>
      <c r="BE180" s="2"/>
      <c r="BF180" s="2"/>
      <c r="BG180" s="2">
        <v>0.63</v>
      </c>
      <c r="BH180" s="2">
        <v>0.03</v>
      </c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>
        <v>0</v>
      </c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>
        <v>0</v>
      </c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 t="s">
        <v>81</v>
      </c>
      <c r="DK180" s="2" t="s">
        <v>81</v>
      </c>
      <c r="DL180" s="2">
        <f t="shared" si="3"/>
        <v>0.74626959247648905</v>
      </c>
      <c r="DM180" s="2">
        <f t="shared" si="4"/>
        <v>3.7711598746081508E-2</v>
      </c>
      <c r="DN180" s="2" t="s">
        <v>211</v>
      </c>
      <c r="DO180" s="2" t="s">
        <v>3</v>
      </c>
      <c r="DP180" s="2">
        <f t="shared" si="5"/>
        <v>0</v>
      </c>
      <c r="DQ180" s="2">
        <f t="shared" ref="DQ180:DR180" si="3071">K180*$I180+AF180*$AD180+BA180*$AY180</f>
        <v>0</v>
      </c>
      <c r="DR180" s="2">
        <f t="shared" si="3071"/>
        <v>0</v>
      </c>
      <c r="DS180" s="2">
        <f t="shared" ref="DS180:DX180" si="3072">(M180*$I180+AH180*$AD180+BC180*$AY180)/100</f>
        <v>0</v>
      </c>
      <c r="DT180" s="2">
        <f t="shared" si="3072"/>
        <v>0</v>
      </c>
      <c r="DU180" s="2">
        <f t="shared" si="3072"/>
        <v>0</v>
      </c>
      <c r="DV180" s="2">
        <f t="shared" si="3072"/>
        <v>0</v>
      </c>
      <c r="DW180" s="2">
        <f t="shared" si="3072"/>
        <v>0.47612000000000004</v>
      </c>
      <c r="DX180" s="2">
        <f t="shared" si="3072"/>
        <v>2.4060000000000002E-2</v>
      </c>
      <c r="DY180" s="2">
        <f t="shared" ref="DY180:EC180" si="3073">S180*$I180+AN180*$AD180+BI180*$AY180</f>
        <v>0</v>
      </c>
      <c r="DZ180" s="2">
        <f t="shared" si="3073"/>
        <v>0</v>
      </c>
      <c r="EA180" s="2">
        <f t="shared" si="3073"/>
        <v>0</v>
      </c>
      <c r="EB180" s="2">
        <f t="shared" si="3073"/>
        <v>0</v>
      </c>
      <c r="EC180" s="2">
        <f t="shared" si="3073"/>
        <v>0</v>
      </c>
      <c r="ED180" s="2">
        <f t="shared" ref="ED180:EE180" si="3074">(X180*$I180+AS180*$AD180+BN180*$AY180)/100</f>
        <v>0</v>
      </c>
      <c r="EE180" s="2">
        <f t="shared" si="3074"/>
        <v>0</v>
      </c>
      <c r="EF180" s="2"/>
      <c r="EG180" s="2">
        <f t="shared" si="10"/>
        <v>0</v>
      </c>
      <c r="EH180" s="2">
        <f t="shared" si="11"/>
        <v>0</v>
      </c>
      <c r="EI180" s="39">
        <f t="shared" si="12"/>
        <v>0</v>
      </c>
      <c r="EJ180" s="39">
        <f t="shared" ref="EJ180:EK180" si="3075">EJ$1*DQ180/1000000</f>
        <v>0</v>
      </c>
      <c r="EK180" s="39">
        <f t="shared" si="3075"/>
        <v>0</v>
      </c>
      <c r="EL180" s="39">
        <f t="shared" ref="EL180:EQ180" si="3076">EL$1*DS180</f>
        <v>0</v>
      </c>
      <c r="EM180" s="39">
        <f t="shared" si="3076"/>
        <v>0</v>
      </c>
      <c r="EN180" s="39">
        <f t="shared" si="3076"/>
        <v>0</v>
      </c>
      <c r="EO180" s="39">
        <f t="shared" si="3076"/>
        <v>0</v>
      </c>
      <c r="EP180" s="39">
        <f t="shared" si="3076"/>
        <v>6243.8376800000005</v>
      </c>
      <c r="EQ180" s="39">
        <f t="shared" si="3076"/>
        <v>1747.2257474399999</v>
      </c>
      <c r="ER180" s="39">
        <f t="shared" ref="ER180:EV180" si="3077">ER$1*DY180/1000000</f>
        <v>0</v>
      </c>
      <c r="ES180" s="39">
        <f t="shared" si="3077"/>
        <v>0</v>
      </c>
      <c r="ET180" s="39">
        <f t="shared" si="3077"/>
        <v>0</v>
      </c>
      <c r="EU180" s="39">
        <f t="shared" si="3077"/>
        <v>0</v>
      </c>
      <c r="EV180" s="39">
        <f t="shared" si="3077"/>
        <v>0</v>
      </c>
      <c r="EW180" s="39">
        <f t="shared" ref="EW180:EX180" si="3078">EW$1*ED180</f>
        <v>0</v>
      </c>
      <c r="EX180" s="39">
        <f t="shared" si="3078"/>
        <v>0</v>
      </c>
      <c r="EY180" s="2"/>
      <c r="EZ180" s="39">
        <f t="shared" si="17"/>
        <v>0</v>
      </c>
      <c r="FA180" s="39">
        <f t="shared" si="18"/>
        <v>0</v>
      </c>
      <c r="FB180" s="2">
        <f t="shared" si="19"/>
        <v>0</v>
      </c>
      <c r="FC180" s="2">
        <f t="shared" ref="FC180:FD180" si="3079">BV180*$BT180+CQ180*$CO180</f>
        <v>0</v>
      </c>
      <c r="FD180" s="2">
        <f t="shared" si="3079"/>
        <v>0</v>
      </c>
      <c r="FE180" s="2">
        <f t="shared" ref="FE180:FJ180" si="3080">(BX180*$BT180+CS180*$CO180)/100</f>
        <v>0</v>
      </c>
      <c r="FF180" s="2">
        <f t="shared" si="3080"/>
        <v>0</v>
      </c>
      <c r="FG180" s="2">
        <f t="shared" si="3080"/>
        <v>0</v>
      </c>
      <c r="FH180" s="2">
        <f t="shared" si="3080"/>
        <v>0</v>
      </c>
      <c r="FI180" s="2">
        <f t="shared" si="3080"/>
        <v>0</v>
      </c>
      <c r="FJ180" s="2">
        <f t="shared" si="3080"/>
        <v>0</v>
      </c>
      <c r="FK180" s="2">
        <f t="shared" ref="FK180:FO180" si="3081">CD180*$BT180+CY180*$CO180</f>
        <v>0</v>
      </c>
      <c r="FL180" s="2">
        <f t="shared" si="3081"/>
        <v>0</v>
      </c>
      <c r="FM180" s="2">
        <f t="shared" si="3081"/>
        <v>0</v>
      </c>
      <c r="FN180" s="2">
        <f t="shared" si="3081"/>
        <v>0</v>
      </c>
      <c r="FO180" s="2">
        <f t="shared" si="3081"/>
        <v>0</v>
      </c>
      <c r="FP180" s="2">
        <f t="shared" ref="FP180:FQ180" si="3082">(CI180*$BT180+DD180*$CO180)/100</f>
        <v>0</v>
      </c>
      <c r="FQ180" s="2">
        <f t="shared" si="3082"/>
        <v>0</v>
      </c>
      <c r="FR180" s="2"/>
      <c r="FS180" s="2">
        <f t="shared" si="24"/>
        <v>0</v>
      </c>
      <c r="FT180" s="2">
        <f t="shared" si="25"/>
        <v>0</v>
      </c>
      <c r="FU180" s="39">
        <f t="shared" si="26"/>
        <v>0</v>
      </c>
      <c r="FV180" s="39">
        <f t="shared" ref="FV180:FW180" si="3083">FV$1*FC180/1000000</f>
        <v>0</v>
      </c>
      <c r="FW180" s="39">
        <f t="shared" si="3083"/>
        <v>0</v>
      </c>
      <c r="FX180" s="39">
        <f t="shared" ref="FX180:GC180" si="3084">FX$1*FE180</f>
        <v>0</v>
      </c>
      <c r="FY180" s="39">
        <f t="shared" si="3084"/>
        <v>0</v>
      </c>
      <c r="FZ180" s="39">
        <f t="shared" si="3084"/>
        <v>0</v>
      </c>
      <c r="GA180" s="39">
        <f t="shared" si="3084"/>
        <v>0</v>
      </c>
      <c r="GB180" s="39">
        <f t="shared" si="3084"/>
        <v>0</v>
      </c>
      <c r="GC180" s="39">
        <f t="shared" si="3084"/>
        <v>0</v>
      </c>
      <c r="GD180" s="39">
        <f t="shared" ref="GD180:GH180" si="3085">GD$1*FK180/1000000</f>
        <v>0</v>
      </c>
      <c r="GE180" s="39">
        <f t="shared" si="3085"/>
        <v>0</v>
      </c>
      <c r="GF180" s="39">
        <f t="shared" si="3085"/>
        <v>0</v>
      </c>
      <c r="GG180" s="39">
        <f t="shared" si="3085"/>
        <v>0</v>
      </c>
      <c r="GH180" s="39">
        <f t="shared" si="3085"/>
        <v>0</v>
      </c>
      <c r="GI180" s="39">
        <f t="shared" ref="GI180:GJ180" si="3086">GI$1*FP180</f>
        <v>0</v>
      </c>
      <c r="GJ180" s="39">
        <f t="shared" si="3086"/>
        <v>0</v>
      </c>
      <c r="GK180" s="2"/>
      <c r="GL180" s="39">
        <f t="shared" si="31"/>
        <v>0</v>
      </c>
      <c r="GM180" s="39">
        <f t="shared" si="32"/>
        <v>0</v>
      </c>
      <c r="GN180" s="2" t="s">
        <v>3</v>
      </c>
      <c r="GO180" s="2">
        <f t="shared" si="33"/>
        <v>63.8</v>
      </c>
      <c r="GP180" s="4">
        <f t="shared" si="34"/>
        <v>0.74626959247648905</v>
      </c>
      <c r="GQ180" s="15">
        <f t="shared" si="35"/>
        <v>476.12</v>
      </c>
      <c r="GR180" s="15">
        <f t="shared" si="36"/>
        <v>7991.0634274399999</v>
      </c>
      <c r="GS180" s="15">
        <f t="shared" si="37"/>
        <v>125.25177785956113</v>
      </c>
      <c r="GT180" s="2">
        <f t="shared" si="38"/>
        <v>35.72</v>
      </c>
      <c r="GU180" s="2">
        <f t="shared" si="39"/>
        <v>324.48</v>
      </c>
      <c r="GV180" s="2">
        <f t="shared" si="40"/>
        <v>115.91999999999999</v>
      </c>
      <c r="GW180" s="2">
        <f t="shared" si="41"/>
        <v>0</v>
      </c>
      <c r="GX180" s="2"/>
      <c r="GY180" s="2"/>
      <c r="GZ180" s="2"/>
      <c r="HA180" s="2"/>
      <c r="HB180" s="2">
        <f t="shared" si="42"/>
        <v>0</v>
      </c>
      <c r="HC180" s="2">
        <f t="shared" si="43"/>
        <v>0</v>
      </c>
      <c r="HD180" s="2" t="s">
        <v>3</v>
      </c>
      <c r="HE180" s="2" t="s">
        <v>37</v>
      </c>
      <c r="HF180" s="2" t="s">
        <v>373</v>
      </c>
      <c r="HG180" s="2" t="s">
        <v>373</v>
      </c>
      <c r="HH180" s="2"/>
      <c r="HI180" s="2" t="s">
        <v>81</v>
      </c>
      <c r="HJ180" s="2" t="s">
        <v>3</v>
      </c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 t="s">
        <v>3</v>
      </c>
    </row>
    <row r="181" spans="1:268" ht="15.75" customHeight="1" x14ac:dyDescent="0.2">
      <c r="A181" s="13" t="s">
        <v>661</v>
      </c>
      <c r="B181" s="2" t="s">
        <v>99</v>
      </c>
      <c r="C181" s="2"/>
      <c r="D181" s="2"/>
      <c r="E181" s="2" t="s">
        <v>78</v>
      </c>
      <c r="F181" s="2" t="s">
        <v>497</v>
      </c>
      <c r="G181" s="2"/>
      <c r="H181" s="2" t="s">
        <v>80</v>
      </c>
      <c r="I181" s="2">
        <v>0</v>
      </c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>
        <v>26.8</v>
      </c>
      <c r="AE181" s="2"/>
      <c r="AF181" s="2"/>
      <c r="AG181" s="2"/>
      <c r="AH181" s="2"/>
      <c r="AI181" s="2"/>
      <c r="AJ181" s="2"/>
      <c r="AK181" s="2"/>
      <c r="AL181" s="2">
        <v>0.77</v>
      </c>
      <c r="AM181" s="2">
        <v>0.06</v>
      </c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>
        <v>0</v>
      </c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>
        <v>0</v>
      </c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>
        <v>0</v>
      </c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 t="s">
        <v>81</v>
      </c>
      <c r="DK181" s="2" t="s">
        <v>81</v>
      </c>
      <c r="DL181" s="2">
        <f t="shared" si="3"/>
        <v>0.77000000000000013</v>
      </c>
      <c r="DM181" s="2">
        <f t="shared" si="4"/>
        <v>5.9999999999999991E-2</v>
      </c>
      <c r="DN181" s="2" t="s">
        <v>211</v>
      </c>
      <c r="DO181" s="2" t="s">
        <v>3</v>
      </c>
      <c r="DP181" s="2">
        <f t="shared" si="5"/>
        <v>0</v>
      </c>
      <c r="DQ181" s="2">
        <f t="shared" ref="DQ181:DR181" si="3087">K181*$I181+AF181*$AD181+BA181*$AY181</f>
        <v>0</v>
      </c>
      <c r="DR181" s="2">
        <f t="shared" si="3087"/>
        <v>0</v>
      </c>
      <c r="DS181" s="2">
        <f t="shared" ref="DS181:DX181" si="3088">(M181*$I181+AH181*$AD181+BC181*$AY181)/100</f>
        <v>0</v>
      </c>
      <c r="DT181" s="2">
        <f t="shared" si="3088"/>
        <v>0</v>
      </c>
      <c r="DU181" s="2">
        <f t="shared" si="3088"/>
        <v>0</v>
      </c>
      <c r="DV181" s="2">
        <f t="shared" si="3088"/>
        <v>0</v>
      </c>
      <c r="DW181" s="2">
        <f t="shared" si="3088"/>
        <v>0.20636000000000002</v>
      </c>
      <c r="DX181" s="2">
        <f t="shared" si="3088"/>
        <v>1.6079999999999997E-2</v>
      </c>
      <c r="DY181" s="2">
        <f t="shared" ref="DY181:EC181" si="3089">S181*$I181+AN181*$AD181+BI181*$AY181</f>
        <v>0</v>
      </c>
      <c r="DZ181" s="2">
        <f t="shared" si="3089"/>
        <v>0</v>
      </c>
      <c r="EA181" s="2">
        <f t="shared" si="3089"/>
        <v>0</v>
      </c>
      <c r="EB181" s="2">
        <f t="shared" si="3089"/>
        <v>0</v>
      </c>
      <c r="EC181" s="2">
        <f t="shared" si="3089"/>
        <v>0</v>
      </c>
      <c r="ED181" s="2">
        <f t="shared" ref="ED181:EE181" si="3090">(X181*$I181+AS181*$AD181+BN181*$AY181)/100</f>
        <v>0</v>
      </c>
      <c r="EE181" s="2">
        <f t="shared" si="3090"/>
        <v>0</v>
      </c>
      <c r="EF181" s="2"/>
      <c r="EG181" s="2">
        <f t="shared" si="10"/>
        <v>0</v>
      </c>
      <c r="EH181" s="2">
        <f t="shared" si="11"/>
        <v>0</v>
      </c>
      <c r="EI181" s="39">
        <f t="shared" si="12"/>
        <v>0</v>
      </c>
      <c r="EJ181" s="39">
        <f t="shared" ref="EJ181:EK181" si="3091">EJ$1*DQ181/1000000</f>
        <v>0</v>
      </c>
      <c r="EK181" s="39">
        <f t="shared" si="3091"/>
        <v>0</v>
      </c>
      <c r="EL181" s="39">
        <f t="shared" ref="EL181:EQ181" si="3092">EL$1*DS181</f>
        <v>0</v>
      </c>
      <c r="EM181" s="39">
        <f t="shared" si="3092"/>
        <v>0</v>
      </c>
      <c r="EN181" s="39">
        <f t="shared" si="3092"/>
        <v>0</v>
      </c>
      <c r="EO181" s="39">
        <f t="shared" si="3092"/>
        <v>0</v>
      </c>
      <c r="EP181" s="39">
        <f t="shared" si="3092"/>
        <v>2706.2050400000003</v>
      </c>
      <c r="EQ181" s="39">
        <f t="shared" si="3092"/>
        <v>1167.7219459199996</v>
      </c>
      <c r="ER181" s="39">
        <f t="shared" ref="ER181:EV181" si="3093">ER$1*DY181/1000000</f>
        <v>0</v>
      </c>
      <c r="ES181" s="39">
        <f t="shared" si="3093"/>
        <v>0</v>
      </c>
      <c r="ET181" s="39">
        <f t="shared" si="3093"/>
        <v>0</v>
      </c>
      <c r="EU181" s="39">
        <f t="shared" si="3093"/>
        <v>0</v>
      </c>
      <c r="EV181" s="39">
        <f t="shared" si="3093"/>
        <v>0</v>
      </c>
      <c r="EW181" s="39">
        <f t="shared" ref="EW181:EX181" si="3094">EW$1*ED181</f>
        <v>0</v>
      </c>
      <c r="EX181" s="39">
        <f t="shared" si="3094"/>
        <v>0</v>
      </c>
      <c r="EY181" s="2"/>
      <c r="EZ181" s="39">
        <f t="shared" si="17"/>
        <v>0</v>
      </c>
      <c r="FA181" s="39">
        <f t="shared" si="18"/>
        <v>0</v>
      </c>
      <c r="FB181" s="2">
        <f t="shared" si="19"/>
        <v>0</v>
      </c>
      <c r="FC181" s="2">
        <f t="shared" ref="FC181:FD181" si="3095">BV181*$BT181+CQ181*$CO181</f>
        <v>0</v>
      </c>
      <c r="FD181" s="2">
        <f t="shared" si="3095"/>
        <v>0</v>
      </c>
      <c r="FE181" s="2">
        <f t="shared" ref="FE181:FJ181" si="3096">(BX181*$BT181+CS181*$CO181)/100</f>
        <v>0</v>
      </c>
      <c r="FF181" s="2">
        <f t="shared" si="3096"/>
        <v>0</v>
      </c>
      <c r="FG181" s="2">
        <f t="shared" si="3096"/>
        <v>0</v>
      </c>
      <c r="FH181" s="2">
        <f t="shared" si="3096"/>
        <v>0</v>
      </c>
      <c r="FI181" s="2">
        <f t="shared" si="3096"/>
        <v>0</v>
      </c>
      <c r="FJ181" s="2">
        <f t="shared" si="3096"/>
        <v>0</v>
      </c>
      <c r="FK181" s="2">
        <f t="shared" ref="FK181:FO181" si="3097">CD181*$BT181+CY181*$CO181</f>
        <v>0</v>
      </c>
      <c r="FL181" s="2">
        <f t="shared" si="3097"/>
        <v>0</v>
      </c>
      <c r="FM181" s="2">
        <f t="shared" si="3097"/>
        <v>0</v>
      </c>
      <c r="FN181" s="2">
        <f t="shared" si="3097"/>
        <v>0</v>
      </c>
      <c r="FO181" s="2">
        <f t="shared" si="3097"/>
        <v>0</v>
      </c>
      <c r="FP181" s="2">
        <f t="shared" ref="FP181:FQ181" si="3098">(CI181*$BT181+DD181*$CO181)/100</f>
        <v>0</v>
      </c>
      <c r="FQ181" s="2">
        <f t="shared" si="3098"/>
        <v>0</v>
      </c>
      <c r="FR181" s="2"/>
      <c r="FS181" s="2">
        <f t="shared" si="24"/>
        <v>0</v>
      </c>
      <c r="FT181" s="2">
        <f t="shared" si="25"/>
        <v>0</v>
      </c>
      <c r="FU181" s="39">
        <f t="shared" si="26"/>
        <v>0</v>
      </c>
      <c r="FV181" s="39">
        <f t="shared" ref="FV181:FW181" si="3099">FV$1*FC181/1000000</f>
        <v>0</v>
      </c>
      <c r="FW181" s="39">
        <f t="shared" si="3099"/>
        <v>0</v>
      </c>
      <c r="FX181" s="39">
        <f t="shared" ref="FX181:GC181" si="3100">FX$1*FE181</f>
        <v>0</v>
      </c>
      <c r="FY181" s="39">
        <f t="shared" si="3100"/>
        <v>0</v>
      </c>
      <c r="FZ181" s="39">
        <f t="shared" si="3100"/>
        <v>0</v>
      </c>
      <c r="GA181" s="39">
        <f t="shared" si="3100"/>
        <v>0</v>
      </c>
      <c r="GB181" s="39">
        <f t="shared" si="3100"/>
        <v>0</v>
      </c>
      <c r="GC181" s="39">
        <f t="shared" si="3100"/>
        <v>0</v>
      </c>
      <c r="GD181" s="39">
        <f t="shared" ref="GD181:GH181" si="3101">GD$1*FK181/1000000</f>
        <v>0</v>
      </c>
      <c r="GE181" s="39">
        <f t="shared" si="3101"/>
        <v>0</v>
      </c>
      <c r="GF181" s="39">
        <f t="shared" si="3101"/>
        <v>0</v>
      </c>
      <c r="GG181" s="39">
        <f t="shared" si="3101"/>
        <v>0</v>
      </c>
      <c r="GH181" s="39">
        <f t="shared" si="3101"/>
        <v>0</v>
      </c>
      <c r="GI181" s="39">
        <f t="shared" ref="GI181:GJ181" si="3102">GI$1*FP181</f>
        <v>0</v>
      </c>
      <c r="GJ181" s="39">
        <f t="shared" si="3102"/>
        <v>0</v>
      </c>
      <c r="GK181" s="2"/>
      <c r="GL181" s="39">
        <f t="shared" si="31"/>
        <v>0</v>
      </c>
      <c r="GM181" s="39">
        <f t="shared" si="32"/>
        <v>0</v>
      </c>
      <c r="GN181" s="2" t="s">
        <v>3</v>
      </c>
      <c r="GO181" s="2">
        <f t="shared" si="33"/>
        <v>26.8</v>
      </c>
      <c r="GP181" s="2">
        <f t="shared" si="34"/>
        <v>0.77000000000000013</v>
      </c>
      <c r="GQ181" s="15">
        <f t="shared" si="35"/>
        <v>206.36000000000004</v>
      </c>
      <c r="GR181" s="15">
        <f t="shared" si="36"/>
        <v>3873.9269859199999</v>
      </c>
      <c r="GS181" s="15">
        <f t="shared" si="37"/>
        <v>144.54951439999999</v>
      </c>
      <c r="GT181" s="2">
        <f t="shared" si="38"/>
        <v>0</v>
      </c>
      <c r="GU181" s="2">
        <f t="shared" si="39"/>
        <v>206.36000000000004</v>
      </c>
      <c r="GV181" s="2">
        <f t="shared" si="40"/>
        <v>0</v>
      </c>
      <c r="GW181" s="2">
        <f t="shared" si="41"/>
        <v>0</v>
      </c>
      <c r="GX181" s="2"/>
      <c r="GY181" s="2"/>
      <c r="GZ181" s="2"/>
      <c r="HA181" s="2"/>
      <c r="HB181" s="2">
        <f t="shared" si="42"/>
        <v>0</v>
      </c>
      <c r="HC181" s="2">
        <f t="shared" si="43"/>
        <v>0</v>
      </c>
      <c r="HD181" s="2" t="s">
        <v>3</v>
      </c>
      <c r="HE181" s="2" t="s">
        <v>37</v>
      </c>
      <c r="HF181" s="2" t="s">
        <v>373</v>
      </c>
      <c r="HG181" s="2" t="s">
        <v>373</v>
      </c>
      <c r="HH181" s="2"/>
      <c r="HI181" s="2" t="s">
        <v>81</v>
      </c>
      <c r="HJ181" s="2" t="s">
        <v>3</v>
      </c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 t="s">
        <v>3</v>
      </c>
    </row>
    <row r="182" spans="1:268" ht="15.75" customHeight="1" x14ac:dyDescent="0.2">
      <c r="A182" s="13" t="s">
        <v>660</v>
      </c>
      <c r="B182" s="2" t="s">
        <v>99</v>
      </c>
      <c r="C182" s="2"/>
      <c r="D182" s="2"/>
      <c r="E182" s="2" t="s">
        <v>78</v>
      </c>
      <c r="F182" s="2" t="s">
        <v>497</v>
      </c>
      <c r="G182" s="2"/>
      <c r="H182" s="2" t="s">
        <v>80</v>
      </c>
      <c r="I182" s="2">
        <v>0</v>
      </c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>
        <v>0</v>
      </c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>
        <v>49.4</v>
      </c>
      <c r="AZ182" s="2"/>
      <c r="BA182" s="2"/>
      <c r="BB182" s="2"/>
      <c r="BC182" s="2"/>
      <c r="BD182" s="2"/>
      <c r="BE182" s="2"/>
      <c r="BF182" s="2"/>
      <c r="BG182" s="4">
        <v>0.7</v>
      </c>
      <c r="BH182" s="2">
        <v>7.0000000000000007E-2</v>
      </c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>
        <v>0</v>
      </c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>
        <v>0</v>
      </c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 t="s">
        <v>81</v>
      </c>
      <c r="DK182" s="2" t="s">
        <v>81</v>
      </c>
      <c r="DL182" s="2">
        <f t="shared" si="3"/>
        <v>0.7</v>
      </c>
      <c r="DM182" s="2">
        <f t="shared" si="4"/>
        <v>7.0000000000000007E-2</v>
      </c>
      <c r="DN182" s="2" t="s">
        <v>211</v>
      </c>
      <c r="DO182" s="2" t="s">
        <v>3</v>
      </c>
      <c r="DP182" s="2">
        <f t="shared" si="5"/>
        <v>0</v>
      </c>
      <c r="DQ182" s="2">
        <f t="shared" ref="DQ182:DR182" si="3103">K182*$I182+AF182*$AD182+BA182*$AY182</f>
        <v>0</v>
      </c>
      <c r="DR182" s="2">
        <f t="shared" si="3103"/>
        <v>0</v>
      </c>
      <c r="DS182" s="2">
        <f t="shared" ref="DS182:DX182" si="3104">(M182*$I182+AH182*$AD182+BC182*$AY182)/100</f>
        <v>0</v>
      </c>
      <c r="DT182" s="2">
        <f t="shared" si="3104"/>
        <v>0</v>
      </c>
      <c r="DU182" s="2">
        <f t="shared" si="3104"/>
        <v>0</v>
      </c>
      <c r="DV182" s="2">
        <f t="shared" si="3104"/>
        <v>0</v>
      </c>
      <c r="DW182" s="2">
        <f t="shared" si="3104"/>
        <v>0.3458</v>
      </c>
      <c r="DX182" s="2">
        <f t="shared" si="3104"/>
        <v>3.458E-2</v>
      </c>
      <c r="DY182" s="2">
        <f t="shared" ref="DY182:EC182" si="3105">S182*$I182+AN182*$AD182+BI182*$AY182</f>
        <v>0</v>
      </c>
      <c r="DZ182" s="2">
        <f t="shared" si="3105"/>
        <v>0</v>
      </c>
      <c r="EA182" s="2">
        <f t="shared" si="3105"/>
        <v>0</v>
      </c>
      <c r="EB182" s="2">
        <f t="shared" si="3105"/>
        <v>0</v>
      </c>
      <c r="EC182" s="2">
        <f t="shared" si="3105"/>
        <v>0</v>
      </c>
      <c r="ED182" s="2">
        <f t="shared" ref="ED182:EE182" si="3106">(X182*$I182+AS182*$AD182+BN182*$AY182)/100</f>
        <v>0</v>
      </c>
      <c r="EE182" s="2">
        <f t="shared" si="3106"/>
        <v>0</v>
      </c>
      <c r="EF182" s="2"/>
      <c r="EG182" s="2">
        <f t="shared" si="10"/>
        <v>0</v>
      </c>
      <c r="EH182" s="2">
        <f t="shared" si="11"/>
        <v>0</v>
      </c>
      <c r="EI182" s="39">
        <f t="shared" si="12"/>
        <v>0</v>
      </c>
      <c r="EJ182" s="39">
        <f t="shared" ref="EJ182:EK182" si="3107">EJ$1*DQ182/1000000</f>
        <v>0</v>
      </c>
      <c r="EK182" s="39">
        <f t="shared" si="3107"/>
        <v>0</v>
      </c>
      <c r="EL182" s="39">
        <f t="shared" ref="EL182:EQ182" si="3108">EL$1*DS182</f>
        <v>0</v>
      </c>
      <c r="EM182" s="39">
        <f t="shared" si="3108"/>
        <v>0</v>
      </c>
      <c r="EN182" s="39">
        <f t="shared" si="3108"/>
        <v>0</v>
      </c>
      <c r="EO182" s="39">
        <f t="shared" si="3108"/>
        <v>0</v>
      </c>
      <c r="EP182" s="39">
        <f t="shared" si="3108"/>
        <v>4534.8212000000003</v>
      </c>
      <c r="EQ182" s="39">
        <f t="shared" si="3108"/>
        <v>2511.1831399199996</v>
      </c>
      <c r="ER182" s="39">
        <f t="shared" ref="ER182:EV182" si="3109">ER$1*DY182/1000000</f>
        <v>0</v>
      </c>
      <c r="ES182" s="39">
        <f t="shared" si="3109"/>
        <v>0</v>
      </c>
      <c r="ET182" s="39">
        <f t="shared" si="3109"/>
        <v>0</v>
      </c>
      <c r="EU182" s="39">
        <f t="shared" si="3109"/>
        <v>0</v>
      </c>
      <c r="EV182" s="39">
        <f t="shared" si="3109"/>
        <v>0</v>
      </c>
      <c r="EW182" s="39">
        <f t="shared" ref="EW182:EX182" si="3110">EW$1*ED182</f>
        <v>0</v>
      </c>
      <c r="EX182" s="39">
        <f t="shared" si="3110"/>
        <v>0</v>
      </c>
      <c r="EY182" s="2"/>
      <c r="EZ182" s="39">
        <f t="shared" si="17"/>
        <v>0</v>
      </c>
      <c r="FA182" s="39">
        <f t="shared" si="18"/>
        <v>0</v>
      </c>
      <c r="FB182" s="2">
        <f t="shared" si="19"/>
        <v>0</v>
      </c>
      <c r="FC182" s="2">
        <f t="shared" ref="FC182:FD182" si="3111">BV182*$BT182+CQ182*$CO182</f>
        <v>0</v>
      </c>
      <c r="FD182" s="2">
        <f t="shared" si="3111"/>
        <v>0</v>
      </c>
      <c r="FE182" s="2">
        <f t="shared" ref="FE182:FJ182" si="3112">(BX182*$BT182+CS182*$CO182)/100</f>
        <v>0</v>
      </c>
      <c r="FF182" s="2">
        <f t="shared" si="3112"/>
        <v>0</v>
      </c>
      <c r="FG182" s="2">
        <f t="shared" si="3112"/>
        <v>0</v>
      </c>
      <c r="FH182" s="2">
        <f t="shared" si="3112"/>
        <v>0</v>
      </c>
      <c r="FI182" s="2">
        <f t="shared" si="3112"/>
        <v>0</v>
      </c>
      <c r="FJ182" s="2">
        <f t="shared" si="3112"/>
        <v>0</v>
      </c>
      <c r="FK182" s="2">
        <f t="shared" ref="FK182:FO182" si="3113">CD182*$BT182+CY182*$CO182</f>
        <v>0</v>
      </c>
      <c r="FL182" s="2">
        <f t="shared" si="3113"/>
        <v>0</v>
      </c>
      <c r="FM182" s="2">
        <f t="shared" si="3113"/>
        <v>0</v>
      </c>
      <c r="FN182" s="2">
        <f t="shared" si="3113"/>
        <v>0</v>
      </c>
      <c r="FO182" s="2">
        <f t="shared" si="3113"/>
        <v>0</v>
      </c>
      <c r="FP182" s="2">
        <f t="shared" ref="FP182:FQ182" si="3114">(CI182*$BT182+DD182*$CO182)/100</f>
        <v>0</v>
      </c>
      <c r="FQ182" s="2">
        <f t="shared" si="3114"/>
        <v>0</v>
      </c>
      <c r="FR182" s="2"/>
      <c r="FS182" s="2">
        <f t="shared" si="24"/>
        <v>0</v>
      </c>
      <c r="FT182" s="2">
        <f t="shared" si="25"/>
        <v>0</v>
      </c>
      <c r="FU182" s="39">
        <f t="shared" si="26"/>
        <v>0</v>
      </c>
      <c r="FV182" s="39">
        <f t="shared" ref="FV182:FW182" si="3115">FV$1*FC182/1000000</f>
        <v>0</v>
      </c>
      <c r="FW182" s="39">
        <f t="shared" si="3115"/>
        <v>0</v>
      </c>
      <c r="FX182" s="39">
        <f t="shared" ref="FX182:GC182" si="3116">FX$1*FE182</f>
        <v>0</v>
      </c>
      <c r="FY182" s="39">
        <f t="shared" si="3116"/>
        <v>0</v>
      </c>
      <c r="FZ182" s="39">
        <f t="shared" si="3116"/>
        <v>0</v>
      </c>
      <c r="GA182" s="39">
        <f t="shared" si="3116"/>
        <v>0</v>
      </c>
      <c r="GB182" s="39">
        <f t="shared" si="3116"/>
        <v>0</v>
      </c>
      <c r="GC182" s="39">
        <f t="shared" si="3116"/>
        <v>0</v>
      </c>
      <c r="GD182" s="39">
        <f t="shared" ref="GD182:GH182" si="3117">GD$1*FK182/1000000</f>
        <v>0</v>
      </c>
      <c r="GE182" s="39">
        <f t="shared" si="3117"/>
        <v>0</v>
      </c>
      <c r="GF182" s="39">
        <f t="shared" si="3117"/>
        <v>0</v>
      </c>
      <c r="GG182" s="39">
        <f t="shared" si="3117"/>
        <v>0</v>
      </c>
      <c r="GH182" s="39">
        <f t="shared" si="3117"/>
        <v>0</v>
      </c>
      <c r="GI182" s="39">
        <f t="shared" ref="GI182:GJ182" si="3118">GI$1*FP182</f>
        <v>0</v>
      </c>
      <c r="GJ182" s="39">
        <f t="shared" si="3118"/>
        <v>0</v>
      </c>
      <c r="GK182" s="2"/>
      <c r="GL182" s="39">
        <f t="shared" si="31"/>
        <v>0</v>
      </c>
      <c r="GM182" s="39">
        <f t="shared" si="32"/>
        <v>0</v>
      </c>
      <c r="GN182" s="2" t="s">
        <v>3</v>
      </c>
      <c r="GO182" s="2">
        <f t="shared" si="33"/>
        <v>49.4</v>
      </c>
      <c r="GP182" s="2">
        <f t="shared" si="34"/>
        <v>0.7</v>
      </c>
      <c r="GQ182" s="15">
        <f t="shared" si="35"/>
        <v>345.8</v>
      </c>
      <c r="GR182" s="15">
        <f t="shared" si="36"/>
        <v>7046.0043399200003</v>
      </c>
      <c r="GS182" s="15">
        <f t="shared" si="37"/>
        <v>142.6316668</v>
      </c>
      <c r="GT182" s="2">
        <f t="shared" si="38"/>
        <v>0</v>
      </c>
      <c r="GU182" s="2">
        <f t="shared" si="39"/>
        <v>0</v>
      </c>
      <c r="GV182" s="2">
        <f t="shared" si="40"/>
        <v>345.8</v>
      </c>
      <c r="GW182" s="2">
        <f t="shared" si="41"/>
        <v>0</v>
      </c>
      <c r="GX182" s="2"/>
      <c r="GY182" s="2"/>
      <c r="GZ182" s="2"/>
      <c r="HA182" s="2"/>
      <c r="HB182" s="2">
        <f t="shared" si="42"/>
        <v>0</v>
      </c>
      <c r="HC182" s="2">
        <f t="shared" si="43"/>
        <v>0</v>
      </c>
      <c r="HD182" s="2" t="s">
        <v>3</v>
      </c>
      <c r="HE182" s="2" t="s">
        <v>37</v>
      </c>
      <c r="HF182" s="2" t="s">
        <v>373</v>
      </c>
      <c r="HG182" s="2" t="s">
        <v>373</v>
      </c>
      <c r="HH182" s="2"/>
      <c r="HI182" s="2" t="s">
        <v>81</v>
      </c>
      <c r="HJ182" s="2" t="s">
        <v>3</v>
      </c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 t="s">
        <v>3</v>
      </c>
    </row>
    <row r="183" spans="1:268" ht="15.75" customHeight="1" x14ac:dyDescent="0.2">
      <c r="A183" s="13" t="s">
        <v>1310</v>
      </c>
      <c r="B183" s="2" t="s">
        <v>99</v>
      </c>
      <c r="C183" s="2"/>
      <c r="D183" s="2"/>
      <c r="E183" s="2" t="s">
        <v>78</v>
      </c>
      <c r="F183" s="2" t="s">
        <v>1311</v>
      </c>
      <c r="G183" s="2"/>
      <c r="H183" s="2" t="s">
        <v>80</v>
      </c>
      <c r="I183" s="2">
        <v>0</v>
      </c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>
        <v>0</v>
      </c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>
        <v>80.5</v>
      </c>
      <c r="AZ183" s="2"/>
      <c r="BA183" s="2"/>
      <c r="BB183" s="2"/>
      <c r="BC183" s="2"/>
      <c r="BD183" s="2"/>
      <c r="BE183" s="2"/>
      <c r="BF183" s="2"/>
      <c r="BG183" s="2">
        <v>0.77</v>
      </c>
      <c r="BH183" s="2">
        <v>0.06</v>
      </c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>
        <v>0</v>
      </c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>
        <v>0</v>
      </c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 t="s">
        <v>81</v>
      </c>
      <c r="DK183" s="2" t="s">
        <v>81</v>
      </c>
      <c r="DL183" s="2">
        <f t="shared" si="3"/>
        <v>0.77</v>
      </c>
      <c r="DM183" s="2">
        <f t="shared" si="4"/>
        <v>0.06</v>
      </c>
      <c r="DN183" s="2" t="s">
        <v>175</v>
      </c>
      <c r="DO183" s="2" t="s">
        <v>3</v>
      </c>
      <c r="DP183" s="2">
        <f t="shared" si="5"/>
        <v>0</v>
      </c>
      <c r="DQ183" s="2">
        <f t="shared" ref="DQ183:DR183" si="3119">K183*$I183+AF183*$AD183+BA183*$AY183</f>
        <v>0</v>
      </c>
      <c r="DR183" s="2">
        <f t="shared" si="3119"/>
        <v>0</v>
      </c>
      <c r="DS183" s="2">
        <f t="shared" ref="DS183:DX183" si="3120">(M183*$I183+AH183*$AD183+BC183*$AY183)/100</f>
        <v>0</v>
      </c>
      <c r="DT183" s="2">
        <f t="shared" si="3120"/>
        <v>0</v>
      </c>
      <c r="DU183" s="2">
        <f t="shared" si="3120"/>
        <v>0</v>
      </c>
      <c r="DV183" s="2">
        <f t="shared" si="3120"/>
        <v>0</v>
      </c>
      <c r="DW183" s="2">
        <f t="shared" si="3120"/>
        <v>0.61985000000000001</v>
      </c>
      <c r="DX183" s="2">
        <f t="shared" si="3120"/>
        <v>4.8300000000000003E-2</v>
      </c>
      <c r="DY183" s="2">
        <f t="shared" ref="DY183:EC183" si="3121">S183*$I183+AN183*$AD183+BI183*$AY183</f>
        <v>0</v>
      </c>
      <c r="DZ183" s="2">
        <f t="shared" si="3121"/>
        <v>0</v>
      </c>
      <c r="EA183" s="2">
        <f t="shared" si="3121"/>
        <v>0</v>
      </c>
      <c r="EB183" s="2">
        <f t="shared" si="3121"/>
        <v>0</v>
      </c>
      <c r="EC183" s="2">
        <f t="shared" si="3121"/>
        <v>0</v>
      </c>
      <c r="ED183" s="2">
        <f t="shared" ref="ED183:EE183" si="3122">(X183*$I183+AS183*$AD183+BN183*$AY183)/100</f>
        <v>0</v>
      </c>
      <c r="EE183" s="2">
        <f t="shared" si="3122"/>
        <v>0</v>
      </c>
      <c r="EF183" s="2"/>
      <c r="EG183" s="2">
        <f t="shared" si="10"/>
        <v>0</v>
      </c>
      <c r="EH183" s="2">
        <f t="shared" si="11"/>
        <v>0</v>
      </c>
      <c r="EI183" s="39">
        <f t="shared" si="12"/>
        <v>0</v>
      </c>
      <c r="EJ183" s="39">
        <f t="shared" ref="EJ183:EK183" si="3123">EJ$1*DQ183/1000000</f>
        <v>0</v>
      </c>
      <c r="EK183" s="39">
        <f t="shared" si="3123"/>
        <v>0</v>
      </c>
      <c r="EL183" s="39">
        <f t="shared" ref="EL183:EQ183" si="3124">EL$1*DS183</f>
        <v>0</v>
      </c>
      <c r="EM183" s="39">
        <f t="shared" si="3124"/>
        <v>0</v>
      </c>
      <c r="EN183" s="39">
        <f t="shared" si="3124"/>
        <v>0</v>
      </c>
      <c r="EO183" s="39">
        <f t="shared" si="3124"/>
        <v>0</v>
      </c>
      <c r="EP183" s="39">
        <f t="shared" si="3124"/>
        <v>8128.7129000000004</v>
      </c>
      <c r="EQ183" s="39">
        <f t="shared" si="3124"/>
        <v>3507.5230091999997</v>
      </c>
      <c r="ER183" s="39">
        <f t="shared" ref="ER183:EV183" si="3125">ER$1*DY183/1000000</f>
        <v>0</v>
      </c>
      <c r="ES183" s="39">
        <f t="shared" si="3125"/>
        <v>0</v>
      </c>
      <c r="ET183" s="39">
        <f t="shared" si="3125"/>
        <v>0</v>
      </c>
      <c r="EU183" s="39">
        <f t="shared" si="3125"/>
        <v>0</v>
      </c>
      <c r="EV183" s="39">
        <f t="shared" si="3125"/>
        <v>0</v>
      </c>
      <c r="EW183" s="39">
        <f t="shared" ref="EW183:EX183" si="3126">EW$1*ED183</f>
        <v>0</v>
      </c>
      <c r="EX183" s="39">
        <f t="shared" si="3126"/>
        <v>0</v>
      </c>
      <c r="EY183" s="2"/>
      <c r="EZ183" s="39">
        <f t="shared" si="17"/>
        <v>0</v>
      </c>
      <c r="FA183" s="39">
        <f t="shared" si="18"/>
        <v>0</v>
      </c>
      <c r="FB183" s="2">
        <f t="shared" si="19"/>
        <v>0</v>
      </c>
      <c r="FC183" s="2">
        <f t="shared" ref="FC183:FD183" si="3127">BV183*$BT183+CQ183*$CO183</f>
        <v>0</v>
      </c>
      <c r="FD183" s="2">
        <f t="shared" si="3127"/>
        <v>0</v>
      </c>
      <c r="FE183" s="2">
        <f t="shared" ref="FE183:FJ183" si="3128">(BX183*$BT183+CS183*$CO183)/100</f>
        <v>0</v>
      </c>
      <c r="FF183" s="2">
        <f t="shared" si="3128"/>
        <v>0</v>
      </c>
      <c r="FG183" s="2">
        <f t="shared" si="3128"/>
        <v>0</v>
      </c>
      <c r="FH183" s="2">
        <f t="shared" si="3128"/>
        <v>0</v>
      </c>
      <c r="FI183" s="2">
        <f t="shared" si="3128"/>
        <v>0</v>
      </c>
      <c r="FJ183" s="2">
        <f t="shared" si="3128"/>
        <v>0</v>
      </c>
      <c r="FK183" s="2">
        <f t="shared" ref="FK183:FO183" si="3129">CD183*$BT183+CY183*$CO183</f>
        <v>0</v>
      </c>
      <c r="FL183" s="2">
        <f t="shared" si="3129"/>
        <v>0</v>
      </c>
      <c r="FM183" s="2">
        <f t="shared" si="3129"/>
        <v>0</v>
      </c>
      <c r="FN183" s="2">
        <f t="shared" si="3129"/>
        <v>0</v>
      </c>
      <c r="FO183" s="2">
        <f t="shared" si="3129"/>
        <v>0</v>
      </c>
      <c r="FP183" s="2">
        <f t="shared" ref="FP183:FQ183" si="3130">(CI183*$BT183+DD183*$CO183)/100</f>
        <v>0</v>
      </c>
      <c r="FQ183" s="2">
        <f t="shared" si="3130"/>
        <v>0</v>
      </c>
      <c r="FR183" s="2"/>
      <c r="FS183" s="2">
        <f t="shared" si="24"/>
        <v>0</v>
      </c>
      <c r="FT183" s="2">
        <f t="shared" si="25"/>
        <v>0</v>
      </c>
      <c r="FU183" s="39">
        <f t="shared" si="26"/>
        <v>0</v>
      </c>
      <c r="FV183" s="39">
        <f t="shared" ref="FV183:FW183" si="3131">FV$1*FC183/1000000</f>
        <v>0</v>
      </c>
      <c r="FW183" s="39">
        <f t="shared" si="3131"/>
        <v>0</v>
      </c>
      <c r="FX183" s="39">
        <f t="shared" ref="FX183:GC183" si="3132">FX$1*FE183</f>
        <v>0</v>
      </c>
      <c r="FY183" s="39">
        <f t="shared" si="3132"/>
        <v>0</v>
      </c>
      <c r="FZ183" s="39">
        <f t="shared" si="3132"/>
        <v>0</v>
      </c>
      <c r="GA183" s="39">
        <f t="shared" si="3132"/>
        <v>0</v>
      </c>
      <c r="GB183" s="39">
        <f t="shared" si="3132"/>
        <v>0</v>
      </c>
      <c r="GC183" s="39">
        <f t="shared" si="3132"/>
        <v>0</v>
      </c>
      <c r="GD183" s="39">
        <f t="shared" ref="GD183:GH183" si="3133">GD$1*FK183/1000000</f>
        <v>0</v>
      </c>
      <c r="GE183" s="39">
        <f t="shared" si="3133"/>
        <v>0</v>
      </c>
      <c r="GF183" s="39">
        <f t="shared" si="3133"/>
        <v>0</v>
      </c>
      <c r="GG183" s="39">
        <f t="shared" si="3133"/>
        <v>0</v>
      </c>
      <c r="GH183" s="39">
        <f t="shared" si="3133"/>
        <v>0</v>
      </c>
      <c r="GI183" s="39">
        <f t="shared" ref="GI183:GJ183" si="3134">GI$1*FP183</f>
        <v>0</v>
      </c>
      <c r="GJ183" s="39">
        <f t="shared" si="3134"/>
        <v>0</v>
      </c>
      <c r="GK183" s="2"/>
      <c r="GL183" s="39">
        <f t="shared" si="31"/>
        <v>0</v>
      </c>
      <c r="GM183" s="39">
        <f t="shared" si="32"/>
        <v>0</v>
      </c>
      <c r="GN183" s="2" t="s">
        <v>3</v>
      </c>
      <c r="GO183" s="2">
        <f t="shared" si="33"/>
        <v>80.5</v>
      </c>
      <c r="GP183" s="2">
        <f t="shared" si="34"/>
        <v>0.77</v>
      </c>
      <c r="GQ183" s="15">
        <f t="shared" si="35"/>
        <v>619.85</v>
      </c>
      <c r="GR183" s="15">
        <f t="shared" si="36"/>
        <v>11636.235909200001</v>
      </c>
      <c r="GS183" s="15">
        <f t="shared" si="37"/>
        <v>144.54951440000002</v>
      </c>
      <c r="GT183" s="2">
        <f t="shared" si="38"/>
        <v>0</v>
      </c>
      <c r="GU183" s="2">
        <f t="shared" si="39"/>
        <v>0</v>
      </c>
      <c r="GV183" s="2">
        <f t="shared" si="40"/>
        <v>619.85</v>
      </c>
      <c r="GW183" s="2">
        <f t="shared" si="41"/>
        <v>0</v>
      </c>
      <c r="GX183" s="2"/>
      <c r="GY183" s="2"/>
      <c r="GZ183" s="2"/>
      <c r="HA183" s="2"/>
      <c r="HB183" s="2">
        <f t="shared" si="42"/>
        <v>0</v>
      </c>
      <c r="HC183" s="2">
        <f t="shared" si="43"/>
        <v>0</v>
      </c>
      <c r="HD183" s="2" t="s">
        <v>3</v>
      </c>
      <c r="HE183" s="2" t="s">
        <v>37</v>
      </c>
      <c r="HF183" s="2" t="s">
        <v>373</v>
      </c>
      <c r="HG183" s="2" t="s">
        <v>373</v>
      </c>
      <c r="HH183" s="2"/>
      <c r="HI183" s="2" t="s">
        <v>81</v>
      </c>
      <c r="HJ183" s="2" t="s">
        <v>3</v>
      </c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 t="s">
        <v>3</v>
      </c>
    </row>
    <row r="184" spans="1:268" ht="15.75" customHeight="1" x14ac:dyDescent="0.2">
      <c r="A184" s="13" t="s">
        <v>959</v>
      </c>
      <c r="B184" s="2" t="s">
        <v>99</v>
      </c>
      <c r="C184" s="2"/>
      <c r="D184" s="2"/>
      <c r="E184" s="2" t="s">
        <v>78</v>
      </c>
      <c r="F184" s="2" t="s">
        <v>957</v>
      </c>
      <c r="G184" s="2"/>
      <c r="H184" s="2" t="s">
        <v>242</v>
      </c>
      <c r="I184" s="2">
        <v>0</v>
      </c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>
        <v>0</v>
      </c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4">
        <v>14.701426</v>
      </c>
      <c r="AZ184" s="2"/>
      <c r="BA184" s="2"/>
      <c r="BB184" s="2"/>
      <c r="BC184" s="2"/>
      <c r="BD184" s="2"/>
      <c r="BE184" s="2"/>
      <c r="BF184" s="2"/>
      <c r="BG184" s="2">
        <v>0.85</v>
      </c>
      <c r="BH184" s="2">
        <v>0.05</v>
      </c>
      <c r="BI184" s="2"/>
      <c r="BJ184" s="2"/>
      <c r="BK184" s="2"/>
      <c r="BL184" s="2"/>
      <c r="BM184" s="2"/>
      <c r="BN184" s="2"/>
      <c r="BO184" s="2">
        <v>20.2</v>
      </c>
      <c r="BP184" s="2"/>
      <c r="BQ184" s="2"/>
      <c r="BR184" s="2"/>
      <c r="BS184" s="2"/>
      <c r="BT184" s="2">
        <v>0</v>
      </c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>
        <v>0</v>
      </c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 t="s">
        <v>81</v>
      </c>
      <c r="DK184" s="2" t="s">
        <v>81</v>
      </c>
      <c r="DL184" s="2">
        <f t="shared" si="3"/>
        <v>0.85</v>
      </c>
      <c r="DM184" s="2">
        <f t="shared" si="4"/>
        <v>0.05</v>
      </c>
      <c r="DN184" s="2" t="s">
        <v>958</v>
      </c>
      <c r="DO184" s="2" t="s">
        <v>3</v>
      </c>
      <c r="DP184" s="2">
        <f t="shared" si="5"/>
        <v>0</v>
      </c>
      <c r="DQ184" s="2">
        <f t="shared" ref="DQ184:DR184" si="3135">K184*$I184+AF184*$AD184+BA184*$AY184</f>
        <v>0</v>
      </c>
      <c r="DR184" s="2">
        <f t="shared" si="3135"/>
        <v>0</v>
      </c>
      <c r="DS184" s="2">
        <f t="shared" ref="DS184:DX184" si="3136">(M184*$I184+AH184*$AD184+BC184*$AY184)/100</f>
        <v>0</v>
      </c>
      <c r="DT184" s="2">
        <f t="shared" si="3136"/>
        <v>0</v>
      </c>
      <c r="DU184" s="2">
        <f t="shared" si="3136"/>
        <v>0</v>
      </c>
      <c r="DV184" s="2">
        <f t="shared" si="3136"/>
        <v>0</v>
      </c>
      <c r="DW184" s="2">
        <f t="shared" si="3136"/>
        <v>0.124962121</v>
      </c>
      <c r="DX184" s="2">
        <f t="shared" si="3136"/>
        <v>7.350713E-3</v>
      </c>
      <c r="DY184" s="2">
        <f t="shared" ref="DY184:EC184" si="3137">S184*$I184+AN184*$AD184+BI184*$AY184</f>
        <v>0</v>
      </c>
      <c r="DZ184" s="2">
        <f t="shared" si="3137"/>
        <v>0</v>
      </c>
      <c r="EA184" s="2">
        <f t="shared" si="3137"/>
        <v>0</v>
      </c>
      <c r="EB184" s="2">
        <f t="shared" si="3137"/>
        <v>0</v>
      </c>
      <c r="EC184" s="2">
        <f t="shared" si="3137"/>
        <v>0</v>
      </c>
      <c r="ED184" s="2">
        <f t="shared" ref="ED184:EE184" si="3138">(X184*$I184+AS184*$AD184+BN184*$AY184)/100</f>
        <v>0</v>
      </c>
      <c r="EE184" s="2">
        <f t="shared" si="3138"/>
        <v>2.9696880519999995</v>
      </c>
      <c r="EF184" s="2"/>
      <c r="EG184" s="2">
        <f t="shared" si="10"/>
        <v>0</v>
      </c>
      <c r="EH184" s="2">
        <f t="shared" si="11"/>
        <v>0</v>
      </c>
      <c r="EI184" s="39">
        <f t="shared" si="12"/>
        <v>0</v>
      </c>
      <c r="EJ184" s="39">
        <f t="shared" ref="EJ184:EK184" si="3139">EJ$1*DQ184/1000000</f>
        <v>0</v>
      </c>
      <c r="EK184" s="39">
        <f t="shared" si="3139"/>
        <v>0</v>
      </c>
      <c r="EL184" s="39">
        <f t="shared" ref="EL184:EQ184" si="3140">EL$1*DS184</f>
        <v>0</v>
      </c>
      <c r="EM184" s="39">
        <f t="shared" si="3140"/>
        <v>0</v>
      </c>
      <c r="EN184" s="39">
        <f t="shared" si="3140"/>
        <v>0</v>
      </c>
      <c r="EO184" s="39">
        <f t="shared" si="3140"/>
        <v>0</v>
      </c>
      <c r="EP184" s="39">
        <f t="shared" si="3140"/>
        <v>1638.753254794</v>
      </c>
      <c r="EQ184" s="39">
        <f t="shared" si="3140"/>
        <v>533.80527912061189</v>
      </c>
      <c r="ER184" s="39">
        <f t="shared" ref="ER184:EV184" si="3141">ER$1*DY184/1000000</f>
        <v>0</v>
      </c>
      <c r="ES184" s="39">
        <f t="shared" si="3141"/>
        <v>0</v>
      </c>
      <c r="ET184" s="39">
        <f t="shared" si="3141"/>
        <v>0</v>
      </c>
      <c r="EU184" s="39">
        <f t="shared" si="3141"/>
        <v>0</v>
      </c>
      <c r="EV184" s="39">
        <f t="shared" si="3141"/>
        <v>0</v>
      </c>
      <c r="EW184" s="39">
        <f t="shared" ref="EW184:EX184" si="3142">EW$1*ED184</f>
        <v>0</v>
      </c>
      <c r="EX184" s="39">
        <f t="shared" si="3142"/>
        <v>276.18098883599998</v>
      </c>
      <c r="EY184" s="2"/>
      <c r="EZ184" s="39">
        <f t="shared" si="17"/>
        <v>0</v>
      </c>
      <c r="FA184" s="39">
        <f t="shared" si="18"/>
        <v>0</v>
      </c>
      <c r="FB184" s="2">
        <f t="shared" si="19"/>
        <v>0</v>
      </c>
      <c r="FC184" s="2">
        <f t="shared" ref="FC184:FD184" si="3143">BV184*$BT184+CQ184*$CO184</f>
        <v>0</v>
      </c>
      <c r="FD184" s="2">
        <f t="shared" si="3143"/>
        <v>0</v>
      </c>
      <c r="FE184" s="2">
        <f t="shared" ref="FE184:FJ184" si="3144">(BX184*$BT184+CS184*$CO184)/100</f>
        <v>0</v>
      </c>
      <c r="FF184" s="2">
        <f t="shared" si="3144"/>
        <v>0</v>
      </c>
      <c r="FG184" s="2">
        <f t="shared" si="3144"/>
        <v>0</v>
      </c>
      <c r="FH184" s="2">
        <f t="shared" si="3144"/>
        <v>0</v>
      </c>
      <c r="FI184" s="2">
        <f t="shared" si="3144"/>
        <v>0</v>
      </c>
      <c r="FJ184" s="2">
        <f t="shared" si="3144"/>
        <v>0</v>
      </c>
      <c r="FK184" s="2">
        <f t="shared" ref="FK184:FO184" si="3145">CD184*$BT184+CY184*$CO184</f>
        <v>0</v>
      </c>
      <c r="FL184" s="2">
        <f t="shared" si="3145"/>
        <v>0</v>
      </c>
      <c r="FM184" s="2">
        <f t="shared" si="3145"/>
        <v>0</v>
      </c>
      <c r="FN184" s="2">
        <f t="shared" si="3145"/>
        <v>0</v>
      </c>
      <c r="FO184" s="2">
        <f t="shared" si="3145"/>
        <v>0</v>
      </c>
      <c r="FP184" s="2">
        <f t="shared" ref="FP184:FQ184" si="3146">(CI184*$BT184+DD184*$CO184)/100</f>
        <v>0</v>
      </c>
      <c r="FQ184" s="2">
        <f t="shared" si="3146"/>
        <v>0</v>
      </c>
      <c r="FR184" s="2"/>
      <c r="FS184" s="2">
        <f t="shared" si="24"/>
        <v>0</v>
      </c>
      <c r="FT184" s="2">
        <f t="shared" si="25"/>
        <v>0</v>
      </c>
      <c r="FU184" s="39">
        <f t="shared" si="26"/>
        <v>0</v>
      </c>
      <c r="FV184" s="39">
        <f t="shared" ref="FV184:FW184" si="3147">FV$1*FC184/1000000</f>
        <v>0</v>
      </c>
      <c r="FW184" s="39">
        <f t="shared" si="3147"/>
        <v>0</v>
      </c>
      <c r="FX184" s="39">
        <f t="shared" ref="FX184:GC184" si="3148">FX$1*FE184</f>
        <v>0</v>
      </c>
      <c r="FY184" s="39">
        <f t="shared" si="3148"/>
        <v>0</v>
      </c>
      <c r="FZ184" s="39">
        <f t="shared" si="3148"/>
        <v>0</v>
      </c>
      <c r="GA184" s="39">
        <f t="shared" si="3148"/>
        <v>0</v>
      </c>
      <c r="GB184" s="39">
        <f t="shared" si="3148"/>
        <v>0</v>
      </c>
      <c r="GC184" s="39">
        <f t="shared" si="3148"/>
        <v>0</v>
      </c>
      <c r="GD184" s="39">
        <f t="shared" ref="GD184:GH184" si="3149">GD$1*FK184/1000000</f>
        <v>0</v>
      </c>
      <c r="GE184" s="39">
        <f t="shared" si="3149"/>
        <v>0</v>
      </c>
      <c r="GF184" s="39">
        <f t="shared" si="3149"/>
        <v>0</v>
      </c>
      <c r="GG184" s="39">
        <f t="shared" si="3149"/>
        <v>0</v>
      </c>
      <c r="GH184" s="39">
        <f t="shared" si="3149"/>
        <v>0</v>
      </c>
      <c r="GI184" s="39">
        <f t="shared" ref="GI184:GJ184" si="3150">GI$1*FP184</f>
        <v>0</v>
      </c>
      <c r="GJ184" s="39">
        <f t="shared" si="3150"/>
        <v>0</v>
      </c>
      <c r="GK184" s="2"/>
      <c r="GL184" s="39">
        <f t="shared" si="31"/>
        <v>0</v>
      </c>
      <c r="GM184" s="39">
        <f t="shared" si="32"/>
        <v>0</v>
      </c>
      <c r="GN184" s="2" t="s">
        <v>3</v>
      </c>
      <c r="GO184" s="4">
        <f t="shared" si="33"/>
        <v>14.701426</v>
      </c>
      <c r="GP184" s="2">
        <f t="shared" si="34"/>
        <v>0.85</v>
      </c>
      <c r="GQ184" s="15">
        <f t="shared" si="35"/>
        <v>124.96212099999998</v>
      </c>
      <c r="GR184" s="15">
        <f t="shared" si="36"/>
        <v>2448.7395227506117</v>
      </c>
      <c r="GS184" s="15">
        <f t="shared" si="37"/>
        <v>166.56476199999997</v>
      </c>
      <c r="GT184" s="2">
        <f t="shared" si="38"/>
        <v>0</v>
      </c>
      <c r="GU184" s="2">
        <f t="shared" si="39"/>
        <v>0</v>
      </c>
      <c r="GV184" s="2">
        <f t="shared" si="40"/>
        <v>124.96212099999998</v>
      </c>
      <c r="GW184" s="2">
        <f t="shared" si="41"/>
        <v>0</v>
      </c>
      <c r="GX184" s="2"/>
      <c r="GY184" s="2"/>
      <c r="GZ184" s="2"/>
      <c r="HA184" s="2"/>
      <c r="HB184" s="2">
        <f t="shared" si="42"/>
        <v>0</v>
      </c>
      <c r="HC184" s="2">
        <f t="shared" si="43"/>
        <v>0</v>
      </c>
      <c r="HD184" s="2" t="s">
        <v>3</v>
      </c>
      <c r="HE184" s="2" t="s">
        <v>37</v>
      </c>
      <c r="HF184" s="2" t="s">
        <v>373</v>
      </c>
      <c r="HG184" s="2" t="s">
        <v>373</v>
      </c>
      <c r="HH184" s="2"/>
      <c r="HI184" s="2" t="s">
        <v>81</v>
      </c>
      <c r="HJ184" s="2" t="s">
        <v>3</v>
      </c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 t="s">
        <v>3</v>
      </c>
    </row>
    <row r="185" spans="1:268" ht="15.75" customHeight="1" x14ac:dyDescent="0.2">
      <c r="A185" s="13" t="s">
        <v>956</v>
      </c>
      <c r="B185" s="2" t="s">
        <v>99</v>
      </c>
      <c r="C185" s="2"/>
      <c r="D185" s="2"/>
      <c r="E185" s="2" t="s">
        <v>78</v>
      </c>
      <c r="F185" s="2" t="s">
        <v>957</v>
      </c>
      <c r="G185" s="2"/>
      <c r="H185" s="2" t="s">
        <v>242</v>
      </c>
      <c r="I185" s="2">
        <v>0</v>
      </c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>
        <v>0</v>
      </c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4">
        <v>6.63903</v>
      </c>
      <c r="AZ185" s="2"/>
      <c r="BA185" s="2"/>
      <c r="BB185" s="2"/>
      <c r="BC185" s="2"/>
      <c r="BD185" s="2"/>
      <c r="BE185" s="2"/>
      <c r="BF185" s="2"/>
      <c r="BG185" s="2">
        <v>0.82</v>
      </c>
      <c r="BH185" s="2">
        <v>0.04</v>
      </c>
      <c r="BI185" s="2"/>
      <c r="BJ185" s="2"/>
      <c r="BK185" s="2"/>
      <c r="BL185" s="2"/>
      <c r="BM185" s="2"/>
      <c r="BN185" s="2"/>
      <c r="BO185" s="2">
        <v>19.7</v>
      </c>
      <c r="BP185" s="2"/>
      <c r="BQ185" s="2"/>
      <c r="BR185" s="2"/>
      <c r="BS185" s="2"/>
      <c r="BT185" s="2">
        <v>0</v>
      </c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>
        <v>0</v>
      </c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 t="s">
        <v>81</v>
      </c>
      <c r="DK185" s="2" t="s">
        <v>81</v>
      </c>
      <c r="DL185" s="2">
        <f t="shared" si="3"/>
        <v>0.82</v>
      </c>
      <c r="DM185" s="2">
        <f t="shared" si="4"/>
        <v>0.04</v>
      </c>
      <c r="DN185" s="2" t="s">
        <v>958</v>
      </c>
      <c r="DO185" s="2" t="s">
        <v>3</v>
      </c>
      <c r="DP185" s="2">
        <f t="shared" si="5"/>
        <v>0</v>
      </c>
      <c r="DQ185" s="2">
        <f t="shared" ref="DQ185:DR185" si="3151">K185*$I185+AF185*$AD185+BA185*$AY185</f>
        <v>0</v>
      </c>
      <c r="DR185" s="2">
        <f t="shared" si="3151"/>
        <v>0</v>
      </c>
      <c r="DS185" s="2">
        <f t="shared" ref="DS185:DX185" si="3152">(M185*$I185+AH185*$AD185+BC185*$AY185)/100</f>
        <v>0</v>
      </c>
      <c r="DT185" s="2">
        <f t="shared" si="3152"/>
        <v>0</v>
      </c>
      <c r="DU185" s="2">
        <f t="shared" si="3152"/>
        <v>0</v>
      </c>
      <c r="DV185" s="2">
        <f t="shared" si="3152"/>
        <v>0</v>
      </c>
      <c r="DW185" s="2">
        <f t="shared" si="3152"/>
        <v>5.4440045999999992E-2</v>
      </c>
      <c r="DX185" s="2">
        <f t="shared" si="3152"/>
        <v>2.6556119999999999E-3</v>
      </c>
      <c r="DY185" s="2">
        <f t="shared" ref="DY185:EC185" si="3153">S185*$I185+AN185*$AD185+BI185*$AY185</f>
        <v>0</v>
      </c>
      <c r="DZ185" s="2">
        <f t="shared" si="3153"/>
        <v>0</v>
      </c>
      <c r="EA185" s="2">
        <f t="shared" si="3153"/>
        <v>0</v>
      </c>
      <c r="EB185" s="2">
        <f t="shared" si="3153"/>
        <v>0</v>
      </c>
      <c r="EC185" s="2">
        <f t="shared" si="3153"/>
        <v>0</v>
      </c>
      <c r="ED185" s="2">
        <f t="shared" ref="ED185:EE185" si="3154">(X185*$I185+AS185*$AD185+BN185*$AY185)/100</f>
        <v>0</v>
      </c>
      <c r="EE185" s="2">
        <f t="shared" si="3154"/>
        <v>1.30788891</v>
      </c>
      <c r="EF185" s="2"/>
      <c r="EG185" s="2">
        <f t="shared" si="10"/>
        <v>0</v>
      </c>
      <c r="EH185" s="2">
        <f t="shared" si="11"/>
        <v>0</v>
      </c>
      <c r="EI185" s="39">
        <f t="shared" si="12"/>
        <v>0</v>
      </c>
      <c r="EJ185" s="39">
        <f t="shared" ref="EJ185:EK185" si="3155">EJ$1*DQ185/1000000</f>
        <v>0</v>
      </c>
      <c r="EK185" s="39">
        <f t="shared" si="3155"/>
        <v>0</v>
      </c>
      <c r="EL185" s="39">
        <f t="shared" ref="EL185:EQ185" si="3156">EL$1*DS185</f>
        <v>0</v>
      </c>
      <c r="EM185" s="39">
        <f t="shared" si="3156"/>
        <v>0</v>
      </c>
      <c r="EN185" s="39">
        <f t="shared" si="3156"/>
        <v>0</v>
      </c>
      <c r="EO185" s="39">
        <f t="shared" si="3156"/>
        <v>0</v>
      </c>
      <c r="EP185" s="39">
        <f t="shared" si="3156"/>
        <v>713.92676324399986</v>
      </c>
      <c r="EQ185" s="39">
        <f t="shared" si="3156"/>
        <v>192.84927936868797</v>
      </c>
      <c r="ER185" s="39">
        <f t="shared" ref="ER185:EV185" si="3157">ER$1*DY185/1000000</f>
        <v>0</v>
      </c>
      <c r="ES185" s="39">
        <f t="shared" si="3157"/>
        <v>0</v>
      </c>
      <c r="ET185" s="39">
        <f t="shared" si="3157"/>
        <v>0</v>
      </c>
      <c r="EU185" s="39">
        <f t="shared" si="3157"/>
        <v>0</v>
      </c>
      <c r="EV185" s="39">
        <f t="shared" si="3157"/>
        <v>0</v>
      </c>
      <c r="EW185" s="39">
        <f t="shared" ref="EW185:EX185" si="3158">EW$1*ED185</f>
        <v>0</v>
      </c>
      <c r="EX185" s="39">
        <f t="shared" si="3158"/>
        <v>121.63366863</v>
      </c>
      <c r="EY185" s="2"/>
      <c r="EZ185" s="39">
        <f t="shared" si="17"/>
        <v>0</v>
      </c>
      <c r="FA185" s="39">
        <f t="shared" si="18"/>
        <v>0</v>
      </c>
      <c r="FB185" s="2">
        <f t="shared" si="19"/>
        <v>0</v>
      </c>
      <c r="FC185" s="2">
        <f t="shared" ref="FC185:FD185" si="3159">BV185*$BT185+CQ185*$CO185</f>
        <v>0</v>
      </c>
      <c r="FD185" s="2">
        <f t="shared" si="3159"/>
        <v>0</v>
      </c>
      <c r="FE185" s="2">
        <f t="shared" ref="FE185:FJ185" si="3160">(BX185*$BT185+CS185*$CO185)/100</f>
        <v>0</v>
      </c>
      <c r="FF185" s="2">
        <f t="shared" si="3160"/>
        <v>0</v>
      </c>
      <c r="FG185" s="2">
        <f t="shared" si="3160"/>
        <v>0</v>
      </c>
      <c r="FH185" s="2">
        <f t="shared" si="3160"/>
        <v>0</v>
      </c>
      <c r="FI185" s="2">
        <f t="shared" si="3160"/>
        <v>0</v>
      </c>
      <c r="FJ185" s="2">
        <f t="shared" si="3160"/>
        <v>0</v>
      </c>
      <c r="FK185" s="2">
        <f t="shared" ref="FK185:FO185" si="3161">CD185*$BT185+CY185*$CO185</f>
        <v>0</v>
      </c>
      <c r="FL185" s="2">
        <f t="shared" si="3161"/>
        <v>0</v>
      </c>
      <c r="FM185" s="2">
        <f t="shared" si="3161"/>
        <v>0</v>
      </c>
      <c r="FN185" s="2">
        <f t="shared" si="3161"/>
        <v>0</v>
      </c>
      <c r="FO185" s="2">
        <f t="shared" si="3161"/>
        <v>0</v>
      </c>
      <c r="FP185" s="2">
        <f t="shared" ref="FP185:FQ185" si="3162">(CI185*$BT185+DD185*$CO185)/100</f>
        <v>0</v>
      </c>
      <c r="FQ185" s="2">
        <f t="shared" si="3162"/>
        <v>0</v>
      </c>
      <c r="FR185" s="2"/>
      <c r="FS185" s="2">
        <f t="shared" si="24"/>
        <v>0</v>
      </c>
      <c r="FT185" s="2">
        <f t="shared" si="25"/>
        <v>0</v>
      </c>
      <c r="FU185" s="39">
        <f t="shared" si="26"/>
        <v>0</v>
      </c>
      <c r="FV185" s="39">
        <f t="shared" ref="FV185:FW185" si="3163">FV$1*FC185/1000000</f>
        <v>0</v>
      </c>
      <c r="FW185" s="39">
        <f t="shared" si="3163"/>
        <v>0</v>
      </c>
      <c r="FX185" s="39">
        <f t="shared" ref="FX185:GC185" si="3164">FX$1*FE185</f>
        <v>0</v>
      </c>
      <c r="FY185" s="39">
        <f t="shared" si="3164"/>
        <v>0</v>
      </c>
      <c r="FZ185" s="39">
        <f t="shared" si="3164"/>
        <v>0</v>
      </c>
      <c r="GA185" s="39">
        <f t="shared" si="3164"/>
        <v>0</v>
      </c>
      <c r="GB185" s="39">
        <f t="shared" si="3164"/>
        <v>0</v>
      </c>
      <c r="GC185" s="39">
        <f t="shared" si="3164"/>
        <v>0</v>
      </c>
      <c r="GD185" s="39">
        <f t="shared" ref="GD185:GH185" si="3165">GD$1*FK185/1000000</f>
        <v>0</v>
      </c>
      <c r="GE185" s="39">
        <f t="shared" si="3165"/>
        <v>0</v>
      </c>
      <c r="GF185" s="39">
        <f t="shared" si="3165"/>
        <v>0</v>
      </c>
      <c r="GG185" s="39">
        <f t="shared" si="3165"/>
        <v>0</v>
      </c>
      <c r="GH185" s="39">
        <f t="shared" si="3165"/>
        <v>0</v>
      </c>
      <c r="GI185" s="39">
        <f t="shared" ref="GI185:GJ185" si="3166">GI$1*FP185</f>
        <v>0</v>
      </c>
      <c r="GJ185" s="39">
        <f t="shared" si="3166"/>
        <v>0</v>
      </c>
      <c r="GK185" s="2"/>
      <c r="GL185" s="39">
        <f t="shared" si="31"/>
        <v>0</v>
      </c>
      <c r="GM185" s="39">
        <f t="shared" si="32"/>
        <v>0</v>
      </c>
      <c r="GN185" s="2" t="s">
        <v>3</v>
      </c>
      <c r="GO185" s="19">
        <f t="shared" si="33"/>
        <v>6.63903</v>
      </c>
      <c r="GP185" s="2">
        <f t="shared" si="34"/>
        <v>0.82</v>
      </c>
      <c r="GQ185" s="15">
        <f t="shared" si="35"/>
        <v>54.440045999999995</v>
      </c>
      <c r="GR185" s="15">
        <f t="shared" si="36"/>
        <v>1028.409711242688</v>
      </c>
      <c r="GS185" s="15">
        <f t="shared" si="37"/>
        <v>154.90360960000001</v>
      </c>
      <c r="GT185" s="2">
        <f t="shared" si="38"/>
        <v>0</v>
      </c>
      <c r="GU185" s="2">
        <f t="shared" si="39"/>
        <v>0</v>
      </c>
      <c r="GV185" s="2">
        <f t="shared" si="40"/>
        <v>54.440045999999995</v>
      </c>
      <c r="GW185" s="2">
        <f t="shared" si="41"/>
        <v>0</v>
      </c>
      <c r="GX185" s="2"/>
      <c r="GY185" s="2"/>
      <c r="GZ185" s="2"/>
      <c r="HA185" s="2"/>
      <c r="HB185" s="2">
        <f t="shared" si="42"/>
        <v>0</v>
      </c>
      <c r="HC185" s="2">
        <f t="shared" si="43"/>
        <v>0</v>
      </c>
      <c r="HD185" s="2" t="s">
        <v>3</v>
      </c>
      <c r="HE185" s="2" t="s">
        <v>37</v>
      </c>
      <c r="HF185" s="2" t="s">
        <v>373</v>
      </c>
      <c r="HG185" s="2" t="s">
        <v>373</v>
      </c>
      <c r="HH185" s="2"/>
      <c r="HI185" s="2" t="s">
        <v>81</v>
      </c>
      <c r="HJ185" s="2" t="s">
        <v>3</v>
      </c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  <c r="JE185" s="2"/>
      <c r="JF185" s="2"/>
      <c r="JG185" s="2"/>
      <c r="JH185" s="2" t="s">
        <v>3</v>
      </c>
    </row>
    <row r="186" spans="1:268" ht="15.75" customHeight="1" x14ac:dyDescent="0.2">
      <c r="A186" s="13" t="s">
        <v>1280</v>
      </c>
      <c r="B186" s="2" t="s">
        <v>99</v>
      </c>
      <c r="C186" s="2"/>
      <c r="D186" s="2"/>
      <c r="E186" s="2" t="s">
        <v>78</v>
      </c>
      <c r="F186" s="2" t="s">
        <v>215</v>
      </c>
      <c r="G186" s="2"/>
      <c r="H186" s="2" t="s">
        <v>242</v>
      </c>
      <c r="I186" s="2">
        <v>0</v>
      </c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>
        <v>0</v>
      </c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>
        <v>3.9169999999999998</v>
      </c>
      <c r="AZ186" s="2"/>
      <c r="BA186" s="2"/>
      <c r="BB186" s="2"/>
      <c r="BC186" s="2"/>
      <c r="BD186" s="2"/>
      <c r="BE186" s="2"/>
      <c r="BF186" s="2"/>
      <c r="BG186" s="2">
        <v>1.04</v>
      </c>
      <c r="BH186" s="2">
        <v>0.04</v>
      </c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>
        <v>0</v>
      </c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>
        <v>0</v>
      </c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 t="s">
        <v>81</v>
      </c>
      <c r="DK186" s="2" t="s">
        <v>81</v>
      </c>
      <c r="DL186" s="2">
        <f t="shared" si="3"/>
        <v>1.04</v>
      </c>
      <c r="DM186" s="2">
        <f t="shared" si="4"/>
        <v>0.04</v>
      </c>
      <c r="DN186" s="2" t="s">
        <v>175</v>
      </c>
      <c r="DO186" s="2" t="s">
        <v>3</v>
      </c>
      <c r="DP186" s="2">
        <f t="shared" si="5"/>
        <v>0</v>
      </c>
      <c r="DQ186" s="2">
        <f t="shared" ref="DQ186:DR186" si="3167">K186*$I186+AF186*$AD186+BA186*$AY186</f>
        <v>0</v>
      </c>
      <c r="DR186" s="2">
        <f t="shared" si="3167"/>
        <v>0</v>
      </c>
      <c r="DS186" s="2">
        <f t="shared" ref="DS186:DX186" si="3168">(M186*$I186+AH186*$AD186+BC186*$AY186)/100</f>
        <v>0</v>
      </c>
      <c r="DT186" s="2">
        <f t="shared" si="3168"/>
        <v>0</v>
      </c>
      <c r="DU186" s="2">
        <f t="shared" si="3168"/>
        <v>0</v>
      </c>
      <c r="DV186" s="2">
        <f t="shared" si="3168"/>
        <v>0</v>
      </c>
      <c r="DW186" s="2">
        <f t="shared" si="3168"/>
        <v>4.0736799999999997E-2</v>
      </c>
      <c r="DX186" s="2">
        <f t="shared" si="3168"/>
        <v>1.5667999999999999E-3</v>
      </c>
      <c r="DY186" s="2">
        <f t="shared" ref="DY186:EC186" si="3169">S186*$I186+AN186*$AD186+BI186*$AY186</f>
        <v>0</v>
      </c>
      <c r="DZ186" s="2">
        <f t="shared" si="3169"/>
        <v>0</v>
      </c>
      <c r="EA186" s="2">
        <f t="shared" si="3169"/>
        <v>0</v>
      </c>
      <c r="EB186" s="2">
        <f t="shared" si="3169"/>
        <v>0</v>
      </c>
      <c r="EC186" s="2">
        <f t="shared" si="3169"/>
        <v>0</v>
      </c>
      <c r="ED186" s="2">
        <f t="shared" ref="ED186:EE186" si="3170">(X186*$I186+AS186*$AD186+BN186*$AY186)/100</f>
        <v>0</v>
      </c>
      <c r="EE186" s="2">
        <f t="shared" si="3170"/>
        <v>0</v>
      </c>
      <c r="EF186" s="2"/>
      <c r="EG186" s="2">
        <f t="shared" si="10"/>
        <v>0</v>
      </c>
      <c r="EH186" s="2">
        <f t="shared" si="11"/>
        <v>0</v>
      </c>
      <c r="EI186" s="39">
        <f t="shared" si="12"/>
        <v>0</v>
      </c>
      <c r="EJ186" s="39">
        <f t="shared" ref="EJ186:EK186" si="3171">EJ$1*DQ186/1000000</f>
        <v>0</v>
      </c>
      <c r="EK186" s="39">
        <f t="shared" si="3171"/>
        <v>0</v>
      </c>
      <c r="EL186" s="39">
        <f t="shared" ref="EL186:EQ186" si="3172">EL$1*DS186</f>
        <v>0</v>
      </c>
      <c r="EM186" s="39">
        <f t="shared" si="3172"/>
        <v>0</v>
      </c>
      <c r="EN186" s="39">
        <f t="shared" si="3172"/>
        <v>0</v>
      </c>
      <c r="EO186" s="39">
        <f t="shared" si="3172"/>
        <v>0</v>
      </c>
      <c r="EP186" s="39">
        <f t="shared" si="3172"/>
        <v>534.22239519999994</v>
      </c>
      <c r="EQ186" s="39">
        <f t="shared" si="3172"/>
        <v>113.78027020319998</v>
      </c>
      <c r="ER186" s="39">
        <f t="shared" ref="ER186:EV186" si="3173">ER$1*DY186/1000000</f>
        <v>0</v>
      </c>
      <c r="ES186" s="39">
        <f t="shared" si="3173"/>
        <v>0</v>
      </c>
      <c r="ET186" s="39">
        <f t="shared" si="3173"/>
        <v>0</v>
      </c>
      <c r="EU186" s="39">
        <f t="shared" si="3173"/>
        <v>0</v>
      </c>
      <c r="EV186" s="39">
        <f t="shared" si="3173"/>
        <v>0</v>
      </c>
      <c r="EW186" s="39">
        <f t="shared" ref="EW186:EX186" si="3174">EW$1*ED186</f>
        <v>0</v>
      </c>
      <c r="EX186" s="39">
        <f t="shared" si="3174"/>
        <v>0</v>
      </c>
      <c r="EY186" s="2"/>
      <c r="EZ186" s="39">
        <f t="shared" si="17"/>
        <v>0</v>
      </c>
      <c r="FA186" s="39">
        <f t="shared" si="18"/>
        <v>0</v>
      </c>
      <c r="FB186" s="2">
        <f t="shared" si="19"/>
        <v>0</v>
      </c>
      <c r="FC186" s="2">
        <f t="shared" ref="FC186:FD186" si="3175">BV186*$BT186+CQ186*$CO186</f>
        <v>0</v>
      </c>
      <c r="FD186" s="2">
        <f t="shared" si="3175"/>
        <v>0</v>
      </c>
      <c r="FE186" s="2">
        <f t="shared" ref="FE186:FJ186" si="3176">(BX186*$BT186+CS186*$CO186)/100</f>
        <v>0</v>
      </c>
      <c r="FF186" s="2">
        <f t="shared" si="3176"/>
        <v>0</v>
      </c>
      <c r="FG186" s="2">
        <f t="shared" si="3176"/>
        <v>0</v>
      </c>
      <c r="FH186" s="2">
        <f t="shared" si="3176"/>
        <v>0</v>
      </c>
      <c r="FI186" s="2">
        <f t="shared" si="3176"/>
        <v>0</v>
      </c>
      <c r="FJ186" s="2">
        <f t="shared" si="3176"/>
        <v>0</v>
      </c>
      <c r="FK186" s="2">
        <f t="shared" ref="FK186:FO186" si="3177">CD186*$BT186+CY186*$CO186</f>
        <v>0</v>
      </c>
      <c r="FL186" s="2">
        <f t="shared" si="3177"/>
        <v>0</v>
      </c>
      <c r="FM186" s="2">
        <f t="shared" si="3177"/>
        <v>0</v>
      </c>
      <c r="FN186" s="2">
        <f t="shared" si="3177"/>
        <v>0</v>
      </c>
      <c r="FO186" s="2">
        <f t="shared" si="3177"/>
        <v>0</v>
      </c>
      <c r="FP186" s="2">
        <f t="shared" ref="FP186:FQ186" si="3178">(CI186*$BT186+DD186*$CO186)/100</f>
        <v>0</v>
      </c>
      <c r="FQ186" s="2">
        <f t="shared" si="3178"/>
        <v>0</v>
      </c>
      <c r="FR186" s="2"/>
      <c r="FS186" s="2">
        <f t="shared" si="24"/>
        <v>0</v>
      </c>
      <c r="FT186" s="2">
        <f t="shared" si="25"/>
        <v>0</v>
      </c>
      <c r="FU186" s="39">
        <f t="shared" si="26"/>
        <v>0</v>
      </c>
      <c r="FV186" s="39">
        <f t="shared" ref="FV186:FW186" si="3179">FV$1*FC186/1000000</f>
        <v>0</v>
      </c>
      <c r="FW186" s="39">
        <f t="shared" si="3179"/>
        <v>0</v>
      </c>
      <c r="FX186" s="39">
        <f t="shared" ref="FX186:GC186" si="3180">FX$1*FE186</f>
        <v>0</v>
      </c>
      <c r="FY186" s="39">
        <f t="shared" si="3180"/>
        <v>0</v>
      </c>
      <c r="FZ186" s="39">
        <f t="shared" si="3180"/>
        <v>0</v>
      </c>
      <c r="GA186" s="39">
        <f t="shared" si="3180"/>
        <v>0</v>
      </c>
      <c r="GB186" s="39">
        <f t="shared" si="3180"/>
        <v>0</v>
      </c>
      <c r="GC186" s="39">
        <f t="shared" si="3180"/>
        <v>0</v>
      </c>
      <c r="GD186" s="39">
        <f t="shared" ref="GD186:GH186" si="3181">GD$1*FK186/1000000</f>
        <v>0</v>
      </c>
      <c r="GE186" s="39">
        <f t="shared" si="3181"/>
        <v>0</v>
      </c>
      <c r="GF186" s="39">
        <f t="shared" si="3181"/>
        <v>0</v>
      </c>
      <c r="GG186" s="39">
        <f t="shared" si="3181"/>
        <v>0</v>
      </c>
      <c r="GH186" s="39">
        <f t="shared" si="3181"/>
        <v>0</v>
      </c>
      <c r="GI186" s="39">
        <f t="shared" ref="GI186:GJ186" si="3182">GI$1*FP186</f>
        <v>0</v>
      </c>
      <c r="GJ186" s="39">
        <f t="shared" si="3182"/>
        <v>0</v>
      </c>
      <c r="GK186" s="2"/>
      <c r="GL186" s="39">
        <f t="shared" si="31"/>
        <v>0</v>
      </c>
      <c r="GM186" s="39">
        <f t="shared" si="32"/>
        <v>0</v>
      </c>
      <c r="GN186" s="2" t="s">
        <v>3</v>
      </c>
      <c r="GO186" s="2">
        <f t="shared" si="33"/>
        <v>3.9169999999999998</v>
      </c>
      <c r="GP186" s="2">
        <f t="shared" si="34"/>
        <v>1.04</v>
      </c>
      <c r="GQ186" s="15">
        <f t="shared" si="35"/>
        <v>40.736800000000002</v>
      </c>
      <c r="GR186" s="15">
        <f t="shared" si="36"/>
        <v>648.0026654031999</v>
      </c>
      <c r="GS186" s="15">
        <f t="shared" si="37"/>
        <v>165.43340959999998</v>
      </c>
      <c r="GT186" s="2">
        <f t="shared" si="38"/>
        <v>0</v>
      </c>
      <c r="GU186" s="2">
        <f t="shared" si="39"/>
        <v>0</v>
      </c>
      <c r="GV186" s="2">
        <f t="shared" si="40"/>
        <v>40.736799999999995</v>
      </c>
      <c r="GW186" s="2">
        <f t="shared" si="41"/>
        <v>0</v>
      </c>
      <c r="GX186" s="2"/>
      <c r="GY186" s="2"/>
      <c r="GZ186" s="2"/>
      <c r="HA186" s="2"/>
      <c r="HB186" s="2">
        <f t="shared" si="42"/>
        <v>0</v>
      </c>
      <c r="HC186" s="2">
        <f t="shared" si="43"/>
        <v>0</v>
      </c>
      <c r="HD186" s="2" t="s">
        <v>3</v>
      </c>
      <c r="HE186" s="2" t="s">
        <v>37</v>
      </c>
      <c r="HF186" s="2" t="s">
        <v>373</v>
      </c>
      <c r="HG186" s="2" t="s">
        <v>373</v>
      </c>
      <c r="HH186" s="2"/>
      <c r="HI186" s="2" t="s">
        <v>81</v>
      </c>
      <c r="HJ186" s="2" t="s">
        <v>3</v>
      </c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  <c r="JE186" s="2"/>
      <c r="JF186" s="2"/>
      <c r="JG186" s="2"/>
      <c r="JH186" s="2" t="s">
        <v>3</v>
      </c>
    </row>
    <row r="187" spans="1:268" ht="15.75" customHeight="1" x14ac:dyDescent="0.2">
      <c r="A187" s="13" t="s">
        <v>1056</v>
      </c>
      <c r="B187" s="2" t="s">
        <v>99</v>
      </c>
      <c r="C187" s="2"/>
      <c r="D187" s="2"/>
      <c r="E187" s="2" t="s">
        <v>78</v>
      </c>
      <c r="F187" s="2" t="s">
        <v>1057</v>
      </c>
      <c r="G187" s="2"/>
      <c r="H187" s="2" t="s">
        <v>242</v>
      </c>
      <c r="I187" s="2">
        <v>0</v>
      </c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4">
        <v>2.1958500000000001</v>
      </c>
      <c r="AE187" s="2"/>
      <c r="AF187" s="2"/>
      <c r="AG187" s="2"/>
      <c r="AH187" s="2"/>
      <c r="AI187" s="2"/>
      <c r="AJ187" s="2"/>
      <c r="AK187" s="2"/>
      <c r="AL187" s="2">
        <v>1.01</v>
      </c>
      <c r="AM187" s="2">
        <v>0.06</v>
      </c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>
        <v>0</v>
      </c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>
        <v>0</v>
      </c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>
        <v>0</v>
      </c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 t="s">
        <v>81</v>
      </c>
      <c r="DK187" s="2" t="s">
        <v>81</v>
      </c>
      <c r="DL187" s="2">
        <f t="shared" si="3"/>
        <v>1.01</v>
      </c>
      <c r="DM187" s="2">
        <f t="shared" si="4"/>
        <v>0.06</v>
      </c>
      <c r="DN187" s="2" t="s">
        <v>175</v>
      </c>
      <c r="DO187" s="2" t="s">
        <v>3</v>
      </c>
      <c r="DP187" s="2">
        <f t="shared" si="5"/>
        <v>0</v>
      </c>
      <c r="DQ187" s="2">
        <f t="shared" ref="DQ187:DR187" si="3183">K187*$I187+AF187*$AD187+BA187*$AY187</f>
        <v>0</v>
      </c>
      <c r="DR187" s="2">
        <f t="shared" si="3183"/>
        <v>0</v>
      </c>
      <c r="DS187" s="2">
        <f t="shared" ref="DS187:DX187" si="3184">(M187*$I187+AH187*$AD187+BC187*$AY187)/100</f>
        <v>0</v>
      </c>
      <c r="DT187" s="2">
        <f t="shared" si="3184"/>
        <v>0</v>
      </c>
      <c r="DU187" s="2">
        <f t="shared" si="3184"/>
        <v>0</v>
      </c>
      <c r="DV187" s="2">
        <f t="shared" si="3184"/>
        <v>0</v>
      </c>
      <c r="DW187" s="2">
        <f t="shared" si="3184"/>
        <v>2.2178085000000004E-2</v>
      </c>
      <c r="DX187" s="2">
        <f t="shared" si="3184"/>
        <v>1.31751E-3</v>
      </c>
      <c r="DY187" s="2">
        <f t="shared" ref="DY187:EC187" si="3185">S187*$I187+AN187*$AD187+BI187*$AY187</f>
        <v>0</v>
      </c>
      <c r="DZ187" s="2">
        <f t="shared" si="3185"/>
        <v>0</v>
      </c>
      <c r="EA187" s="2">
        <f t="shared" si="3185"/>
        <v>0</v>
      </c>
      <c r="EB187" s="2">
        <f t="shared" si="3185"/>
        <v>0</v>
      </c>
      <c r="EC187" s="2">
        <f t="shared" si="3185"/>
        <v>0</v>
      </c>
      <c r="ED187" s="2">
        <f t="shared" ref="ED187:EE187" si="3186">(X187*$I187+AS187*$AD187+BN187*$AY187)/100</f>
        <v>0</v>
      </c>
      <c r="EE187" s="2">
        <f t="shared" si="3186"/>
        <v>0</v>
      </c>
      <c r="EF187" s="2"/>
      <c r="EG187" s="2">
        <f t="shared" si="10"/>
        <v>0</v>
      </c>
      <c r="EH187" s="2">
        <f t="shared" si="11"/>
        <v>0</v>
      </c>
      <c r="EI187" s="39">
        <f t="shared" si="12"/>
        <v>0</v>
      </c>
      <c r="EJ187" s="39">
        <f t="shared" ref="EJ187:EK187" si="3187">EJ$1*DQ187/1000000</f>
        <v>0</v>
      </c>
      <c r="EK187" s="39">
        <f t="shared" si="3187"/>
        <v>0</v>
      </c>
      <c r="EL187" s="39">
        <f t="shared" ref="EL187:EQ187" si="3188">EL$1*DS187</f>
        <v>0</v>
      </c>
      <c r="EM187" s="39">
        <f t="shared" si="3188"/>
        <v>0</v>
      </c>
      <c r="EN187" s="39">
        <f t="shared" si="3188"/>
        <v>0</v>
      </c>
      <c r="EO187" s="39">
        <f t="shared" si="3188"/>
        <v>0</v>
      </c>
      <c r="EP187" s="39">
        <f t="shared" si="3188"/>
        <v>290.84340669000005</v>
      </c>
      <c r="EQ187" s="39">
        <f t="shared" si="3188"/>
        <v>95.676949065239995</v>
      </c>
      <c r="ER187" s="39">
        <f t="shared" ref="ER187:EV187" si="3189">ER$1*DY187/1000000</f>
        <v>0</v>
      </c>
      <c r="ES187" s="39">
        <f t="shared" si="3189"/>
        <v>0</v>
      </c>
      <c r="ET187" s="39">
        <f t="shared" si="3189"/>
        <v>0</v>
      </c>
      <c r="EU187" s="39">
        <f t="shared" si="3189"/>
        <v>0</v>
      </c>
      <c r="EV187" s="39">
        <f t="shared" si="3189"/>
        <v>0</v>
      </c>
      <c r="EW187" s="39">
        <f t="shared" ref="EW187:EX187" si="3190">EW$1*ED187</f>
        <v>0</v>
      </c>
      <c r="EX187" s="39">
        <f t="shared" si="3190"/>
        <v>0</v>
      </c>
      <c r="EY187" s="2"/>
      <c r="EZ187" s="39">
        <f t="shared" si="17"/>
        <v>0</v>
      </c>
      <c r="FA187" s="39">
        <f t="shared" si="18"/>
        <v>0</v>
      </c>
      <c r="FB187" s="2">
        <f t="shared" si="19"/>
        <v>0</v>
      </c>
      <c r="FC187" s="2">
        <f t="shared" ref="FC187:FD187" si="3191">BV187*$BT187+CQ187*$CO187</f>
        <v>0</v>
      </c>
      <c r="FD187" s="2">
        <f t="shared" si="3191"/>
        <v>0</v>
      </c>
      <c r="FE187" s="2">
        <f t="shared" ref="FE187:FJ187" si="3192">(BX187*$BT187+CS187*$CO187)/100</f>
        <v>0</v>
      </c>
      <c r="FF187" s="2">
        <f t="shared" si="3192"/>
        <v>0</v>
      </c>
      <c r="FG187" s="2">
        <f t="shared" si="3192"/>
        <v>0</v>
      </c>
      <c r="FH187" s="2">
        <f t="shared" si="3192"/>
        <v>0</v>
      </c>
      <c r="FI187" s="2">
        <f t="shared" si="3192"/>
        <v>0</v>
      </c>
      <c r="FJ187" s="2">
        <f t="shared" si="3192"/>
        <v>0</v>
      </c>
      <c r="FK187" s="2">
        <f t="shared" ref="FK187:FO187" si="3193">CD187*$BT187+CY187*$CO187</f>
        <v>0</v>
      </c>
      <c r="FL187" s="2">
        <f t="shared" si="3193"/>
        <v>0</v>
      </c>
      <c r="FM187" s="2">
        <f t="shared" si="3193"/>
        <v>0</v>
      </c>
      <c r="FN187" s="2">
        <f t="shared" si="3193"/>
        <v>0</v>
      </c>
      <c r="FO187" s="2">
        <f t="shared" si="3193"/>
        <v>0</v>
      </c>
      <c r="FP187" s="2">
        <f t="shared" ref="FP187:FQ187" si="3194">(CI187*$BT187+DD187*$CO187)/100</f>
        <v>0</v>
      </c>
      <c r="FQ187" s="2">
        <f t="shared" si="3194"/>
        <v>0</v>
      </c>
      <c r="FR187" s="2"/>
      <c r="FS187" s="2">
        <f t="shared" si="24"/>
        <v>0</v>
      </c>
      <c r="FT187" s="2">
        <f t="shared" si="25"/>
        <v>0</v>
      </c>
      <c r="FU187" s="39">
        <f t="shared" si="26"/>
        <v>0</v>
      </c>
      <c r="FV187" s="39">
        <f t="shared" ref="FV187:FW187" si="3195">FV$1*FC187/1000000</f>
        <v>0</v>
      </c>
      <c r="FW187" s="39">
        <f t="shared" si="3195"/>
        <v>0</v>
      </c>
      <c r="FX187" s="39">
        <f t="shared" ref="FX187:GC187" si="3196">FX$1*FE187</f>
        <v>0</v>
      </c>
      <c r="FY187" s="39">
        <f t="shared" si="3196"/>
        <v>0</v>
      </c>
      <c r="FZ187" s="39">
        <f t="shared" si="3196"/>
        <v>0</v>
      </c>
      <c r="GA187" s="39">
        <f t="shared" si="3196"/>
        <v>0</v>
      </c>
      <c r="GB187" s="39">
        <f t="shared" si="3196"/>
        <v>0</v>
      </c>
      <c r="GC187" s="39">
        <f t="shared" si="3196"/>
        <v>0</v>
      </c>
      <c r="GD187" s="39">
        <f t="shared" ref="GD187:GH187" si="3197">GD$1*FK187/1000000</f>
        <v>0</v>
      </c>
      <c r="GE187" s="39">
        <f t="shared" si="3197"/>
        <v>0</v>
      </c>
      <c r="GF187" s="39">
        <f t="shared" si="3197"/>
        <v>0</v>
      </c>
      <c r="GG187" s="39">
        <f t="shared" si="3197"/>
        <v>0</v>
      </c>
      <c r="GH187" s="39">
        <f t="shared" si="3197"/>
        <v>0</v>
      </c>
      <c r="GI187" s="39">
        <f t="shared" ref="GI187:GJ187" si="3198">GI$1*FP187</f>
        <v>0</v>
      </c>
      <c r="GJ187" s="39">
        <f t="shared" si="3198"/>
        <v>0</v>
      </c>
      <c r="GK187" s="2"/>
      <c r="GL187" s="39">
        <f t="shared" si="31"/>
        <v>0</v>
      </c>
      <c r="GM187" s="39">
        <f t="shared" si="32"/>
        <v>0</v>
      </c>
      <c r="GN187" s="2" t="s">
        <v>3</v>
      </c>
      <c r="GO187" s="19">
        <f t="shared" si="33"/>
        <v>2.1958500000000001</v>
      </c>
      <c r="GP187" s="2">
        <f t="shared" si="34"/>
        <v>1.01</v>
      </c>
      <c r="GQ187" s="15">
        <f t="shared" si="35"/>
        <v>22.178084999999999</v>
      </c>
      <c r="GR187" s="15">
        <f t="shared" si="36"/>
        <v>386.52035575524008</v>
      </c>
      <c r="GS187" s="15">
        <f t="shared" si="37"/>
        <v>176.02311440000003</v>
      </c>
      <c r="GT187" s="2">
        <f t="shared" si="38"/>
        <v>0</v>
      </c>
      <c r="GU187" s="2">
        <f t="shared" si="39"/>
        <v>22.178084999999999</v>
      </c>
      <c r="GV187" s="2">
        <f t="shared" si="40"/>
        <v>0</v>
      </c>
      <c r="GW187" s="2">
        <f t="shared" si="41"/>
        <v>0</v>
      </c>
      <c r="GX187" s="2"/>
      <c r="GY187" s="2"/>
      <c r="GZ187" s="2"/>
      <c r="HA187" s="2"/>
      <c r="HB187" s="2">
        <f t="shared" si="42"/>
        <v>0</v>
      </c>
      <c r="HC187" s="2">
        <f t="shared" si="43"/>
        <v>0</v>
      </c>
      <c r="HD187" s="2" t="s">
        <v>3</v>
      </c>
      <c r="HE187" s="2" t="s">
        <v>37</v>
      </c>
      <c r="HF187" s="2" t="s">
        <v>83</v>
      </c>
      <c r="HG187" s="2" t="s">
        <v>373</v>
      </c>
      <c r="HH187" s="2"/>
      <c r="HI187" s="2" t="s">
        <v>81</v>
      </c>
      <c r="HJ187" s="2" t="s">
        <v>3</v>
      </c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  <c r="JE187" s="2"/>
      <c r="JF187" s="2"/>
      <c r="JG187" s="2"/>
      <c r="JH187" s="2" t="s">
        <v>3</v>
      </c>
    </row>
    <row r="188" spans="1:268" ht="15.75" customHeight="1" x14ac:dyDescent="0.2">
      <c r="A188" s="13" t="s">
        <v>1281</v>
      </c>
      <c r="B188" s="2" t="s">
        <v>99</v>
      </c>
      <c r="C188" s="2"/>
      <c r="D188" s="2"/>
      <c r="E188" s="2" t="s">
        <v>78</v>
      </c>
      <c r="F188" s="2" t="s">
        <v>1028</v>
      </c>
      <c r="G188" s="2"/>
      <c r="H188" s="2" t="s">
        <v>242</v>
      </c>
      <c r="I188" s="2">
        <v>0</v>
      </c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>
        <v>0</v>
      </c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>
        <v>2.5299999999999998</v>
      </c>
      <c r="AZ188" s="2"/>
      <c r="BA188" s="2"/>
      <c r="BB188" s="2"/>
      <c r="BC188" s="2"/>
      <c r="BD188" s="2"/>
      <c r="BE188" s="2"/>
      <c r="BF188" s="2"/>
      <c r="BG188" s="2">
        <v>0.7</v>
      </c>
      <c r="BH188" s="2">
        <v>0.05</v>
      </c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>
        <v>0</v>
      </c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>
        <v>0</v>
      </c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 t="s">
        <v>81</v>
      </c>
      <c r="DK188" s="2" t="s">
        <v>81</v>
      </c>
      <c r="DL188" s="2">
        <f t="shared" si="3"/>
        <v>0.7</v>
      </c>
      <c r="DM188" s="2">
        <f t="shared" si="4"/>
        <v>0.05</v>
      </c>
      <c r="DN188" s="2" t="s">
        <v>175</v>
      </c>
      <c r="DO188" s="2" t="s">
        <v>3</v>
      </c>
      <c r="DP188" s="2">
        <f t="shared" si="5"/>
        <v>0</v>
      </c>
      <c r="DQ188" s="2">
        <f t="shared" ref="DQ188:DR188" si="3199">K188*$I188+AF188*$AD188+BA188*$AY188</f>
        <v>0</v>
      </c>
      <c r="DR188" s="2">
        <f t="shared" si="3199"/>
        <v>0</v>
      </c>
      <c r="DS188" s="2">
        <f t="shared" ref="DS188:DX188" si="3200">(M188*$I188+AH188*$AD188+BC188*$AY188)/100</f>
        <v>0</v>
      </c>
      <c r="DT188" s="2">
        <f t="shared" si="3200"/>
        <v>0</v>
      </c>
      <c r="DU188" s="2">
        <f t="shared" si="3200"/>
        <v>0</v>
      </c>
      <c r="DV188" s="2">
        <f t="shared" si="3200"/>
        <v>0</v>
      </c>
      <c r="DW188" s="2">
        <f t="shared" si="3200"/>
        <v>1.7709999999999997E-2</v>
      </c>
      <c r="DX188" s="2">
        <f t="shared" si="3200"/>
        <v>1.2650000000000001E-3</v>
      </c>
      <c r="DY188" s="2">
        <f t="shared" ref="DY188:EC188" si="3201">S188*$I188+AN188*$AD188+BI188*$AY188</f>
        <v>0</v>
      </c>
      <c r="DZ188" s="2">
        <f t="shared" si="3201"/>
        <v>0</v>
      </c>
      <c r="EA188" s="2">
        <f t="shared" si="3201"/>
        <v>0</v>
      </c>
      <c r="EB188" s="2">
        <f t="shared" si="3201"/>
        <v>0</v>
      </c>
      <c r="EC188" s="2">
        <f t="shared" si="3201"/>
        <v>0</v>
      </c>
      <c r="ED188" s="2">
        <f t="shared" ref="ED188:EE188" si="3202">(X188*$I188+AS188*$AD188+BN188*$AY188)/100</f>
        <v>0</v>
      </c>
      <c r="EE188" s="2">
        <f t="shared" si="3202"/>
        <v>0</v>
      </c>
      <c r="EF188" s="2"/>
      <c r="EG188" s="2">
        <f t="shared" si="10"/>
        <v>0</v>
      </c>
      <c r="EH188" s="2">
        <f t="shared" si="11"/>
        <v>0</v>
      </c>
      <c r="EI188" s="39">
        <f t="shared" si="12"/>
        <v>0</v>
      </c>
      <c r="EJ188" s="39">
        <f t="shared" ref="EJ188:EK188" si="3203">EJ$1*DQ188/1000000</f>
        <v>0</v>
      </c>
      <c r="EK188" s="39">
        <f t="shared" si="3203"/>
        <v>0</v>
      </c>
      <c r="EL188" s="39">
        <f t="shared" ref="EL188:EQ188" si="3204">EL$1*DS188</f>
        <v>0</v>
      </c>
      <c r="EM188" s="39">
        <f t="shared" si="3204"/>
        <v>0</v>
      </c>
      <c r="EN188" s="39">
        <f t="shared" si="3204"/>
        <v>0</v>
      </c>
      <c r="EO188" s="39">
        <f t="shared" si="3204"/>
        <v>0</v>
      </c>
      <c r="EP188" s="39">
        <f t="shared" si="3204"/>
        <v>232.24893999999995</v>
      </c>
      <c r="EQ188" s="39">
        <f t="shared" si="3204"/>
        <v>91.863697859999988</v>
      </c>
      <c r="ER188" s="39">
        <f t="shared" ref="ER188:EV188" si="3205">ER$1*DY188/1000000</f>
        <v>0</v>
      </c>
      <c r="ES188" s="39">
        <f t="shared" si="3205"/>
        <v>0</v>
      </c>
      <c r="ET188" s="39">
        <f t="shared" si="3205"/>
        <v>0</v>
      </c>
      <c r="EU188" s="39">
        <f t="shared" si="3205"/>
        <v>0</v>
      </c>
      <c r="EV188" s="39">
        <f t="shared" si="3205"/>
        <v>0</v>
      </c>
      <c r="EW188" s="39">
        <f t="shared" ref="EW188:EX188" si="3206">EW$1*ED188</f>
        <v>0</v>
      </c>
      <c r="EX188" s="39">
        <f t="shared" si="3206"/>
        <v>0</v>
      </c>
      <c r="EY188" s="2"/>
      <c r="EZ188" s="39">
        <f t="shared" si="17"/>
        <v>0</v>
      </c>
      <c r="FA188" s="39">
        <f t="shared" si="18"/>
        <v>0</v>
      </c>
      <c r="FB188" s="2">
        <f t="shared" si="19"/>
        <v>0</v>
      </c>
      <c r="FC188" s="2">
        <f t="shared" ref="FC188:FD188" si="3207">BV188*$BT188+CQ188*$CO188</f>
        <v>0</v>
      </c>
      <c r="FD188" s="2">
        <f t="shared" si="3207"/>
        <v>0</v>
      </c>
      <c r="FE188" s="2">
        <f t="shared" ref="FE188:FJ188" si="3208">(BX188*$BT188+CS188*$CO188)/100</f>
        <v>0</v>
      </c>
      <c r="FF188" s="2">
        <f t="shared" si="3208"/>
        <v>0</v>
      </c>
      <c r="FG188" s="2">
        <f t="shared" si="3208"/>
        <v>0</v>
      </c>
      <c r="FH188" s="2">
        <f t="shared" si="3208"/>
        <v>0</v>
      </c>
      <c r="FI188" s="2">
        <f t="shared" si="3208"/>
        <v>0</v>
      </c>
      <c r="FJ188" s="2">
        <f t="shared" si="3208"/>
        <v>0</v>
      </c>
      <c r="FK188" s="2">
        <f t="shared" ref="FK188:FO188" si="3209">CD188*$BT188+CY188*$CO188</f>
        <v>0</v>
      </c>
      <c r="FL188" s="2">
        <f t="shared" si="3209"/>
        <v>0</v>
      </c>
      <c r="FM188" s="2">
        <f t="shared" si="3209"/>
        <v>0</v>
      </c>
      <c r="FN188" s="2">
        <f t="shared" si="3209"/>
        <v>0</v>
      </c>
      <c r="FO188" s="2">
        <f t="shared" si="3209"/>
        <v>0</v>
      </c>
      <c r="FP188" s="2">
        <f t="shared" ref="FP188:FQ188" si="3210">(CI188*$BT188+DD188*$CO188)/100</f>
        <v>0</v>
      </c>
      <c r="FQ188" s="2">
        <f t="shared" si="3210"/>
        <v>0</v>
      </c>
      <c r="FR188" s="2"/>
      <c r="FS188" s="2">
        <f t="shared" si="24"/>
        <v>0</v>
      </c>
      <c r="FT188" s="2">
        <f t="shared" si="25"/>
        <v>0</v>
      </c>
      <c r="FU188" s="39">
        <f t="shared" si="26"/>
        <v>0</v>
      </c>
      <c r="FV188" s="39">
        <f t="shared" ref="FV188:FW188" si="3211">FV$1*FC188/1000000</f>
        <v>0</v>
      </c>
      <c r="FW188" s="39">
        <f t="shared" si="3211"/>
        <v>0</v>
      </c>
      <c r="FX188" s="39">
        <f t="shared" ref="FX188:GC188" si="3212">FX$1*FE188</f>
        <v>0</v>
      </c>
      <c r="FY188" s="39">
        <f t="shared" si="3212"/>
        <v>0</v>
      </c>
      <c r="FZ188" s="39">
        <f t="shared" si="3212"/>
        <v>0</v>
      </c>
      <c r="GA188" s="39">
        <f t="shared" si="3212"/>
        <v>0</v>
      </c>
      <c r="GB188" s="39">
        <f t="shared" si="3212"/>
        <v>0</v>
      </c>
      <c r="GC188" s="39">
        <f t="shared" si="3212"/>
        <v>0</v>
      </c>
      <c r="GD188" s="39">
        <f t="shared" ref="GD188:GH188" si="3213">GD$1*FK188/1000000</f>
        <v>0</v>
      </c>
      <c r="GE188" s="39">
        <f t="shared" si="3213"/>
        <v>0</v>
      </c>
      <c r="GF188" s="39">
        <f t="shared" si="3213"/>
        <v>0</v>
      </c>
      <c r="GG188" s="39">
        <f t="shared" si="3213"/>
        <v>0</v>
      </c>
      <c r="GH188" s="39">
        <f t="shared" si="3213"/>
        <v>0</v>
      </c>
      <c r="GI188" s="39">
        <f t="shared" ref="GI188:GJ188" si="3214">GI$1*FP188</f>
        <v>0</v>
      </c>
      <c r="GJ188" s="39">
        <f t="shared" si="3214"/>
        <v>0</v>
      </c>
      <c r="GK188" s="2"/>
      <c r="GL188" s="39">
        <f t="shared" si="31"/>
        <v>0</v>
      </c>
      <c r="GM188" s="39">
        <f t="shared" si="32"/>
        <v>0</v>
      </c>
      <c r="GN188" s="2" t="s">
        <v>3</v>
      </c>
      <c r="GO188" s="2">
        <f t="shared" si="33"/>
        <v>2.5299999999999998</v>
      </c>
      <c r="GP188" s="2">
        <f t="shared" si="34"/>
        <v>0.7</v>
      </c>
      <c r="GQ188" s="15">
        <f t="shared" si="35"/>
        <v>17.71</v>
      </c>
      <c r="GR188" s="15">
        <f t="shared" si="36"/>
        <v>324.11263785999995</v>
      </c>
      <c r="GS188" s="15">
        <f t="shared" si="37"/>
        <v>128.10776199999998</v>
      </c>
      <c r="GT188" s="2">
        <f t="shared" si="38"/>
        <v>0</v>
      </c>
      <c r="GU188" s="2">
        <f t="shared" si="39"/>
        <v>0</v>
      </c>
      <c r="GV188" s="2">
        <f t="shared" si="40"/>
        <v>17.709999999999997</v>
      </c>
      <c r="GW188" s="2">
        <f t="shared" si="41"/>
        <v>0</v>
      </c>
      <c r="GX188" s="2"/>
      <c r="GY188" s="2"/>
      <c r="GZ188" s="2"/>
      <c r="HA188" s="2"/>
      <c r="HB188" s="2">
        <f t="shared" si="42"/>
        <v>0</v>
      </c>
      <c r="HC188" s="2">
        <f t="shared" si="43"/>
        <v>0</v>
      </c>
      <c r="HD188" s="2" t="s">
        <v>3</v>
      </c>
      <c r="HE188" s="2" t="s">
        <v>37</v>
      </c>
      <c r="HF188" s="2" t="s">
        <v>373</v>
      </c>
      <c r="HG188" s="2" t="s">
        <v>373</v>
      </c>
      <c r="HH188" s="2"/>
      <c r="HI188" s="2" t="s">
        <v>81</v>
      </c>
      <c r="HJ188" s="2" t="s">
        <v>3</v>
      </c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 t="s">
        <v>3</v>
      </c>
    </row>
    <row r="189" spans="1:268" ht="15.75" customHeight="1" x14ac:dyDescent="0.2">
      <c r="A189" s="13" t="s">
        <v>705</v>
      </c>
      <c r="B189" s="2" t="s">
        <v>99</v>
      </c>
      <c r="C189" s="2"/>
      <c r="D189" s="2"/>
      <c r="E189" s="2" t="s">
        <v>78</v>
      </c>
      <c r="F189" s="2" t="s">
        <v>706</v>
      </c>
      <c r="G189" s="2"/>
      <c r="H189" s="2" t="s">
        <v>242</v>
      </c>
      <c r="I189" s="2">
        <v>0</v>
      </c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>
        <v>0</v>
      </c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>
        <v>2.8</v>
      </c>
      <c r="AZ189" s="2"/>
      <c r="BA189" s="2"/>
      <c r="BB189" s="2"/>
      <c r="BC189" s="2"/>
      <c r="BD189" s="2"/>
      <c r="BE189" s="2"/>
      <c r="BF189" s="2"/>
      <c r="BG189" s="2">
        <v>1.1100000000000001</v>
      </c>
      <c r="BH189" s="2">
        <v>4.8000000000000001E-2</v>
      </c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>
        <v>0</v>
      </c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>
        <v>0</v>
      </c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 t="s">
        <v>81</v>
      </c>
      <c r="DK189" s="2" t="s">
        <v>81</v>
      </c>
      <c r="DL189" s="2">
        <f t="shared" si="3"/>
        <v>1.1100000000000001</v>
      </c>
      <c r="DM189" s="2">
        <f t="shared" si="4"/>
        <v>4.8000000000000001E-2</v>
      </c>
      <c r="DN189" s="2" t="s">
        <v>175</v>
      </c>
      <c r="DO189" s="2" t="s">
        <v>3</v>
      </c>
      <c r="DP189" s="2">
        <f t="shared" si="5"/>
        <v>0</v>
      </c>
      <c r="DQ189" s="2">
        <f t="shared" ref="DQ189:DR189" si="3215">K189*$I189+AF189*$AD189+BA189*$AY189</f>
        <v>0</v>
      </c>
      <c r="DR189" s="2">
        <f t="shared" si="3215"/>
        <v>0</v>
      </c>
      <c r="DS189" s="2">
        <f t="shared" ref="DS189:DX189" si="3216">(M189*$I189+AH189*$AD189+BC189*$AY189)/100</f>
        <v>0</v>
      </c>
      <c r="DT189" s="2">
        <f t="shared" si="3216"/>
        <v>0</v>
      </c>
      <c r="DU189" s="2">
        <f t="shared" si="3216"/>
        <v>0</v>
      </c>
      <c r="DV189" s="2">
        <f t="shared" si="3216"/>
        <v>0</v>
      </c>
      <c r="DW189" s="2">
        <f t="shared" si="3216"/>
        <v>3.108E-2</v>
      </c>
      <c r="DX189" s="2">
        <f t="shared" si="3216"/>
        <v>1.3439999999999999E-3</v>
      </c>
      <c r="DY189" s="2">
        <f t="shared" ref="DY189:EC189" si="3217">S189*$I189+AN189*$AD189+BI189*$AY189</f>
        <v>0</v>
      </c>
      <c r="DZ189" s="2">
        <f t="shared" si="3217"/>
        <v>0</v>
      </c>
      <c r="EA189" s="2">
        <f t="shared" si="3217"/>
        <v>0</v>
      </c>
      <c r="EB189" s="2">
        <f t="shared" si="3217"/>
        <v>0</v>
      </c>
      <c r="EC189" s="2">
        <f t="shared" si="3217"/>
        <v>0</v>
      </c>
      <c r="ED189" s="2">
        <f t="shared" ref="ED189:EE189" si="3218">(X189*$I189+AS189*$AD189+BN189*$AY189)/100</f>
        <v>0</v>
      </c>
      <c r="EE189" s="2">
        <f t="shared" si="3218"/>
        <v>0</v>
      </c>
      <c r="EF189" s="2"/>
      <c r="EG189" s="2">
        <f t="shared" si="10"/>
        <v>0</v>
      </c>
      <c r="EH189" s="2">
        <f t="shared" si="11"/>
        <v>0</v>
      </c>
      <c r="EI189" s="39">
        <f t="shared" si="12"/>
        <v>0</v>
      </c>
      <c r="EJ189" s="39">
        <f t="shared" ref="EJ189:EK189" si="3219">EJ$1*DQ189/1000000</f>
        <v>0</v>
      </c>
      <c r="EK189" s="39">
        <f t="shared" si="3219"/>
        <v>0</v>
      </c>
      <c r="EL189" s="39">
        <f t="shared" ref="EL189:EQ189" si="3220">EL$1*DS189</f>
        <v>0</v>
      </c>
      <c r="EM189" s="39">
        <f t="shared" si="3220"/>
        <v>0</v>
      </c>
      <c r="EN189" s="39">
        <f t="shared" si="3220"/>
        <v>0</v>
      </c>
      <c r="EO189" s="39">
        <f t="shared" si="3220"/>
        <v>0</v>
      </c>
      <c r="EP189" s="39">
        <f t="shared" si="3220"/>
        <v>407.58312000000001</v>
      </c>
      <c r="EQ189" s="39">
        <f t="shared" si="3220"/>
        <v>97.600640255999977</v>
      </c>
      <c r="ER189" s="39">
        <f t="shared" ref="ER189:EV189" si="3221">ER$1*DY189/1000000</f>
        <v>0</v>
      </c>
      <c r="ES189" s="39">
        <f t="shared" si="3221"/>
        <v>0</v>
      </c>
      <c r="ET189" s="39">
        <f t="shared" si="3221"/>
        <v>0</v>
      </c>
      <c r="EU189" s="39">
        <f t="shared" si="3221"/>
        <v>0</v>
      </c>
      <c r="EV189" s="39">
        <f t="shared" si="3221"/>
        <v>0</v>
      </c>
      <c r="EW189" s="39">
        <f t="shared" ref="EW189:EX189" si="3222">EW$1*ED189</f>
        <v>0</v>
      </c>
      <c r="EX189" s="39">
        <f t="shared" si="3222"/>
        <v>0</v>
      </c>
      <c r="EY189" s="2"/>
      <c r="EZ189" s="39">
        <f t="shared" si="17"/>
        <v>0</v>
      </c>
      <c r="FA189" s="39">
        <f t="shared" si="18"/>
        <v>0</v>
      </c>
      <c r="FB189" s="2">
        <f t="shared" si="19"/>
        <v>0</v>
      </c>
      <c r="FC189" s="2">
        <f t="shared" ref="FC189:FD189" si="3223">BV189*$BT189+CQ189*$CO189</f>
        <v>0</v>
      </c>
      <c r="FD189" s="2">
        <f t="shared" si="3223"/>
        <v>0</v>
      </c>
      <c r="FE189" s="2">
        <f t="shared" ref="FE189:FJ189" si="3224">(BX189*$BT189+CS189*$CO189)/100</f>
        <v>0</v>
      </c>
      <c r="FF189" s="2">
        <f t="shared" si="3224"/>
        <v>0</v>
      </c>
      <c r="FG189" s="2">
        <f t="shared" si="3224"/>
        <v>0</v>
      </c>
      <c r="FH189" s="2">
        <f t="shared" si="3224"/>
        <v>0</v>
      </c>
      <c r="FI189" s="2">
        <f t="shared" si="3224"/>
        <v>0</v>
      </c>
      <c r="FJ189" s="2">
        <f t="shared" si="3224"/>
        <v>0</v>
      </c>
      <c r="FK189" s="2">
        <f t="shared" ref="FK189:FO189" si="3225">CD189*$BT189+CY189*$CO189</f>
        <v>0</v>
      </c>
      <c r="FL189" s="2">
        <f t="shared" si="3225"/>
        <v>0</v>
      </c>
      <c r="FM189" s="2">
        <f t="shared" si="3225"/>
        <v>0</v>
      </c>
      <c r="FN189" s="2">
        <f t="shared" si="3225"/>
        <v>0</v>
      </c>
      <c r="FO189" s="2">
        <f t="shared" si="3225"/>
        <v>0</v>
      </c>
      <c r="FP189" s="2">
        <f t="shared" ref="FP189:FQ189" si="3226">(CI189*$BT189+DD189*$CO189)/100</f>
        <v>0</v>
      </c>
      <c r="FQ189" s="2">
        <f t="shared" si="3226"/>
        <v>0</v>
      </c>
      <c r="FR189" s="2"/>
      <c r="FS189" s="2">
        <f t="shared" si="24"/>
        <v>0</v>
      </c>
      <c r="FT189" s="2">
        <f t="shared" si="25"/>
        <v>0</v>
      </c>
      <c r="FU189" s="39">
        <f t="shared" si="26"/>
        <v>0</v>
      </c>
      <c r="FV189" s="39">
        <f t="shared" ref="FV189:FW189" si="3227">FV$1*FC189/1000000</f>
        <v>0</v>
      </c>
      <c r="FW189" s="39">
        <f t="shared" si="3227"/>
        <v>0</v>
      </c>
      <c r="FX189" s="39">
        <f t="shared" ref="FX189:GC189" si="3228">FX$1*FE189</f>
        <v>0</v>
      </c>
      <c r="FY189" s="39">
        <f t="shared" si="3228"/>
        <v>0</v>
      </c>
      <c r="FZ189" s="39">
        <f t="shared" si="3228"/>
        <v>0</v>
      </c>
      <c r="GA189" s="39">
        <f t="shared" si="3228"/>
        <v>0</v>
      </c>
      <c r="GB189" s="39">
        <f t="shared" si="3228"/>
        <v>0</v>
      </c>
      <c r="GC189" s="39">
        <f t="shared" si="3228"/>
        <v>0</v>
      </c>
      <c r="GD189" s="39">
        <f t="shared" ref="GD189:GH189" si="3229">GD$1*FK189/1000000</f>
        <v>0</v>
      </c>
      <c r="GE189" s="39">
        <f t="shared" si="3229"/>
        <v>0</v>
      </c>
      <c r="GF189" s="39">
        <f t="shared" si="3229"/>
        <v>0</v>
      </c>
      <c r="GG189" s="39">
        <f t="shared" si="3229"/>
        <v>0</v>
      </c>
      <c r="GH189" s="39">
        <f t="shared" si="3229"/>
        <v>0</v>
      </c>
      <c r="GI189" s="39">
        <f t="shared" ref="GI189:GJ189" si="3230">GI$1*FP189</f>
        <v>0</v>
      </c>
      <c r="GJ189" s="39">
        <f t="shared" si="3230"/>
        <v>0</v>
      </c>
      <c r="GK189" s="2"/>
      <c r="GL189" s="39">
        <f t="shared" si="31"/>
        <v>0</v>
      </c>
      <c r="GM189" s="39">
        <f t="shared" si="32"/>
        <v>0</v>
      </c>
      <c r="GN189" s="2" t="s">
        <v>3</v>
      </c>
      <c r="GO189" s="2">
        <f t="shared" si="33"/>
        <v>2.8</v>
      </c>
      <c r="GP189" s="2">
        <f t="shared" si="34"/>
        <v>1.1100000000000001</v>
      </c>
      <c r="GQ189" s="15">
        <f t="shared" si="35"/>
        <v>31.080000000000005</v>
      </c>
      <c r="GR189" s="15">
        <f t="shared" si="36"/>
        <v>505.18376025599997</v>
      </c>
      <c r="GS189" s="15">
        <f t="shared" si="37"/>
        <v>180.42277152</v>
      </c>
      <c r="GT189" s="2">
        <f t="shared" si="38"/>
        <v>0</v>
      </c>
      <c r="GU189" s="2">
        <f t="shared" si="39"/>
        <v>0</v>
      </c>
      <c r="GV189" s="2">
        <f t="shared" si="40"/>
        <v>31.08</v>
      </c>
      <c r="GW189" s="2">
        <f t="shared" si="41"/>
        <v>0</v>
      </c>
      <c r="GX189" s="2"/>
      <c r="GY189" s="2"/>
      <c r="GZ189" s="2"/>
      <c r="HA189" s="2"/>
      <c r="HB189" s="2">
        <f t="shared" si="42"/>
        <v>0</v>
      </c>
      <c r="HC189" s="2">
        <f t="shared" si="43"/>
        <v>0</v>
      </c>
      <c r="HD189" s="2" t="s">
        <v>3</v>
      </c>
      <c r="HE189" s="2" t="s">
        <v>37</v>
      </c>
      <c r="HF189" s="2" t="s">
        <v>373</v>
      </c>
      <c r="HG189" s="2" t="s">
        <v>373</v>
      </c>
      <c r="HH189" s="2"/>
      <c r="HI189" s="2" t="s">
        <v>81</v>
      </c>
      <c r="HJ189" s="2" t="s">
        <v>3</v>
      </c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 t="s">
        <v>3</v>
      </c>
    </row>
    <row r="190" spans="1:268" ht="15.75" customHeight="1" x14ac:dyDescent="0.2">
      <c r="A190" s="13" t="s">
        <v>935</v>
      </c>
      <c r="B190" s="2" t="s">
        <v>99</v>
      </c>
      <c r="C190" s="2"/>
      <c r="D190" s="2"/>
      <c r="E190" s="2"/>
      <c r="F190" s="2" t="s">
        <v>936</v>
      </c>
      <c r="G190" s="2"/>
      <c r="H190" s="2"/>
      <c r="I190" s="2">
        <v>59.805</v>
      </c>
      <c r="J190" s="2"/>
      <c r="K190" s="2"/>
      <c r="L190" s="2"/>
      <c r="M190" s="2"/>
      <c r="N190" s="2"/>
      <c r="O190" s="2"/>
      <c r="P190" s="2"/>
      <c r="Q190" s="2">
        <v>0.68</v>
      </c>
      <c r="R190" s="2">
        <v>0.24</v>
      </c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>
        <f>20.918+33.251</f>
        <v>54.168999999999997</v>
      </c>
      <c r="AE190" s="2"/>
      <c r="AF190" s="2"/>
      <c r="AG190" s="2"/>
      <c r="AH190" s="2"/>
      <c r="AI190" s="2"/>
      <c r="AJ190" s="2"/>
      <c r="AK190" s="2"/>
      <c r="AL190" s="4">
        <f>(0.67*20.918+0.6*33.251)/AD190</f>
        <v>0.62703132788126048</v>
      </c>
      <c r="AM190" s="4">
        <f>(0.19*20.918+0.21*33.251)/AD190</f>
        <v>0.20227676346249701</v>
      </c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15">
        <f>19.929+182.621</f>
        <v>202.55</v>
      </c>
      <c r="AZ190" s="2"/>
      <c r="BA190" s="2"/>
      <c r="BB190" s="2"/>
      <c r="BC190" s="2"/>
      <c r="BD190" s="2"/>
      <c r="BE190" s="2"/>
      <c r="BF190" s="2"/>
      <c r="BG190" s="4">
        <f>(0.65*19.929+0.58*182.621)/AY190</f>
        <v>0.58688733646013325</v>
      </c>
      <c r="BH190" s="4">
        <f>(0.19*19.929+0.2*182.621)/AY190</f>
        <v>0.19901609479140953</v>
      </c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>
        <v>0</v>
      </c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>
        <v>68.132000000000005</v>
      </c>
      <c r="CP190" s="2"/>
      <c r="CQ190" s="2"/>
      <c r="CR190" s="2"/>
      <c r="CS190" s="2"/>
      <c r="CT190" s="2"/>
      <c r="CU190" s="2"/>
      <c r="CV190" s="2"/>
      <c r="CW190" s="2">
        <v>0.66</v>
      </c>
      <c r="CX190" s="2">
        <v>0.26</v>
      </c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 t="s">
        <v>81</v>
      </c>
      <c r="DK190" s="2" t="s">
        <v>81</v>
      </c>
      <c r="DL190" s="2">
        <f t="shared" si="3"/>
        <v>0.61135045051876002</v>
      </c>
      <c r="DM190" s="2">
        <f t="shared" si="4"/>
        <v>0.20731773893922734</v>
      </c>
      <c r="DN190" s="2" t="s">
        <v>723</v>
      </c>
      <c r="DO190" s="2" t="s">
        <v>3</v>
      </c>
      <c r="DP190" s="2">
        <f t="shared" si="5"/>
        <v>0</v>
      </c>
      <c r="DQ190" s="2">
        <f t="shared" ref="DQ190:DR190" si="3231">K190*$I190+AF190*$AD190+BA190*$AY190</f>
        <v>0</v>
      </c>
      <c r="DR190" s="2">
        <f t="shared" si="3231"/>
        <v>0</v>
      </c>
      <c r="DS190" s="2">
        <f t="shared" ref="DS190:DX190" si="3232">(M190*$I190+AH190*$AD190+BC190*$AY190)/100</f>
        <v>0</v>
      </c>
      <c r="DT190" s="2">
        <f t="shared" si="3232"/>
        <v>0</v>
      </c>
      <c r="DU190" s="2">
        <f t="shared" si="3232"/>
        <v>0</v>
      </c>
      <c r="DV190" s="2">
        <f t="shared" si="3232"/>
        <v>0</v>
      </c>
      <c r="DW190" s="2">
        <f t="shared" si="3232"/>
        <v>1.9350709000000001</v>
      </c>
      <c r="DX190" s="2">
        <f t="shared" si="3232"/>
        <v>0.65621039999999997</v>
      </c>
      <c r="DY190" s="2">
        <f t="shared" ref="DY190:EC190" si="3233">S190*$I190+AN190*$AD190+BI190*$AY190</f>
        <v>0</v>
      </c>
      <c r="DZ190" s="2">
        <f t="shared" si="3233"/>
        <v>0</v>
      </c>
      <c r="EA190" s="2">
        <f t="shared" si="3233"/>
        <v>0</v>
      </c>
      <c r="EB190" s="2">
        <f t="shared" si="3233"/>
        <v>0</v>
      </c>
      <c r="EC190" s="2">
        <f t="shared" si="3233"/>
        <v>0</v>
      </c>
      <c r="ED190" s="2">
        <f t="shared" ref="ED190:EE190" si="3234">(X190*$I190+AS190*$AD190+BN190*$AY190)/100</f>
        <v>0</v>
      </c>
      <c r="EE190" s="2">
        <f t="shared" si="3234"/>
        <v>0</v>
      </c>
      <c r="EF190" s="2"/>
      <c r="EG190" s="2">
        <f t="shared" si="10"/>
        <v>0</v>
      </c>
      <c r="EH190" s="2">
        <f t="shared" si="11"/>
        <v>0</v>
      </c>
      <c r="EI190" s="39">
        <f t="shared" si="12"/>
        <v>0</v>
      </c>
      <c r="EJ190" s="39">
        <f t="shared" ref="EJ190:EK190" si="3235">EJ$1*DQ190/1000000</f>
        <v>0</v>
      </c>
      <c r="EK190" s="39">
        <f t="shared" si="3235"/>
        <v>0</v>
      </c>
      <c r="EL190" s="39">
        <f t="shared" ref="EL190:EQ190" si="3236">EL$1*DS190</f>
        <v>0</v>
      </c>
      <c r="EM190" s="39">
        <f t="shared" si="3236"/>
        <v>0</v>
      </c>
      <c r="EN190" s="39">
        <f t="shared" si="3236"/>
        <v>0</v>
      </c>
      <c r="EO190" s="39">
        <f t="shared" si="3236"/>
        <v>0</v>
      </c>
      <c r="EP190" s="39">
        <f t="shared" si="3236"/>
        <v>25376.5197826</v>
      </c>
      <c r="EQ190" s="39">
        <f t="shared" si="3236"/>
        <v>47653.686891849589</v>
      </c>
      <c r="ER190" s="39">
        <f t="shared" ref="ER190:EV190" si="3237">ER$1*DY190/1000000</f>
        <v>0</v>
      </c>
      <c r="ES190" s="39">
        <f t="shared" si="3237"/>
        <v>0</v>
      </c>
      <c r="ET190" s="39">
        <f t="shared" si="3237"/>
        <v>0</v>
      </c>
      <c r="EU190" s="39">
        <f t="shared" si="3237"/>
        <v>0</v>
      </c>
      <c r="EV190" s="39">
        <f t="shared" si="3237"/>
        <v>0</v>
      </c>
      <c r="EW190" s="39">
        <f t="shared" ref="EW190:EX190" si="3238">EW$1*ED190</f>
        <v>0</v>
      </c>
      <c r="EX190" s="39">
        <f t="shared" si="3238"/>
        <v>0</v>
      </c>
      <c r="EY190" s="2"/>
      <c r="EZ190" s="39">
        <f t="shared" si="17"/>
        <v>0</v>
      </c>
      <c r="FA190" s="39">
        <f t="shared" si="18"/>
        <v>0</v>
      </c>
      <c r="FB190" s="2">
        <f t="shared" si="19"/>
        <v>0</v>
      </c>
      <c r="FC190" s="2">
        <f t="shared" ref="FC190:FD190" si="3239">BV190*$BT190+CQ190*$CO190</f>
        <v>0</v>
      </c>
      <c r="FD190" s="2">
        <f t="shared" si="3239"/>
        <v>0</v>
      </c>
      <c r="FE190" s="2">
        <f t="shared" ref="FE190:FJ190" si="3240">(BX190*$BT190+CS190*$CO190)/100</f>
        <v>0</v>
      </c>
      <c r="FF190" s="2">
        <f t="shared" si="3240"/>
        <v>0</v>
      </c>
      <c r="FG190" s="2">
        <f t="shared" si="3240"/>
        <v>0</v>
      </c>
      <c r="FH190" s="2">
        <f t="shared" si="3240"/>
        <v>0</v>
      </c>
      <c r="FI190" s="2">
        <f t="shared" si="3240"/>
        <v>0.4496712000000001</v>
      </c>
      <c r="FJ190" s="2">
        <f t="shared" si="3240"/>
        <v>0.1771432</v>
      </c>
      <c r="FK190" s="2">
        <f t="shared" ref="FK190:FO190" si="3241">CD190*$BT190+CY190*$CO190</f>
        <v>0</v>
      </c>
      <c r="FL190" s="2">
        <f t="shared" si="3241"/>
        <v>0</v>
      </c>
      <c r="FM190" s="2">
        <f t="shared" si="3241"/>
        <v>0</v>
      </c>
      <c r="FN190" s="2">
        <f t="shared" si="3241"/>
        <v>0</v>
      </c>
      <c r="FO190" s="2">
        <f t="shared" si="3241"/>
        <v>0</v>
      </c>
      <c r="FP190" s="2">
        <f t="shared" ref="FP190:FQ190" si="3242">(CI190*$BT190+DD190*$CO190)/100</f>
        <v>0</v>
      </c>
      <c r="FQ190" s="2">
        <f t="shared" si="3242"/>
        <v>0</v>
      </c>
      <c r="FR190" s="2"/>
      <c r="FS190" s="2">
        <f t="shared" si="24"/>
        <v>0</v>
      </c>
      <c r="FT190" s="2">
        <f t="shared" si="25"/>
        <v>0</v>
      </c>
      <c r="FU190" s="39">
        <f t="shared" si="26"/>
        <v>0</v>
      </c>
      <c r="FV190" s="39">
        <f t="shared" ref="FV190:FW190" si="3243">FV$1*FC190/1000000</f>
        <v>0</v>
      </c>
      <c r="FW190" s="39">
        <f t="shared" si="3243"/>
        <v>0</v>
      </c>
      <c r="FX190" s="39">
        <f t="shared" ref="FX190:GC190" si="3244">FX$1*FE190</f>
        <v>0</v>
      </c>
      <c r="FY190" s="39">
        <f t="shared" si="3244"/>
        <v>0</v>
      </c>
      <c r="FZ190" s="39">
        <f t="shared" si="3244"/>
        <v>0</v>
      </c>
      <c r="GA190" s="39">
        <f t="shared" si="3244"/>
        <v>0</v>
      </c>
      <c r="GB190" s="39">
        <f t="shared" si="3244"/>
        <v>5896.9881168000011</v>
      </c>
      <c r="GC190" s="39">
        <f t="shared" si="3244"/>
        <v>12864.054863836798</v>
      </c>
      <c r="GD190" s="39">
        <f t="shared" ref="GD190:GH190" si="3245">GD$1*FK190/1000000</f>
        <v>0</v>
      </c>
      <c r="GE190" s="39">
        <f t="shared" si="3245"/>
        <v>0</v>
      </c>
      <c r="GF190" s="39">
        <f t="shared" si="3245"/>
        <v>0</v>
      </c>
      <c r="GG190" s="39">
        <f t="shared" si="3245"/>
        <v>0</v>
      </c>
      <c r="GH190" s="39">
        <f t="shared" si="3245"/>
        <v>0</v>
      </c>
      <c r="GI190" s="39">
        <f t="shared" ref="GI190:GJ190" si="3246">GI$1*FP190</f>
        <v>0</v>
      </c>
      <c r="GJ190" s="39">
        <f t="shared" si="3246"/>
        <v>0</v>
      </c>
      <c r="GK190" s="2"/>
      <c r="GL190" s="39">
        <f t="shared" si="31"/>
        <v>0</v>
      </c>
      <c r="GM190" s="39">
        <f t="shared" si="32"/>
        <v>0</v>
      </c>
      <c r="GN190" s="2" t="s">
        <v>3</v>
      </c>
      <c r="GO190" s="15">
        <f t="shared" si="33"/>
        <v>316.524</v>
      </c>
      <c r="GP190" s="4">
        <f t="shared" si="34"/>
        <v>0.61135045051876002</v>
      </c>
      <c r="GQ190" s="18">
        <f t="shared" si="35"/>
        <v>1935.0708999999999</v>
      </c>
      <c r="GR190" s="15">
        <f t="shared" si="36"/>
        <v>73030.206674449582</v>
      </c>
      <c r="GS190" s="15">
        <f t="shared" si="37"/>
        <v>230.72565326625968</v>
      </c>
      <c r="GT190" s="2">
        <f t="shared" si="38"/>
        <v>406.67400000000004</v>
      </c>
      <c r="GU190" s="2">
        <f t="shared" si="39"/>
        <v>339.65659999999997</v>
      </c>
      <c r="GV190" s="2">
        <f t="shared" si="40"/>
        <v>1188.7402999999999</v>
      </c>
      <c r="GW190" s="4">
        <f t="shared" si="41"/>
        <v>68.132000000000005</v>
      </c>
      <c r="GX190" s="2">
        <f>(BT190*CB190+CO190*CW190)/GW190</f>
        <v>0.66</v>
      </c>
      <c r="GY190" s="15">
        <f>1000*GW190*GX190/100</f>
        <v>449.6712</v>
      </c>
      <c r="GZ190" s="15">
        <f>SUM(FU190:GM190)</f>
        <v>18761.042980636797</v>
      </c>
      <c r="HA190" s="15">
        <f>GZ190/GW190</f>
        <v>275.36316239999996</v>
      </c>
      <c r="HB190" s="2">
        <f t="shared" si="42"/>
        <v>0</v>
      </c>
      <c r="HC190" s="2">
        <f t="shared" si="43"/>
        <v>449.67120000000011</v>
      </c>
      <c r="HD190" s="2" t="s">
        <v>3</v>
      </c>
      <c r="HE190" s="2" t="s">
        <v>37</v>
      </c>
      <c r="HF190" s="2" t="s">
        <v>373</v>
      </c>
      <c r="HG190" s="2" t="s">
        <v>373</v>
      </c>
      <c r="HH190" s="2"/>
      <c r="HI190" s="2" t="s">
        <v>81</v>
      </c>
      <c r="HJ190" s="2" t="s">
        <v>3</v>
      </c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 t="s">
        <v>3</v>
      </c>
    </row>
    <row r="191" spans="1:268" ht="15.75" customHeight="1" x14ac:dyDescent="0.2">
      <c r="A191" s="13" t="s">
        <v>76</v>
      </c>
      <c r="B191" s="2" t="s">
        <v>77</v>
      </c>
      <c r="C191" s="2"/>
      <c r="D191" s="2"/>
      <c r="E191" s="2" t="s">
        <v>78</v>
      </c>
      <c r="F191" s="2" t="s">
        <v>79</v>
      </c>
      <c r="G191" s="2"/>
      <c r="H191" s="2" t="s">
        <v>80</v>
      </c>
      <c r="I191" s="2">
        <v>0</v>
      </c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>
        <v>30.76</v>
      </c>
      <c r="AE191" s="2"/>
      <c r="AF191" s="2"/>
      <c r="AG191" s="2"/>
      <c r="AH191" s="2"/>
      <c r="AI191" s="2"/>
      <c r="AJ191" s="2"/>
      <c r="AK191" s="2"/>
      <c r="AL191" s="2">
        <v>1.1200000000000001</v>
      </c>
      <c r="AM191" s="2">
        <v>0.05</v>
      </c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>
        <v>0</v>
      </c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>
        <v>0</v>
      </c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>
        <v>0</v>
      </c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 t="s">
        <v>81</v>
      </c>
      <c r="DK191" s="2" t="s">
        <v>81</v>
      </c>
      <c r="DL191" s="2">
        <f t="shared" si="3"/>
        <v>1.1200000000000001</v>
      </c>
      <c r="DM191" s="2">
        <f t="shared" si="4"/>
        <v>0.05</v>
      </c>
      <c r="DN191" s="2" t="s">
        <v>82</v>
      </c>
      <c r="DO191" s="2" t="s">
        <v>3</v>
      </c>
      <c r="DP191" s="2">
        <f t="shared" si="5"/>
        <v>0</v>
      </c>
      <c r="DQ191" s="2">
        <f t="shared" ref="DQ191:DR191" si="3247">K191*$I191+AF191*$AD191+BA191*$AY191</f>
        <v>0</v>
      </c>
      <c r="DR191" s="2">
        <f t="shared" si="3247"/>
        <v>0</v>
      </c>
      <c r="DS191" s="2">
        <f t="shared" ref="DS191:DX191" si="3248">(M191*$I191+AH191*$AD191+BC191*$AY191)/100</f>
        <v>0</v>
      </c>
      <c r="DT191" s="2">
        <f t="shared" si="3248"/>
        <v>0</v>
      </c>
      <c r="DU191" s="2">
        <f t="shared" si="3248"/>
        <v>0</v>
      </c>
      <c r="DV191" s="2">
        <f t="shared" si="3248"/>
        <v>0</v>
      </c>
      <c r="DW191" s="2">
        <f t="shared" si="3248"/>
        <v>0.3445120000000001</v>
      </c>
      <c r="DX191" s="2">
        <f t="shared" si="3248"/>
        <v>1.5380000000000003E-2</v>
      </c>
      <c r="DY191" s="2">
        <f t="shared" ref="DY191:EC191" si="3249">S191*$I191+AN191*$AD191+BI191*$AY191</f>
        <v>0</v>
      </c>
      <c r="DZ191" s="2">
        <f t="shared" si="3249"/>
        <v>0</v>
      </c>
      <c r="EA191" s="2">
        <f t="shared" si="3249"/>
        <v>0</v>
      </c>
      <c r="EB191" s="2">
        <f t="shared" si="3249"/>
        <v>0</v>
      </c>
      <c r="EC191" s="2">
        <f t="shared" si="3249"/>
        <v>0</v>
      </c>
      <c r="ED191" s="2">
        <f t="shared" ref="ED191:EE191" si="3250">(X191*$I191+AS191*$AD191+BN191*$AY191)/100</f>
        <v>0</v>
      </c>
      <c r="EE191" s="2">
        <f t="shared" si="3250"/>
        <v>0</v>
      </c>
      <c r="EF191" s="2"/>
      <c r="EG191" s="2">
        <f t="shared" si="10"/>
        <v>0</v>
      </c>
      <c r="EH191" s="2">
        <f t="shared" si="11"/>
        <v>0</v>
      </c>
      <c r="EI191" s="39">
        <f t="shared" si="12"/>
        <v>0</v>
      </c>
      <c r="EJ191" s="39">
        <f t="shared" ref="EJ191:EK191" si="3251">EJ$1*DQ191/1000000</f>
        <v>0</v>
      </c>
      <c r="EK191" s="39">
        <f t="shared" si="3251"/>
        <v>0</v>
      </c>
      <c r="EL191" s="39">
        <f t="shared" ref="EL191:EQ191" si="3252">EL$1*DS191</f>
        <v>0</v>
      </c>
      <c r="EM191" s="39">
        <f t="shared" si="3252"/>
        <v>0</v>
      </c>
      <c r="EN191" s="39">
        <f t="shared" si="3252"/>
        <v>0</v>
      </c>
      <c r="EO191" s="39">
        <f t="shared" si="3252"/>
        <v>0</v>
      </c>
      <c r="EP191" s="39">
        <f t="shared" si="3252"/>
        <v>4517.9303680000012</v>
      </c>
      <c r="EQ191" s="39">
        <f t="shared" si="3252"/>
        <v>1116.8882791200001</v>
      </c>
      <c r="ER191" s="39">
        <f t="shared" ref="ER191:EV191" si="3253">ER$1*DY191/1000000</f>
        <v>0</v>
      </c>
      <c r="ES191" s="39">
        <f t="shared" si="3253"/>
        <v>0</v>
      </c>
      <c r="ET191" s="39">
        <f t="shared" si="3253"/>
        <v>0</v>
      </c>
      <c r="EU191" s="39">
        <f t="shared" si="3253"/>
        <v>0</v>
      </c>
      <c r="EV191" s="39">
        <f t="shared" si="3253"/>
        <v>0</v>
      </c>
      <c r="EW191" s="39">
        <f t="shared" ref="EW191:EX191" si="3254">EW$1*ED191</f>
        <v>0</v>
      </c>
      <c r="EX191" s="39">
        <f t="shared" si="3254"/>
        <v>0</v>
      </c>
      <c r="EY191" s="2"/>
      <c r="EZ191" s="39">
        <f t="shared" si="17"/>
        <v>0</v>
      </c>
      <c r="FA191" s="39">
        <f t="shared" si="18"/>
        <v>0</v>
      </c>
      <c r="FB191" s="2">
        <f t="shared" si="19"/>
        <v>0</v>
      </c>
      <c r="FC191" s="2">
        <f t="shared" ref="FC191:FD191" si="3255">BV191*$BT191+CQ191*$CO191</f>
        <v>0</v>
      </c>
      <c r="FD191" s="2">
        <f t="shared" si="3255"/>
        <v>0</v>
      </c>
      <c r="FE191" s="2">
        <f t="shared" ref="FE191:FJ191" si="3256">(BX191*$BT191+CS191*$CO191)/100</f>
        <v>0</v>
      </c>
      <c r="FF191" s="2">
        <f t="shared" si="3256"/>
        <v>0</v>
      </c>
      <c r="FG191" s="2">
        <f t="shared" si="3256"/>
        <v>0</v>
      </c>
      <c r="FH191" s="2">
        <f t="shared" si="3256"/>
        <v>0</v>
      </c>
      <c r="FI191" s="2">
        <f t="shared" si="3256"/>
        <v>0</v>
      </c>
      <c r="FJ191" s="2">
        <f t="shared" si="3256"/>
        <v>0</v>
      </c>
      <c r="FK191" s="2">
        <f t="shared" ref="FK191:FO191" si="3257">CD191*$BT191+CY191*$CO191</f>
        <v>0</v>
      </c>
      <c r="FL191" s="2">
        <f t="shared" si="3257"/>
        <v>0</v>
      </c>
      <c r="FM191" s="2">
        <f t="shared" si="3257"/>
        <v>0</v>
      </c>
      <c r="FN191" s="2">
        <f t="shared" si="3257"/>
        <v>0</v>
      </c>
      <c r="FO191" s="2">
        <f t="shared" si="3257"/>
        <v>0</v>
      </c>
      <c r="FP191" s="2">
        <f t="shared" ref="FP191:FQ191" si="3258">(CI191*$BT191+DD191*$CO191)/100</f>
        <v>0</v>
      </c>
      <c r="FQ191" s="2">
        <f t="shared" si="3258"/>
        <v>0</v>
      </c>
      <c r="FR191" s="2"/>
      <c r="FS191" s="2">
        <f t="shared" si="24"/>
        <v>0</v>
      </c>
      <c r="FT191" s="2">
        <f t="shared" si="25"/>
        <v>0</v>
      </c>
      <c r="FU191" s="39">
        <f t="shared" si="26"/>
        <v>0</v>
      </c>
      <c r="FV191" s="39">
        <f t="shared" ref="FV191:FW191" si="3259">FV$1*FC191/1000000</f>
        <v>0</v>
      </c>
      <c r="FW191" s="39">
        <f t="shared" si="3259"/>
        <v>0</v>
      </c>
      <c r="FX191" s="39">
        <f t="shared" ref="FX191:GC191" si="3260">FX$1*FE191</f>
        <v>0</v>
      </c>
      <c r="FY191" s="39">
        <f t="shared" si="3260"/>
        <v>0</v>
      </c>
      <c r="FZ191" s="39">
        <f t="shared" si="3260"/>
        <v>0</v>
      </c>
      <c r="GA191" s="39">
        <f t="shared" si="3260"/>
        <v>0</v>
      </c>
      <c r="GB191" s="39">
        <f t="shared" si="3260"/>
        <v>0</v>
      </c>
      <c r="GC191" s="39">
        <f t="shared" si="3260"/>
        <v>0</v>
      </c>
      <c r="GD191" s="39">
        <f t="shared" ref="GD191:GH191" si="3261">GD$1*FK191/1000000</f>
        <v>0</v>
      </c>
      <c r="GE191" s="39">
        <f t="shared" si="3261"/>
        <v>0</v>
      </c>
      <c r="GF191" s="39">
        <f t="shared" si="3261"/>
        <v>0</v>
      </c>
      <c r="GG191" s="39">
        <f t="shared" si="3261"/>
        <v>0</v>
      </c>
      <c r="GH191" s="39">
        <f t="shared" si="3261"/>
        <v>0</v>
      </c>
      <c r="GI191" s="39">
        <f t="shared" ref="GI191:GJ191" si="3262">GI$1*FP191</f>
        <v>0</v>
      </c>
      <c r="GJ191" s="39">
        <f t="shared" si="3262"/>
        <v>0</v>
      </c>
      <c r="GK191" s="2"/>
      <c r="GL191" s="39">
        <f t="shared" si="31"/>
        <v>0</v>
      </c>
      <c r="GM191" s="39">
        <f t="shared" si="32"/>
        <v>0</v>
      </c>
      <c r="GN191" s="2" t="s">
        <v>3</v>
      </c>
      <c r="GO191" s="2">
        <f t="shared" si="33"/>
        <v>30.76</v>
      </c>
      <c r="GP191" s="4">
        <f t="shared" si="34"/>
        <v>1.1200000000000001</v>
      </c>
      <c r="GQ191" s="15">
        <f t="shared" si="35"/>
        <v>344.51200000000006</v>
      </c>
      <c r="GR191" s="15">
        <f t="shared" si="36"/>
        <v>5634.8186471200015</v>
      </c>
      <c r="GS191" s="15">
        <f t="shared" si="37"/>
        <v>183.18656200000004</v>
      </c>
      <c r="GT191" s="2">
        <f t="shared" si="38"/>
        <v>0</v>
      </c>
      <c r="GU191" s="2">
        <f t="shared" si="39"/>
        <v>344.51200000000006</v>
      </c>
      <c r="GV191" s="2">
        <f t="shared" si="40"/>
        <v>0</v>
      </c>
      <c r="GW191" s="2">
        <f t="shared" si="41"/>
        <v>0</v>
      </c>
      <c r="GX191" s="2"/>
      <c r="GY191" s="2"/>
      <c r="GZ191" s="2"/>
      <c r="HA191" s="2"/>
      <c r="HB191" s="2">
        <f t="shared" si="42"/>
        <v>0</v>
      </c>
      <c r="HC191" s="2">
        <f t="shared" si="43"/>
        <v>0</v>
      </c>
      <c r="HD191" s="2" t="s">
        <v>3</v>
      </c>
      <c r="HE191" s="2" t="s">
        <v>37</v>
      </c>
      <c r="HF191" s="2" t="s">
        <v>83</v>
      </c>
      <c r="HG191" s="2" t="s">
        <v>83</v>
      </c>
      <c r="HH191" s="2"/>
      <c r="HI191" s="2" t="s">
        <v>81</v>
      </c>
      <c r="HJ191" s="2" t="s">
        <v>3</v>
      </c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 t="s">
        <v>3</v>
      </c>
    </row>
    <row r="192" spans="1:268" ht="15.75" customHeight="1" x14ac:dyDescent="0.2">
      <c r="A192" s="13" t="s">
        <v>371</v>
      </c>
      <c r="B192" s="2" t="s">
        <v>99</v>
      </c>
      <c r="C192" s="2"/>
      <c r="D192" s="2"/>
      <c r="E192" s="2" t="s">
        <v>78</v>
      </c>
      <c r="F192" s="2" t="s">
        <v>372</v>
      </c>
      <c r="G192" s="2"/>
      <c r="H192" s="2" t="s">
        <v>242</v>
      </c>
      <c r="I192" s="2">
        <v>0</v>
      </c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>
        <v>2.2000000000000002</v>
      </c>
      <c r="AE192" s="2"/>
      <c r="AF192" s="2"/>
      <c r="AG192" s="2"/>
      <c r="AH192" s="2"/>
      <c r="AI192" s="2"/>
      <c r="AJ192" s="2"/>
      <c r="AK192" s="2"/>
      <c r="AL192" s="2">
        <v>0.97</v>
      </c>
      <c r="AM192" s="2">
        <v>0.04</v>
      </c>
      <c r="AN192" s="2"/>
      <c r="AO192" s="2"/>
      <c r="AP192" s="2"/>
      <c r="AQ192" s="2"/>
      <c r="AR192" s="2"/>
      <c r="AS192" s="2"/>
      <c r="AT192" s="2">
        <v>19</v>
      </c>
      <c r="AU192" s="2"/>
      <c r="AV192" s="2"/>
      <c r="AW192" s="2"/>
      <c r="AX192" s="2"/>
      <c r="AY192" s="2">
        <v>18.8</v>
      </c>
      <c r="AZ192" s="2"/>
      <c r="BA192" s="2"/>
      <c r="BB192" s="2"/>
      <c r="BC192" s="2"/>
      <c r="BD192" s="2"/>
      <c r="BE192" s="2"/>
      <c r="BF192" s="2"/>
      <c r="BG192" s="2">
        <v>0.84</v>
      </c>
      <c r="BH192" s="2">
        <v>0.06</v>
      </c>
      <c r="BI192" s="2"/>
      <c r="BJ192" s="2"/>
      <c r="BK192" s="2"/>
      <c r="BL192" s="2"/>
      <c r="BM192" s="2"/>
      <c r="BN192" s="2"/>
      <c r="BO192" s="2">
        <v>23</v>
      </c>
      <c r="BP192" s="2"/>
      <c r="BQ192" s="2"/>
      <c r="BR192" s="2"/>
      <c r="BS192" s="2"/>
      <c r="BT192" s="2">
        <v>0</v>
      </c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>
        <v>0</v>
      </c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 t="s">
        <v>81</v>
      </c>
      <c r="DK192" s="2" t="s">
        <v>81</v>
      </c>
      <c r="DL192" s="2">
        <f t="shared" si="3"/>
        <v>0.8536190476190475</v>
      </c>
      <c r="DM192" s="2">
        <f t="shared" si="4"/>
        <v>5.7904761904761903E-2</v>
      </c>
      <c r="DN192" s="2" t="s">
        <v>211</v>
      </c>
      <c r="DO192" s="2" t="s">
        <v>3</v>
      </c>
      <c r="DP192" s="2">
        <f t="shared" si="5"/>
        <v>0</v>
      </c>
      <c r="DQ192" s="2">
        <f t="shared" ref="DQ192:DR192" si="3263">K192*$I192+AF192*$AD192+BA192*$AY192</f>
        <v>0</v>
      </c>
      <c r="DR192" s="2">
        <f t="shared" si="3263"/>
        <v>0</v>
      </c>
      <c r="DS192" s="2">
        <f t="shared" ref="DS192:DX192" si="3264">(M192*$I192+AH192*$AD192+BC192*$AY192)/100</f>
        <v>0</v>
      </c>
      <c r="DT192" s="2">
        <f t="shared" si="3264"/>
        <v>0</v>
      </c>
      <c r="DU192" s="2">
        <f t="shared" si="3264"/>
        <v>0</v>
      </c>
      <c r="DV192" s="2">
        <f t="shared" si="3264"/>
        <v>0</v>
      </c>
      <c r="DW192" s="2">
        <f t="shared" si="3264"/>
        <v>0.17925999999999997</v>
      </c>
      <c r="DX192" s="2">
        <f t="shared" si="3264"/>
        <v>1.2159999999999999E-2</v>
      </c>
      <c r="DY192" s="2">
        <f t="shared" ref="DY192:EC192" si="3265">S192*$I192+AN192*$AD192+BI192*$AY192</f>
        <v>0</v>
      </c>
      <c r="DZ192" s="2">
        <f t="shared" si="3265"/>
        <v>0</v>
      </c>
      <c r="EA192" s="2">
        <f t="shared" si="3265"/>
        <v>0</v>
      </c>
      <c r="EB192" s="2">
        <f t="shared" si="3265"/>
        <v>0</v>
      </c>
      <c r="EC192" s="2">
        <f t="shared" si="3265"/>
        <v>0</v>
      </c>
      <c r="ED192" s="2">
        <f t="shared" ref="ED192:EE192" si="3266">(X192*$I192+AS192*$AD192+BN192*$AY192)/100</f>
        <v>0</v>
      </c>
      <c r="EE192" s="2">
        <f t="shared" si="3266"/>
        <v>4.7420000000000009</v>
      </c>
      <c r="EF192" s="2"/>
      <c r="EG192" s="2">
        <f t="shared" si="10"/>
        <v>0</v>
      </c>
      <c r="EH192" s="2">
        <f t="shared" si="11"/>
        <v>0</v>
      </c>
      <c r="EI192" s="39">
        <f t="shared" si="12"/>
        <v>0</v>
      </c>
      <c r="EJ192" s="39">
        <f t="shared" ref="EJ192:EK192" si="3267">EJ$1*DQ192/1000000</f>
        <v>0</v>
      </c>
      <c r="EK192" s="39">
        <f t="shared" si="3267"/>
        <v>0</v>
      </c>
      <c r="EL192" s="39">
        <f t="shared" ref="EL192:EQ192" si="3268">EL$1*DS192</f>
        <v>0</v>
      </c>
      <c r="EM192" s="39">
        <f t="shared" si="3268"/>
        <v>0</v>
      </c>
      <c r="EN192" s="39">
        <f t="shared" si="3268"/>
        <v>0</v>
      </c>
      <c r="EO192" s="39">
        <f t="shared" si="3268"/>
        <v>0</v>
      </c>
      <c r="EP192" s="39">
        <f t="shared" si="3268"/>
        <v>2350.8156399999998</v>
      </c>
      <c r="EQ192" s="39">
        <f t="shared" si="3268"/>
        <v>883.05341183999985</v>
      </c>
      <c r="ER192" s="39">
        <f t="shared" ref="ER192:EV192" si="3269">ER$1*DY192/1000000</f>
        <v>0</v>
      </c>
      <c r="ES192" s="39">
        <f t="shared" si="3269"/>
        <v>0</v>
      </c>
      <c r="ET192" s="39">
        <f t="shared" si="3269"/>
        <v>0</v>
      </c>
      <c r="EU192" s="39">
        <f t="shared" si="3269"/>
        <v>0</v>
      </c>
      <c r="EV192" s="39">
        <f t="shared" si="3269"/>
        <v>0</v>
      </c>
      <c r="EW192" s="39">
        <f t="shared" ref="EW192:EX192" si="3270">EW$1*ED192</f>
        <v>0</v>
      </c>
      <c r="EX192" s="39">
        <f t="shared" si="3270"/>
        <v>441.00600000000009</v>
      </c>
      <c r="EY192" s="2"/>
      <c r="EZ192" s="39">
        <f t="shared" si="17"/>
        <v>0</v>
      </c>
      <c r="FA192" s="39">
        <f t="shared" si="18"/>
        <v>0</v>
      </c>
      <c r="FB192" s="2">
        <f t="shared" si="19"/>
        <v>0</v>
      </c>
      <c r="FC192" s="2">
        <f t="shared" ref="FC192:FD192" si="3271">BV192*$BT192+CQ192*$CO192</f>
        <v>0</v>
      </c>
      <c r="FD192" s="2">
        <f t="shared" si="3271"/>
        <v>0</v>
      </c>
      <c r="FE192" s="2">
        <f t="shared" ref="FE192:FJ192" si="3272">(BX192*$BT192+CS192*$CO192)/100</f>
        <v>0</v>
      </c>
      <c r="FF192" s="2">
        <f t="shared" si="3272"/>
        <v>0</v>
      </c>
      <c r="FG192" s="2">
        <f t="shared" si="3272"/>
        <v>0</v>
      </c>
      <c r="FH192" s="2">
        <f t="shared" si="3272"/>
        <v>0</v>
      </c>
      <c r="FI192" s="2">
        <f t="shared" si="3272"/>
        <v>0</v>
      </c>
      <c r="FJ192" s="2">
        <f t="shared" si="3272"/>
        <v>0</v>
      </c>
      <c r="FK192" s="2">
        <f t="shared" ref="FK192:FO192" si="3273">CD192*$BT192+CY192*$CO192</f>
        <v>0</v>
      </c>
      <c r="FL192" s="2">
        <f t="shared" si="3273"/>
        <v>0</v>
      </c>
      <c r="FM192" s="2">
        <f t="shared" si="3273"/>
        <v>0</v>
      </c>
      <c r="FN192" s="2">
        <f t="shared" si="3273"/>
        <v>0</v>
      </c>
      <c r="FO192" s="2">
        <f t="shared" si="3273"/>
        <v>0</v>
      </c>
      <c r="FP192" s="2">
        <f t="shared" ref="FP192:FQ192" si="3274">(CI192*$BT192+DD192*$CO192)/100</f>
        <v>0</v>
      </c>
      <c r="FQ192" s="2">
        <f t="shared" si="3274"/>
        <v>0</v>
      </c>
      <c r="FR192" s="2"/>
      <c r="FS192" s="2">
        <f t="shared" si="24"/>
        <v>0</v>
      </c>
      <c r="FT192" s="2">
        <f t="shared" si="25"/>
        <v>0</v>
      </c>
      <c r="FU192" s="39">
        <f t="shared" si="26"/>
        <v>0</v>
      </c>
      <c r="FV192" s="39">
        <f t="shared" ref="FV192:FW192" si="3275">FV$1*FC192/1000000</f>
        <v>0</v>
      </c>
      <c r="FW192" s="39">
        <f t="shared" si="3275"/>
        <v>0</v>
      </c>
      <c r="FX192" s="39">
        <f t="shared" ref="FX192:GC192" si="3276">FX$1*FE192</f>
        <v>0</v>
      </c>
      <c r="FY192" s="39">
        <f t="shared" si="3276"/>
        <v>0</v>
      </c>
      <c r="FZ192" s="39">
        <f t="shared" si="3276"/>
        <v>0</v>
      </c>
      <c r="GA192" s="39">
        <f t="shared" si="3276"/>
        <v>0</v>
      </c>
      <c r="GB192" s="39">
        <f t="shared" si="3276"/>
        <v>0</v>
      </c>
      <c r="GC192" s="39">
        <f t="shared" si="3276"/>
        <v>0</v>
      </c>
      <c r="GD192" s="39">
        <f t="shared" ref="GD192:GH192" si="3277">GD$1*FK192/1000000</f>
        <v>0</v>
      </c>
      <c r="GE192" s="39">
        <f t="shared" si="3277"/>
        <v>0</v>
      </c>
      <c r="GF192" s="39">
        <f t="shared" si="3277"/>
        <v>0</v>
      </c>
      <c r="GG192" s="39">
        <f t="shared" si="3277"/>
        <v>0</v>
      </c>
      <c r="GH192" s="39">
        <f t="shared" si="3277"/>
        <v>0</v>
      </c>
      <c r="GI192" s="39">
        <f t="shared" ref="GI192:GJ192" si="3278">GI$1*FP192</f>
        <v>0</v>
      </c>
      <c r="GJ192" s="39">
        <f t="shared" si="3278"/>
        <v>0</v>
      </c>
      <c r="GK192" s="2"/>
      <c r="GL192" s="39">
        <f t="shared" si="31"/>
        <v>0</v>
      </c>
      <c r="GM192" s="39">
        <f t="shared" si="32"/>
        <v>0</v>
      </c>
      <c r="GN192" s="2" t="s">
        <v>3</v>
      </c>
      <c r="GO192" s="2">
        <f t="shared" si="33"/>
        <v>21</v>
      </c>
      <c r="GP192" s="4">
        <f t="shared" si="34"/>
        <v>0.8536190476190475</v>
      </c>
      <c r="GQ192" s="15">
        <f t="shared" si="35"/>
        <v>179.25999999999996</v>
      </c>
      <c r="GR192" s="15">
        <f t="shared" si="36"/>
        <v>3674.8750518400002</v>
      </c>
      <c r="GS192" s="15">
        <f t="shared" si="37"/>
        <v>174.99405008761906</v>
      </c>
      <c r="GT192" s="2">
        <f t="shared" si="38"/>
        <v>0</v>
      </c>
      <c r="GU192" s="2">
        <f t="shared" si="39"/>
        <v>21.34</v>
      </c>
      <c r="GV192" s="2">
        <f t="shared" si="40"/>
        <v>157.91999999999999</v>
      </c>
      <c r="GW192" s="2">
        <f t="shared" si="41"/>
        <v>0</v>
      </c>
      <c r="GX192" s="2"/>
      <c r="GY192" s="2"/>
      <c r="GZ192" s="2"/>
      <c r="HA192" s="2"/>
      <c r="HB192" s="2">
        <f t="shared" si="42"/>
        <v>0</v>
      </c>
      <c r="HC192" s="2">
        <f t="shared" si="43"/>
        <v>0</v>
      </c>
      <c r="HD192" s="2" t="s">
        <v>3</v>
      </c>
      <c r="HE192" s="2" t="s">
        <v>37</v>
      </c>
      <c r="HF192" s="2" t="s">
        <v>83</v>
      </c>
      <c r="HG192" s="2" t="s">
        <v>83</v>
      </c>
      <c r="HH192" s="2"/>
      <c r="HI192" s="2" t="s">
        <v>81</v>
      </c>
      <c r="HJ192" s="2" t="s">
        <v>3</v>
      </c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 t="s">
        <v>3</v>
      </c>
    </row>
    <row r="193" spans="1:268" ht="15.75" customHeight="1" x14ac:dyDescent="0.2">
      <c r="A193" s="13" t="s">
        <v>580</v>
      </c>
      <c r="B193" s="2" t="s">
        <v>99</v>
      </c>
      <c r="C193" s="2"/>
      <c r="D193" s="2"/>
      <c r="E193" s="2" t="s">
        <v>78</v>
      </c>
      <c r="F193" s="2" t="s">
        <v>581</v>
      </c>
      <c r="G193" s="2"/>
      <c r="H193" s="2" t="s">
        <v>242</v>
      </c>
      <c r="I193" s="2">
        <v>0</v>
      </c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>
        <v>0</v>
      </c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>
        <v>4.3099999999999996</v>
      </c>
      <c r="AZ193" s="2"/>
      <c r="BA193" s="2"/>
      <c r="BB193" s="2"/>
      <c r="BC193" s="2"/>
      <c r="BD193" s="2"/>
      <c r="BE193" s="2"/>
      <c r="BF193" s="2"/>
      <c r="BG193" s="2">
        <v>1.02</v>
      </c>
      <c r="BH193" s="2">
        <v>6.3E-2</v>
      </c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>
        <v>0</v>
      </c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>
        <v>0</v>
      </c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 t="s">
        <v>81</v>
      </c>
      <c r="DK193" s="2" t="s">
        <v>81</v>
      </c>
      <c r="DL193" s="2">
        <f t="shared" si="3"/>
        <v>1.02</v>
      </c>
      <c r="DM193" s="2">
        <f t="shared" si="4"/>
        <v>6.3E-2</v>
      </c>
      <c r="DN193" s="2" t="s">
        <v>175</v>
      </c>
      <c r="DO193" s="2" t="s">
        <v>3</v>
      </c>
      <c r="DP193" s="2">
        <f t="shared" si="5"/>
        <v>0</v>
      </c>
      <c r="DQ193" s="2">
        <f t="shared" ref="DQ193:DR193" si="3279">K193*$I193+AF193*$AD193+BA193*$AY193</f>
        <v>0</v>
      </c>
      <c r="DR193" s="2">
        <f t="shared" si="3279"/>
        <v>0</v>
      </c>
      <c r="DS193" s="2">
        <f t="shared" ref="DS193:DX193" si="3280">(M193*$I193+AH193*$AD193+BC193*$AY193)/100</f>
        <v>0</v>
      </c>
      <c r="DT193" s="2">
        <f t="shared" si="3280"/>
        <v>0</v>
      </c>
      <c r="DU193" s="2">
        <f t="shared" si="3280"/>
        <v>0</v>
      </c>
      <c r="DV193" s="2">
        <f t="shared" si="3280"/>
        <v>0</v>
      </c>
      <c r="DW193" s="2">
        <f t="shared" si="3280"/>
        <v>4.3961999999999994E-2</v>
      </c>
      <c r="DX193" s="2">
        <f t="shared" si="3280"/>
        <v>2.7152999999999999E-3</v>
      </c>
      <c r="DY193" s="2">
        <f t="shared" ref="DY193:EC193" si="3281">S193*$I193+AN193*$AD193+BI193*$AY193</f>
        <v>0</v>
      </c>
      <c r="DZ193" s="2">
        <f t="shared" si="3281"/>
        <v>0</v>
      </c>
      <c r="EA193" s="2">
        <f t="shared" si="3281"/>
        <v>0</v>
      </c>
      <c r="EB193" s="2">
        <f t="shared" si="3281"/>
        <v>0</v>
      </c>
      <c r="EC193" s="2">
        <f t="shared" si="3281"/>
        <v>0</v>
      </c>
      <c r="ED193" s="2">
        <f t="shared" ref="ED193:EE193" si="3282">(X193*$I193+AS193*$AD193+BN193*$AY193)/100</f>
        <v>0</v>
      </c>
      <c r="EE193" s="2">
        <f t="shared" si="3282"/>
        <v>0</v>
      </c>
      <c r="EF193" s="2"/>
      <c r="EG193" s="2">
        <f t="shared" si="10"/>
        <v>0</v>
      </c>
      <c r="EH193" s="2">
        <f t="shared" si="11"/>
        <v>0</v>
      </c>
      <c r="EI193" s="39">
        <f t="shared" si="12"/>
        <v>0</v>
      </c>
      <c r="EJ193" s="39">
        <f t="shared" ref="EJ193:EK193" si="3283">EJ$1*DQ193/1000000</f>
        <v>0</v>
      </c>
      <c r="EK193" s="39">
        <f t="shared" si="3283"/>
        <v>0</v>
      </c>
      <c r="EL193" s="39">
        <f t="shared" ref="EL193:EQ193" si="3284">EL$1*DS193</f>
        <v>0</v>
      </c>
      <c r="EM193" s="39">
        <f t="shared" si="3284"/>
        <v>0</v>
      </c>
      <c r="EN193" s="39">
        <f t="shared" si="3284"/>
        <v>0</v>
      </c>
      <c r="EO193" s="39">
        <f t="shared" si="3284"/>
        <v>0</v>
      </c>
      <c r="EP193" s="39">
        <f t="shared" si="3284"/>
        <v>576.51766799999996</v>
      </c>
      <c r="EQ193" s="39">
        <f t="shared" si="3284"/>
        <v>197.18379351719997</v>
      </c>
      <c r="ER193" s="39">
        <f t="shared" ref="ER193:EV193" si="3285">ER$1*DY193/1000000</f>
        <v>0</v>
      </c>
      <c r="ES193" s="39">
        <f t="shared" si="3285"/>
        <v>0</v>
      </c>
      <c r="ET193" s="39">
        <f t="shared" si="3285"/>
        <v>0</v>
      </c>
      <c r="EU193" s="39">
        <f t="shared" si="3285"/>
        <v>0</v>
      </c>
      <c r="EV193" s="39">
        <f t="shared" si="3285"/>
        <v>0</v>
      </c>
      <c r="EW193" s="39">
        <f t="shared" ref="EW193:EX193" si="3286">EW$1*ED193</f>
        <v>0</v>
      </c>
      <c r="EX193" s="39">
        <f t="shared" si="3286"/>
        <v>0</v>
      </c>
      <c r="EY193" s="2"/>
      <c r="EZ193" s="39">
        <f t="shared" si="17"/>
        <v>0</v>
      </c>
      <c r="FA193" s="39">
        <f t="shared" si="18"/>
        <v>0</v>
      </c>
      <c r="FB193" s="2">
        <f t="shared" si="19"/>
        <v>0</v>
      </c>
      <c r="FC193" s="2">
        <f t="shared" ref="FC193:FD193" si="3287">BV193*$BT193+CQ193*$CO193</f>
        <v>0</v>
      </c>
      <c r="FD193" s="2">
        <f t="shared" si="3287"/>
        <v>0</v>
      </c>
      <c r="FE193" s="2">
        <f t="shared" ref="FE193:FJ193" si="3288">(BX193*$BT193+CS193*$CO193)/100</f>
        <v>0</v>
      </c>
      <c r="FF193" s="2">
        <f t="shared" si="3288"/>
        <v>0</v>
      </c>
      <c r="FG193" s="2">
        <f t="shared" si="3288"/>
        <v>0</v>
      </c>
      <c r="FH193" s="2">
        <f t="shared" si="3288"/>
        <v>0</v>
      </c>
      <c r="FI193" s="2">
        <f t="shared" si="3288"/>
        <v>0</v>
      </c>
      <c r="FJ193" s="2">
        <f t="shared" si="3288"/>
        <v>0</v>
      </c>
      <c r="FK193" s="2">
        <f t="shared" ref="FK193:FO193" si="3289">CD193*$BT193+CY193*$CO193</f>
        <v>0</v>
      </c>
      <c r="FL193" s="2">
        <f t="shared" si="3289"/>
        <v>0</v>
      </c>
      <c r="FM193" s="2">
        <f t="shared" si="3289"/>
        <v>0</v>
      </c>
      <c r="FN193" s="2">
        <f t="shared" si="3289"/>
        <v>0</v>
      </c>
      <c r="FO193" s="2">
        <f t="shared" si="3289"/>
        <v>0</v>
      </c>
      <c r="FP193" s="2">
        <f t="shared" ref="FP193:FQ193" si="3290">(CI193*$BT193+DD193*$CO193)/100</f>
        <v>0</v>
      </c>
      <c r="FQ193" s="2">
        <f t="shared" si="3290"/>
        <v>0</v>
      </c>
      <c r="FR193" s="2"/>
      <c r="FS193" s="2">
        <f t="shared" si="24"/>
        <v>0</v>
      </c>
      <c r="FT193" s="2">
        <f t="shared" si="25"/>
        <v>0</v>
      </c>
      <c r="FU193" s="39">
        <f t="shared" si="26"/>
        <v>0</v>
      </c>
      <c r="FV193" s="39">
        <f t="shared" ref="FV193:FW193" si="3291">FV$1*FC193/1000000</f>
        <v>0</v>
      </c>
      <c r="FW193" s="39">
        <f t="shared" si="3291"/>
        <v>0</v>
      </c>
      <c r="FX193" s="39">
        <f t="shared" ref="FX193:GC193" si="3292">FX$1*FE193</f>
        <v>0</v>
      </c>
      <c r="FY193" s="39">
        <f t="shared" si="3292"/>
        <v>0</v>
      </c>
      <c r="FZ193" s="39">
        <f t="shared" si="3292"/>
        <v>0</v>
      </c>
      <c r="GA193" s="39">
        <f t="shared" si="3292"/>
        <v>0</v>
      </c>
      <c r="GB193" s="39">
        <f t="shared" si="3292"/>
        <v>0</v>
      </c>
      <c r="GC193" s="39">
        <f t="shared" si="3292"/>
        <v>0</v>
      </c>
      <c r="GD193" s="39">
        <f t="shared" ref="GD193:GH193" si="3293">GD$1*FK193/1000000</f>
        <v>0</v>
      </c>
      <c r="GE193" s="39">
        <f t="shared" si="3293"/>
        <v>0</v>
      </c>
      <c r="GF193" s="39">
        <f t="shared" si="3293"/>
        <v>0</v>
      </c>
      <c r="GG193" s="39">
        <f t="shared" si="3293"/>
        <v>0</v>
      </c>
      <c r="GH193" s="39">
        <f t="shared" si="3293"/>
        <v>0</v>
      </c>
      <c r="GI193" s="39">
        <f t="shared" ref="GI193:GJ193" si="3294">GI$1*FP193</f>
        <v>0</v>
      </c>
      <c r="GJ193" s="39">
        <f t="shared" si="3294"/>
        <v>0</v>
      </c>
      <c r="GK193" s="2"/>
      <c r="GL193" s="39">
        <f t="shared" si="31"/>
        <v>0</v>
      </c>
      <c r="GM193" s="39">
        <f t="shared" si="32"/>
        <v>0</v>
      </c>
      <c r="GN193" s="2" t="s">
        <v>3</v>
      </c>
      <c r="GO193" s="2">
        <f t="shared" si="33"/>
        <v>4.3099999999999996</v>
      </c>
      <c r="GP193" s="2">
        <f t="shared" si="34"/>
        <v>1.02</v>
      </c>
      <c r="GQ193" s="15">
        <f t="shared" si="35"/>
        <v>43.961999999999996</v>
      </c>
      <c r="GR193" s="15">
        <f t="shared" si="36"/>
        <v>773.70146151719996</v>
      </c>
      <c r="GS193" s="15">
        <f t="shared" si="37"/>
        <v>179.51310012000002</v>
      </c>
      <c r="GT193" s="2">
        <f t="shared" si="38"/>
        <v>0</v>
      </c>
      <c r="GU193" s="2">
        <f t="shared" si="39"/>
        <v>0</v>
      </c>
      <c r="GV193" s="2">
        <f t="shared" si="40"/>
        <v>43.961999999999996</v>
      </c>
      <c r="GW193" s="2">
        <f t="shared" si="41"/>
        <v>0</v>
      </c>
      <c r="GX193" s="2"/>
      <c r="GY193" s="2"/>
      <c r="GZ193" s="2"/>
      <c r="HA193" s="2"/>
      <c r="HB193" s="2">
        <f t="shared" si="42"/>
        <v>0</v>
      </c>
      <c r="HC193" s="2">
        <f t="shared" si="43"/>
        <v>0</v>
      </c>
      <c r="HD193" s="2" t="s">
        <v>3</v>
      </c>
      <c r="HE193" s="2" t="s">
        <v>37</v>
      </c>
      <c r="HF193" s="2" t="s">
        <v>83</v>
      </c>
      <c r="HG193" s="2" t="s">
        <v>83</v>
      </c>
      <c r="HH193" s="2"/>
      <c r="HI193" s="2" t="s">
        <v>81</v>
      </c>
      <c r="HJ193" s="2" t="s">
        <v>3</v>
      </c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 t="s">
        <v>3</v>
      </c>
    </row>
    <row r="194" spans="1:268" ht="15.75" customHeight="1" x14ac:dyDescent="0.2">
      <c r="A194" s="13" t="s">
        <v>651</v>
      </c>
      <c r="B194" s="2" t="s">
        <v>99</v>
      </c>
      <c r="C194" s="2"/>
      <c r="D194" s="2"/>
      <c r="E194" s="2" t="s">
        <v>78</v>
      </c>
      <c r="F194" s="2" t="s">
        <v>497</v>
      </c>
      <c r="G194" s="2"/>
      <c r="H194" s="2" t="s">
        <v>80</v>
      </c>
      <c r="I194" s="2">
        <v>0</v>
      </c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>
        <v>0</v>
      </c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>
        <v>53.6</v>
      </c>
      <c r="AZ194" s="2"/>
      <c r="BA194" s="2"/>
      <c r="BB194" s="2"/>
      <c r="BC194" s="2"/>
      <c r="BD194" s="2"/>
      <c r="BE194" s="2"/>
      <c r="BF194" s="2"/>
      <c r="BG194" s="4">
        <v>0.6</v>
      </c>
      <c r="BH194" s="2">
        <v>0.04</v>
      </c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>
        <v>0</v>
      </c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>
        <v>0</v>
      </c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 t="s">
        <v>81</v>
      </c>
      <c r="DK194" s="2" t="s">
        <v>81</v>
      </c>
      <c r="DL194" s="2">
        <f t="shared" si="3"/>
        <v>0.59999999999999987</v>
      </c>
      <c r="DM194" s="2">
        <f t="shared" si="4"/>
        <v>0.04</v>
      </c>
      <c r="DN194" s="2" t="s">
        <v>211</v>
      </c>
      <c r="DO194" s="2" t="s">
        <v>3</v>
      </c>
      <c r="DP194" s="2">
        <f t="shared" si="5"/>
        <v>0</v>
      </c>
      <c r="DQ194" s="2">
        <f t="shared" ref="DQ194:DR194" si="3295">K194*$I194+AF194*$AD194+BA194*$AY194</f>
        <v>0</v>
      </c>
      <c r="DR194" s="2">
        <f t="shared" si="3295"/>
        <v>0</v>
      </c>
      <c r="DS194" s="2">
        <f t="shared" ref="DS194:DX194" si="3296">(M194*$I194+AH194*$AD194+BC194*$AY194)/100</f>
        <v>0</v>
      </c>
      <c r="DT194" s="2">
        <f t="shared" si="3296"/>
        <v>0</v>
      </c>
      <c r="DU194" s="2">
        <f t="shared" si="3296"/>
        <v>0</v>
      </c>
      <c r="DV194" s="2">
        <f t="shared" si="3296"/>
        <v>0</v>
      </c>
      <c r="DW194" s="2">
        <f t="shared" si="3296"/>
        <v>0.32159999999999994</v>
      </c>
      <c r="DX194" s="2">
        <f t="shared" si="3296"/>
        <v>2.1440000000000001E-2</v>
      </c>
      <c r="DY194" s="2">
        <f t="shared" ref="DY194:EC194" si="3297">S194*$I194+AN194*$AD194+BI194*$AY194</f>
        <v>0</v>
      </c>
      <c r="DZ194" s="2">
        <f t="shared" si="3297"/>
        <v>0</v>
      </c>
      <c r="EA194" s="2">
        <f t="shared" si="3297"/>
        <v>0</v>
      </c>
      <c r="EB194" s="2">
        <f t="shared" si="3297"/>
        <v>0</v>
      </c>
      <c r="EC194" s="2">
        <f t="shared" si="3297"/>
        <v>0</v>
      </c>
      <c r="ED194" s="2">
        <f t="shared" ref="ED194:EE194" si="3298">(X194*$I194+AS194*$AD194+BN194*$AY194)/100</f>
        <v>0</v>
      </c>
      <c r="EE194" s="2">
        <f t="shared" si="3298"/>
        <v>0</v>
      </c>
      <c r="EF194" s="2"/>
      <c r="EG194" s="2">
        <f t="shared" si="10"/>
        <v>0</v>
      </c>
      <c r="EH194" s="2">
        <f t="shared" si="11"/>
        <v>0</v>
      </c>
      <c r="EI194" s="39">
        <f t="shared" si="12"/>
        <v>0</v>
      </c>
      <c r="EJ194" s="39">
        <f t="shared" ref="EJ194:EK194" si="3299">EJ$1*DQ194/1000000</f>
        <v>0</v>
      </c>
      <c r="EK194" s="39">
        <f t="shared" si="3299"/>
        <v>0</v>
      </c>
      <c r="EL194" s="39">
        <f t="shared" ref="EL194:EQ194" si="3300">EL$1*DS194</f>
        <v>0</v>
      </c>
      <c r="EM194" s="39">
        <f t="shared" si="3300"/>
        <v>0</v>
      </c>
      <c r="EN194" s="39">
        <f t="shared" si="3300"/>
        <v>0</v>
      </c>
      <c r="EO194" s="39">
        <f t="shared" si="3300"/>
        <v>0</v>
      </c>
      <c r="EP194" s="39">
        <f t="shared" si="3300"/>
        <v>4217.4623999999994</v>
      </c>
      <c r="EQ194" s="39">
        <f t="shared" si="3300"/>
        <v>1556.9625945599998</v>
      </c>
      <c r="ER194" s="39">
        <f t="shared" ref="ER194:EV194" si="3301">ER$1*DY194/1000000</f>
        <v>0</v>
      </c>
      <c r="ES194" s="39">
        <f t="shared" si="3301"/>
        <v>0</v>
      </c>
      <c r="ET194" s="39">
        <f t="shared" si="3301"/>
        <v>0</v>
      </c>
      <c r="EU194" s="39">
        <f t="shared" si="3301"/>
        <v>0</v>
      </c>
      <c r="EV194" s="39">
        <f t="shared" si="3301"/>
        <v>0</v>
      </c>
      <c r="EW194" s="39">
        <f t="shared" ref="EW194:EX194" si="3302">EW$1*ED194</f>
        <v>0</v>
      </c>
      <c r="EX194" s="39">
        <f t="shared" si="3302"/>
        <v>0</v>
      </c>
      <c r="EY194" s="2"/>
      <c r="EZ194" s="39">
        <f t="shared" si="17"/>
        <v>0</v>
      </c>
      <c r="FA194" s="39">
        <f t="shared" si="18"/>
        <v>0</v>
      </c>
      <c r="FB194" s="2">
        <f t="shared" si="19"/>
        <v>0</v>
      </c>
      <c r="FC194" s="2">
        <f t="shared" ref="FC194:FD194" si="3303">BV194*$BT194+CQ194*$CO194</f>
        <v>0</v>
      </c>
      <c r="FD194" s="2">
        <f t="shared" si="3303"/>
        <v>0</v>
      </c>
      <c r="FE194" s="2">
        <f t="shared" ref="FE194:FJ194" si="3304">(BX194*$BT194+CS194*$CO194)/100</f>
        <v>0</v>
      </c>
      <c r="FF194" s="2">
        <f t="shared" si="3304"/>
        <v>0</v>
      </c>
      <c r="FG194" s="2">
        <f t="shared" si="3304"/>
        <v>0</v>
      </c>
      <c r="FH194" s="2">
        <f t="shared" si="3304"/>
        <v>0</v>
      </c>
      <c r="FI194" s="2">
        <f t="shared" si="3304"/>
        <v>0</v>
      </c>
      <c r="FJ194" s="2">
        <f t="shared" si="3304"/>
        <v>0</v>
      </c>
      <c r="FK194" s="2">
        <f t="shared" ref="FK194:FO194" si="3305">CD194*$BT194+CY194*$CO194</f>
        <v>0</v>
      </c>
      <c r="FL194" s="2">
        <f t="shared" si="3305"/>
        <v>0</v>
      </c>
      <c r="FM194" s="2">
        <f t="shared" si="3305"/>
        <v>0</v>
      </c>
      <c r="FN194" s="2">
        <f t="shared" si="3305"/>
        <v>0</v>
      </c>
      <c r="FO194" s="2">
        <f t="shared" si="3305"/>
        <v>0</v>
      </c>
      <c r="FP194" s="2">
        <f t="shared" ref="FP194:FQ194" si="3306">(CI194*$BT194+DD194*$CO194)/100</f>
        <v>0</v>
      </c>
      <c r="FQ194" s="2">
        <f t="shared" si="3306"/>
        <v>0</v>
      </c>
      <c r="FR194" s="2"/>
      <c r="FS194" s="2">
        <f t="shared" si="24"/>
        <v>0</v>
      </c>
      <c r="FT194" s="2">
        <f t="shared" si="25"/>
        <v>0</v>
      </c>
      <c r="FU194" s="39">
        <f t="shared" si="26"/>
        <v>0</v>
      </c>
      <c r="FV194" s="39">
        <f t="shared" ref="FV194:FW194" si="3307">FV$1*FC194/1000000</f>
        <v>0</v>
      </c>
      <c r="FW194" s="39">
        <f t="shared" si="3307"/>
        <v>0</v>
      </c>
      <c r="FX194" s="39">
        <f t="shared" ref="FX194:GC194" si="3308">FX$1*FE194</f>
        <v>0</v>
      </c>
      <c r="FY194" s="39">
        <f t="shared" si="3308"/>
        <v>0</v>
      </c>
      <c r="FZ194" s="39">
        <f t="shared" si="3308"/>
        <v>0</v>
      </c>
      <c r="GA194" s="39">
        <f t="shared" si="3308"/>
        <v>0</v>
      </c>
      <c r="GB194" s="39">
        <f t="shared" si="3308"/>
        <v>0</v>
      </c>
      <c r="GC194" s="39">
        <f t="shared" si="3308"/>
        <v>0</v>
      </c>
      <c r="GD194" s="39">
        <f t="shared" ref="GD194:GH194" si="3309">GD$1*FK194/1000000</f>
        <v>0</v>
      </c>
      <c r="GE194" s="39">
        <f t="shared" si="3309"/>
        <v>0</v>
      </c>
      <c r="GF194" s="39">
        <f t="shared" si="3309"/>
        <v>0</v>
      </c>
      <c r="GG194" s="39">
        <f t="shared" si="3309"/>
        <v>0</v>
      </c>
      <c r="GH194" s="39">
        <f t="shared" si="3309"/>
        <v>0</v>
      </c>
      <c r="GI194" s="39">
        <f t="shared" ref="GI194:GJ194" si="3310">GI$1*FP194</f>
        <v>0</v>
      </c>
      <c r="GJ194" s="39">
        <f t="shared" si="3310"/>
        <v>0</v>
      </c>
      <c r="GK194" s="2"/>
      <c r="GL194" s="39">
        <f t="shared" si="31"/>
        <v>0</v>
      </c>
      <c r="GM194" s="39">
        <f t="shared" si="32"/>
        <v>0</v>
      </c>
      <c r="GN194" s="2" t="s">
        <v>3</v>
      </c>
      <c r="GO194" s="2">
        <f t="shared" si="33"/>
        <v>53.6</v>
      </c>
      <c r="GP194" s="2">
        <f t="shared" si="34"/>
        <v>0.59999999999999987</v>
      </c>
      <c r="GQ194" s="15">
        <f t="shared" si="35"/>
        <v>321.59999999999991</v>
      </c>
      <c r="GR194" s="15">
        <f t="shared" si="36"/>
        <v>5774.4249945599995</v>
      </c>
      <c r="GS194" s="15">
        <f t="shared" si="37"/>
        <v>107.73180959999999</v>
      </c>
      <c r="GT194" s="2">
        <f t="shared" si="38"/>
        <v>0</v>
      </c>
      <c r="GU194" s="2">
        <f t="shared" si="39"/>
        <v>0</v>
      </c>
      <c r="GV194" s="2">
        <f t="shared" si="40"/>
        <v>321.59999999999997</v>
      </c>
      <c r="GW194" s="2">
        <f t="shared" si="41"/>
        <v>0</v>
      </c>
      <c r="GX194" s="2"/>
      <c r="GY194" s="2"/>
      <c r="GZ194" s="2"/>
      <c r="HA194" s="2"/>
      <c r="HB194" s="2">
        <f t="shared" si="42"/>
        <v>0</v>
      </c>
      <c r="HC194" s="2">
        <f t="shared" si="43"/>
        <v>0</v>
      </c>
      <c r="HD194" s="2" t="s">
        <v>3</v>
      </c>
      <c r="HE194" s="2" t="s">
        <v>37</v>
      </c>
      <c r="HF194" s="2" t="s">
        <v>83</v>
      </c>
      <c r="HG194" s="2" t="s">
        <v>235</v>
      </c>
      <c r="HH194" s="2"/>
      <c r="HI194" s="2" t="s">
        <v>81</v>
      </c>
      <c r="HJ194" s="2" t="s">
        <v>3</v>
      </c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 t="s">
        <v>3</v>
      </c>
    </row>
    <row r="195" spans="1:268" ht="15.75" customHeight="1" x14ac:dyDescent="0.2">
      <c r="A195" s="13" t="s">
        <v>659</v>
      </c>
      <c r="B195" s="2" t="s">
        <v>99</v>
      </c>
      <c r="C195" s="2"/>
      <c r="D195" s="2"/>
      <c r="E195" s="2" t="s">
        <v>78</v>
      </c>
      <c r="F195" s="2" t="s">
        <v>497</v>
      </c>
      <c r="G195" s="2"/>
      <c r="H195" s="2" t="s">
        <v>80</v>
      </c>
      <c r="I195" s="2">
        <v>0</v>
      </c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>
        <v>0</v>
      </c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>
        <v>96.5</v>
      </c>
      <c r="AZ195" s="2"/>
      <c r="BA195" s="2"/>
      <c r="BB195" s="2"/>
      <c r="BC195" s="2"/>
      <c r="BD195" s="2"/>
      <c r="BE195" s="2"/>
      <c r="BF195" s="2"/>
      <c r="BG195" s="2">
        <v>0.65</v>
      </c>
      <c r="BH195" s="2">
        <v>0.03</v>
      </c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>
        <v>0</v>
      </c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>
        <v>0</v>
      </c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 t="s">
        <v>81</v>
      </c>
      <c r="DK195" s="2" t="s">
        <v>81</v>
      </c>
      <c r="DL195" s="2">
        <f t="shared" si="3"/>
        <v>0.65</v>
      </c>
      <c r="DM195" s="2">
        <f t="shared" si="4"/>
        <v>0.03</v>
      </c>
      <c r="DN195" s="2" t="s">
        <v>211</v>
      </c>
      <c r="DO195" s="2" t="s">
        <v>3</v>
      </c>
      <c r="DP195" s="2">
        <f t="shared" si="5"/>
        <v>0</v>
      </c>
      <c r="DQ195" s="2">
        <f t="shared" ref="DQ195:DR195" si="3311">K195*$I195+AF195*$AD195+BA195*$AY195</f>
        <v>0</v>
      </c>
      <c r="DR195" s="2">
        <f t="shared" si="3311"/>
        <v>0</v>
      </c>
      <c r="DS195" s="2">
        <f t="shared" ref="DS195:DX195" si="3312">(M195*$I195+AH195*$AD195+BC195*$AY195)/100</f>
        <v>0</v>
      </c>
      <c r="DT195" s="2">
        <f t="shared" si="3312"/>
        <v>0</v>
      </c>
      <c r="DU195" s="2">
        <f t="shared" si="3312"/>
        <v>0</v>
      </c>
      <c r="DV195" s="2">
        <f t="shared" si="3312"/>
        <v>0</v>
      </c>
      <c r="DW195" s="2">
        <f t="shared" si="3312"/>
        <v>0.62724999999999997</v>
      </c>
      <c r="DX195" s="2">
        <f t="shared" si="3312"/>
        <v>2.895E-2</v>
      </c>
      <c r="DY195" s="2">
        <f t="shared" ref="DY195:EC195" si="3313">S195*$I195+AN195*$AD195+BI195*$AY195</f>
        <v>0</v>
      </c>
      <c r="DZ195" s="2">
        <f t="shared" si="3313"/>
        <v>0</v>
      </c>
      <c r="EA195" s="2">
        <f t="shared" si="3313"/>
        <v>0</v>
      </c>
      <c r="EB195" s="2">
        <f t="shared" si="3313"/>
        <v>0</v>
      </c>
      <c r="EC195" s="2">
        <f t="shared" si="3313"/>
        <v>0</v>
      </c>
      <c r="ED195" s="2">
        <f t="shared" ref="ED195:EE195" si="3314">(X195*$I195+AS195*$AD195+BN195*$AY195)/100</f>
        <v>0</v>
      </c>
      <c r="EE195" s="2">
        <f t="shared" si="3314"/>
        <v>0</v>
      </c>
      <c r="EF195" s="2"/>
      <c r="EG195" s="2">
        <f t="shared" si="10"/>
        <v>0</v>
      </c>
      <c r="EH195" s="2">
        <f t="shared" si="11"/>
        <v>0</v>
      </c>
      <c r="EI195" s="39">
        <f t="shared" si="12"/>
        <v>0</v>
      </c>
      <c r="EJ195" s="39">
        <f t="shared" ref="EJ195:EK195" si="3315">EJ$1*DQ195/1000000</f>
        <v>0</v>
      </c>
      <c r="EK195" s="39">
        <f t="shared" si="3315"/>
        <v>0</v>
      </c>
      <c r="EL195" s="39">
        <f t="shared" ref="EL195:EQ195" si="3316">EL$1*DS195</f>
        <v>0</v>
      </c>
      <c r="EM195" s="39">
        <f t="shared" si="3316"/>
        <v>0</v>
      </c>
      <c r="EN195" s="39">
        <f t="shared" si="3316"/>
        <v>0</v>
      </c>
      <c r="EO195" s="39">
        <f t="shared" si="3316"/>
        <v>0</v>
      </c>
      <c r="EP195" s="39">
        <f t="shared" si="3316"/>
        <v>8225.7564999999995</v>
      </c>
      <c r="EQ195" s="39">
        <f t="shared" si="3316"/>
        <v>2102.3352197999998</v>
      </c>
      <c r="ER195" s="39">
        <f t="shared" ref="ER195:EV195" si="3317">ER$1*DY195/1000000</f>
        <v>0</v>
      </c>
      <c r="ES195" s="39">
        <f t="shared" si="3317"/>
        <v>0</v>
      </c>
      <c r="ET195" s="39">
        <f t="shared" si="3317"/>
        <v>0</v>
      </c>
      <c r="EU195" s="39">
        <f t="shared" si="3317"/>
        <v>0</v>
      </c>
      <c r="EV195" s="39">
        <f t="shared" si="3317"/>
        <v>0</v>
      </c>
      <c r="EW195" s="39">
        <f t="shared" ref="EW195:EX195" si="3318">EW$1*ED195</f>
        <v>0</v>
      </c>
      <c r="EX195" s="39">
        <f t="shared" si="3318"/>
        <v>0</v>
      </c>
      <c r="EY195" s="2"/>
      <c r="EZ195" s="39">
        <f t="shared" si="17"/>
        <v>0</v>
      </c>
      <c r="FA195" s="39">
        <f t="shared" si="18"/>
        <v>0</v>
      </c>
      <c r="FB195" s="2">
        <f t="shared" si="19"/>
        <v>0</v>
      </c>
      <c r="FC195" s="2">
        <f t="shared" ref="FC195:FD195" si="3319">BV195*$BT195+CQ195*$CO195</f>
        <v>0</v>
      </c>
      <c r="FD195" s="2">
        <f t="shared" si="3319"/>
        <v>0</v>
      </c>
      <c r="FE195" s="2">
        <f t="shared" ref="FE195:FJ195" si="3320">(BX195*$BT195+CS195*$CO195)/100</f>
        <v>0</v>
      </c>
      <c r="FF195" s="2">
        <f t="shared" si="3320"/>
        <v>0</v>
      </c>
      <c r="FG195" s="2">
        <f t="shared" si="3320"/>
        <v>0</v>
      </c>
      <c r="FH195" s="2">
        <f t="shared" si="3320"/>
        <v>0</v>
      </c>
      <c r="FI195" s="2">
        <f t="shared" si="3320"/>
        <v>0</v>
      </c>
      <c r="FJ195" s="2">
        <f t="shared" si="3320"/>
        <v>0</v>
      </c>
      <c r="FK195" s="2">
        <f t="shared" ref="FK195:FO195" si="3321">CD195*$BT195+CY195*$CO195</f>
        <v>0</v>
      </c>
      <c r="FL195" s="2">
        <f t="shared" si="3321"/>
        <v>0</v>
      </c>
      <c r="FM195" s="2">
        <f t="shared" si="3321"/>
        <v>0</v>
      </c>
      <c r="FN195" s="2">
        <f t="shared" si="3321"/>
        <v>0</v>
      </c>
      <c r="FO195" s="2">
        <f t="shared" si="3321"/>
        <v>0</v>
      </c>
      <c r="FP195" s="2">
        <f t="shared" ref="FP195:FQ195" si="3322">(CI195*$BT195+DD195*$CO195)/100</f>
        <v>0</v>
      </c>
      <c r="FQ195" s="2">
        <f t="shared" si="3322"/>
        <v>0</v>
      </c>
      <c r="FR195" s="2"/>
      <c r="FS195" s="2">
        <f t="shared" si="24"/>
        <v>0</v>
      </c>
      <c r="FT195" s="2">
        <f t="shared" si="25"/>
        <v>0</v>
      </c>
      <c r="FU195" s="39">
        <f t="shared" si="26"/>
        <v>0</v>
      </c>
      <c r="FV195" s="39">
        <f t="shared" ref="FV195:FW195" si="3323">FV$1*FC195/1000000</f>
        <v>0</v>
      </c>
      <c r="FW195" s="39">
        <f t="shared" si="3323"/>
        <v>0</v>
      </c>
      <c r="FX195" s="39">
        <f t="shared" ref="FX195:GC195" si="3324">FX$1*FE195</f>
        <v>0</v>
      </c>
      <c r="FY195" s="39">
        <f t="shared" si="3324"/>
        <v>0</v>
      </c>
      <c r="FZ195" s="39">
        <f t="shared" si="3324"/>
        <v>0</v>
      </c>
      <c r="GA195" s="39">
        <f t="shared" si="3324"/>
        <v>0</v>
      </c>
      <c r="GB195" s="39">
        <f t="shared" si="3324"/>
        <v>0</v>
      </c>
      <c r="GC195" s="39">
        <f t="shared" si="3324"/>
        <v>0</v>
      </c>
      <c r="GD195" s="39">
        <f t="shared" ref="GD195:GH195" si="3325">GD$1*FK195/1000000</f>
        <v>0</v>
      </c>
      <c r="GE195" s="39">
        <f t="shared" si="3325"/>
        <v>0</v>
      </c>
      <c r="GF195" s="39">
        <f t="shared" si="3325"/>
        <v>0</v>
      </c>
      <c r="GG195" s="39">
        <f t="shared" si="3325"/>
        <v>0</v>
      </c>
      <c r="GH195" s="39">
        <f t="shared" si="3325"/>
        <v>0</v>
      </c>
      <c r="GI195" s="39">
        <f t="shared" ref="GI195:GJ195" si="3326">GI$1*FP195</f>
        <v>0</v>
      </c>
      <c r="GJ195" s="39">
        <f t="shared" si="3326"/>
        <v>0</v>
      </c>
      <c r="GK195" s="2"/>
      <c r="GL195" s="39">
        <f t="shared" si="31"/>
        <v>0</v>
      </c>
      <c r="GM195" s="39">
        <f t="shared" si="32"/>
        <v>0</v>
      </c>
      <c r="GN195" s="2" t="s">
        <v>3</v>
      </c>
      <c r="GO195" s="2">
        <f t="shared" si="33"/>
        <v>96.5</v>
      </c>
      <c r="GP195" s="2">
        <f t="shared" si="34"/>
        <v>0.65</v>
      </c>
      <c r="GQ195" s="15">
        <f t="shared" si="35"/>
        <v>627.25</v>
      </c>
      <c r="GR195" s="15">
        <f t="shared" si="36"/>
        <v>10328.091719799999</v>
      </c>
      <c r="GS195" s="15">
        <f t="shared" si="37"/>
        <v>107.02685719999999</v>
      </c>
      <c r="GT195" s="2">
        <f t="shared" si="38"/>
        <v>0</v>
      </c>
      <c r="GU195" s="2">
        <f t="shared" si="39"/>
        <v>0</v>
      </c>
      <c r="GV195" s="2">
        <f t="shared" si="40"/>
        <v>627.25</v>
      </c>
      <c r="GW195" s="2">
        <f t="shared" si="41"/>
        <v>0</v>
      </c>
      <c r="GX195" s="2"/>
      <c r="GY195" s="2"/>
      <c r="GZ195" s="2"/>
      <c r="HA195" s="2"/>
      <c r="HB195" s="2">
        <f t="shared" si="42"/>
        <v>0</v>
      </c>
      <c r="HC195" s="2">
        <f t="shared" si="43"/>
        <v>0</v>
      </c>
      <c r="HD195" s="2" t="s">
        <v>3</v>
      </c>
      <c r="HE195" s="2" t="s">
        <v>37</v>
      </c>
      <c r="HF195" s="2" t="s">
        <v>83</v>
      </c>
      <c r="HG195" s="2" t="s">
        <v>235</v>
      </c>
      <c r="HH195" s="2"/>
      <c r="HI195" s="2" t="s">
        <v>81</v>
      </c>
      <c r="HJ195" s="2" t="s">
        <v>3</v>
      </c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  <c r="JE195" s="2"/>
      <c r="JF195" s="2"/>
      <c r="JG195" s="2"/>
      <c r="JH195" s="2" t="s">
        <v>3</v>
      </c>
    </row>
    <row r="196" spans="1:268" ht="15.75" customHeight="1" x14ac:dyDescent="0.2">
      <c r="A196" s="13" t="s">
        <v>658</v>
      </c>
      <c r="B196" s="2" t="s">
        <v>99</v>
      </c>
      <c r="C196" s="2"/>
      <c r="D196" s="2"/>
      <c r="E196" s="2" t="s">
        <v>78</v>
      </c>
      <c r="F196" s="2" t="s">
        <v>497</v>
      </c>
      <c r="G196" s="2"/>
      <c r="H196" s="2" t="s">
        <v>80</v>
      </c>
      <c r="I196" s="2">
        <v>0</v>
      </c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15">
        <v>10</v>
      </c>
      <c r="AE196" s="2"/>
      <c r="AF196" s="2"/>
      <c r="AG196" s="2"/>
      <c r="AH196" s="2"/>
      <c r="AI196" s="2"/>
      <c r="AJ196" s="2"/>
      <c r="AK196" s="2"/>
      <c r="AL196" s="2">
        <v>0.64</v>
      </c>
      <c r="AM196" s="2">
        <v>0.05</v>
      </c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>
        <v>53.3</v>
      </c>
      <c r="AZ196" s="2"/>
      <c r="BA196" s="2"/>
      <c r="BB196" s="2"/>
      <c r="BC196" s="2"/>
      <c r="BD196" s="2"/>
      <c r="BE196" s="2"/>
      <c r="BF196" s="2"/>
      <c r="BG196" s="2">
        <v>0.65</v>
      </c>
      <c r="BH196" s="2">
        <v>0.04</v>
      </c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>
        <v>0</v>
      </c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>
        <v>0</v>
      </c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 t="s">
        <v>81</v>
      </c>
      <c r="DK196" s="2" t="s">
        <v>81</v>
      </c>
      <c r="DL196" s="2">
        <f t="shared" si="3"/>
        <v>0.6484202211690363</v>
      </c>
      <c r="DM196" s="2">
        <f t="shared" si="4"/>
        <v>4.1579778830963671E-2</v>
      </c>
      <c r="DN196" s="2" t="s">
        <v>211</v>
      </c>
      <c r="DO196" s="2" t="s">
        <v>3</v>
      </c>
      <c r="DP196" s="2">
        <f t="shared" si="5"/>
        <v>0</v>
      </c>
      <c r="DQ196" s="2">
        <f t="shared" ref="DQ196:DR196" si="3327">K196*$I196+AF196*$AD196+BA196*$AY196</f>
        <v>0</v>
      </c>
      <c r="DR196" s="2">
        <f t="shared" si="3327"/>
        <v>0</v>
      </c>
      <c r="DS196" s="2">
        <f t="shared" ref="DS196:DX196" si="3328">(M196*$I196+AH196*$AD196+BC196*$AY196)/100</f>
        <v>0</v>
      </c>
      <c r="DT196" s="2">
        <f t="shared" si="3328"/>
        <v>0</v>
      </c>
      <c r="DU196" s="2">
        <f t="shared" si="3328"/>
        <v>0</v>
      </c>
      <c r="DV196" s="2">
        <f t="shared" si="3328"/>
        <v>0</v>
      </c>
      <c r="DW196" s="2">
        <f t="shared" si="3328"/>
        <v>0.41044999999999993</v>
      </c>
      <c r="DX196" s="2">
        <f t="shared" si="3328"/>
        <v>2.632E-2</v>
      </c>
      <c r="DY196" s="2">
        <f t="shared" ref="DY196:EC196" si="3329">S196*$I196+AN196*$AD196+BI196*$AY196</f>
        <v>0</v>
      </c>
      <c r="DZ196" s="2">
        <f t="shared" si="3329"/>
        <v>0</v>
      </c>
      <c r="EA196" s="2">
        <f t="shared" si="3329"/>
        <v>0</v>
      </c>
      <c r="EB196" s="2">
        <f t="shared" si="3329"/>
        <v>0</v>
      </c>
      <c r="EC196" s="2">
        <f t="shared" si="3329"/>
        <v>0</v>
      </c>
      <c r="ED196" s="2">
        <f t="shared" ref="ED196:EE196" si="3330">(X196*$I196+AS196*$AD196+BN196*$AY196)/100</f>
        <v>0</v>
      </c>
      <c r="EE196" s="2">
        <f t="shared" si="3330"/>
        <v>0</v>
      </c>
      <c r="EF196" s="2"/>
      <c r="EG196" s="2">
        <f t="shared" si="10"/>
        <v>0</v>
      </c>
      <c r="EH196" s="2">
        <f t="shared" si="11"/>
        <v>0</v>
      </c>
      <c r="EI196" s="39">
        <f t="shared" si="12"/>
        <v>0</v>
      </c>
      <c r="EJ196" s="39">
        <f t="shared" ref="EJ196:EK196" si="3331">EJ$1*DQ196/1000000</f>
        <v>0</v>
      </c>
      <c r="EK196" s="39">
        <f t="shared" si="3331"/>
        <v>0</v>
      </c>
      <c r="EL196" s="39">
        <f t="shared" ref="EL196:EQ196" si="3332">EL$1*DS196</f>
        <v>0</v>
      </c>
      <c r="EM196" s="39">
        <f t="shared" si="3332"/>
        <v>0</v>
      </c>
      <c r="EN196" s="39">
        <f t="shared" si="3332"/>
        <v>0</v>
      </c>
      <c r="EO196" s="39">
        <f t="shared" si="3332"/>
        <v>0</v>
      </c>
      <c r="EP196" s="39">
        <f t="shared" si="3332"/>
        <v>5382.6412999999993</v>
      </c>
      <c r="EQ196" s="39">
        <f t="shared" si="3332"/>
        <v>1911.3458716799996</v>
      </c>
      <c r="ER196" s="39">
        <f t="shared" ref="ER196:EV196" si="3333">ER$1*DY196/1000000</f>
        <v>0</v>
      </c>
      <c r="ES196" s="39">
        <f t="shared" si="3333"/>
        <v>0</v>
      </c>
      <c r="ET196" s="39">
        <f t="shared" si="3333"/>
        <v>0</v>
      </c>
      <c r="EU196" s="39">
        <f t="shared" si="3333"/>
        <v>0</v>
      </c>
      <c r="EV196" s="39">
        <f t="shared" si="3333"/>
        <v>0</v>
      </c>
      <c r="EW196" s="39">
        <f t="shared" ref="EW196:EX196" si="3334">EW$1*ED196</f>
        <v>0</v>
      </c>
      <c r="EX196" s="39">
        <f t="shared" si="3334"/>
        <v>0</v>
      </c>
      <c r="EY196" s="2"/>
      <c r="EZ196" s="39">
        <f t="shared" si="17"/>
        <v>0</v>
      </c>
      <c r="FA196" s="39">
        <f t="shared" si="18"/>
        <v>0</v>
      </c>
      <c r="FB196" s="2">
        <f t="shared" si="19"/>
        <v>0</v>
      </c>
      <c r="FC196" s="2">
        <f t="shared" ref="FC196:FD196" si="3335">BV196*$BT196+CQ196*$CO196</f>
        <v>0</v>
      </c>
      <c r="FD196" s="2">
        <f t="shared" si="3335"/>
        <v>0</v>
      </c>
      <c r="FE196" s="2">
        <f t="shared" ref="FE196:FJ196" si="3336">(BX196*$BT196+CS196*$CO196)/100</f>
        <v>0</v>
      </c>
      <c r="FF196" s="2">
        <f t="shared" si="3336"/>
        <v>0</v>
      </c>
      <c r="FG196" s="2">
        <f t="shared" si="3336"/>
        <v>0</v>
      </c>
      <c r="FH196" s="2">
        <f t="shared" si="3336"/>
        <v>0</v>
      </c>
      <c r="FI196" s="2">
        <f t="shared" si="3336"/>
        <v>0</v>
      </c>
      <c r="FJ196" s="2">
        <f t="shared" si="3336"/>
        <v>0</v>
      </c>
      <c r="FK196" s="2">
        <f t="shared" ref="FK196:FO196" si="3337">CD196*$BT196+CY196*$CO196</f>
        <v>0</v>
      </c>
      <c r="FL196" s="2">
        <f t="shared" si="3337"/>
        <v>0</v>
      </c>
      <c r="FM196" s="2">
        <f t="shared" si="3337"/>
        <v>0</v>
      </c>
      <c r="FN196" s="2">
        <f t="shared" si="3337"/>
        <v>0</v>
      </c>
      <c r="FO196" s="2">
        <f t="shared" si="3337"/>
        <v>0</v>
      </c>
      <c r="FP196" s="2">
        <f t="shared" ref="FP196:FQ196" si="3338">(CI196*$BT196+DD196*$CO196)/100</f>
        <v>0</v>
      </c>
      <c r="FQ196" s="2">
        <f t="shared" si="3338"/>
        <v>0</v>
      </c>
      <c r="FR196" s="2"/>
      <c r="FS196" s="2">
        <f t="shared" si="24"/>
        <v>0</v>
      </c>
      <c r="FT196" s="2">
        <f t="shared" si="25"/>
        <v>0</v>
      </c>
      <c r="FU196" s="39">
        <f t="shared" si="26"/>
        <v>0</v>
      </c>
      <c r="FV196" s="39">
        <f t="shared" ref="FV196:FW196" si="3339">FV$1*FC196/1000000</f>
        <v>0</v>
      </c>
      <c r="FW196" s="39">
        <f t="shared" si="3339"/>
        <v>0</v>
      </c>
      <c r="FX196" s="39">
        <f t="shared" ref="FX196:GC196" si="3340">FX$1*FE196</f>
        <v>0</v>
      </c>
      <c r="FY196" s="39">
        <f t="shared" si="3340"/>
        <v>0</v>
      </c>
      <c r="FZ196" s="39">
        <f t="shared" si="3340"/>
        <v>0</v>
      </c>
      <c r="GA196" s="39">
        <f t="shared" si="3340"/>
        <v>0</v>
      </c>
      <c r="GB196" s="39">
        <f t="shared" si="3340"/>
        <v>0</v>
      </c>
      <c r="GC196" s="39">
        <f t="shared" si="3340"/>
        <v>0</v>
      </c>
      <c r="GD196" s="39">
        <f t="shared" ref="GD196:GH196" si="3341">GD$1*FK196/1000000</f>
        <v>0</v>
      </c>
      <c r="GE196" s="39">
        <f t="shared" si="3341"/>
        <v>0</v>
      </c>
      <c r="GF196" s="39">
        <f t="shared" si="3341"/>
        <v>0</v>
      </c>
      <c r="GG196" s="39">
        <f t="shared" si="3341"/>
        <v>0</v>
      </c>
      <c r="GH196" s="39">
        <f t="shared" si="3341"/>
        <v>0</v>
      </c>
      <c r="GI196" s="39">
        <f t="shared" ref="GI196:GJ196" si="3342">GI$1*FP196</f>
        <v>0</v>
      </c>
      <c r="GJ196" s="39">
        <f t="shared" si="3342"/>
        <v>0</v>
      </c>
      <c r="GK196" s="2"/>
      <c r="GL196" s="39">
        <f t="shared" si="31"/>
        <v>0</v>
      </c>
      <c r="GM196" s="39">
        <f t="shared" si="32"/>
        <v>0</v>
      </c>
      <c r="GN196" s="2" t="s">
        <v>3</v>
      </c>
      <c r="GO196" s="15">
        <f t="shared" si="33"/>
        <v>63.3</v>
      </c>
      <c r="GP196" s="4">
        <f t="shared" si="34"/>
        <v>0.6484202211690363</v>
      </c>
      <c r="GQ196" s="15">
        <f t="shared" si="35"/>
        <v>410.45</v>
      </c>
      <c r="GR196" s="15">
        <f t="shared" si="36"/>
        <v>7293.9871716799989</v>
      </c>
      <c r="GS196" s="15">
        <f t="shared" si="37"/>
        <v>115.22886527140599</v>
      </c>
      <c r="GT196" s="2">
        <f t="shared" si="38"/>
        <v>0</v>
      </c>
      <c r="GU196" s="2">
        <f t="shared" si="39"/>
        <v>64</v>
      </c>
      <c r="GV196" s="2">
        <f t="shared" si="40"/>
        <v>346.44999999999993</v>
      </c>
      <c r="GW196" s="2">
        <f t="shared" si="41"/>
        <v>0</v>
      </c>
      <c r="GX196" s="2"/>
      <c r="GY196" s="2"/>
      <c r="GZ196" s="2"/>
      <c r="HA196" s="2"/>
      <c r="HB196" s="2">
        <f t="shared" si="42"/>
        <v>0</v>
      </c>
      <c r="HC196" s="2">
        <f t="shared" si="43"/>
        <v>0</v>
      </c>
      <c r="HD196" s="2" t="s">
        <v>3</v>
      </c>
      <c r="HE196" s="2" t="s">
        <v>37</v>
      </c>
      <c r="HF196" s="2" t="s">
        <v>83</v>
      </c>
      <c r="HG196" s="2" t="s">
        <v>235</v>
      </c>
      <c r="HH196" s="2"/>
      <c r="HI196" s="2" t="s">
        <v>81</v>
      </c>
      <c r="HJ196" s="2" t="s">
        <v>3</v>
      </c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 t="s">
        <v>3</v>
      </c>
    </row>
    <row r="197" spans="1:268" ht="15.75" customHeight="1" x14ac:dyDescent="0.2">
      <c r="A197" s="13" t="s">
        <v>657</v>
      </c>
      <c r="B197" s="2" t="s">
        <v>99</v>
      </c>
      <c r="C197" s="2"/>
      <c r="D197" s="2"/>
      <c r="E197" s="2" t="s">
        <v>78</v>
      </c>
      <c r="F197" s="2" t="s">
        <v>497</v>
      </c>
      <c r="G197" s="2"/>
      <c r="H197" s="2" t="s">
        <v>80</v>
      </c>
      <c r="I197" s="2">
        <v>0</v>
      </c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>
        <v>0</v>
      </c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>
        <v>20.100000000000001</v>
      </c>
      <c r="AZ197" s="2"/>
      <c r="BA197" s="2"/>
      <c r="BB197" s="2"/>
      <c r="BC197" s="2"/>
      <c r="BD197" s="2"/>
      <c r="BE197" s="2"/>
      <c r="BF197" s="2"/>
      <c r="BG197" s="2">
        <v>0.75</v>
      </c>
      <c r="BH197" s="4">
        <v>0.10299999999999999</v>
      </c>
      <c r="BI197" s="2">
        <v>0.09</v>
      </c>
      <c r="BJ197" s="2">
        <v>0.13</v>
      </c>
      <c r="BK197" s="2"/>
      <c r="BL197" s="2"/>
      <c r="BM197" s="2"/>
      <c r="BN197" s="2"/>
      <c r="BO197" s="2"/>
      <c r="BP197" s="2"/>
      <c r="BQ197" s="2">
        <v>33.4</v>
      </c>
      <c r="BR197" s="2"/>
      <c r="BS197" s="2"/>
      <c r="BT197" s="2">
        <v>0</v>
      </c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>
        <v>0</v>
      </c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 t="s">
        <v>81</v>
      </c>
      <c r="DK197" s="2" t="s">
        <v>81</v>
      </c>
      <c r="DL197" s="2">
        <f t="shared" si="3"/>
        <v>0.75</v>
      </c>
      <c r="DM197" s="2">
        <f t="shared" si="4"/>
        <v>0.10299999999999999</v>
      </c>
      <c r="DN197" s="2" t="s">
        <v>211</v>
      </c>
      <c r="DO197" s="2" t="s">
        <v>3</v>
      </c>
      <c r="DP197" s="2">
        <f t="shared" si="5"/>
        <v>0</v>
      </c>
      <c r="DQ197" s="2">
        <f t="shared" ref="DQ197:DR197" si="3343">K197*$I197+AF197*$AD197+BA197*$AY197</f>
        <v>0</v>
      </c>
      <c r="DR197" s="2">
        <f t="shared" si="3343"/>
        <v>0</v>
      </c>
      <c r="DS197" s="2">
        <f t="shared" ref="DS197:DX197" si="3344">(M197*$I197+AH197*$AD197+BC197*$AY197)/100</f>
        <v>0</v>
      </c>
      <c r="DT197" s="2">
        <f t="shared" si="3344"/>
        <v>0</v>
      </c>
      <c r="DU197" s="2">
        <f t="shared" si="3344"/>
        <v>0</v>
      </c>
      <c r="DV197" s="2">
        <f t="shared" si="3344"/>
        <v>0</v>
      </c>
      <c r="DW197" s="2">
        <f t="shared" si="3344"/>
        <v>0.15075000000000002</v>
      </c>
      <c r="DX197" s="2">
        <f t="shared" si="3344"/>
        <v>2.0702999999999999E-2</v>
      </c>
      <c r="DY197" s="2">
        <f t="shared" ref="DY197:EC197" si="3345">S197*$I197+AN197*$AD197+BI197*$AY197</f>
        <v>1.8090000000000002</v>
      </c>
      <c r="DZ197" s="2">
        <f t="shared" si="3345"/>
        <v>2.6130000000000004</v>
      </c>
      <c r="EA197" s="2">
        <f t="shared" si="3345"/>
        <v>0</v>
      </c>
      <c r="EB197" s="2">
        <f t="shared" si="3345"/>
        <v>0</v>
      </c>
      <c r="EC197" s="2">
        <f t="shared" si="3345"/>
        <v>0</v>
      </c>
      <c r="ED197" s="2">
        <f t="shared" ref="ED197:EE197" si="3346">(X197*$I197+AS197*$AD197+BN197*$AY197)/100</f>
        <v>0</v>
      </c>
      <c r="EE197" s="2">
        <f t="shared" si="3346"/>
        <v>0</v>
      </c>
      <c r="EF197" s="2"/>
      <c r="EG197" s="2">
        <f t="shared" si="10"/>
        <v>671.34</v>
      </c>
      <c r="EH197" s="2">
        <f t="shared" si="11"/>
        <v>0</v>
      </c>
      <c r="EI197" s="39">
        <f t="shared" si="12"/>
        <v>0</v>
      </c>
      <c r="EJ197" s="39">
        <f t="shared" ref="EJ197:EK197" si="3347">EJ$1*DQ197/1000000</f>
        <v>0</v>
      </c>
      <c r="EK197" s="39">
        <f t="shared" si="3347"/>
        <v>0</v>
      </c>
      <c r="EL197" s="39">
        <f t="shared" ref="EL197:EQ197" si="3348">EL$1*DS197</f>
        <v>0</v>
      </c>
      <c r="EM197" s="39">
        <f t="shared" si="3348"/>
        <v>0</v>
      </c>
      <c r="EN197" s="39">
        <f t="shared" si="3348"/>
        <v>0</v>
      </c>
      <c r="EO197" s="39">
        <f t="shared" si="3348"/>
        <v>0</v>
      </c>
      <c r="EP197" s="39">
        <f t="shared" si="3348"/>
        <v>1976.9355000000003</v>
      </c>
      <c r="EQ197" s="39">
        <f t="shared" si="3348"/>
        <v>1503.4420053719998</v>
      </c>
      <c r="ER197" s="39">
        <f t="shared" ref="ER197:EV197" si="3349">ER$1*DY197/1000000</f>
        <v>51.341863022508029</v>
      </c>
      <c r="ES197" s="39">
        <f t="shared" si="3349"/>
        <v>87.080115434083623</v>
      </c>
      <c r="ET197" s="39">
        <f t="shared" si="3349"/>
        <v>0</v>
      </c>
      <c r="EU197" s="39">
        <f t="shared" si="3349"/>
        <v>0</v>
      </c>
      <c r="EV197" s="39">
        <f t="shared" si="3349"/>
        <v>0</v>
      </c>
      <c r="EW197" s="39">
        <f t="shared" ref="EW197:EX197" si="3350">EW$1*ED197</f>
        <v>0</v>
      </c>
      <c r="EX197" s="39">
        <f t="shared" si="3350"/>
        <v>0</v>
      </c>
      <c r="EY197" s="2"/>
      <c r="EZ197" s="39">
        <f t="shared" si="17"/>
        <v>241.6824</v>
      </c>
      <c r="FA197" s="39">
        <f t="shared" si="18"/>
        <v>0</v>
      </c>
      <c r="FB197" s="2">
        <f t="shared" si="19"/>
        <v>0</v>
      </c>
      <c r="FC197" s="2">
        <f t="shared" ref="FC197:FD197" si="3351">BV197*$BT197+CQ197*$CO197</f>
        <v>0</v>
      </c>
      <c r="FD197" s="2">
        <f t="shared" si="3351"/>
        <v>0</v>
      </c>
      <c r="FE197" s="2">
        <f t="shared" ref="FE197:FJ197" si="3352">(BX197*$BT197+CS197*$CO197)/100</f>
        <v>0</v>
      </c>
      <c r="FF197" s="2">
        <f t="shared" si="3352"/>
        <v>0</v>
      </c>
      <c r="FG197" s="2">
        <f t="shared" si="3352"/>
        <v>0</v>
      </c>
      <c r="FH197" s="2">
        <f t="shared" si="3352"/>
        <v>0</v>
      </c>
      <c r="FI197" s="2">
        <f t="shared" si="3352"/>
        <v>0</v>
      </c>
      <c r="FJ197" s="2">
        <f t="shared" si="3352"/>
        <v>0</v>
      </c>
      <c r="FK197" s="2">
        <f t="shared" ref="FK197:FO197" si="3353">CD197*$BT197+CY197*$CO197</f>
        <v>0</v>
      </c>
      <c r="FL197" s="2">
        <f t="shared" si="3353"/>
        <v>0</v>
      </c>
      <c r="FM197" s="2">
        <f t="shared" si="3353"/>
        <v>0</v>
      </c>
      <c r="FN197" s="2">
        <f t="shared" si="3353"/>
        <v>0</v>
      </c>
      <c r="FO197" s="2">
        <f t="shared" si="3353"/>
        <v>0</v>
      </c>
      <c r="FP197" s="2">
        <f t="shared" ref="FP197:FQ197" si="3354">(CI197*$BT197+DD197*$CO197)/100</f>
        <v>0</v>
      </c>
      <c r="FQ197" s="2">
        <f t="shared" si="3354"/>
        <v>0</v>
      </c>
      <c r="FR197" s="2"/>
      <c r="FS197" s="2">
        <f t="shared" si="24"/>
        <v>0</v>
      </c>
      <c r="FT197" s="2">
        <f t="shared" si="25"/>
        <v>0</v>
      </c>
      <c r="FU197" s="39">
        <f t="shared" si="26"/>
        <v>0</v>
      </c>
      <c r="FV197" s="39">
        <f t="shared" ref="FV197:FW197" si="3355">FV$1*FC197/1000000</f>
        <v>0</v>
      </c>
      <c r="FW197" s="39">
        <f t="shared" si="3355"/>
        <v>0</v>
      </c>
      <c r="FX197" s="39">
        <f t="shared" ref="FX197:GC197" si="3356">FX$1*FE197</f>
        <v>0</v>
      </c>
      <c r="FY197" s="39">
        <f t="shared" si="3356"/>
        <v>0</v>
      </c>
      <c r="FZ197" s="39">
        <f t="shared" si="3356"/>
        <v>0</v>
      </c>
      <c r="GA197" s="39">
        <f t="shared" si="3356"/>
        <v>0</v>
      </c>
      <c r="GB197" s="39">
        <f t="shared" si="3356"/>
        <v>0</v>
      </c>
      <c r="GC197" s="39">
        <f t="shared" si="3356"/>
        <v>0</v>
      </c>
      <c r="GD197" s="39">
        <f t="shared" ref="GD197:GH197" si="3357">GD$1*FK197/1000000</f>
        <v>0</v>
      </c>
      <c r="GE197" s="39">
        <f t="shared" si="3357"/>
        <v>0</v>
      </c>
      <c r="GF197" s="39">
        <f t="shared" si="3357"/>
        <v>0</v>
      </c>
      <c r="GG197" s="39">
        <f t="shared" si="3357"/>
        <v>0</v>
      </c>
      <c r="GH197" s="39">
        <f t="shared" si="3357"/>
        <v>0</v>
      </c>
      <c r="GI197" s="39">
        <f t="shared" ref="GI197:GJ197" si="3358">GI$1*FP197</f>
        <v>0</v>
      </c>
      <c r="GJ197" s="39">
        <f t="shared" si="3358"/>
        <v>0</v>
      </c>
      <c r="GK197" s="2"/>
      <c r="GL197" s="39">
        <f t="shared" si="31"/>
        <v>0</v>
      </c>
      <c r="GM197" s="39">
        <f t="shared" si="32"/>
        <v>0</v>
      </c>
      <c r="GN197" s="2" t="s">
        <v>3</v>
      </c>
      <c r="GO197" s="2">
        <f t="shared" si="33"/>
        <v>20.100000000000001</v>
      </c>
      <c r="GP197" s="2">
        <f t="shared" si="34"/>
        <v>0.75</v>
      </c>
      <c r="GQ197" s="15">
        <f t="shared" si="35"/>
        <v>150.75</v>
      </c>
      <c r="GR197" s="15">
        <f t="shared" si="36"/>
        <v>3860.4818838285919</v>
      </c>
      <c r="GS197" s="15">
        <f t="shared" si="37"/>
        <v>192.06377531485529</v>
      </c>
      <c r="GT197" s="2">
        <f t="shared" si="38"/>
        <v>0</v>
      </c>
      <c r="GU197" s="2">
        <f t="shared" si="39"/>
        <v>0</v>
      </c>
      <c r="GV197" s="2">
        <f t="shared" si="40"/>
        <v>150.75000000000003</v>
      </c>
      <c r="GW197" s="2">
        <f t="shared" si="41"/>
        <v>0</v>
      </c>
      <c r="GX197" s="2"/>
      <c r="GY197" s="2"/>
      <c r="GZ197" s="2"/>
      <c r="HA197" s="2"/>
      <c r="HB197" s="2">
        <f t="shared" si="42"/>
        <v>0</v>
      </c>
      <c r="HC197" s="2">
        <f t="shared" si="43"/>
        <v>0</v>
      </c>
      <c r="HD197" s="2" t="s">
        <v>3</v>
      </c>
      <c r="HE197" s="2" t="s">
        <v>37</v>
      </c>
      <c r="HF197" s="2" t="s">
        <v>83</v>
      </c>
      <c r="HG197" s="2" t="s">
        <v>235</v>
      </c>
      <c r="HH197" s="2"/>
      <c r="HI197" s="2" t="s">
        <v>81</v>
      </c>
      <c r="HJ197" s="2" t="s">
        <v>3</v>
      </c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 t="s">
        <v>3</v>
      </c>
    </row>
    <row r="198" spans="1:268" ht="15.75" customHeight="1" x14ac:dyDescent="0.2">
      <c r="A198" s="13" t="s">
        <v>650</v>
      </c>
      <c r="B198" s="2" t="s">
        <v>99</v>
      </c>
      <c r="C198" s="2"/>
      <c r="D198" s="2"/>
      <c r="E198" s="2" t="s">
        <v>78</v>
      </c>
      <c r="F198" s="2" t="s">
        <v>497</v>
      </c>
      <c r="G198" s="2"/>
      <c r="H198" s="2" t="s">
        <v>80</v>
      </c>
      <c r="I198" s="2">
        <v>0</v>
      </c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>
        <v>0</v>
      </c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>
        <v>47.3</v>
      </c>
      <c r="AZ198" s="2"/>
      <c r="BA198" s="2"/>
      <c r="BB198" s="2"/>
      <c r="BC198" s="2"/>
      <c r="BD198" s="2"/>
      <c r="BE198" s="2"/>
      <c r="BF198" s="2"/>
      <c r="BG198" s="2">
        <v>0.66</v>
      </c>
      <c r="BH198" s="2">
        <v>0.04</v>
      </c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>
        <v>0</v>
      </c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>
        <v>0</v>
      </c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 t="s">
        <v>81</v>
      </c>
      <c r="DK198" s="2" t="s">
        <v>81</v>
      </c>
      <c r="DL198" s="2">
        <f t="shared" si="3"/>
        <v>0.66</v>
      </c>
      <c r="DM198" s="2">
        <f t="shared" si="4"/>
        <v>0.04</v>
      </c>
      <c r="DN198" s="2" t="s">
        <v>211</v>
      </c>
      <c r="DO198" s="2" t="s">
        <v>3</v>
      </c>
      <c r="DP198" s="2">
        <f t="shared" si="5"/>
        <v>0</v>
      </c>
      <c r="DQ198" s="2">
        <f t="shared" ref="DQ198:DR198" si="3359">K198*$I198+AF198*$AD198+BA198*$AY198</f>
        <v>0</v>
      </c>
      <c r="DR198" s="2">
        <f t="shared" si="3359"/>
        <v>0</v>
      </c>
      <c r="DS198" s="2">
        <f t="shared" ref="DS198:DX198" si="3360">(M198*$I198+AH198*$AD198+BC198*$AY198)/100</f>
        <v>0</v>
      </c>
      <c r="DT198" s="2">
        <f t="shared" si="3360"/>
        <v>0</v>
      </c>
      <c r="DU198" s="2">
        <f t="shared" si="3360"/>
        <v>0</v>
      </c>
      <c r="DV198" s="2">
        <f t="shared" si="3360"/>
        <v>0</v>
      </c>
      <c r="DW198" s="2">
        <f t="shared" si="3360"/>
        <v>0.31218000000000001</v>
      </c>
      <c r="DX198" s="2">
        <f t="shared" si="3360"/>
        <v>1.8919999999999999E-2</v>
      </c>
      <c r="DY198" s="2">
        <f t="shared" ref="DY198:EC198" si="3361">S198*$I198+AN198*$AD198+BI198*$AY198</f>
        <v>0</v>
      </c>
      <c r="DZ198" s="2">
        <f t="shared" si="3361"/>
        <v>0</v>
      </c>
      <c r="EA198" s="2">
        <f t="shared" si="3361"/>
        <v>0</v>
      </c>
      <c r="EB198" s="2">
        <f t="shared" si="3361"/>
        <v>0</v>
      </c>
      <c r="EC198" s="2">
        <f t="shared" si="3361"/>
        <v>0</v>
      </c>
      <c r="ED198" s="2">
        <f t="shared" ref="ED198:EE198" si="3362">(X198*$I198+AS198*$AD198+BN198*$AY198)/100</f>
        <v>0</v>
      </c>
      <c r="EE198" s="2">
        <f t="shared" si="3362"/>
        <v>0</v>
      </c>
      <c r="EF198" s="2"/>
      <c r="EG198" s="2">
        <f t="shared" si="10"/>
        <v>0</v>
      </c>
      <c r="EH198" s="2">
        <f t="shared" si="11"/>
        <v>0</v>
      </c>
      <c r="EI198" s="39">
        <f t="shared" si="12"/>
        <v>0</v>
      </c>
      <c r="EJ198" s="39">
        <f t="shared" ref="EJ198:EK198" si="3363">EJ$1*DQ198/1000000</f>
        <v>0</v>
      </c>
      <c r="EK198" s="39">
        <f t="shared" si="3363"/>
        <v>0</v>
      </c>
      <c r="EL198" s="39">
        <f t="shared" ref="EL198:EQ198" si="3364">EL$1*DS198</f>
        <v>0</v>
      </c>
      <c r="EM198" s="39">
        <f t="shared" si="3364"/>
        <v>0</v>
      </c>
      <c r="EN198" s="39">
        <f t="shared" si="3364"/>
        <v>0</v>
      </c>
      <c r="EO198" s="39">
        <f t="shared" si="3364"/>
        <v>0</v>
      </c>
      <c r="EP198" s="39">
        <f t="shared" si="3364"/>
        <v>4093.9285200000004</v>
      </c>
      <c r="EQ198" s="39">
        <f t="shared" si="3364"/>
        <v>1373.9613940799998</v>
      </c>
      <c r="ER198" s="39">
        <f t="shared" ref="ER198:EV198" si="3365">ER$1*DY198/1000000</f>
        <v>0</v>
      </c>
      <c r="ES198" s="39">
        <f t="shared" si="3365"/>
        <v>0</v>
      </c>
      <c r="ET198" s="39">
        <f t="shared" si="3365"/>
        <v>0</v>
      </c>
      <c r="EU198" s="39">
        <f t="shared" si="3365"/>
        <v>0</v>
      </c>
      <c r="EV198" s="39">
        <f t="shared" si="3365"/>
        <v>0</v>
      </c>
      <c r="EW198" s="39">
        <f t="shared" ref="EW198:EX198" si="3366">EW$1*ED198</f>
        <v>0</v>
      </c>
      <c r="EX198" s="39">
        <f t="shared" si="3366"/>
        <v>0</v>
      </c>
      <c r="EY198" s="2"/>
      <c r="EZ198" s="39">
        <f t="shared" si="17"/>
        <v>0</v>
      </c>
      <c r="FA198" s="39">
        <f t="shared" si="18"/>
        <v>0</v>
      </c>
      <c r="FB198" s="2">
        <f t="shared" si="19"/>
        <v>0</v>
      </c>
      <c r="FC198" s="2">
        <f t="shared" ref="FC198:FD198" si="3367">BV198*$BT198+CQ198*$CO198</f>
        <v>0</v>
      </c>
      <c r="FD198" s="2">
        <f t="shared" si="3367"/>
        <v>0</v>
      </c>
      <c r="FE198" s="2">
        <f t="shared" ref="FE198:FJ198" si="3368">(BX198*$BT198+CS198*$CO198)/100</f>
        <v>0</v>
      </c>
      <c r="FF198" s="2">
        <f t="shared" si="3368"/>
        <v>0</v>
      </c>
      <c r="FG198" s="2">
        <f t="shared" si="3368"/>
        <v>0</v>
      </c>
      <c r="FH198" s="2">
        <f t="shared" si="3368"/>
        <v>0</v>
      </c>
      <c r="FI198" s="2">
        <f t="shared" si="3368"/>
        <v>0</v>
      </c>
      <c r="FJ198" s="2">
        <f t="shared" si="3368"/>
        <v>0</v>
      </c>
      <c r="FK198" s="2">
        <f t="shared" ref="FK198:FO198" si="3369">CD198*$BT198+CY198*$CO198</f>
        <v>0</v>
      </c>
      <c r="FL198" s="2">
        <f t="shared" si="3369"/>
        <v>0</v>
      </c>
      <c r="FM198" s="2">
        <f t="shared" si="3369"/>
        <v>0</v>
      </c>
      <c r="FN198" s="2">
        <f t="shared" si="3369"/>
        <v>0</v>
      </c>
      <c r="FO198" s="2">
        <f t="shared" si="3369"/>
        <v>0</v>
      </c>
      <c r="FP198" s="2">
        <f t="shared" ref="FP198:FQ198" si="3370">(CI198*$BT198+DD198*$CO198)/100</f>
        <v>0</v>
      </c>
      <c r="FQ198" s="2">
        <f t="shared" si="3370"/>
        <v>0</v>
      </c>
      <c r="FR198" s="2"/>
      <c r="FS198" s="2">
        <f t="shared" si="24"/>
        <v>0</v>
      </c>
      <c r="FT198" s="2">
        <f t="shared" si="25"/>
        <v>0</v>
      </c>
      <c r="FU198" s="39">
        <f t="shared" si="26"/>
        <v>0</v>
      </c>
      <c r="FV198" s="39">
        <f t="shared" ref="FV198:FW198" si="3371">FV$1*FC198/1000000</f>
        <v>0</v>
      </c>
      <c r="FW198" s="39">
        <f t="shared" si="3371"/>
        <v>0</v>
      </c>
      <c r="FX198" s="39">
        <f t="shared" ref="FX198:GC198" si="3372">FX$1*FE198</f>
        <v>0</v>
      </c>
      <c r="FY198" s="39">
        <f t="shared" si="3372"/>
        <v>0</v>
      </c>
      <c r="FZ198" s="39">
        <f t="shared" si="3372"/>
        <v>0</v>
      </c>
      <c r="GA198" s="39">
        <f t="shared" si="3372"/>
        <v>0</v>
      </c>
      <c r="GB198" s="39">
        <f t="shared" si="3372"/>
        <v>0</v>
      </c>
      <c r="GC198" s="39">
        <f t="shared" si="3372"/>
        <v>0</v>
      </c>
      <c r="GD198" s="39">
        <f t="shared" ref="GD198:GH198" si="3373">GD$1*FK198/1000000</f>
        <v>0</v>
      </c>
      <c r="GE198" s="39">
        <f t="shared" si="3373"/>
        <v>0</v>
      </c>
      <c r="GF198" s="39">
        <f t="shared" si="3373"/>
        <v>0</v>
      </c>
      <c r="GG198" s="39">
        <f t="shared" si="3373"/>
        <v>0</v>
      </c>
      <c r="GH198" s="39">
        <f t="shared" si="3373"/>
        <v>0</v>
      </c>
      <c r="GI198" s="39">
        <f t="shared" ref="GI198:GJ198" si="3374">GI$1*FP198</f>
        <v>0</v>
      </c>
      <c r="GJ198" s="39">
        <f t="shared" si="3374"/>
        <v>0</v>
      </c>
      <c r="GK198" s="2"/>
      <c r="GL198" s="39">
        <f t="shared" si="31"/>
        <v>0</v>
      </c>
      <c r="GM198" s="39">
        <f t="shared" si="32"/>
        <v>0</v>
      </c>
      <c r="GN198" s="2" t="s">
        <v>3</v>
      </c>
      <c r="GO198" s="2">
        <f t="shared" si="33"/>
        <v>47.3</v>
      </c>
      <c r="GP198" s="2">
        <f t="shared" si="34"/>
        <v>0.66</v>
      </c>
      <c r="GQ198" s="15">
        <f t="shared" si="35"/>
        <v>312.18</v>
      </c>
      <c r="GR198" s="15">
        <f t="shared" si="36"/>
        <v>5467.8899140800004</v>
      </c>
      <c r="GS198" s="15">
        <f t="shared" si="37"/>
        <v>115.60020960000001</v>
      </c>
      <c r="GT198" s="2">
        <f t="shared" si="38"/>
        <v>0</v>
      </c>
      <c r="GU198" s="2">
        <f t="shared" si="39"/>
        <v>0</v>
      </c>
      <c r="GV198" s="2">
        <f t="shared" si="40"/>
        <v>312.18</v>
      </c>
      <c r="GW198" s="2">
        <f t="shared" si="41"/>
        <v>0</v>
      </c>
      <c r="GX198" s="2"/>
      <c r="GY198" s="2"/>
      <c r="GZ198" s="2"/>
      <c r="HA198" s="2"/>
      <c r="HB198" s="2">
        <f t="shared" si="42"/>
        <v>0</v>
      </c>
      <c r="HC198" s="2">
        <f t="shared" si="43"/>
        <v>0</v>
      </c>
      <c r="HD198" s="2" t="s">
        <v>3</v>
      </c>
      <c r="HE198" s="2" t="s">
        <v>37</v>
      </c>
      <c r="HF198" s="2" t="s">
        <v>83</v>
      </c>
      <c r="HG198" s="2" t="s">
        <v>235</v>
      </c>
      <c r="HH198" s="2"/>
      <c r="HI198" s="2" t="s">
        <v>81</v>
      </c>
      <c r="HJ198" s="2" t="s">
        <v>3</v>
      </c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 t="s">
        <v>3</v>
      </c>
    </row>
    <row r="199" spans="1:268" ht="15.75" customHeight="1" x14ac:dyDescent="0.2">
      <c r="A199" s="13" t="s">
        <v>914</v>
      </c>
      <c r="B199" s="2" t="s">
        <v>99</v>
      </c>
      <c r="C199" s="2"/>
      <c r="D199" s="2"/>
      <c r="E199" s="2" t="s">
        <v>78</v>
      </c>
      <c r="F199" s="2" t="s">
        <v>915</v>
      </c>
      <c r="G199" s="2"/>
      <c r="H199" s="2" t="s">
        <v>242</v>
      </c>
      <c r="I199" s="2">
        <v>0</v>
      </c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>
        <v>0</v>
      </c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>
        <v>53.6</v>
      </c>
      <c r="AZ199" s="2"/>
      <c r="BA199" s="2"/>
      <c r="BB199" s="2"/>
      <c r="BC199" s="2"/>
      <c r="BD199" s="2"/>
      <c r="BE199" s="2"/>
      <c r="BF199" s="2"/>
      <c r="BG199" s="2">
        <v>0.66</v>
      </c>
      <c r="BH199" s="2">
        <v>0.05</v>
      </c>
      <c r="BI199" s="2"/>
      <c r="BJ199" s="2"/>
      <c r="BK199" s="20"/>
      <c r="BL199" s="20"/>
      <c r="BM199" s="20"/>
      <c r="BN199" s="2"/>
      <c r="BO199" s="2"/>
      <c r="BP199" s="2"/>
      <c r="BQ199" s="20">
        <v>50</v>
      </c>
      <c r="BR199" s="2"/>
      <c r="BS199" s="2"/>
      <c r="BT199" s="2">
        <v>0</v>
      </c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>
        <v>0</v>
      </c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 t="s">
        <v>81</v>
      </c>
      <c r="DK199" s="2" t="s">
        <v>81</v>
      </c>
      <c r="DL199" s="2">
        <f t="shared" si="3"/>
        <v>0.66</v>
      </c>
      <c r="DM199" s="2">
        <f t="shared" si="4"/>
        <v>0.05</v>
      </c>
      <c r="DN199" s="2" t="s">
        <v>916</v>
      </c>
      <c r="DO199" s="2" t="s">
        <v>3</v>
      </c>
      <c r="DP199" s="2">
        <f t="shared" si="5"/>
        <v>0</v>
      </c>
      <c r="DQ199" s="2">
        <f t="shared" ref="DQ199:DR199" si="3375">K199*$I199+AF199*$AD199+BA199*$AY199</f>
        <v>0</v>
      </c>
      <c r="DR199" s="2">
        <f t="shared" si="3375"/>
        <v>0</v>
      </c>
      <c r="DS199" s="2">
        <f t="shared" ref="DS199:DX199" si="3376">(M199*$I199+AH199*$AD199+BC199*$AY199)/100</f>
        <v>0</v>
      </c>
      <c r="DT199" s="2">
        <f t="shared" si="3376"/>
        <v>0</v>
      </c>
      <c r="DU199" s="2">
        <f t="shared" si="3376"/>
        <v>0</v>
      </c>
      <c r="DV199" s="2">
        <f t="shared" si="3376"/>
        <v>0</v>
      </c>
      <c r="DW199" s="2">
        <f t="shared" si="3376"/>
        <v>0.35376000000000007</v>
      </c>
      <c r="DX199" s="2">
        <f t="shared" si="3376"/>
        <v>2.6800000000000001E-2</v>
      </c>
      <c r="DY199" s="2">
        <f t="shared" ref="DY199:EC199" si="3377">S199*$I199+AN199*$AD199+BI199*$AY199</f>
        <v>0</v>
      </c>
      <c r="DZ199" s="2">
        <f t="shared" si="3377"/>
        <v>0</v>
      </c>
      <c r="EA199" s="2">
        <f t="shared" si="3377"/>
        <v>0</v>
      </c>
      <c r="EB199" s="2">
        <f t="shared" si="3377"/>
        <v>0</v>
      </c>
      <c r="EC199" s="2">
        <f t="shared" si="3377"/>
        <v>0</v>
      </c>
      <c r="ED199" s="2">
        <f t="shared" ref="ED199:EE199" si="3378">(X199*$I199+AS199*$AD199+BN199*$AY199)/100</f>
        <v>0</v>
      </c>
      <c r="EE199" s="2">
        <f t="shared" si="3378"/>
        <v>0</v>
      </c>
      <c r="EF199" s="2"/>
      <c r="EG199" s="2">
        <f t="shared" si="10"/>
        <v>2680</v>
      </c>
      <c r="EH199" s="2">
        <f t="shared" si="11"/>
        <v>0</v>
      </c>
      <c r="EI199" s="39">
        <f t="shared" si="12"/>
        <v>0</v>
      </c>
      <c r="EJ199" s="39">
        <f t="shared" ref="EJ199:EK199" si="3379">EJ$1*DQ199/1000000</f>
        <v>0</v>
      </c>
      <c r="EK199" s="39">
        <f t="shared" si="3379"/>
        <v>0</v>
      </c>
      <c r="EL199" s="39">
        <f t="shared" ref="EL199:EQ199" si="3380">EL$1*DS199</f>
        <v>0</v>
      </c>
      <c r="EM199" s="39">
        <f t="shared" si="3380"/>
        <v>0</v>
      </c>
      <c r="EN199" s="39">
        <f t="shared" si="3380"/>
        <v>0</v>
      </c>
      <c r="EO199" s="39">
        <f t="shared" si="3380"/>
        <v>0</v>
      </c>
      <c r="EP199" s="39">
        <f t="shared" si="3380"/>
        <v>4639.2086400000007</v>
      </c>
      <c r="EQ199" s="39">
        <f t="shared" si="3380"/>
        <v>1946.2032431999999</v>
      </c>
      <c r="ER199" s="39">
        <f t="shared" ref="ER199:EV199" si="3381">ER$1*DY199/1000000</f>
        <v>0</v>
      </c>
      <c r="ES199" s="39">
        <f t="shared" si="3381"/>
        <v>0</v>
      </c>
      <c r="ET199" s="39">
        <f t="shared" si="3381"/>
        <v>0</v>
      </c>
      <c r="EU199" s="39">
        <f t="shared" si="3381"/>
        <v>0</v>
      </c>
      <c r="EV199" s="39">
        <f t="shared" si="3381"/>
        <v>0</v>
      </c>
      <c r="EW199" s="39">
        <f t="shared" ref="EW199:EX199" si="3382">EW$1*ED199</f>
        <v>0</v>
      </c>
      <c r="EX199" s="39">
        <f t="shared" si="3382"/>
        <v>0</v>
      </c>
      <c r="EY199" s="2"/>
      <c r="EZ199" s="39">
        <f t="shared" si="17"/>
        <v>964.8</v>
      </c>
      <c r="FA199" s="39">
        <f t="shared" si="18"/>
        <v>0</v>
      </c>
      <c r="FB199" s="2">
        <f t="shared" si="19"/>
        <v>0</v>
      </c>
      <c r="FC199" s="2">
        <f t="shared" ref="FC199:FD199" si="3383">BV199*$BT199+CQ199*$CO199</f>
        <v>0</v>
      </c>
      <c r="FD199" s="2">
        <f t="shared" si="3383"/>
        <v>0</v>
      </c>
      <c r="FE199" s="2">
        <f t="shared" ref="FE199:FJ199" si="3384">(BX199*$BT199+CS199*$CO199)/100</f>
        <v>0</v>
      </c>
      <c r="FF199" s="2">
        <f t="shared" si="3384"/>
        <v>0</v>
      </c>
      <c r="FG199" s="2">
        <f t="shared" si="3384"/>
        <v>0</v>
      </c>
      <c r="FH199" s="2">
        <f t="shared" si="3384"/>
        <v>0</v>
      </c>
      <c r="FI199" s="2">
        <f t="shared" si="3384"/>
        <v>0</v>
      </c>
      <c r="FJ199" s="2">
        <f t="shared" si="3384"/>
        <v>0</v>
      </c>
      <c r="FK199" s="2">
        <f t="shared" ref="FK199:FO199" si="3385">CD199*$BT199+CY199*$CO199</f>
        <v>0</v>
      </c>
      <c r="FL199" s="2">
        <f t="shared" si="3385"/>
        <v>0</v>
      </c>
      <c r="FM199" s="2">
        <f t="shared" si="3385"/>
        <v>0</v>
      </c>
      <c r="FN199" s="2">
        <f t="shared" si="3385"/>
        <v>0</v>
      </c>
      <c r="FO199" s="2">
        <f t="shared" si="3385"/>
        <v>0</v>
      </c>
      <c r="FP199" s="2">
        <f t="shared" ref="FP199:FQ199" si="3386">(CI199*$BT199+DD199*$CO199)/100</f>
        <v>0</v>
      </c>
      <c r="FQ199" s="2">
        <f t="shared" si="3386"/>
        <v>0</v>
      </c>
      <c r="FR199" s="2"/>
      <c r="FS199" s="2">
        <f t="shared" si="24"/>
        <v>0</v>
      </c>
      <c r="FT199" s="2">
        <f t="shared" si="25"/>
        <v>0</v>
      </c>
      <c r="FU199" s="39">
        <f t="shared" si="26"/>
        <v>0</v>
      </c>
      <c r="FV199" s="39">
        <f t="shared" ref="FV199:FW199" si="3387">FV$1*FC199/1000000</f>
        <v>0</v>
      </c>
      <c r="FW199" s="39">
        <f t="shared" si="3387"/>
        <v>0</v>
      </c>
      <c r="FX199" s="39">
        <f t="shared" ref="FX199:GC199" si="3388">FX$1*FE199</f>
        <v>0</v>
      </c>
      <c r="FY199" s="39">
        <f t="shared" si="3388"/>
        <v>0</v>
      </c>
      <c r="FZ199" s="39">
        <f t="shared" si="3388"/>
        <v>0</v>
      </c>
      <c r="GA199" s="39">
        <f t="shared" si="3388"/>
        <v>0</v>
      </c>
      <c r="GB199" s="39">
        <f t="shared" si="3388"/>
        <v>0</v>
      </c>
      <c r="GC199" s="39">
        <f t="shared" si="3388"/>
        <v>0</v>
      </c>
      <c r="GD199" s="39">
        <f t="shared" ref="GD199:GH199" si="3389">GD$1*FK199/1000000</f>
        <v>0</v>
      </c>
      <c r="GE199" s="39">
        <f t="shared" si="3389"/>
        <v>0</v>
      </c>
      <c r="GF199" s="39">
        <f t="shared" si="3389"/>
        <v>0</v>
      </c>
      <c r="GG199" s="39">
        <f t="shared" si="3389"/>
        <v>0</v>
      </c>
      <c r="GH199" s="39">
        <f t="shared" si="3389"/>
        <v>0</v>
      </c>
      <c r="GI199" s="39">
        <f t="shared" ref="GI199:GJ199" si="3390">GI$1*FP199</f>
        <v>0</v>
      </c>
      <c r="GJ199" s="39">
        <f t="shared" si="3390"/>
        <v>0</v>
      </c>
      <c r="GK199" s="2"/>
      <c r="GL199" s="39">
        <f t="shared" si="31"/>
        <v>0</v>
      </c>
      <c r="GM199" s="39">
        <f t="shared" si="32"/>
        <v>0</v>
      </c>
      <c r="GN199" s="2" t="s">
        <v>3</v>
      </c>
      <c r="GO199" s="2">
        <f t="shared" si="33"/>
        <v>53.6</v>
      </c>
      <c r="GP199" s="2">
        <f t="shared" si="34"/>
        <v>0.66</v>
      </c>
      <c r="GQ199" s="15">
        <f t="shared" si="35"/>
        <v>353.76</v>
      </c>
      <c r="GR199" s="15">
        <f t="shared" si="36"/>
        <v>7550.2118832000006</v>
      </c>
      <c r="GS199" s="15">
        <f t="shared" si="37"/>
        <v>140.86216200000001</v>
      </c>
      <c r="GT199" s="2">
        <f t="shared" si="38"/>
        <v>0</v>
      </c>
      <c r="GU199" s="2">
        <f t="shared" si="39"/>
        <v>0</v>
      </c>
      <c r="GV199" s="2">
        <f t="shared" si="40"/>
        <v>353.76000000000005</v>
      </c>
      <c r="GW199" s="2">
        <f t="shared" si="41"/>
        <v>0</v>
      </c>
      <c r="GX199" s="2"/>
      <c r="GY199" s="2"/>
      <c r="GZ199" s="2"/>
      <c r="HA199" s="2"/>
      <c r="HB199" s="2">
        <f t="shared" si="42"/>
        <v>0</v>
      </c>
      <c r="HC199" s="2">
        <f t="shared" si="43"/>
        <v>0</v>
      </c>
      <c r="HD199" s="2" t="s">
        <v>3</v>
      </c>
      <c r="HE199" s="2" t="s">
        <v>37</v>
      </c>
      <c r="HF199" s="2" t="s">
        <v>373</v>
      </c>
      <c r="HG199" s="2"/>
      <c r="HH199" s="2"/>
      <c r="HI199" s="2" t="s">
        <v>81</v>
      </c>
      <c r="HJ199" s="2" t="s">
        <v>3</v>
      </c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 t="s">
        <v>3</v>
      </c>
    </row>
    <row r="200" spans="1:268" ht="15.75" customHeight="1" x14ac:dyDescent="0.2">
      <c r="A200" s="13" t="s">
        <v>917</v>
      </c>
      <c r="B200" s="2" t="s">
        <v>99</v>
      </c>
      <c r="C200" s="2"/>
      <c r="D200" s="2"/>
      <c r="E200" s="2" t="s">
        <v>78</v>
      </c>
      <c r="F200" s="2" t="s">
        <v>915</v>
      </c>
      <c r="G200" s="2"/>
      <c r="H200" s="2" t="s">
        <v>242</v>
      </c>
      <c r="I200" s="2">
        <v>0</v>
      </c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>
        <v>0</v>
      </c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>
        <v>114.3</v>
      </c>
      <c r="AZ200" s="2"/>
      <c r="BA200" s="2"/>
      <c r="BB200" s="2"/>
      <c r="BC200" s="2"/>
      <c r="BD200" s="2"/>
      <c r="BE200" s="2"/>
      <c r="BF200" s="2"/>
      <c r="BG200" s="2">
        <v>0.56000000000000005</v>
      </c>
      <c r="BH200" s="2">
        <v>0.06</v>
      </c>
      <c r="BI200" s="2"/>
      <c r="BJ200" s="2"/>
      <c r="BK200" s="20"/>
      <c r="BL200" s="20"/>
      <c r="BM200" s="20"/>
      <c r="BN200" s="2"/>
      <c r="BO200" s="2"/>
      <c r="BP200" s="2"/>
      <c r="BQ200" s="20">
        <v>50</v>
      </c>
      <c r="BR200" s="2"/>
      <c r="BS200" s="2"/>
      <c r="BT200" s="2">
        <v>0</v>
      </c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>
        <v>0</v>
      </c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 t="s">
        <v>81</v>
      </c>
      <c r="DK200" s="2" t="s">
        <v>81</v>
      </c>
      <c r="DL200" s="2">
        <f t="shared" si="3"/>
        <v>0.56000000000000005</v>
      </c>
      <c r="DM200" s="2">
        <f t="shared" si="4"/>
        <v>0.06</v>
      </c>
      <c r="DN200" s="2" t="s">
        <v>916</v>
      </c>
      <c r="DO200" s="2" t="s">
        <v>3</v>
      </c>
      <c r="DP200" s="2">
        <f t="shared" si="5"/>
        <v>0</v>
      </c>
      <c r="DQ200" s="2">
        <f t="shared" ref="DQ200:DR200" si="3391">K200*$I200+AF200*$AD200+BA200*$AY200</f>
        <v>0</v>
      </c>
      <c r="DR200" s="2">
        <f t="shared" si="3391"/>
        <v>0</v>
      </c>
      <c r="DS200" s="2">
        <f t="shared" ref="DS200:DX200" si="3392">(M200*$I200+AH200*$AD200+BC200*$AY200)/100</f>
        <v>0</v>
      </c>
      <c r="DT200" s="2">
        <f t="shared" si="3392"/>
        <v>0</v>
      </c>
      <c r="DU200" s="2">
        <f t="shared" si="3392"/>
        <v>0</v>
      </c>
      <c r="DV200" s="2">
        <f t="shared" si="3392"/>
        <v>0</v>
      </c>
      <c r="DW200" s="2">
        <f t="shared" si="3392"/>
        <v>0.64008000000000009</v>
      </c>
      <c r="DX200" s="2">
        <f t="shared" si="3392"/>
        <v>6.8580000000000002E-2</v>
      </c>
      <c r="DY200" s="2">
        <f t="shared" ref="DY200:EC200" si="3393">S200*$I200+AN200*$AD200+BI200*$AY200</f>
        <v>0</v>
      </c>
      <c r="DZ200" s="2">
        <f t="shared" si="3393"/>
        <v>0</v>
      </c>
      <c r="EA200" s="2">
        <f t="shared" si="3393"/>
        <v>0</v>
      </c>
      <c r="EB200" s="2">
        <f t="shared" si="3393"/>
        <v>0</v>
      </c>
      <c r="EC200" s="2">
        <f t="shared" si="3393"/>
        <v>0</v>
      </c>
      <c r="ED200" s="2">
        <f t="shared" ref="ED200:EE200" si="3394">(X200*$I200+AS200*$AD200+BN200*$AY200)/100</f>
        <v>0</v>
      </c>
      <c r="EE200" s="2">
        <f t="shared" si="3394"/>
        <v>0</v>
      </c>
      <c r="EF200" s="2"/>
      <c r="EG200" s="2">
        <f t="shared" si="10"/>
        <v>5715</v>
      </c>
      <c r="EH200" s="2">
        <f t="shared" si="11"/>
        <v>0</v>
      </c>
      <c r="EI200" s="39">
        <f t="shared" si="12"/>
        <v>0</v>
      </c>
      <c r="EJ200" s="39">
        <f t="shared" ref="EJ200:EK200" si="3395">EJ$1*DQ200/1000000</f>
        <v>0</v>
      </c>
      <c r="EK200" s="39">
        <f t="shared" si="3395"/>
        <v>0</v>
      </c>
      <c r="EL200" s="39">
        <f t="shared" ref="EL200:EQ200" si="3396">EL$1*DS200</f>
        <v>0</v>
      </c>
      <c r="EM200" s="39">
        <f t="shared" si="3396"/>
        <v>0</v>
      </c>
      <c r="EN200" s="39">
        <f t="shared" si="3396"/>
        <v>0</v>
      </c>
      <c r="EO200" s="39">
        <f t="shared" si="3396"/>
        <v>0</v>
      </c>
      <c r="EP200" s="39">
        <f t="shared" si="3396"/>
        <v>8394.0091200000006</v>
      </c>
      <c r="EQ200" s="39">
        <f t="shared" si="3396"/>
        <v>4980.2469559199999</v>
      </c>
      <c r="ER200" s="39">
        <f t="shared" ref="ER200:EV200" si="3397">ER$1*DY200/1000000</f>
        <v>0</v>
      </c>
      <c r="ES200" s="39">
        <f t="shared" si="3397"/>
        <v>0</v>
      </c>
      <c r="ET200" s="39">
        <f t="shared" si="3397"/>
        <v>0</v>
      </c>
      <c r="EU200" s="39">
        <f t="shared" si="3397"/>
        <v>0</v>
      </c>
      <c r="EV200" s="39">
        <f t="shared" si="3397"/>
        <v>0</v>
      </c>
      <c r="EW200" s="39">
        <f t="shared" ref="EW200:EX200" si="3398">EW$1*ED200</f>
        <v>0</v>
      </c>
      <c r="EX200" s="39">
        <f t="shared" si="3398"/>
        <v>0</v>
      </c>
      <c r="EY200" s="2"/>
      <c r="EZ200" s="39">
        <f t="shared" si="17"/>
        <v>2057.4</v>
      </c>
      <c r="FA200" s="39">
        <f t="shared" si="18"/>
        <v>0</v>
      </c>
      <c r="FB200" s="2">
        <f t="shared" si="19"/>
        <v>0</v>
      </c>
      <c r="FC200" s="2">
        <f t="shared" ref="FC200:FD200" si="3399">BV200*$BT200+CQ200*$CO200</f>
        <v>0</v>
      </c>
      <c r="FD200" s="2">
        <f t="shared" si="3399"/>
        <v>0</v>
      </c>
      <c r="FE200" s="2">
        <f t="shared" ref="FE200:FJ200" si="3400">(BX200*$BT200+CS200*$CO200)/100</f>
        <v>0</v>
      </c>
      <c r="FF200" s="2">
        <f t="shared" si="3400"/>
        <v>0</v>
      </c>
      <c r="FG200" s="2">
        <f t="shared" si="3400"/>
        <v>0</v>
      </c>
      <c r="FH200" s="2">
        <f t="shared" si="3400"/>
        <v>0</v>
      </c>
      <c r="FI200" s="2">
        <f t="shared" si="3400"/>
        <v>0</v>
      </c>
      <c r="FJ200" s="2">
        <f t="shared" si="3400"/>
        <v>0</v>
      </c>
      <c r="FK200" s="2">
        <f t="shared" ref="FK200:FO200" si="3401">CD200*$BT200+CY200*$CO200</f>
        <v>0</v>
      </c>
      <c r="FL200" s="2">
        <f t="shared" si="3401"/>
        <v>0</v>
      </c>
      <c r="FM200" s="2">
        <f t="shared" si="3401"/>
        <v>0</v>
      </c>
      <c r="FN200" s="2">
        <f t="shared" si="3401"/>
        <v>0</v>
      </c>
      <c r="FO200" s="2">
        <f t="shared" si="3401"/>
        <v>0</v>
      </c>
      <c r="FP200" s="2">
        <f t="shared" ref="FP200:FQ200" si="3402">(CI200*$BT200+DD200*$CO200)/100</f>
        <v>0</v>
      </c>
      <c r="FQ200" s="2">
        <f t="shared" si="3402"/>
        <v>0</v>
      </c>
      <c r="FR200" s="2"/>
      <c r="FS200" s="2">
        <f t="shared" si="24"/>
        <v>0</v>
      </c>
      <c r="FT200" s="2">
        <f t="shared" si="25"/>
        <v>0</v>
      </c>
      <c r="FU200" s="39">
        <f t="shared" si="26"/>
        <v>0</v>
      </c>
      <c r="FV200" s="39">
        <f t="shared" ref="FV200:FW200" si="3403">FV$1*FC200/1000000</f>
        <v>0</v>
      </c>
      <c r="FW200" s="39">
        <f t="shared" si="3403"/>
        <v>0</v>
      </c>
      <c r="FX200" s="39">
        <f t="shared" ref="FX200:GC200" si="3404">FX$1*FE200</f>
        <v>0</v>
      </c>
      <c r="FY200" s="39">
        <f t="shared" si="3404"/>
        <v>0</v>
      </c>
      <c r="FZ200" s="39">
        <f t="shared" si="3404"/>
        <v>0</v>
      </c>
      <c r="GA200" s="39">
        <f t="shared" si="3404"/>
        <v>0</v>
      </c>
      <c r="GB200" s="39">
        <f t="shared" si="3404"/>
        <v>0</v>
      </c>
      <c r="GC200" s="39">
        <f t="shared" si="3404"/>
        <v>0</v>
      </c>
      <c r="GD200" s="39">
        <f t="shared" ref="GD200:GH200" si="3405">GD$1*FK200/1000000</f>
        <v>0</v>
      </c>
      <c r="GE200" s="39">
        <f t="shared" si="3405"/>
        <v>0</v>
      </c>
      <c r="GF200" s="39">
        <f t="shared" si="3405"/>
        <v>0</v>
      </c>
      <c r="GG200" s="39">
        <f t="shared" si="3405"/>
        <v>0</v>
      </c>
      <c r="GH200" s="39">
        <f t="shared" si="3405"/>
        <v>0</v>
      </c>
      <c r="GI200" s="39">
        <f t="shared" ref="GI200:GJ200" si="3406">GI$1*FP200</f>
        <v>0</v>
      </c>
      <c r="GJ200" s="39">
        <f t="shared" si="3406"/>
        <v>0</v>
      </c>
      <c r="GK200" s="2"/>
      <c r="GL200" s="39">
        <f t="shared" si="31"/>
        <v>0</v>
      </c>
      <c r="GM200" s="39">
        <f t="shared" si="32"/>
        <v>0</v>
      </c>
      <c r="GN200" s="2" t="s">
        <v>3</v>
      </c>
      <c r="GO200" s="2">
        <f t="shared" si="33"/>
        <v>114.3</v>
      </c>
      <c r="GP200" s="2">
        <f t="shared" si="34"/>
        <v>0.56000000000000005</v>
      </c>
      <c r="GQ200" s="15">
        <f t="shared" si="35"/>
        <v>640.08000000000004</v>
      </c>
      <c r="GR200" s="15">
        <f t="shared" si="36"/>
        <v>15431.65607592</v>
      </c>
      <c r="GS200" s="15">
        <f t="shared" si="37"/>
        <v>135.01011439999999</v>
      </c>
      <c r="GT200" s="2">
        <f t="shared" si="38"/>
        <v>0</v>
      </c>
      <c r="GU200" s="2">
        <f t="shared" si="39"/>
        <v>0</v>
      </c>
      <c r="GV200" s="2">
        <f t="shared" si="40"/>
        <v>640.08000000000004</v>
      </c>
      <c r="GW200" s="2">
        <f t="shared" si="41"/>
        <v>0</v>
      </c>
      <c r="GX200" s="2"/>
      <c r="GY200" s="2"/>
      <c r="GZ200" s="2"/>
      <c r="HA200" s="2"/>
      <c r="HB200" s="2">
        <f t="shared" si="42"/>
        <v>0</v>
      </c>
      <c r="HC200" s="2">
        <f t="shared" si="43"/>
        <v>0</v>
      </c>
      <c r="HD200" s="2" t="s">
        <v>3</v>
      </c>
      <c r="HE200" s="2" t="s">
        <v>37</v>
      </c>
      <c r="HF200" s="2" t="s">
        <v>373</v>
      </c>
      <c r="HG200" s="2"/>
      <c r="HH200" s="2"/>
      <c r="HI200" s="2" t="s">
        <v>81</v>
      </c>
      <c r="HJ200" s="2" t="s">
        <v>3</v>
      </c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 t="s">
        <v>3</v>
      </c>
    </row>
    <row r="201" spans="1:268" ht="15.75" customHeight="1" x14ac:dyDescent="0.2">
      <c r="A201" s="13" t="s">
        <v>1091</v>
      </c>
      <c r="B201" s="2" t="s">
        <v>139</v>
      </c>
      <c r="C201" s="2"/>
      <c r="D201" s="2"/>
      <c r="E201" s="2" t="s">
        <v>78</v>
      </c>
      <c r="F201" s="2" t="s">
        <v>1092</v>
      </c>
      <c r="G201" s="2"/>
      <c r="H201" s="2" t="s">
        <v>141</v>
      </c>
      <c r="I201" s="4">
        <v>36.451190000000004</v>
      </c>
      <c r="J201" s="2"/>
      <c r="K201" s="2"/>
      <c r="L201" s="2"/>
      <c r="M201" s="2"/>
      <c r="N201" s="2"/>
      <c r="O201" s="2"/>
      <c r="P201" s="2"/>
      <c r="Q201" s="4">
        <v>1.0448611142736355</v>
      </c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>
        <v>8.67</v>
      </c>
      <c r="AE201" s="2"/>
      <c r="AF201" s="2"/>
      <c r="AG201" s="2"/>
      <c r="AH201" s="2"/>
      <c r="AI201" s="2"/>
      <c r="AJ201" s="2"/>
      <c r="AK201" s="2"/>
      <c r="AL201" s="2">
        <v>1.1000000000000001</v>
      </c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>
        <v>10.71</v>
      </c>
      <c r="AZ201" s="2"/>
      <c r="BA201" s="2"/>
      <c r="BB201" s="2"/>
      <c r="BC201" s="2"/>
      <c r="BD201" s="2"/>
      <c r="BE201" s="2"/>
      <c r="BF201" s="2"/>
      <c r="BG201" s="2">
        <v>1.1000000000000001</v>
      </c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>
        <v>0</v>
      </c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>
        <v>0</v>
      </c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 t="s">
        <v>81</v>
      </c>
      <c r="DK201" s="2"/>
      <c r="DL201" s="2">
        <f t="shared" si="3"/>
        <v>1.0640008031353083</v>
      </c>
      <c r="DM201" s="2">
        <f t="shared" si="4"/>
        <v>0</v>
      </c>
      <c r="DN201" s="2" t="s">
        <v>1093</v>
      </c>
      <c r="DO201" s="2" t="s">
        <v>3</v>
      </c>
      <c r="DP201" s="2">
        <f t="shared" si="5"/>
        <v>0</v>
      </c>
      <c r="DQ201" s="2">
        <f t="shared" ref="DQ201:DR201" si="3407">K201*$I201+AF201*$AD201+BA201*$AY201</f>
        <v>0</v>
      </c>
      <c r="DR201" s="2">
        <f t="shared" si="3407"/>
        <v>0</v>
      </c>
      <c r="DS201" s="2">
        <f t="shared" ref="DS201:DX201" si="3408">(M201*$I201+AH201*$AD201+BC201*$AY201)/100</f>
        <v>0</v>
      </c>
      <c r="DT201" s="2">
        <f t="shared" si="3408"/>
        <v>0</v>
      </c>
      <c r="DU201" s="2">
        <f t="shared" si="3408"/>
        <v>0</v>
      </c>
      <c r="DV201" s="2">
        <f t="shared" si="3408"/>
        <v>0</v>
      </c>
      <c r="DW201" s="2">
        <f t="shared" si="3408"/>
        <v>0.59404431000000002</v>
      </c>
      <c r="DX201" s="2">
        <f t="shared" si="3408"/>
        <v>0</v>
      </c>
      <c r="DY201" s="2">
        <f t="shared" ref="DY201:EC201" si="3409">S201*$I201+AN201*$AD201+BI201*$AY201</f>
        <v>0</v>
      </c>
      <c r="DZ201" s="2">
        <f t="shared" si="3409"/>
        <v>0</v>
      </c>
      <c r="EA201" s="2">
        <f t="shared" si="3409"/>
        <v>0</v>
      </c>
      <c r="EB201" s="2">
        <f t="shared" si="3409"/>
        <v>0</v>
      </c>
      <c r="EC201" s="2">
        <f t="shared" si="3409"/>
        <v>0</v>
      </c>
      <c r="ED201" s="2">
        <f t="shared" ref="ED201:EE201" si="3410">(X201*$I201+AS201*$AD201+BN201*$AY201)/100</f>
        <v>0</v>
      </c>
      <c r="EE201" s="2">
        <f t="shared" si="3410"/>
        <v>0</v>
      </c>
      <c r="EF201" s="2"/>
      <c r="EG201" s="2">
        <f t="shared" si="10"/>
        <v>0</v>
      </c>
      <c r="EH201" s="2">
        <f t="shared" si="11"/>
        <v>0</v>
      </c>
      <c r="EI201" s="39">
        <f t="shared" si="12"/>
        <v>0</v>
      </c>
      <c r="EJ201" s="39">
        <f t="shared" ref="EJ201:EK201" si="3411">EJ$1*DQ201/1000000</f>
        <v>0</v>
      </c>
      <c r="EK201" s="39">
        <f t="shared" si="3411"/>
        <v>0</v>
      </c>
      <c r="EL201" s="39">
        <f t="shared" ref="EL201:EQ201" si="3412">EL$1*DS201</f>
        <v>0</v>
      </c>
      <c r="EM201" s="39">
        <f t="shared" si="3412"/>
        <v>0</v>
      </c>
      <c r="EN201" s="39">
        <f t="shared" si="3412"/>
        <v>0</v>
      </c>
      <c r="EO201" s="39">
        <f t="shared" si="3412"/>
        <v>0</v>
      </c>
      <c r="EP201" s="39">
        <f t="shared" si="3412"/>
        <v>7790.2970813400007</v>
      </c>
      <c r="EQ201" s="39">
        <f t="shared" si="3412"/>
        <v>0</v>
      </c>
      <c r="ER201" s="39">
        <f t="shared" ref="ER201:EV201" si="3413">ER$1*DY201/1000000</f>
        <v>0</v>
      </c>
      <c r="ES201" s="39">
        <f t="shared" si="3413"/>
        <v>0</v>
      </c>
      <c r="ET201" s="39">
        <f t="shared" si="3413"/>
        <v>0</v>
      </c>
      <c r="EU201" s="39">
        <f t="shared" si="3413"/>
        <v>0</v>
      </c>
      <c r="EV201" s="39">
        <f t="shared" si="3413"/>
        <v>0</v>
      </c>
      <c r="EW201" s="39">
        <f t="shared" ref="EW201:EX201" si="3414">EW$1*ED201</f>
        <v>0</v>
      </c>
      <c r="EX201" s="39">
        <f t="shared" si="3414"/>
        <v>0</v>
      </c>
      <c r="EY201" s="2"/>
      <c r="EZ201" s="39">
        <f t="shared" si="17"/>
        <v>0</v>
      </c>
      <c r="FA201" s="39">
        <f t="shared" si="18"/>
        <v>0</v>
      </c>
      <c r="FB201" s="2">
        <f t="shared" si="19"/>
        <v>0</v>
      </c>
      <c r="FC201" s="2">
        <f t="shared" ref="FC201:FD201" si="3415">BV201*$BT201+CQ201*$CO201</f>
        <v>0</v>
      </c>
      <c r="FD201" s="2">
        <f t="shared" si="3415"/>
        <v>0</v>
      </c>
      <c r="FE201" s="2">
        <f t="shared" ref="FE201:FJ201" si="3416">(BX201*$BT201+CS201*$CO201)/100</f>
        <v>0</v>
      </c>
      <c r="FF201" s="2">
        <f t="shared" si="3416"/>
        <v>0</v>
      </c>
      <c r="FG201" s="2">
        <f t="shared" si="3416"/>
        <v>0</v>
      </c>
      <c r="FH201" s="2">
        <f t="shared" si="3416"/>
        <v>0</v>
      </c>
      <c r="FI201" s="2">
        <f t="shared" si="3416"/>
        <v>0</v>
      </c>
      <c r="FJ201" s="2">
        <f t="shared" si="3416"/>
        <v>0</v>
      </c>
      <c r="FK201" s="2">
        <f t="shared" ref="FK201:FO201" si="3417">CD201*$BT201+CY201*$CO201</f>
        <v>0</v>
      </c>
      <c r="FL201" s="2">
        <f t="shared" si="3417"/>
        <v>0</v>
      </c>
      <c r="FM201" s="2">
        <f t="shared" si="3417"/>
        <v>0</v>
      </c>
      <c r="FN201" s="2">
        <f t="shared" si="3417"/>
        <v>0</v>
      </c>
      <c r="FO201" s="2">
        <f t="shared" si="3417"/>
        <v>0</v>
      </c>
      <c r="FP201" s="2">
        <f t="shared" ref="FP201:FQ201" si="3418">(CI201*$BT201+DD201*$CO201)/100</f>
        <v>0</v>
      </c>
      <c r="FQ201" s="2">
        <f t="shared" si="3418"/>
        <v>0</v>
      </c>
      <c r="FR201" s="2"/>
      <c r="FS201" s="2">
        <f t="shared" si="24"/>
        <v>0</v>
      </c>
      <c r="FT201" s="2">
        <f t="shared" si="25"/>
        <v>0</v>
      </c>
      <c r="FU201" s="39">
        <f t="shared" si="26"/>
        <v>0</v>
      </c>
      <c r="FV201" s="39">
        <f t="shared" ref="FV201:FW201" si="3419">FV$1*FC201/1000000</f>
        <v>0</v>
      </c>
      <c r="FW201" s="39">
        <f t="shared" si="3419"/>
        <v>0</v>
      </c>
      <c r="FX201" s="39">
        <f t="shared" ref="FX201:GC201" si="3420">FX$1*FE201</f>
        <v>0</v>
      </c>
      <c r="FY201" s="39">
        <f t="shared" si="3420"/>
        <v>0</v>
      </c>
      <c r="FZ201" s="39">
        <f t="shared" si="3420"/>
        <v>0</v>
      </c>
      <c r="GA201" s="39">
        <f t="shared" si="3420"/>
        <v>0</v>
      </c>
      <c r="GB201" s="39">
        <f t="shared" si="3420"/>
        <v>0</v>
      </c>
      <c r="GC201" s="39">
        <f t="shared" si="3420"/>
        <v>0</v>
      </c>
      <c r="GD201" s="39">
        <f t="shared" ref="GD201:GH201" si="3421">GD$1*FK201/1000000</f>
        <v>0</v>
      </c>
      <c r="GE201" s="39">
        <f t="shared" si="3421"/>
        <v>0</v>
      </c>
      <c r="GF201" s="39">
        <f t="shared" si="3421"/>
        <v>0</v>
      </c>
      <c r="GG201" s="39">
        <f t="shared" si="3421"/>
        <v>0</v>
      </c>
      <c r="GH201" s="39">
        <f t="shared" si="3421"/>
        <v>0</v>
      </c>
      <c r="GI201" s="39">
        <f t="shared" ref="GI201:GJ201" si="3422">GI$1*FP201</f>
        <v>0</v>
      </c>
      <c r="GJ201" s="39">
        <f t="shared" si="3422"/>
        <v>0</v>
      </c>
      <c r="GK201" s="2"/>
      <c r="GL201" s="39">
        <f t="shared" si="31"/>
        <v>0</v>
      </c>
      <c r="GM201" s="39">
        <f t="shared" si="32"/>
        <v>0</v>
      </c>
      <c r="GN201" s="2" t="s">
        <v>3</v>
      </c>
      <c r="GO201" s="4">
        <f t="shared" si="33"/>
        <v>55.831190000000007</v>
      </c>
      <c r="GP201" s="4">
        <f t="shared" si="34"/>
        <v>1.0640008031353083</v>
      </c>
      <c r="GQ201" s="15">
        <f t="shared" si="35"/>
        <v>594.04431</v>
      </c>
      <c r="GR201" s="15">
        <f t="shared" si="36"/>
        <v>7790.2970813400007</v>
      </c>
      <c r="GS201" s="15">
        <f t="shared" si="37"/>
        <v>139.53306532316435</v>
      </c>
      <c r="GT201" s="2">
        <f t="shared" si="38"/>
        <v>380.86431000000005</v>
      </c>
      <c r="GU201" s="2">
        <f t="shared" si="39"/>
        <v>95.37</v>
      </c>
      <c r="GV201" s="2">
        <f t="shared" si="40"/>
        <v>117.81000000000002</v>
      </c>
      <c r="GW201" s="2">
        <f t="shared" si="41"/>
        <v>0</v>
      </c>
      <c r="GX201" s="2"/>
      <c r="GY201" s="2"/>
      <c r="GZ201" s="2"/>
      <c r="HA201" s="2"/>
      <c r="HB201" s="2">
        <f t="shared" si="42"/>
        <v>0</v>
      </c>
      <c r="HC201" s="2">
        <f t="shared" si="43"/>
        <v>0</v>
      </c>
      <c r="HD201" s="2" t="s">
        <v>3</v>
      </c>
      <c r="HE201" s="2" t="s">
        <v>37</v>
      </c>
      <c r="HF201" s="2" t="s">
        <v>83</v>
      </c>
      <c r="HG201" s="2"/>
      <c r="HH201" s="2"/>
      <c r="HI201" s="2" t="s">
        <v>81</v>
      </c>
      <c r="HJ201" s="2" t="s">
        <v>3</v>
      </c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 t="s">
        <v>3</v>
      </c>
    </row>
    <row r="202" spans="1:268" ht="15.75" customHeight="1" x14ac:dyDescent="0.2">
      <c r="A202" s="13" t="s">
        <v>1294</v>
      </c>
      <c r="B202" s="2" t="s">
        <v>99</v>
      </c>
      <c r="C202" s="2"/>
      <c r="D202" s="2"/>
      <c r="E202" s="2" t="s">
        <v>78</v>
      </c>
      <c r="F202" s="2" t="s">
        <v>1293</v>
      </c>
      <c r="G202" s="2"/>
      <c r="H202" s="2" t="s">
        <v>1295</v>
      </c>
      <c r="I202" s="2">
        <v>0</v>
      </c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>
        <v>0</v>
      </c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>
        <v>63.5</v>
      </c>
      <c r="AZ202" s="2"/>
      <c r="BA202" s="2"/>
      <c r="BB202" s="2"/>
      <c r="BC202" s="2"/>
      <c r="BD202" s="2"/>
      <c r="BE202" s="2"/>
      <c r="BF202" s="2"/>
      <c r="BG202" s="2">
        <v>0.38</v>
      </c>
      <c r="BH202" s="2"/>
      <c r="BI202" s="2"/>
      <c r="BJ202" s="2"/>
      <c r="BK202" s="2"/>
      <c r="BL202" s="2"/>
      <c r="BM202" s="2"/>
      <c r="BN202" s="2">
        <v>5.22</v>
      </c>
      <c r="BO202" s="2">
        <v>38.08</v>
      </c>
      <c r="BP202" s="2"/>
      <c r="BQ202" s="2"/>
      <c r="BR202" s="2"/>
      <c r="BS202" s="2"/>
      <c r="BT202" s="2">
        <v>0</v>
      </c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>
        <v>0</v>
      </c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 t="s">
        <v>81</v>
      </c>
      <c r="DK202" s="2"/>
      <c r="DL202" s="2">
        <f t="shared" si="3"/>
        <v>0.38</v>
      </c>
      <c r="DM202" s="2">
        <f t="shared" si="4"/>
        <v>0</v>
      </c>
      <c r="DN202" s="2" t="s">
        <v>175</v>
      </c>
      <c r="DO202" s="2" t="s">
        <v>3</v>
      </c>
      <c r="DP202" s="2">
        <f t="shared" si="5"/>
        <v>0</v>
      </c>
      <c r="DQ202" s="2">
        <f t="shared" ref="DQ202:DR202" si="3423">K202*$I202+AF202*$AD202+BA202*$AY202</f>
        <v>0</v>
      </c>
      <c r="DR202" s="2">
        <f t="shared" si="3423"/>
        <v>0</v>
      </c>
      <c r="DS202" s="2">
        <f t="shared" ref="DS202:DX202" si="3424">(M202*$I202+AH202*$AD202+BC202*$AY202)/100</f>
        <v>0</v>
      </c>
      <c r="DT202" s="2">
        <f t="shared" si="3424"/>
        <v>0</v>
      </c>
      <c r="DU202" s="2">
        <f t="shared" si="3424"/>
        <v>0</v>
      </c>
      <c r="DV202" s="2">
        <f t="shared" si="3424"/>
        <v>0</v>
      </c>
      <c r="DW202" s="2">
        <f t="shared" si="3424"/>
        <v>0.24129999999999999</v>
      </c>
      <c r="DX202" s="2">
        <f t="shared" si="3424"/>
        <v>0</v>
      </c>
      <c r="DY202" s="2">
        <f t="shared" ref="DY202:EC202" si="3425">S202*$I202+AN202*$AD202+BI202*$AY202</f>
        <v>0</v>
      </c>
      <c r="DZ202" s="2">
        <f t="shared" si="3425"/>
        <v>0</v>
      </c>
      <c r="EA202" s="2">
        <f t="shared" si="3425"/>
        <v>0</v>
      </c>
      <c r="EB202" s="2">
        <f t="shared" si="3425"/>
        <v>0</v>
      </c>
      <c r="EC202" s="2">
        <f t="shared" si="3425"/>
        <v>0</v>
      </c>
      <c r="ED202" s="2">
        <f t="shared" ref="ED202:EE202" si="3426">(X202*$I202+AS202*$AD202+BN202*$AY202)/100</f>
        <v>3.3146999999999998</v>
      </c>
      <c r="EE202" s="2">
        <f t="shared" si="3426"/>
        <v>24.180799999999998</v>
      </c>
      <c r="EF202" s="2"/>
      <c r="EG202" s="2">
        <f t="shared" si="10"/>
        <v>0</v>
      </c>
      <c r="EH202" s="2">
        <f t="shared" si="11"/>
        <v>0</v>
      </c>
      <c r="EI202" s="39">
        <f t="shared" si="12"/>
        <v>0</v>
      </c>
      <c r="EJ202" s="39">
        <f t="shared" ref="EJ202:EK202" si="3427">EJ$1*DQ202/1000000</f>
        <v>0</v>
      </c>
      <c r="EK202" s="39">
        <f t="shared" si="3427"/>
        <v>0</v>
      </c>
      <c r="EL202" s="39">
        <f t="shared" ref="EL202:EQ202" si="3428">EL$1*DS202</f>
        <v>0</v>
      </c>
      <c r="EM202" s="39">
        <f t="shared" si="3428"/>
        <v>0</v>
      </c>
      <c r="EN202" s="39">
        <f t="shared" si="3428"/>
        <v>0</v>
      </c>
      <c r="EO202" s="39">
        <f t="shared" si="3428"/>
        <v>0</v>
      </c>
      <c r="EP202" s="39">
        <f t="shared" si="3428"/>
        <v>3164.4081999999999</v>
      </c>
      <c r="EQ202" s="39">
        <f t="shared" si="3428"/>
        <v>0</v>
      </c>
      <c r="ER202" s="39">
        <f t="shared" ref="ER202:EV202" si="3429">ER$1*DY202/1000000</f>
        <v>0</v>
      </c>
      <c r="ES202" s="39">
        <f t="shared" si="3429"/>
        <v>0</v>
      </c>
      <c r="ET202" s="39">
        <f t="shared" si="3429"/>
        <v>0</v>
      </c>
      <c r="EU202" s="39">
        <f t="shared" si="3429"/>
        <v>0</v>
      </c>
      <c r="EV202" s="39">
        <f t="shared" si="3429"/>
        <v>0</v>
      </c>
      <c r="EW202" s="39">
        <f t="shared" ref="EW202:EX202" si="3430">EW$1*ED202</f>
        <v>924.80129999999997</v>
      </c>
      <c r="EX202" s="39">
        <f t="shared" si="3430"/>
        <v>2248.8143999999998</v>
      </c>
      <c r="EY202" s="2"/>
      <c r="EZ202" s="39">
        <f t="shared" si="17"/>
        <v>0</v>
      </c>
      <c r="FA202" s="39">
        <f t="shared" si="18"/>
        <v>0</v>
      </c>
      <c r="FB202" s="2">
        <f t="shared" si="19"/>
        <v>0</v>
      </c>
      <c r="FC202" s="2">
        <f t="shared" ref="FC202:FD202" si="3431">BV202*$BT202+CQ202*$CO202</f>
        <v>0</v>
      </c>
      <c r="FD202" s="2">
        <f t="shared" si="3431"/>
        <v>0</v>
      </c>
      <c r="FE202" s="2">
        <f t="shared" ref="FE202:FJ202" si="3432">(BX202*$BT202+CS202*$CO202)/100</f>
        <v>0</v>
      </c>
      <c r="FF202" s="2">
        <f t="shared" si="3432"/>
        <v>0</v>
      </c>
      <c r="FG202" s="2">
        <f t="shared" si="3432"/>
        <v>0</v>
      </c>
      <c r="FH202" s="2">
        <f t="shared" si="3432"/>
        <v>0</v>
      </c>
      <c r="FI202" s="2">
        <f t="shared" si="3432"/>
        <v>0</v>
      </c>
      <c r="FJ202" s="2">
        <f t="shared" si="3432"/>
        <v>0</v>
      </c>
      <c r="FK202" s="2">
        <f t="shared" ref="FK202:FO202" si="3433">CD202*$BT202+CY202*$CO202</f>
        <v>0</v>
      </c>
      <c r="FL202" s="2">
        <f t="shared" si="3433"/>
        <v>0</v>
      </c>
      <c r="FM202" s="2">
        <f t="shared" si="3433"/>
        <v>0</v>
      </c>
      <c r="FN202" s="2">
        <f t="shared" si="3433"/>
        <v>0</v>
      </c>
      <c r="FO202" s="2">
        <f t="shared" si="3433"/>
        <v>0</v>
      </c>
      <c r="FP202" s="2">
        <f t="shared" ref="FP202:FQ202" si="3434">(CI202*$BT202+DD202*$CO202)/100</f>
        <v>0</v>
      </c>
      <c r="FQ202" s="2">
        <f t="shared" si="3434"/>
        <v>0</v>
      </c>
      <c r="FR202" s="2"/>
      <c r="FS202" s="2">
        <f t="shared" si="24"/>
        <v>0</v>
      </c>
      <c r="FT202" s="2">
        <f t="shared" si="25"/>
        <v>0</v>
      </c>
      <c r="FU202" s="39">
        <f t="shared" si="26"/>
        <v>0</v>
      </c>
      <c r="FV202" s="39">
        <f t="shared" ref="FV202:FW202" si="3435">FV$1*FC202/1000000</f>
        <v>0</v>
      </c>
      <c r="FW202" s="39">
        <f t="shared" si="3435"/>
        <v>0</v>
      </c>
      <c r="FX202" s="39">
        <f t="shared" ref="FX202:GC202" si="3436">FX$1*FE202</f>
        <v>0</v>
      </c>
      <c r="FY202" s="39">
        <f t="shared" si="3436"/>
        <v>0</v>
      </c>
      <c r="FZ202" s="39">
        <f t="shared" si="3436"/>
        <v>0</v>
      </c>
      <c r="GA202" s="39">
        <f t="shared" si="3436"/>
        <v>0</v>
      </c>
      <c r="GB202" s="39">
        <f t="shared" si="3436"/>
        <v>0</v>
      </c>
      <c r="GC202" s="39">
        <f t="shared" si="3436"/>
        <v>0</v>
      </c>
      <c r="GD202" s="39">
        <f t="shared" ref="GD202:GH202" si="3437">GD$1*FK202/1000000</f>
        <v>0</v>
      </c>
      <c r="GE202" s="39">
        <f t="shared" si="3437"/>
        <v>0</v>
      </c>
      <c r="GF202" s="39">
        <f t="shared" si="3437"/>
        <v>0</v>
      </c>
      <c r="GG202" s="39">
        <f t="shared" si="3437"/>
        <v>0</v>
      </c>
      <c r="GH202" s="39">
        <f t="shared" si="3437"/>
        <v>0</v>
      </c>
      <c r="GI202" s="39">
        <f t="shared" ref="GI202:GJ202" si="3438">GI$1*FP202</f>
        <v>0</v>
      </c>
      <c r="GJ202" s="39">
        <f t="shared" si="3438"/>
        <v>0</v>
      </c>
      <c r="GK202" s="2"/>
      <c r="GL202" s="39">
        <f t="shared" si="31"/>
        <v>0</v>
      </c>
      <c r="GM202" s="39">
        <f t="shared" si="32"/>
        <v>0</v>
      </c>
      <c r="GN202" s="2" t="s">
        <v>3</v>
      </c>
      <c r="GO202" s="2">
        <f t="shared" si="33"/>
        <v>63.5</v>
      </c>
      <c r="GP202" s="2">
        <f t="shared" si="34"/>
        <v>0.38</v>
      </c>
      <c r="GQ202" s="15">
        <f t="shared" si="35"/>
        <v>241.3</v>
      </c>
      <c r="GR202" s="15">
        <f t="shared" si="36"/>
        <v>6338.0239000000001</v>
      </c>
      <c r="GS202" s="15">
        <f t="shared" si="37"/>
        <v>99.811400000000006</v>
      </c>
      <c r="GT202" s="2">
        <f t="shared" si="38"/>
        <v>0</v>
      </c>
      <c r="GU202" s="2">
        <f t="shared" si="39"/>
        <v>0</v>
      </c>
      <c r="GV202" s="2">
        <f t="shared" si="40"/>
        <v>241.3</v>
      </c>
      <c r="GW202" s="2">
        <f t="shared" si="41"/>
        <v>0</v>
      </c>
      <c r="GX202" s="2"/>
      <c r="GY202" s="2"/>
      <c r="GZ202" s="2"/>
      <c r="HA202" s="2"/>
      <c r="HB202" s="2">
        <f t="shared" si="42"/>
        <v>0</v>
      </c>
      <c r="HC202" s="2">
        <f t="shared" si="43"/>
        <v>0</v>
      </c>
      <c r="HD202" s="2" t="s">
        <v>3</v>
      </c>
      <c r="HE202" s="2" t="s">
        <v>37</v>
      </c>
      <c r="HF202" s="2" t="s">
        <v>235</v>
      </c>
      <c r="HG202" s="2" t="s">
        <v>235</v>
      </c>
      <c r="HH202" s="2"/>
      <c r="HI202" s="2" t="s">
        <v>81</v>
      </c>
      <c r="HJ202" s="2" t="s">
        <v>3</v>
      </c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  <c r="JE202" s="2"/>
      <c r="JF202" s="2"/>
      <c r="JG202" s="2"/>
      <c r="JH202" s="2" t="s">
        <v>3</v>
      </c>
    </row>
    <row r="203" spans="1:268" ht="15.75" customHeight="1" x14ac:dyDescent="0.2">
      <c r="A203" s="13" t="s">
        <v>1292</v>
      </c>
      <c r="B203" s="2" t="s">
        <v>99</v>
      </c>
      <c r="C203" s="2"/>
      <c r="D203" s="2"/>
      <c r="E203" s="2" t="s">
        <v>78</v>
      </c>
      <c r="F203" s="2" t="s">
        <v>1293</v>
      </c>
      <c r="G203" s="2"/>
      <c r="H203" s="2" t="s">
        <v>181</v>
      </c>
      <c r="I203" s="2">
        <v>0</v>
      </c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>
        <v>0</v>
      </c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>
        <v>330</v>
      </c>
      <c r="AZ203" s="2"/>
      <c r="BA203" s="2"/>
      <c r="BB203" s="2"/>
      <c r="BC203" s="2"/>
      <c r="BD203" s="2"/>
      <c r="BE203" s="2"/>
      <c r="BF203" s="2"/>
      <c r="BG203" s="2">
        <v>0.75</v>
      </c>
      <c r="BH203" s="2">
        <v>0.06</v>
      </c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>
        <v>0</v>
      </c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>
        <v>0</v>
      </c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 t="s">
        <v>81</v>
      </c>
      <c r="DK203" s="2"/>
      <c r="DL203" s="2">
        <f t="shared" si="3"/>
        <v>0.75</v>
      </c>
      <c r="DM203" s="2">
        <f t="shared" si="4"/>
        <v>6.0000000000000005E-2</v>
      </c>
      <c r="DN203" s="2" t="s">
        <v>175</v>
      </c>
      <c r="DO203" s="2" t="s">
        <v>3</v>
      </c>
      <c r="DP203" s="2">
        <f t="shared" si="5"/>
        <v>0</v>
      </c>
      <c r="DQ203" s="2">
        <f t="shared" ref="DQ203:DR203" si="3439">K203*$I203+AF203*$AD203+BA203*$AY203</f>
        <v>0</v>
      </c>
      <c r="DR203" s="2">
        <f t="shared" si="3439"/>
        <v>0</v>
      </c>
      <c r="DS203" s="2">
        <f t="shared" ref="DS203:DX203" si="3440">(M203*$I203+AH203*$AD203+BC203*$AY203)/100</f>
        <v>0</v>
      </c>
      <c r="DT203" s="2">
        <f t="shared" si="3440"/>
        <v>0</v>
      </c>
      <c r="DU203" s="2">
        <f t="shared" si="3440"/>
        <v>0</v>
      </c>
      <c r="DV203" s="2">
        <f t="shared" si="3440"/>
        <v>0</v>
      </c>
      <c r="DW203" s="2">
        <f t="shared" si="3440"/>
        <v>2.4750000000000001</v>
      </c>
      <c r="DX203" s="2">
        <f t="shared" si="3440"/>
        <v>0.19800000000000001</v>
      </c>
      <c r="DY203" s="2">
        <f t="shared" ref="DY203:EC203" si="3441">S203*$I203+AN203*$AD203+BI203*$AY203</f>
        <v>0</v>
      </c>
      <c r="DZ203" s="2">
        <f t="shared" si="3441"/>
        <v>0</v>
      </c>
      <c r="EA203" s="2">
        <f t="shared" si="3441"/>
        <v>0</v>
      </c>
      <c r="EB203" s="2">
        <f t="shared" si="3441"/>
        <v>0</v>
      </c>
      <c r="EC203" s="2">
        <f t="shared" si="3441"/>
        <v>0</v>
      </c>
      <c r="ED203" s="2">
        <f t="shared" ref="ED203:EE203" si="3442">(X203*$I203+AS203*$AD203+BN203*$AY203)/100</f>
        <v>0</v>
      </c>
      <c r="EE203" s="2">
        <f t="shared" si="3442"/>
        <v>0</v>
      </c>
      <c r="EF203" s="2"/>
      <c r="EG203" s="2">
        <f t="shared" si="10"/>
        <v>0</v>
      </c>
      <c r="EH203" s="2">
        <f t="shared" si="11"/>
        <v>0</v>
      </c>
      <c r="EI203" s="39">
        <f t="shared" si="12"/>
        <v>0</v>
      </c>
      <c r="EJ203" s="39">
        <f t="shared" ref="EJ203:EK203" si="3443">EJ$1*DQ203/1000000</f>
        <v>0</v>
      </c>
      <c r="EK203" s="39">
        <f t="shared" si="3443"/>
        <v>0</v>
      </c>
      <c r="EL203" s="39">
        <f t="shared" ref="EL203:EQ203" si="3444">EL$1*DS203</f>
        <v>0</v>
      </c>
      <c r="EM203" s="39">
        <f t="shared" si="3444"/>
        <v>0</v>
      </c>
      <c r="EN203" s="39">
        <f t="shared" si="3444"/>
        <v>0</v>
      </c>
      <c r="EO203" s="39">
        <f t="shared" si="3444"/>
        <v>0</v>
      </c>
      <c r="EP203" s="39">
        <f t="shared" si="3444"/>
        <v>32457.15</v>
      </c>
      <c r="EQ203" s="39">
        <f t="shared" si="3444"/>
        <v>14378.665751999999</v>
      </c>
      <c r="ER203" s="39">
        <f t="shared" ref="ER203:EV203" si="3445">ER$1*DY203/1000000</f>
        <v>0</v>
      </c>
      <c r="ES203" s="39">
        <f t="shared" si="3445"/>
        <v>0</v>
      </c>
      <c r="ET203" s="39">
        <f t="shared" si="3445"/>
        <v>0</v>
      </c>
      <c r="EU203" s="39">
        <f t="shared" si="3445"/>
        <v>0</v>
      </c>
      <c r="EV203" s="39">
        <f t="shared" si="3445"/>
        <v>0</v>
      </c>
      <c r="EW203" s="39">
        <f t="shared" ref="EW203:EX203" si="3446">EW$1*ED203</f>
        <v>0</v>
      </c>
      <c r="EX203" s="39">
        <f t="shared" si="3446"/>
        <v>0</v>
      </c>
      <c r="EY203" s="2"/>
      <c r="EZ203" s="39">
        <f t="shared" si="17"/>
        <v>0</v>
      </c>
      <c r="FA203" s="39">
        <f t="shared" si="18"/>
        <v>0</v>
      </c>
      <c r="FB203" s="2">
        <f t="shared" si="19"/>
        <v>0</v>
      </c>
      <c r="FC203" s="2">
        <f t="shared" ref="FC203:FD203" si="3447">BV203*$BT203+CQ203*$CO203</f>
        <v>0</v>
      </c>
      <c r="FD203" s="2">
        <f t="shared" si="3447"/>
        <v>0</v>
      </c>
      <c r="FE203" s="2">
        <f t="shared" ref="FE203:FJ203" si="3448">(BX203*$BT203+CS203*$CO203)/100</f>
        <v>0</v>
      </c>
      <c r="FF203" s="2">
        <f t="shared" si="3448"/>
        <v>0</v>
      </c>
      <c r="FG203" s="2">
        <f t="shared" si="3448"/>
        <v>0</v>
      </c>
      <c r="FH203" s="2">
        <f t="shared" si="3448"/>
        <v>0</v>
      </c>
      <c r="FI203" s="2">
        <f t="shared" si="3448"/>
        <v>0</v>
      </c>
      <c r="FJ203" s="2">
        <f t="shared" si="3448"/>
        <v>0</v>
      </c>
      <c r="FK203" s="2">
        <f t="shared" ref="FK203:FO203" si="3449">CD203*$BT203+CY203*$CO203</f>
        <v>0</v>
      </c>
      <c r="FL203" s="2">
        <f t="shared" si="3449"/>
        <v>0</v>
      </c>
      <c r="FM203" s="2">
        <f t="shared" si="3449"/>
        <v>0</v>
      </c>
      <c r="FN203" s="2">
        <f t="shared" si="3449"/>
        <v>0</v>
      </c>
      <c r="FO203" s="2">
        <f t="shared" si="3449"/>
        <v>0</v>
      </c>
      <c r="FP203" s="2">
        <f t="shared" ref="FP203:FQ203" si="3450">(CI203*$BT203+DD203*$CO203)/100</f>
        <v>0</v>
      </c>
      <c r="FQ203" s="2">
        <f t="shared" si="3450"/>
        <v>0</v>
      </c>
      <c r="FR203" s="2"/>
      <c r="FS203" s="2">
        <f t="shared" si="24"/>
        <v>0</v>
      </c>
      <c r="FT203" s="2">
        <f t="shared" si="25"/>
        <v>0</v>
      </c>
      <c r="FU203" s="39">
        <f t="shared" si="26"/>
        <v>0</v>
      </c>
      <c r="FV203" s="39">
        <f t="shared" ref="FV203:FW203" si="3451">FV$1*FC203/1000000</f>
        <v>0</v>
      </c>
      <c r="FW203" s="39">
        <f t="shared" si="3451"/>
        <v>0</v>
      </c>
      <c r="FX203" s="39">
        <f t="shared" ref="FX203:GC203" si="3452">FX$1*FE203</f>
        <v>0</v>
      </c>
      <c r="FY203" s="39">
        <f t="shared" si="3452"/>
        <v>0</v>
      </c>
      <c r="FZ203" s="39">
        <f t="shared" si="3452"/>
        <v>0</v>
      </c>
      <c r="GA203" s="39">
        <f t="shared" si="3452"/>
        <v>0</v>
      </c>
      <c r="GB203" s="39">
        <f t="shared" si="3452"/>
        <v>0</v>
      </c>
      <c r="GC203" s="39">
        <f t="shared" si="3452"/>
        <v>0</v>
      </c>
      <c r="GD203" s="39">
        <f t="shared" ref="GD203:GH203" si="3453">GD$1*FK203/1000000</f>
        <v>0</v>
      </c>
      <c r="GE203" s="39">
        <f t="shared" si="3453"/>
        <v>0</v>
      </c>
      <c r="GF203" s="39">
        <f t="shared" si="3453"/>
        <v>0</v>
      </c>
      <c r="GG203" s="39">
        <f t="shared" si="3453"/>
        <v>0</v>
      </c>
      <c r="GH203" s="39">
        <f t="shared" si="3453"/>
        <v>0</v>
      </c>
      <c r="GI203" s="39">
        <f t="shared" ref="GI203:GJ203" si="3454">GI$1*FP203</f>
        <v>0</v>
      </c>
      <c r="GJ203" s="39">
        <f t="shared" si="3454"/>
        <v>0</v>
      </c>
      <c r="GK203" s="2"/>
      <c r="GL203" s="39">
        <f t="shared" si="31"/>
        <v>0</v>
      </c>
      <c r="GM203" s="39">
        <f t="shared" si="32"/>
        <v>0</v>
      </c>
      <c r="GN203" s="2" t="s">
        <v>3</v>
      </c>
      <c r="GO203" s="2">
        <f t="shared" si="33"/>
        <v>330</v>
      </c>
      <c r="GP203" s="2">
        <f t="shared" si="34"/>
        <v>0.75</v>
      </c>
      <c r="GQ203" s="18">
        <f t="shared" si="35"/>
        <v>2475</v>
      </c>
      <c r="GR203" s="15">
        <f t="shared" si="36"/>
        <v>46835.815752000002</v>
      </c>
      <c r="GS203" s="15">
        <f t="shared" si="37"/>
        <v>141.92671440000001</v>
      </c>
      <c r="GT203" s="2">
        <f t="shared" si="38"/>
        <v>0</v>
      </c>
      <c r="GU203" s="2">
        <f t="shared" si="39"/>
        <v>0</v>
      </c>
      <c r="GV203" s="2">
        <f t="shared" si="40"/>
        <v>2475</v>
      </c>
      <c r="GW203" s="2">
        <f t="shared" si="41"/>
        <v>0</v>
      </c>
      <c r="GX203" s="2"/>
      <c r="GY203" s="2"/>
      <c r="GZ203" s="2"/>
      <c r="HA203" s="2"/>
      <c r="HB203" s="2">
        <f t="shared" si="42"/>
        <v>0</v>
      </c>
      <c r="HC203" s="2">
        <f t="shared" si="43"/>
        <v>0</v>
      </c>
      <c r="HD203" s="2" t="s">
        <v>3</v>
      </c>
      <c r="HE203" s="2" t="s">
        <v>37</v>
      </c>
      <c r="HF203" s="2" t="s">
        <v>235</v>
      </c>
      <c r="HG203" s="2" t="s">
        <v>235</v>
      </c>
      <c r="HH203" s="2"/>
      <c r="HI203" s="2" t="s">
        <v>81</v>
      </c>
      <c r="HJ203" s="2" t="s">
        <v>3</v>
      </c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 t="s">
        <v>3</v>
      </c>
    </row>
    <row r="204" spans="1:268" ht="15.75" customHeight="1" x14ac:dyDescent="0.2">
      <c r="A204" s="13" t="s">
        <v>1203</v>
      </c>
      <c r="B204" s="2" t="s">
        <v>99</v>
      </c>
      <c r="C204" s="2"/>
      <c r="D204" s="2"/>
      <c r="E204" s="2" t="s">
        <v>78</v>
      </c>
      <c r="F204" s="2" t="s">
        <v>1204</v>
      </c>
      <c r="G204" s="2"/>
      <c r="H204" s="2" t="s">
        <v>80</v>
      </c>
      <c r="I204" s="2">
        <v>68.8</v>
      </c>
      <c r="J204" s="2"/>
      <c r="K204" s="2"/>
      <c r="L204" s="2"/>
      <c r="M204" s="2"/>
      <c r="N204" s="2"/>
      <c r="O204" s="2"/>
      <c r="P204" s="2"/>
      <c r="Q204" s="2">
        <v>0.63</v>
      </c>
      <c r="R204" s="4">
        <v>0.1</v>
      </c>
      <c r="S204" s="2"/>
      <c r="T204" s="2"/>
      <c r="U204" s="2"/>
      <c r="V204" s="2"/>
      <c r="W204" s="2"/>
      <c r="X204" s="2"/>
      <c r="Y204" s="2"/>
      <c r="Z204" s="2"/>
      <c r="AA204" s="2">
        <v>62</v>
      </c>
      <c r="AB204" s="2"/>
      <c r="AC204" s="2"/>
      <c r="AD204" s="2">
        <v>93.9</v>
      </c>
      <c r="AE204" s="2"/>
      <c r="AF204" s="2"/>
      <c r="AG204" s="2"/>
      <c r="AH204" s="2"/>
      <c r="AI204" s="2"/>
      <c r="AJ204" s="2"/>
      <c r="AK204" s="2"/>
      <c r="AL204" s="2">
        <v>0.47</v>
      </c>
      <c r="AM204" s="2">
        <v>0.08</v>
      </c>
      <c r="AN204" s="2"/>
      <c r="AO204" s="2"/>
      <c r="AP204" s="2"/>
      <c r="AQ204" s="2"/>
      <c r="AR204" s="2"/>
      <c r="AS204" s="2"/>
      <c r="AT204" s="2"/>
      <c r="AU204" s="2"/>
      <c r="AV204" s="2">
        <v>86</v>
      </c>
      <c r="AW204" s="2"/>
      <c r="AX204" s="2"/>
      <c r="AY204" s="2">
        <v>20.6</v>
      </c>
      <c r="AZ204" s="2"/>
      <c r="BA204" s="2"/>
      <c r="BB204" s="2"/>
      <c r="BC204" s="2"/>
      <c r="BD204" s="2"/>
      <c r="BE204" s="2"/>
      <c r="BF204" s="2"/>
      <c r="BG204" s="2">
        <v>0.23</v>
      </c>
      <c r="BH204" s="2">
        <v>0.09</v>
      </c>
      <c r="BI204" s="2"/>
      <c r="BJ204" s="2"/>
      <c r="BK204" s="2"/>
      <c r="BL204" s="2"/>
      <c r="BM204" s="2"/>
      <c r="BN204" s="2"/>
      <c r="BO204" s="2"/>
      <c r="BP204" s="2"/>
      <c r="BQ204" s="2">
        <v>283</v>
      </c>
      <c r="BR204" s="2"/>
      <c r="BS204" s="2"/>
      <c r="BT204" s="2">
        <v>65.5</v>
      </c>
      <c r="BU204" s="2"/>
      <c r="BV204" s="2"/>
      <c r="BW204" s="2"/>
      <c r="BX204" s="2"/>
      <c r="BY204" s="2"/>
      <c r="BZ204" s="2"/>
      <c r="CA204" s="2"/>
      <c r="CB204" s="2">
        <v>0.65</v>
      </c>
      <c r="CC204" s="4">
        <v>0.1</v>
      </c>
      <c r="CD204" s="2"/>
      <c r="CE204" s="2"/>
      <c r="CF204" s="2"/>
      <c r="CG204" s="2"/>
      <c r="CH204" s="2"/>
      <c r="CI204" s="2"/>
      <c r="CJ204" s="2"/>
      <c r="CK204" s="2"/>
      <c r="CL204" s="2">
        <v>48</v>
      </c>
      <c r="CM204" s="2"/>
      <c r="CN204" s="2"/>
      <c r="CO204" s="2">
        <v>81.900000000000006</v>
      </c>
      <c r="CP204" s="2"/>
      <c r="CQ204" s="2"/>
      <c r="CR204" s="2"/>
      <c r="CS204" s="2"/>
      <c r="CT204" s="2"/>
      <c r="CU204" s="2"/>
      <c r="CV204" s="2"/>
      <c r="CW204" s="2">
        <v>0.49</v>
      </c>
      <c r="CX204" s="2">
        <v>0.08</v>
      </c>
      <c r="CY204" s="2"/>
      <c r="CZ204" s="2"/>
      <c r="DA204" s="2"/>
      <c r="DB204" s="2"/>
      <c r="DC204" s="2"/>
      <c r="DD204" s="2"/>
      <c r="DE204" s="2"/>
      <c r="DF204" s="2"/>
      <c r="DG204" s="2">
        <v>57</v>
      </c>
      <c r="DH204" s="2"/>
      <c r="DI204" s="2"/>
      <c r="DJ204" s="2" t="s">
        <v>81</v>
      </c>
      <c r="DK204" s="2" t="s">
        <v>81</v>
      </c>
      <c r="DL204" s="2">
        <f t="shared" si="3"/>
        <v>0.50308237861429361</v>
      </c>
      <c r="DM204" s="2">
        <f t="shared" si="4"/>
        <v>8.8630660120021826E-2</v>
      </c>
      <c r="DN204" s="2" t="s">
        <v>1205</v>
      </c>
      <c r="DO204" s="2" t="s">
        <v>3</v>
      </c>
      <c r="DP204" s="2">
        <f t="shared" si="5"/>
        <v>0</v>
      </c>
      <c r="DQ204" s="2">
        <f t="shared" ref="DQ204:DR204" si="3455">K204*$I204+AF204*$AD204+BA204*$AY204</f>
        <v>0</v>
      </c>
      <c r="DR204" s="2">
        <f t="shared" si="3455"/>
        <v>0</v>
      </c>
      <c r="DS204" s="2">
        <f t="shared" ref="DS204:DX204" si="3456">(M204*$I204+AH204*$AD204+BC204*$AY204)/100</f>
        <v>0</v>
      </c>
      <c r="DT204" s="2">
        <f t="shared" si="3456"/>
        <v>0</v>
      </c>
      <c r="DU204" s="2">
        <f t="shared" si="3456"/>
        <v>0</v>
      </c>
      <c r="DV204" s="2">
        <f t="shared" si="3456"/>
        <v>0</v>
      </c>
      <c r="DW204" s="2">
        <f t="shared" si="3456"/>
        <v>0.92215000000000003</v>
      </c>
      <c r="DX204" s="2">
        <f t="shared" si="3456"/>
        <v>0.16245999999999999</v>
      </c>
      <c r="DY204" s="2">
        <f t="shared" ref="DY204:EC204" si="3457">S204*$I204+AN204*$AD204+BI204*$AY204</f>
        <v>0</v>
      </c>
      <c r="DZ204" s="2">
        <f t="shared" si="3457"/>
        <v>0</v>
      </c>
      <c r="EA204" s="2">
        <f t="shared" si="3457"/>
        <v>0</v>
      </c>
      <c r="EB204" s="2">
        <f t="shared" si="3457"/>
        <v>0</v>
      </c>
      <c r="EC204" s="2">
        <f t="shared" si="3457"/>
        <v>0</v>
      </c>
      <c r="ED204" s="2">
        <f t="shared" ref="ED204:EE204" si="3458">(X204*$I204+AS204*$AD204+BN204*$AY204)/100</f>
        <v>0</v>
      </c>
      <c r="EE204" s="2">
        <f t="shared" si="3458"/>
        <v>0</v>
      </c>
      <c r="EF204" s="2"/>
      <c r="EG204" s="2">
        <f t="shared" si="10"/>
        <v>18170.8</v>
      </c>
      <c r="EH204" s="2">
        <f t="shared" si="11"/>
        <v>0</v>
      </c>
      <c r="EI204" s="39">
        <f t="shared" si="12"/>
        <v>0</v>
      </c>
      <c r="EJ204" s="39">
        <f t="shared" ref="EJ204:EK204" si="3459">EJ$1*DQ204/1000000</f>
        <v>0</v>
      </c>
      <c r="EK204" s="39">
        <f t="shared" si="3459"/>
        <v>0</v>
      </c>
      <c r="EL204" s="39">
        <f t="shared" ref="EL204:EQ204" si="3460">EL$1*DS204</f>
        <v>0</v>
      </c>
      <c r="EM204" s="39">
        <f t="shared" si="3460"/>
        <v>0</v>
      </c>
      <c r="EN204" s="39">
        <f t="shared" si="3460"/>
        <v>0</v>
      </c>
      <c r="EO204" s="39">
        <f t="shared" si="3460"/>
        <v>0</v>
      </c>
      <c r="EP204" s="39">
        <f t="shared" si="3460"/>
        <v>12093.0751</v>
      </c>
      <c r="EQ204" s="39">
        <f t="shared" si="3460"/>
        <v>11797.767869039997</v>
      </c>
      <c r="ER204" s="39">
        <f t="shared" ref="ER204:EV204" si="3461">ER$1*DY204/1000000</f>
        <v>0</v>
      </c>
      <c r="ES204" s="39">
        <f t="shared" si="3461"/>
        <v>0</v>
      </c>
      <c r="ET204" s="39">
        <f t="shared" si="3461"/>
        <v>0</v>
      </c>
      <c r="EU204" s="39">
        <f t="shared" si="3461"/>
        <v>0</v>
      </c>
      <c r="EV204" s="39">
        <f t="shared" si="3461"/>
        <v>0</v>
      </c>
      <c r="EW204" s="39">
        <f t="shared" ref="EW204:EX204" si="3462">EW$1*ED204</f>
        <v>0</v>
      </c>
      <c r="EX204" s="39">
        <f t="shared" si="3462"/>
        <v>0</v>
      </c>
      <c r="EY204" s="2"/>
      <c r="EZ204" s="39">
        <f t="shared" si="17"/>
        <v>6541.4880000000003</v>
      </c>
      <c r="FA204" s="39">
        <f t="shared" si="18"/>
        <v>0</v>
      </c>
      <c r="FB204" s="2">
        <f t="shared" si="19"/>
        <v>0</v>
      </c>
      <c r="FC204" s="2">
        <f t="shared" ref="FC204:FD204" si="3463">BV204*$BT204+CQ204*$CO204</f>
        <v>0</v>
      </c>
      <c r="FD204" s="2">
        <f t="shared" si="3463"/>
        <v>0</v>
      </c>
      <c r="FE204" s="2">
        <f t="shared" ref="FE204:FJ204" si="3464">(BX204*$BT204+CS204*$CO204)/100</f>
        <v>0</v>
      </c>
      <c r="FF204" s="2">
        <f t="shared" si="3464"/>
        <v>0</v>
      </c>
      <c r="FG204" s="2">
        <f t="shared" si="3464"/>
        <v>0</v>
      </c>
      <c r="FH204" s="2">
        <f t="shared" si="3464"/>
        <v>0</v>
      </c>
      <c r="FI204" s="2">
        <f t="shared" si="3464"/>
        <v>0.82706000000000002</v>
      </c>
      <c r="FJ204" s="2">
        <f t="shared" si="3464"/>
        <v>0.13102</v>
      </c>
      <c r="FK204" s="2">
        <f t="shared" ref="FK204:FO204" si="3465">CD204*$BT204+CY204*$CO204</f>
        <v>0</v>
      </c>
      <c r="FL204" s="2">
        <f t="shared" si="3465"/>
        <v>0</v>
      </c>
      <c r="FM204" s="2">
        <f t="shared" si="3465"/>
        <v>0</v>
      </c>
      <c r="FN204" s="2">
        <f t="shared" si="3465"/>
        <v>0</v>
      </c>
      <c r="FO204" s="2">
        <f t="shared" si="3465"/>
        <v>0</v>
      </c>
      <c r="FP204" s="2">
        <f t="shared" ref="FP204:FQ204" si="3466">(CI204*$BT204+DD204*$CO204)/100</f>
        <v>0</v>
      </c>
      <c r="FQ204" s="2">
        <f t="shared" si="3466"/>
        <v>0</v>
      </c>
      <c r="FR204" s="2"/>
      <c r="FS204" s="2">
        <f t="shared" si="24"/>
        <v>7812.3</v>
      </c>
      <c r="FT204" s="2">
        <f t="shared" si="25"/>
        <v>0</v>
      </c>
      <c r="FU204" s="39">
        <f t="shared" si="26"/>
        <v>0</v>
      </c>
      <c r="FV204" s="39">
        <f t="shared" ref="FV204:FW204" si="3467">FV$1*FC204/1000000</f>
        <v>0</v>
      </c>
      <c r="FW204" s="39">
        <f t="shared" si="3467"/>
        <v>0</v>
      </c>
      <c r="FX204" s="39">
        <f t="shared" ref="FX204:GC204" si="3468">FX$1*FE204</f>
        <v>0</v>
      </c>
      <c r="FY204" s="39">
        <f t="shared" si="3468"/>
        <v>0</v>
      </c>
      <c r="FZ204" s="39">
        <f t="shared" si="3468"/>
        <v>0</v>
      </c>
      <c r="GA204" s="39">
        <f t="shared" si="3468"/>
        <v>0</v>
      </c>
      <c r="GB204" s="39">
        <f t="shared" si="3468"/>
        <v>10846.064840000001</v>
      </c>
      <c r="GC204" s="39">
        <f t="shared" si="3468"/>
        <v>9514.6100344799979</v>
      </c>
      <c r="GD204" s="39">
        <f t="shared" ref="GD204:GH204" si="3469">GD$1*FK204/1000000</f>
        <v>0</v>
      </c>
      <c r="GE204" s="39">
        <f t="shared" si="3469"/>
        <v>0</v>
      </c>
      <c r="GF204" s="39">
        <f t="shared" si="3469"/>
        <v>0</v>
      </c>
      <c r="GG204" s="39">
        <f t="shared" si="3469"/>
        <v>0</v>
      </c>
      <c r="GH204" s="39">
        <f t="shared" si="3469"/>
        <v>0</v>
      </c>
      <c r="GI204" s="39">
        <f t="shared" ref="GI204:GJ204" si="3470">GI$1*FP204</f>
        <v>0</v>
      </c>
      <c r="GJ204" s="39">
        <f t="shared" si="3470"/>
        <v>0</v>
      </c>
      <c r="GK204" s="2"/>
      <c r="GL204" s="39">
        <f t="shared" si="31"/>
        <v>2812.4279999999999</v>
      </c>
      <c r="GM204" s="39">
        <f t="shared" si="32"/>
        <v>0</v>
      </c>
      <c r="GN204" s="2" t="s">
        <v>3</v>
      </c>
      <c r="GO204" s="2">
        <f t="shared" si="33"/>
        <v>183.29999999999998</v>
      </c>
      <c r="GP204" s="4">
        <f t="shared" si="34"/>
        <v>0.50308237861429361</v>
      </c>
      <c r="GQ204" s="15">
        <f t="shared" si="35"/>
        <v>922.15</v>
      </c>
      <c r="GR204" s="15">
        <f t="shared" si="36"/>
        <v>30432.330969039998</v>
      </c>
      <c r="GS204" s="15">
        <f t="shared" si="37"/>
        <v>166.02471887092199</v>
      </c>
      <c r="GT204" s="2">
        <f t="shared" si="38"/>
        <v>433.44</v>
      </c>
      <c r="GU204" s="2">
        <f t="shared" si="39"/>
        <v>441.33</v>
      </c>
      <c r="GV204" s="2">
        <f t="shared" si="40"/>
        <v>47.38</v>
      </c>
      <c r="GW204" s="2">
        <f t="shared" si="41"/>
        <v>147.4</v>
      </c>
      <c r="GX204" s="4">
        <f>(BT204*CB204+CO204*CW204)/GW204</f>
        <v>0.56109905020352779</v>
      </c>
      <c r="GY204" s="15">
        <f>1000*GW204*GX204/100</f>
        <v>827.06</v>
      </c>
      <c r="GZ204" s="15">
        <f>SUM(FU204:GM204)</f>
        <v>23173.102874479999</v>
      </c>
      <c r="HA204" s="15">
        <f>GZ204/GW204</f>
        <v>157.21236685535956</v>
      </c>
      <c r="HB204" s="2">
        <f t="shared" si="42"/>
        <v>425.75</v>
      </c>
      <c r="HC204" s="2">
        <f t="shared" si="43"/>
        <v>401.31</v>
      </c>
      <c r="HD204" s="2" t="s">
        <v>3</v>
      </c>
      <c r="HE204" s="2" t="s">
        <v>37</v>
      </c>
      <c r="HF204" s="2" t="s">
        <v>235</v>
      </c>
      <c r="HG204" s="2" t="s">
        <v>235</v>
      </c>
      <c r="HH204" s="2"/>
      <c r="HI204" s="2" t="s">
        <v>81</v>
      </c>
      <c r="HJ204" s="2" t="s">
        <v>3</v>
      </c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  <c r="JE204" s="2"/>
      <c r="JF204" s="2"/>
      <c r="JG204" s="2"/>
      <c r="JH204" s="2" t="s">
        <v>3</v>
      </c>
    </row>
    <row r="205" spans="1:268" ht="15.75" customHeight="1" x14ac:dyDescent="0.2">
      <c r="A205" s="13" t="s">
        <v>1107</v>
      </c>
      <c r="B205" s="2" t="s">
        <v>99</v>
      </c>
      <c r="C205" s="2"/>
      <c r="D205" s="2"/>
      <c r="E205" s="2" t="s">
        <v>78</v>
      </c>
      <c r="F205" s="2" t="s">
        <v>1102</v>
      </c>
      <c r="G205" s="2"/>
      <c r="H205" s="2" t="s">
        <v>80</v>
      </c>
      <c r="I205" s="2">
        <v>5.4</v>
      </c>
      <c r="J205" s="2"/>
      <c r="K205" s="2"/>
      <c r="L205" s="2"/>
      <c r="M205" s="2"/>
      <c r="N205" s="2"/>
      <c r="O205" s="2"/>
      <c r="P205" s="2"/>
      <c r="Q205" s="2">
        <v>0.77</v>
      </c>
      <c r="R205" s="2">
        <v>6.2E-2</v>
      </c>
      <c r="S205" s="2"/>
      <c r="T205" s="2"/>
      <c r="U205" s="2"/>
      <c r="V205" s="2"/>
      <c r="W205" s="2"/>
      <c r="X205" s="2"/>
      <c r="Y205" s="15">
        <v>25</v>
      </c>
      <c r="Z205" s="2"/>
      <c r="AA205" s="2">
        <v>39</v>
      </c>
      <c r="AB205" s="2"/>
      <c r="AC205" s="2"/>
      <c r="AD205" s="2">
        <f>9.9+0.6</f>
        <v>10.5</v>
      </c>
      <c r="AE205" s="2"/>
      <c r="AF205" s="2"/>
      <c r="AG205" s="2"/>
      <c r="AH205" s="2"/>
      <c r="AI205" s="2"/>
      <c r="AJ205" s="2"/>
      <c r="AK205" s="2"/>
      <c r="AL205" s="4">
        <f>(0.71*9.9+0.75*0.6)/AD205</f>
        <v>0.7122857142857143</v>
      </c>
      <c r="AM205" s="19">
        <f>(0.051*9.9+0.054*0.6)/AD205</f>
        <v>5.1171428571428569E-2</v>
      </c>
      <c r="AN205" s="2"/>
      <c r="AO205" s="2"/>
      <c r="AP205" s="23"/>
      <c r="AQ205" s="23"/>
      <c r="AR205" s="23"/>
      <c r="AS205" s="2"/>
      <c r="AT205" s="15">
        <f>(22.2*9.9+12.1*0.6)/AD205</f>
        <v>21.622857142857143</v>
      </c>
      <c r="AU205" s="2"/>
      <c r="AV205" s="23">
        <f>(37*9.9+18*0.6)/AD205</f>
        <v>35.914285714285718</v>
      </c>
      <c r="AW205" s="2"/>
      <c r="AX205" s="2"/>
      <c r="AY205" s="2">
        <f>1+10.5</f>
        <v>11.5</v>
      </c>
      <c r="AZ205" s="2"/>
      <c r="BA205" s="2"/>
      <c r="BB205" s="2"/>
      <c r="BC205" s="2"/>
      <c r="BD205" s="2"/>
      <c r="BE205" s="2"/>
      <c r="BF205" s="2"/>
      <c r="BG205" s="4">
        <f>(0.72*1+0.4*10.5)/AY205</f>
        <v>0.42782608695652175</v>
      </c>
      <c r="BH205" s="19">
        <f>(0.052*1+0.033*10.5)/AY205</f>
        <v>3.4652173913043482E-2</v>
      </c>
      <c r="BI205" s="2"/>
      <c r="BJ205" s="2"/>
      <c r="BK205" s="23"/>
      <c r="BL205" s="23"/>
      <c r="BM205" s="23"/>
      <c r="BN205" s="2"/>
      <c r="BO205" s="15">
        <f>(22.2*1+31.8*10.5)/AY205</f>
        <v>30.96521739130435</v>
      </c>
      <c r="BP205" s="2"/>
      <c r="BQ205" s="23">
        <f>(36*1+45*10.5)/AY205</f>
        <v>44.217391304347828</v>
      </c>
      <c r="BR205" s="2"/>
      <c r="BS205" s="2"/>
      <c r="BT205" s="2">
        <v>0</v>
      </c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>
        <v>0</v>
      </c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 t="s">
        <v>81</v>
      </c>
      <c r="DK205" s="2" t="s">
        <v>81</v>
      </c>
      <c r="DL205" s="2">
        <f t="shared" si="3"/>
        <v>0.60427007299270086</v>
      </c>
      <c r="DM205" s="2">
        <f t="shared" si="4"/>
        <v>4.6372262773722639E-2</v>
      </c>
      <c r="DN205" s="2" t="s">
        <v>1103</v>
      </c>
      <c r="DO205" s="2" t="s">
        <v>3</v>
      </c>
      <c r="DP205" s="2">
        <f t="shared" si="5"/>
        <v>0</v>
      </c>
      <c r="DQ205" s="2">
        <f t="shared" ref="DQ205:DR205" si="3471">K205*$I205+AF205*$AD205+BA205*$AY205</f>
        <v>0</v>
      </c>
      <c r="DR205" s="2">
        <f t="shared" si="3471"/>
        <v>0</v>
      </c>
      <c r="DS205" s="2">
        <f t="shared" ref="DS205:DX205" si="3472">(M205*$I205+AH205*$AD205+BC205*$AY205)/100</f>
        <v>0</v>
      </c>
      <c r="DT205" s="2">
        <f t="shared" si="3472"/>
        <v>0</v>
      </c>
      <c r="DU205" s="2">
        <f t="shared" si="3472"/>
        <v>0</v>
      </c>
      <c r="DV205" s="2">
        <f t="shared" si="3472"/>
        <v>0</v>
      </c>
      <c r="DW205" s="2">
        <f t="shared" si="3472"/>
        <v>0.16557000000000002</v>
      </c>
      <c r="DX205" s="2">
        <f t="shared" si="3472"/>
        <v>1.2706000000000002E-2</v>
      </c>
      <c r="DY205" s="2">
        <f t="shared" ref="DY205:EC205" si="3473">S205*$I205+AN205*$AD205+BI205*$AY205</f>
        <v>0</v>
      </c>
      <c r="DZ205" s="2">
        <f t="shared" si="3473"/>
        <v>0</v>
      </c>
      <c r="EA205" s="2">
        <f t="shared" si="3473"/>
        <v>0</v>
      </c>
      <c r="EB205" s="2">
        <f t="shared" si="3473"/>
        <v>0</v>
      </c>
      <c r="EC205" s="2">
        <f t="shared" si="3473"/>
        <v>0</v>
      </c>
      <c r="ED205" s="2">
        <f t="shared" ref="ED205:EE205" si="3474">(X205*$I205+AS205*$AD205+BN205*$AY205)/100</f>
        <v>0</v>
      </c>
      <c r="EE205" s="2">
        <f t="shared" si="3474"/>
        <v>7.1814</v>
      </c>
      <c r="EF205" s="2"/>
      <c r="EG205" s="2">
        <f t="shared" si="10"/>
        <v>1096.2</v>
      </c>
      <c r="EH205" s="2">
        <f t="shared" si="11"/>
        <v>0</v>
      </c>
      <c r="EI205" s="39">
        <f t="shared" si="12"/>
        <v>0</v>
      </c>
      <c r="EJ205" s="39">
        <f t="shared" ref="EJ205:EK205" si="3475">EJ$1*DQ205/1000000</f>
        <v>0</v>
      </c>
      <c r="EK205" s="39">
        <f t="shared" si="3475"/>
        <v>0</v>
      </c>
      <c r="EL205" s="39">
        <f t="shared" ref="EL205:EQ205" si="3476">EL$1*DS205</f>
        <v>0</v>
      </c>
      <c r="EM205" s="39">
        <f t="shared" si="3476"/>
        <v>0</v>
      </c>
      <c r="EN205" s="39">
        <f t="shared" si="3476"/>
        <v>0</v>
      </c>
      <c r="EO205" s="39">
        <f t="shared" si="3476"/>
        <v>0</v>
      </c>
      <c r="EP205" s="39">
        <f t="shared" si="3476"/>
        <v>2171.2849800000004</v>
      </c>
      <c r="EQ205" s="39">
        <f t="shared" si="3476"/>
        <v>922.70367194400001</v>
      </c>
      <c r="ER205" s="39">
        <f t="shared" ref="ER205:EV205" si="3477">ER$1*DY205/1000000</f>
        <v>0</v>
      </c>
      <c r="ES205" s="39">
        <f t="shared" si="3477"/>
        <v>0</v>
      </c>
      <c r="ET205" s="39">
        <f t="shared" si="3477"/>
        <v>0</v>
      </c>
      <c r="EU205" s="39">
        <f t="shared" si="3477"/>
        <v>0</v>
      </c>
      <c r="EV205" s="39">
        <f t="shared" si="3477"/>
        <v>0</v>
      </c>
      <c r="EW205" s="39">
        <f t="shared" ref="EW205:EX205" si="3478">EW$1*ED205</f>
        <v>0</v>
      </c>
      <c r="EX205" s="39">
        <f t="shared" si="3478"/>
        <v>667.87019999999995</v>
      </c>
      <c r="EY205" s="2"/>
      <c r="EZ205" s="39">
        <f t="shared" si="17"/>
        <v>394.63200000000001</v>
      </c>
      <c r="FA205" s="39">
        <f t="shared" si="18"/>
        <v>0</v>
      </c>
      <c r="FB205" s="2">
        <f t="shared" si="19"/>
        <v>0</v>
      </c>
      <c r="FC205" s="2">
        <f t="shared" ref="FC205:FD205" si="3479">BV205*$BT205+CQ205*$CO205</f>
        <v>0</v>
      </c>
      <c r="FD205" s="2">
        <f t="shared" si="3479"/>
        <v>0</v>
      </c>
      <c r="FE205" s="2">
        <f t="shared" ref="FE205:FJ205" si="3480">(BX205*$BT205+CS205*$CO205)/100</f>
        <v>0</v>
      </c>
      <c r="FF205" s="2">
        <f t="shared" si="3480"/>
        <v>0</v>
      </c>
      <c r="FG205" s="2">
        <f t="shared" si="3480"/>
        <v>0</v>
      </c>
      <c r="FH205" s="2">
        <f t="shared" si="3480"/>
        <v>0</v>
      </c>
      <c r="FI205" s="2">
        <f t="shared" si="3480"/>
        <v>0</v>
      </c>
      <c r="FJ205" s="2">
        <f t="shared" si="3480"/>
        <v>0</v>
      </c>
      <c r="FK205" s="2">
        <f t="shared" ref="FK205:FO205" si="3481">CD205*$BT205+CY205*$CO205</f>
        <v>0</v>
      </c>
      <c r="FL205" s="2">
        <f t="shared" si="3481"/>
        <v>0</v>
      </c>
      <c r="FM205" s="2">
        <f t="shared" si="3481"/>
        <v>0</v>
      </c>
      <c r="FN205" s="2">
        <f t="shared" si="3481"/>
        <v>0</v>
      </c>
      <c r="FO205" s="2">
        <f t="shared" si="3481"/>
        <v>0</v>
      </c>
      <c r="FP205" s="2">
        <f t="shared" ref="FP205:FQ205" si="3482">(CI205*$BT205+DD205*$CO205)/100</f>
        <v>0</v>
      </c>
      <c r="FQ205" s="2">
        <f t="shared" si="3482"/>
        <v>0</v>
      </c>
      <c r="FR205" s="2"/>
      <c r="FS205" s="2">
        <f t="shared" si="24"/>
        <v>0</v>
      </c>
      <c r="FT205" s="2">
        <f t="shared" si="25"/>
        <v>0</v>
      </c>
      <c r="FU205" s="39">
        <f t="shared" si="26"/>
        <v>0</v>
      </c>
      <c r="FV205" s="39">
        <f t="shared" ref="FV205:FW205" si="3483">FV$1*FC205/1000000</f>
        <v>0</v>
      </c>
      <c r="FW205" s="39">
        <f t="shared" si="3483"/>
        <v>0</v>
      </c>
      <c r="FX205" s="39">
        <f t="shared" ref="FX205:GC205" si="3484">FX$1*FE205</f>
        <v>0</v>
      </c>
      <c r="FY205" s="39">
        <f t="shared" si="3484"/>
        <v>0</v>
      </c>
      <c r="FZ205" s="39">
        <f t="shared" si="3484"/>
        <v>0</v>
      </c>
      <c r="GA205" s="39">
        <f t="shared" si="3484"/>
        <v>0</v>
      </c>
      <c r="GB205" s="39">
        <f t="shared" si="3484"/>
        <v>0</v>
      </c>
      <c r="GC205" s="39">
        <f t="shared" si="3484"/>
        <v>0</v>
      </c>
      <c r="GD205" s="39">
        <f t="shared" ref="GD205:GH205" si="3485">GD$1*FK205/1000000</f>
        <v>0</v>
      </c>
      <c r="GE205" s="39">
        <f t="shared" si="3485"/>
        <v>0</v>
      </c>
      <c r="GF205" s="39">
        <f t="shared" si="3485"/>
        <v>0</v>
      </c>
      <c r="GG205" s="39">
        <f t="shared" si="3485"/>
        <v>0</v>
      </c>
      <c r="GH205" s="39">
        <f t="shared" si="3485"/>
        <v>0</v>
      </c>
      <c r="GI205" s="39">
        <f t="shared" ref="GI205:GJ205" si="3486">GI$1*FP205</f>
        <v>0</v>
      </c>
      <c r="GJ205" s="39">
        <f t="shared" si="3486"/>
        <v>0</v>
      </c>
      <c r="GK205" s="2"/>
      <c r="GL205" s="39">
        <f t="shared" si="31"/>
        <v>0</v>
      </c>
      <c r="GM205" s="39">
        <f t="shared" si="32"/>
        <v>0</v>
      </c>
      <c r="GN205" s="2" t="s">
        <v>3</v>
      </c>
      <c r="GO205" s="2">
        <f t="shared" si="33"/>
        <v>27.4</v>
      </c>
      <c r="GP205" s="4">
        <f t="shared" si="34"/>
        <v>0.60427007299270086</v>
      </c>
      <c r="GQ205" s="15">
        <f t="shared" si="35"/>
        <v>165.57000000000005</v>
      </c>
      <c r="GR205" s="15">
        <f t="shared" si="36"/>
        <v>4156.4908519440005</v>
      </c>
      <c r="GS205" s="15">
        <f t="shared" si="37"/>
        <v>151.69674642131389</v>
      </c>
      <c r="GT205" s="2">
        <f t="shared" si="38"/>
        <v>41.58</v>
      </c>
      <c r="GU205" s="2">
        <f t="shared" si="39"/>
        <v>74.790000000000006</v>
      </c>
      <c r="GV205" s="2">
        <f t="shared" si="40"/>
        <v>49.2</v>
      </c>
      <c r="GW205" s="2">
        <f t="shared" si="41"/>
        <v>0</v>
      </c>
      <c r="GX205" s="2"/>
      <c r="GY205" s="2"/>
      <c r="GZ205" s="2"/>
      <c r="HA205" s="2"/>
      <c r="HB205" s="2">
        <f t="shared" si="42"/>
        <v>0</v>
      </c>
      <c r="HC205" s="2">
        <f t="shared" si="43"/>
        <v>0</v>
      </c>
      <c r="HD205" s="2" t="s">
        <v>3</v>
      </c>
      <c r="HE205" s="2" t="s">
        <v>37</v>
      </c>
      <c r="HF205" s="2" t="s">
        <v>235</v>
      </c>
      <c r="HG205" s="2" t="s">
        <v>235</v>
      </c>
      <c r="HH205" s="2"/>
      <c r="HI205" s="2" t="s">
        <v>81</v>
      </c>
      <c r="HJ205" s="2" t="s">
        <v>3</v>
      </c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 t="s">
        <v>3</v>
      </c>
    </row>
    <row r="206" spans="1:268" ht="15.75" customHeight="1" x14ac:dyDescent="0.2">
      <c r="A206" s="13" t="s">
        <v>570</v>
      </c>
      <c r="B206" s="2" t="s">
        <v>99</v>
      </c>
      <c r="C206" s="2"/>
      <c r="D206" s="2"/>
      <c r="E206" s="2"/>
      <c r="F206" s="2" t="s">
        <v>218</v>
      </c>
      <c r="G206" s="2"/>
      <c r="H206" s="2"/>
      <c r="I206" s="2">
        <v>6.3</v>
      </c>
      <c r="J206" s="2"/>
      <c r="K206" s="2"/>
      <c r="L206" s="2"/>
      <c r="M206" s="2"/>
      <c r="N206" s="2"/>
      <c r="O206" s="2"/>
      <c r="P206" s="2"/>
      <c r="Q206" s="2">
        <v>1.1499999999999999</v>
      </c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>
        <f>53.8+39.6</f>
        <v>93.4</v>
      </c>
      <c r="AE206" s="2"/>
      <c r="AF206" s="2"/>
      <c r="AG206" s="2"/>
      <c r="AH206" s="2"/>
      <c r="AI206" s="2"/>
      <c r="AJ206" s="2"/>
      <c r="AK206" s="2"/>
      <c r="AL206" s="4">
        <f>(1.21*53.8+1.49*39.6)/AD206</f>
        <v>1.3287152034261243</v>
      </c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>
        <f>125+81.9</f>
        <v>206.9</v>
      </c>
      <c r="AZ206" s="2"/>
      <c r="BA206" s="2"/>
      <c r="BB206" s="2"/>
      <c r="BC206" s="2"/>
      <c r="BD206" s="2"/>
      <c r="BE206" s="2"/>
      <c r="BF206" s="2"/>
      <c r="BG206" s="4">
        <f>(1.17*125+1.39*81.9)/AY206</f>
        <v>1.2570855485741905</v>
      </c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>
        <v>0</v>
      </c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>
        <v>0</v>
      </c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 t="s">
        <v>81</v>
      </c>
      <c r="DK206" s="2"/>
      <c r="DL206" s="2">
        <f t="shared" si="3"/>
        <v>1.276705805609915</v>
      </c>
      <c r="DM206" s="2">
        <f t="shared" si="4"/>
        <v>0</v>
      </c>
      <c r="DN206" s="2" t="s">
        <v>95</v>
      </c>
      <c r="DO206" s="2" t="s">
        <v>3</v>
      </c>
      <c r="DP206" s="2">
        <f t="shared" si="5"/>
        <v>0</v>
      </c>
      <c r="DQ206" s="2">
        <f t="shared" ref="DQ206:DR206" si="3487">K206*$I206+AF206*$AD206+BA206*$AY206</f>
        <v>0</v>
      </c>
      <c r="DR206" s="2">
        <f t="shared" si="3487"/>
        <v>0</v>
      </c>
      <c r="DS206" s="2">
        <f t="shared" ref="DS206:DX206" si="3488">(M206*$I206+AH206*$AD206+BC206*$AY206)/100</f>
        <v>0</v>
      </c>
      <c r="DT206" s="2">
        <f t="shared" si="3488"/>
        <v>0</v>
      </c>
      <c r="DU206" s="2">
        <f t="shared" si="3488"/>
        <v>0</v>
      </c>
      <c r="DV206" s="2">
        <f t="shared" si="3488"/>
        <v>0</v>
      </c>
      <c r="DW206" s="2">
        <f t="shared" si="3488"/>
        <v>3.91438</v>
      </c>
      <c r="DX206" s="2">
        <f t="shared" si="3488"/>
        <v>0</v>
      </c>
      <c r="DY206" s="2">
        <f t="shared" ref="DY206:EC206" si="3489">S206*$I206+AN206*$AD206+BI206*$AY206</f>
        <v>0</v>
      </c>
      <c r="DZ206" s="2">
        <f t="shared" si="3489"/>
        <v>0</v>
      </c>
      <c r="EA206" s="2">
        <f t="shared" si="3489"/>
        <v>0</v>
      </c>
      <c r="EB206" s="2">
        <f t="shared" si="3489"/>
        <v>0</v>
      </c>
      <c r="EC206" s="2">
        <f t="shared" si="3489"/>
        <v>0</v>
      </c>
      <c r="ED206" s="2">
        <f t="shared" ref="ED206:EE206" si="3490">(X206*$I206+AS206*$AD206+BN206*$AY206)/100</f>
        <v>0</v>
      </c>
      <c r="EE206" s="2">
        <f t="shared" si="3490"/>
        <v>0</v>
      </c>
      <c r="EF206" s="2"/>
      <c r="EG206" s="2">
        <f t="shared" si="10"/>
        <v>0</v>
      </c>
      <c r="EH206" s="2">
        <f t="shared" si="11"/>
        <v>0</v>
      </c>
      <c r="EI206" s="39">
        <f t="shared" si="12"/>
        <v>0</v>
      </c>
      <c r="EJ206" s="39">
        <f t="shared" ref="EJ206:EK206" si="3491">EJ$1*DQ206/1000000</f>
        <v>0</v>
      </c>
      <c r="EK206" s="39">
        <f t="shared" si="3491"/>
        <v>0</v>
      </c>
      <c r="EL206" s="39">
        <f t="shared" ref="EL206:EQ206" si="3492">EL$1*DS206</f>
        <v>0</v>
      </c>
      <c r="EM206" s="39">
        <f t="shared" si="3492"/>
        <v>0</v>
      </c>
      <c r="EN206" s="39">
        <f t="shared" si="3492"/>
        <v>0</v>
      </c>
      <c r="EO206" s="39">
        <f t="shared" si="3492"/>
        <v>0</v>
      </c>
      <c r="EP206" s="39">
        <f t="shared" si="3492"/>
        <v>51333.179320000003</v>
      </c>
      <c r="EQ206" s="39">
        <f t="shared" si="3492"/>
        <v>0</v>
      </c>
      <c r="ER206" s="39">
        <f t="shared" ref="ER206:EV206" si="3493">ER$1*DY206/1000000</f>
        <v>0</v>
      </c>
      <c r="ES206" s="39">
        <f t="shared" si="3493"/>
        <v>0</v>
      </c>
      <c r="ET206" s="39">
        <f t="shared" si="3493"/>
        <v>0</v>
      </c>
      <c r="EU206" s="39">
        <f t="shared" si="3493"/>
        <v>0</v>
      </c>
      <c r="EV206" s="39">
        <f t="shared" si="3493"/>
        <v>0</v>
      </c>
      <c r="EW206" s="39">
        <f t="shared" ref="EW206:EX206" si="3494">EW$1*ED206</f>
        <v>0</v>
      </c>
      <c r="EX206" s="39">
        <f t="shared" si="3494"/>
        <v>0</v>
      </c>
      <c r="EY206" s="2"/>
      <c r="EZ206" s="39">
        <f t="shared" si="17"/>
        <v>0</v>
      </c>
      <c r="FA206" s="39">
        <f t="shared" si="18"/>
        <v>0</v>
      </c>
      <c r="FB206" s="2">
        <f t="shared" si="19"/>
        <v>0</v>
      </c>
      <c r="FC206" s="2">
        <f t="shared" ref="FC206:FD206" si="3495">BV206*$BT206+CQ206*$CO206</f>
        <v>0</v>
      </c>
      <c r="FD206" s="2">
        <f t="shared" si="3495"/>
        <v>0</v>
      </c>
      <c r="FE206" s="2">
        <f t="shared" ref="FE206:FJ206" si="3496">(BX206*$BT206+CS206*$CO206)/100</f>
        <v>0</v>
      </c>
      <c r="FF206" s="2">
        <f t="shared" si="3496"/>
        <v>0</v>
      </c>
      <c r="FG206" s="2">
        <f t="shared" si="3496"/>
        <v>0</v>
      </c>
      <c r="FH206" s="2">
        <f t="shared" si="3496"/>
        <v>0</v>
      </c>
      <c r="FI206" s="2">
        <f t="shared" si="3496"/>
        <v>0</v>
      </c>
      <c r="FJ206" s="2">
        <f t="shared" si="3496"/>
        <v>0</v>
      </c>
      <c r="FK206" s="2">
        <f t="shared" ref="FK206:FO206" si="3497">CD206*$BT206+CY206*$CO206</f>
        <v>0</v>
      </c>
      <c r="FL206" s="2">
        <f t="shared" si="3497"/>
        <v>0</v>
      </c>
      <c r="FM206" s="2">
        <f t="shared" si="3497"/>
        <v>0</v>
      </c>
      <c r="FN206" s="2">
        <f t="shared" si="3497"/>
        <v>0</v>
      </c>
      <c r="FO206" s="2">
        <f t="shared" si="3497"/>
        <v>0</v>
      </c>
      <c r="FP206" s="2">
        <f t="shared" ref="FP206:FQ206" si="3498">(CI206*$BT206+DD206*$CO206)/100</f>
        <v>0</v>
      </c>
      <c r="FQ206" s="2">
        <f t="shared" si="3498"/>
        <v>0</v>
      </c>
      <c r="FR206" s="2"/>
      <c r="FS206" s="2">
        <f t="shared" si="24"/>
        <v>0</v>
      </c>
      <c r="FT206" s="2">
        <f t="shared" si="25"/>
        <v>0</v>
      </c>
      <c r="FU206" s="39">
        <f t="shared" si="26"/>
        <v>0</v>
      </c>
      <c r="FV206" s="39">
        <f t="shared" ref="FV206:FW206" si="3499">FV$1*FC206/1000000</f>
        <v>0</v>
      </c>
      <c r="FW206" s="39">
        <f t="shared" si="3499"/>
        <v>0</v>
      </c>
      <c r="FX206" s="39">
        <f t="shared" ref="FX206:GC206" si="3500">FX$1*FE206</f>
        <v>0</v>
      </c>
      <c r="FY206" s="39">
        <f t="shared" si="3500"/>
        <v>0</v>
      </c>
      <c r="FZ206" s="39">
        <f t="shared" si="3500"/>
        <v>0</v>
      </c>
      <c r="GA206" s="39">
        <f t="shared" si="3500"/>
        <v>0</v>
      </c>
      <c r="GB206" s="39">
        <f t="shared" si="3500"/>
        <v>0</v>
      </c>
      <c r="GC206" s="39">
        <f t="shared" si="3500"/>
        <v>0</v>
      </c>
      <c r="GD206" s="39">
        <f t="shared" ref="GD206:GH206" si="3501">GD$1*FK206/1000000</f>
        <v>0</v>
      </c>
      <c r="GE206" s="39">
        <f t="shared" si="3501"/>
        <v>0</v>
      </c>
      <c r="GF206" s="39">
        <f t="shared" si="3501"/>
        <v>0</v>
      </c>
      <c r="GG206" s="39">
        <f t="shared" si="3501"/>
        <v>0</v>
      </c>
      <c r="GH206" s="39">
        <f t="shared" si="3501"/>
        <v>0</v>
      </c>
      <c r="GI206" s="39">
        <f t="shared" ref="GI206:GJ206" si="3502">GI$1*FP206</f>
        <v>0</v>
      </c>
      <c r="GJ206" s="39">
        <f t="shared" si="3502"/>
        <v>0</v>
      </c>
      <c r="GK206" s="2"/>
      <c r="GL206" s="39">
        <f t="shared" si="31"/>
        <v>0</v>
      </c>
      <c r="GM206" s="39">
        <f t="shared" si="32"/>
        <v>0</v>
      </c>
      <c r="GN206" s="2" t="s">
        <v>3</v>
      </c>
      <c r="GO206" s="2">
        <f t="shared" si="33"/>
        <v>306.60000000000002</v>
      </c>
      <c r="GP206" s="4">
        <f t="shared" si="34"/>
        <v>1.276705805609915</v>
      </c>
      <c r="GQ206" s="18">
        <f t="shared" si="35"/>
        <v>3914.3799999999992</v>
      </c>
      <c r="GR206" s="15">
        <f t="shared" si="36"/>
        <v>51333.179320000003</v>
      </c>
      <c r="GS206" s="15">
        <f t="shared" si="37"/>
        <v>167.42719934768428</v>
      </c>
      <c r="GT206" s="2">
        <f t="shared" si="38"/>
        <v>72.449999999999989</v>
      </c>
      <c r="GU206" s="2">
        <f t="shared" si="39"/>
        <v>1241.0200000000002</v>
      </c>
      <c r="GV206" s="2">
        <f t="shared" si="40"/>
        <v>2600.91</v>
      </c>
      <c r="GW206" s="2">
        <f t="shared" si="41"/>
        <v>0</v>
      </c>
      <c r="GX206" s="2"/>
      <c r="GY206" s="2"/>
      <c r="GZ206" s="2"/>
      <c r="HA206" s="2"/>
      <c r="HB206" s="2">
        <f t="shared" si="42"/>
        <v>0</v>
      </c>
      <c r="HC206" s="2">
        <f t="shared" si="43"/>
        <v>0</v>
      </c>
      <c r="HD206" s="2" t="s">
        <v>3</v>
      </c>
      <c r="HE206" s="2" t="s">
        <v>37</v>
      </c>
      <c r="HF206" s="2" t="s">
        <v>235</v>
      </c>
      <c r="HG206" s="2" t="s">
        <v>235</v>
      </c>
      <c r="HH206" s="2"/>
      <c r="HI206" s="2" t="s">
        <v>81</v>
      </c>
      <c r="HJ206" s="2" t="s">
        <v>3</v>
      </c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 t="s">
        <v>3</v>
      </c>
    </row>
    <row r="207" spans="1:268" ht="15.75" customHeight="1" x14ac:dyDescent="0.2">
      <c r="A207" s="13" t="s">
        <v>895</v>
      </c>
      <c r="B207" s="2" t="s">
        <v>99</v>
      </c>
      <c r="C207" s="2"/>
      <c r="D207" s="2"/>
      <c r="E207" s="2"/>
      <c r="F207" s="2" t="s">
        <v>896</v>
      </c>
      <c r="G207" s="2"/>
      <c r="H207" s="2"/>
      <c r="I207" s="2">
        <v>0</v>
      </c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>
        <f>26.66+20.18</f>
        <v>46.84</v>
      </c>
      <c r="AE207" s="4">
        <f>(0.35*26.66+0.21*20.18)/AD207</f>
        <v>0.28968403074295473</v>
      </c>
      <c r="AF207" s="4">
        <f>(0.1*26.66+0.037*13.91+0*6.27)/AD207</f>
        <v>6.7904995730145176E-2</v>
      </c>
      <c r="AG207" s="2"/>
      <c r="AH207" s="2"/>
      <c r="AI207" s="2"/>
      <c r="AJ207" s="2"/>
      <c r="AK207" s="2"/>
      <c r="AL207" s="4">
        <f>(1.13*26.66+2.19*20.18)/AD207</f>
        <v>1.5866780529461995</v>
      </c>
      <c r="AM207" s="4">
        <f>(0.17*26.66+0.06*20.18)/AD207</f>
        <v>0.12260888129803586</v>
      </c>
      <c r="AN207" s="4">
        <f>(0.394*26.66+0.197*13.91+0*6.27)/AD207</f>
        <v>0.2827564047822374</v>
      </c>
      <c r="AO207" s="4">
        <f>(0.778*26.66+0.323*13.91+0*6.27)/AD207</f>
        <v>0.53873633646456021</v>
      </c>
      <c r="AP207" s="2"/>
      <c r="AQ207" s="2"/>
      <c r="AR207" s="2"/>
      <c r="AS207" s="2"/>
      <c r="AT207" s="2"/>
      <c r="AU207" s="2"/>
      <c r="AV207" s="2"/>
      <c r="AW207" s="2"/>
      <c r="AX207" s="2"/>
      <c r="AY207" s="2">
        <f>27.32+76.02</f>
        <v>103.34</v>
      </c>
      <c r="AZ207" s="4">
        <f>(0.24*27.32+0.15*76.02)/AY207</f>
        <v>0.1737933036578285</v>
      </c>
      <c r="BA207" s="4">
        <f>(0.103*0.71+0.102*8.45+0*14.66+0*3.5+0.045*3.3+0.047*15.94+0*41.3+0*15.48)/(0.71+8.45+14.66+3.5+3.3+15.94+41.3+15.48)</f>
        <v>1.7734759047803365E-2</v>
      </c>
      <c r="BB207" s="2"/>
      <c r="BC207" s="2"/>
      <c r="BD207" s="2"/>
      <c r="BE207" s="2"/>
      <c r="BF207" s="2"/>
      <c r="BG207" s="4">
        <f>(0.99*27.32+1.26*76.02)/AY207</f>
        <v>1.1886200890265144</v>
      </c>
      <c r="BH207" s="4">
        <f>(0.14*27.32+0.05*76.02)/AY207</f>
        <v>7.3793303657828518E-2</v>
      </c>
      <c r="BI207" s="4">
        <f>(0.498*0.71+0.356*8.45+0*14.66+0*3.5+0.191*3.3+0.145*15.94+0*41.3+0*15.48)/(0.71+8.45+14.66+3.5+3.3+15.94+41.3+15.48)</f>
        <v>6.0996516353783614E-2</v>
      </c>
      <c r="BJ207" s="4">
        <f>(0.606*0.71+0.792*8.45+0*14.66+0*3.5)/(0.71+8.45+14.66+3.5)</f>
        <v>0.26071229868228402</v>
      </c>
      <c r="BK207" s="2"/>
      <c r="BL207" s="2"/>
      <c r="BM207" s="2"/>
      <c r="BN207" s="2"/>
      <c r="BO207" s="2"/>
      <c r="BP207" s="2"/>
      <c r="BQ207" s="2"/>
      <c r="BR207" s="2"/>
      <c r="BS207" s="2"/>
      <c r="BT207" s="2">
        <v>0</v>
      </c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>
        <v>0</v>
      </c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 t="s">
        <v>81</v>
      </c>
      <c r="DK207" s="2" t="s">
        <v>81</v>
      </c>
      <c r="DL207" s="2">
        <f t="shared" si="3"/>
        <v>1.3127713410573976</v>
      </c>
      <c r="DM207" s="2">
        <f t="shared" si="4"/>
        <v>8.9018511119989346E-2</v>
      </c>
      <c r="DN207" s="2" t="s">
        <v>897</v>
      </c>
      <c r="DO207" s="2" t="s">
        <v>3</v>
      </c>
      <c r="DP207" s="2">
        <f t="shared" si="5"/>
        <v>0.31528599999999996</v>
      </c>
      <c r="DQ207" s="2">
        <f t="shared" ref="DQ207:DR207" si="3503">K207*$I207+AF207*$AD207+BA207*$AY207</f>
        <v>5.0133799999999997</v>
      </c>
      <c r="DR207" s="2">
        <f t="shared" si="3503"/>
        <v>0</v>
      </c>
      <c r="DS207" s="2">
        <f t="shared" ref="DS207:DX207" si="3504">(M207*$I207+AH207*$AD207+BC207*$AY207)/100</f>
        <v>0</v>
      </c>
      <c r="DT207" s="2">
        <f t="shared" si="3504"/>
        <v>0</v>
      </c>
      <c r="DU207" s="2">
        <f t="shared" si="3504"/>
        <v>0</v>
      </c>
      <c r="DV207" s="2">
        <f t="shared" si="3504"/>
        <v>0</v>
      </c>
      <c r="DW207" s="2">
        <f t="shared" si="3504"/>
        <v>1.9715199999999999</v>
      </c>
      <c r="DX207" s="2">
        <f t="shared" si="3504"/>
        <v>0.133688</v>
      </c>
      <c r="DY207" s="2">
        <f t="shared" ref="DY207:EC207" si="3505">S207*$I207+AN207*$AD207+BI207*$AY207</f>
        <v>19.547689999999999</v>
      </c>
      <c r="DZ207" s="2">
        <f t="shared" si="3505"/>
        <v>52.17641894582723</v>
      </c>
      <c r="EA207" s="2">
        <f t="shared" si="3505"/>
        <v>0</v>
      </c>
      <c r="EB207" s="2">
        <f t="shared" si="3505"/>
        <v>0</v>
      </c>
      <c r="EC207" s="2">
        <f t="shared" si="3505"/>
        <v>0</v>
      </c>
      <c r="ED207" s="2">
        <f t="shared" ref="ED207:EE207" si="3506">(X207*$I207+AS207*$AD207+BN207*$AY207)/100</f>
        <v>0</v>
      </c>
      <c r="EE207" s="2">
        <f t="shared" si="3506"/>
        <v>0</v>
      </c>
      <c r="EF207" s="2"/>
      <c r="EG207" s="2">
        <f t="shared" si="10"/>
        <v>0</v>
      </c>
      <c r="EH207" s="2">
        <f t="shared" si="11"/>
        <v>0</v>
      </c>
      <c r="EI207" s="39">
        <f t="shared" si="12"/>
        <v>2057.4353661759997</v>
      </c>
      <c r="EJ207" s="39">
        <f t="shared" ref="EJ207:EK207" si="3507">EJ$1*DQ207/1000000</f>
        <v>205.04885401929258</v>
      </c>
      <c r="EK207" s="39">
        <f t="shared" si="3507"/>
        <v>0</v>
      </c>
      <c r="EL207" s="39">
        <f t="shared" ref="EL207:EQ207" si="3508">EL$1*DS207</f>
        <v>0</v>
      </c>
      <c r="EM207" s="39">
        <f t="shared" si="3508"/>
        <v>0</v>
      </c>
      <c r="EN207" s="39">
        <f t="shared" si="3508"/>
        <v>0</v>
      </c>
      <c r="EO207" s="39">
        <f t="shared" si="3508"/>
        <v>0</v>
      </c>
      <c r="EP207" s="39">
        <f t="shared" si="3508"/>
        <v>25854.513279999999</v>
      </c>
      <c r="EQ207" s="39">
        <f t="shared" si="3508"/>
        <v>9708.3589245119983</v>
      </c>
      <c r="ER207" s="39">
        <f t="shared" ref="ER207:EV207" si="3509">ER$1*DY207/1000000</f>
        <v>554.78984100964612</v>
      </c>
      <c r="ES207" s="39">
        <f t="shared" si="3509"/>
        <v>1738.8169095827564</v>
      </c>
      <c r="ET207" s="39">
        <f t="shared" si="3509"/>
        <v>0</v>
      </c>
      <c r="EU207" s="39">
        <f t="shared" si="3509"/>
        <v>0</v>
      </c>
      <c r="EV207" s="39">
        <f t="shared" si="3509"/>
        <v>0</v>
      </c>
      <c r="EW207" s="39">
        <f t="shared" ref="EW207:EX207" si="3510">EW$1*ED207</f>
        <v>0</v>
      </c>
      <c r="EX207" s="39">
        <f t="shared" si="3510"/>
        <v>0</v>
      </c>
      <c r="EY207" s="2"/>
      <c r="EZ207" s="39">
        <f t="shared" si="17"/>
        <v>0</v>
      </c>
      <c r="FA207" s="39">
        <f t="shared" si="18"/>
        <v>0</v>
      </c>
      <c r="FB207" s="2">
        <f t="shared" si="19"/>
        <v>0</v>
      </c>
      <c r="FC207" s="2">
        <f t="shared" ref="FC207:FD207" si="3511">BV207*$BT207+CQ207*$CO207</f>
        <v>0</v>
      </c>
      <c r="FD207" s="2">
        <f t="shared" si="3511"/>
        <v>0</v>
      </c>
      <c r="FE207" s="2">
        <f t="shared" ref="FE207:FJ207" si="3512">(BX207*$BT207+CS207*$CO207)/100</f>
        <v>0</v>
      </c>
      <c r="FF207" s="2">
        <f t="shared" si="3512"/>
        <v>0</v>
      </c>
      <c r="FG207" s="2">
        <f t="shared" si="3512"/>
        <v>0</v>
      </c>
      <c r="FH207" s="2">
        <f t="shared" si="3512"/>
        <v>0</v>
      </c>
      <c r="FI207" s="2">
        <f t="shared" si="3512"/>
        <v>0</v>
      </c>
      <c r="FJ207" s="2">
        <f t="shared" si="3512"/>
        <v>0</v>
      </c>
      <c r="FK207" s="2">
        <f t="shared" ref="FK207:FO207" si="3513">CD207*$BT207+CY207*$CO207</f>
        <v>0</v>
      </c>
      <c r="FL207" s="2">
        <f t="shared" si="3513"/>
        <v>0</v>
      </c>
      <c r="FM207" s="2">
        <f t="shared" si="3513"/>
        <v>0</v>
      </c>
      <c r="FN207" s="2">
        <f t="shared" si="3513"/>
        <v>0</v>
      </c>
      <c r="FO207" s="2">
        <f t="shared" si="3513"/>
        <v>0</v>
      </c>
      <c r="FP207" s="2">
        <f t="shared" ref="FP207:FQ207" si="3514">(CI207*$BT207+DD207*$CO207)/100</f>
        <v>0</v>
      </c>
      <c r="FQ207" s="2">
        <f t="shared" si="3514"/>
        <v>0</v>
      </c>
      <c r="FR207" s="2"/>
      <c r="FS207" s="2">
        <f t="shared" si="24"/>
        <v>0</v>
      </c>
      <c r="FT207" s="2">
        <f t="shared" si="25"/>
        <v>0</v>
      </c>
      <c r="FU207" s="39">
        <f t="shared" si="26"/>
        <v>0</v>
      </c>
      <c r="FV207" s="39">
        <f t="shared" ref="FV207:FW207" si="3515">FV$1*FC207/1000000</f>
        <v>0</v>
      </c>
      <c r="FW207" s="39">
        <f t="shared" si="3515"/>
        <v>0</v>
      </c>
      <c r="FX207" s="39">
        <f t="shared" ref="FX207:GC207" si="3516">FX$1*FE207</f>
        <v>0</v>
      </c>
      <c r="FY207" s="39">
        <f t="shared" si="3516"/>
        <v>0</v>
      </c>
      <c r="FZ207" s="39">
        <f t="shared" si="3516"/>
        <v>0</v>
      </c>
      <c r="GA207" s="39">
        <f t="shared" si="3516"/>
        <v>0</v>
      </c>
      <c r="GB207" s="39">
        <f t="shared" si="3516"/>
        <v>0</v>
      </c>
      <c r="GC207" s="39">
        <f t="shared" si="3516"/>
        <v>0</v>
      </c>
      <c r="GD207" s="39">
        <f t="shared" ref="GD207:GH207" si="3517">GD$1*FK207/1000000</f>
        <v>0</v>
      </c>
      <c r="GE207" s="39">
        <f t="shared" si="3517"/>
        <v>0</v>
      </c>
      <c r="GF207" s="39">
        <f t="shared" si="3517"/>
        <v>0</v>
      </c>
      <c r="GG207" s="39">
        <f t="shared" si="3517"/>
        <v>0</v>
      </c>
      <c r="GH207" s="39">
        <f t="shared" si="3517"/>
        <v>0</v>
      </c>
      <c r="GI207" s="39">
        <f t="shared" ref="GI207:GJ207" si="3518">GI$1*FP207</f>
        <v>0</v>
      </c>
      <c r="GJ207" s="39">
        <f t="shared" si="3518"/>
        <v>0</v>
      </c>
      <c r="GK207" s="2"/>
      <c r="GL207" s="39">
        <f t="shared" si="31"/>
        <v>0</v>
      </c>
      <c r="GM207" s="39">
        <f t="shared" si="32"/>
        <v>0</v>
      </c>
      <c r="GN207" s="2" t="s">
        <v>3</v>
      </c>
      <c r="GO207" s="15">
        <f t="shared" si="33"/>
        <v>150.18</v>
      </c>
      <c r="GP207" s="4">
        <f t="shared" si="34"/>
        <v>1.3127713410573976</v>
      </c>
      <c r="GQ207" s="18">
        <f t="shared" si="35"/>
        <v>1971.5199999999998</v>
      </c>
      <c r="GR207" s="15">
        <f t="shared" si="36"/>
        <v>40118.963175299694</v>
      </c>
      <c r="GS207" s="15">
        <f t="shared" si="37"/>
        <v>267.13918747702553</v>
      </c>
      <c r="GT207" s="2">
        <f t="shared" si="38"/>
        <v>0</v>
      </c>
      <c r="GU207" s="2">
        <f t="shared" si="39"/>
        <v>743.2</v>
      </c>
      <c r="GV207" s="2">
        <f t="shared" si="40"/>
        <v>1228.3200000000002</v>
      </c>
      <c r="GW207" s="2">
        <f t="shared" si="41"/>
        <v>0</v>
      </c>
      <c r="GX207" s="2"/>
      <c r="GY207" s="2"/>
      <c r="GZ207" s="2"/>
      <c r="HA207" s="2"/>
      <c r="HB207" s="2">
        <f t="shared" si="42"/>
        <v>0</v>
      </c>
      <c r="HC207" s="2">
        <f t="shared" si="43"/>
        <v>0</v>
      </c>
      <c r="HD207" s="2" t="s">
        <v>3</v>
      </c>
      <c r="HE207" s="2" t="s">
        <v>37</v>
      </c>
      <c r="HF207" s="2" t="s">
        <v>151</v>
      </c>
      <c r="HG207" s="2" t="s">
        <v>151</v>
      </c>
      <c r="HH207" s="2"/>
      <c r="HI207" s="2" t="s">
        <v>81</v>
      </c>
      <c r="HJ207" s="2" t="s">
        <v>3</v>
      </c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  <c r="JE207" s="2"/>
      <c r="JF207" s="2"/>
      <c r="JG207" s="2"/>
      <c r="JH207" s="2" t="s">
        <v>3</v>
      </c>
    </row>
    <row r="208" spans="1:268" ht="15.75" customHeight="1" x14ac:dyDescent="0.2">
      <c r="A208" s="13" t="s">
        <v>832</v>
      </c>
      <c r="B208" s="2" t="s">
        <v>109</v>
      </c>
      <c r="C208" s="2"/>
      <c r="D208" s="2"/>
      <c r="E208" s="2"/>
      <c r="F208" s="2" t="s">
        <v>833</v>
      </c>
      <c r="G208" s="2"/>
      <c r="H208" s="2" t="s">
        <v>80</v>
      </c>
      <c r="I208" s="2">
        <f>3.96+11.98+9.09+4.47+1.9+1.54+0.58+0.09+0.58</f>
        <v>34.19</v>
      </c>
      <c r="J208" s="2"/>
      <c r="K208" s="2"/>
      <c r="L208" s="2"/>
      <c r="M208" s="2"/>
      <c r="N208" s="2"/>
      <c r="O208" s="2"/>
      <c r="P208" s="2"/>
      <c r="Q208" s="4">
        <f>(1.13*3.96+0.88*11.98+1.15*9.09+0.88*4.47+1.06*1.9+1.17*1.54+1.33*0.58+1.26*0.09+1.33*0.58)/I208</f>
        <v>1.0200731207955542</v>
      </c>
      <c r="R208" s="4">
        <f>(0.15*3.96+0.14*11.98+0.11*9.09+0.11*4.47+0.11*1.9+0.11*1.54+0.13*0.58+0.14*0.09+0.13*0.58)/I208</f>
        <v>0.12590231061713955</v>
      </c>
      <c r="S208" s="2"/>
      <c r="T208" s="2"/>
      <c r="U208" s="2"/>
      <c r="V208" s="2"/>
      <c r="W208" s="2"/>
      <c r="X208" s="2"/>
      <c r="Y208" s="15">
        <f>(46.79*3.96+47.44*11.98+45.43*9.09+44.09*4.47+43.27*1.9+41.86*1.54+41.7*0.58+47.2*0.09+41.7*0.58)/I208</f>
        <v>45.713892951155309</v>
      </c>
      <c r="Z208" s="2"/>
      <c r="AA208" s="2"/>
      <c r="AB208" s="2"/>
      <c r="AC208" s="2"/>
      <c r="AD208" s="2">
        <f>0+2.5+2.51+6.02+0.43+0.19</f>
        <v>11.649999999999999</v>
      </c>
      <c r="AE208" s="2"/>
      <c r="AF208" s="2"/>
      <c r="AG208" s="2"/>
      <c r="AH208" s="2"/>
      <c r="AI208" s="2"/>
      <c r="AJ208" s="2"/>
      <c r="AK208" s="2"/>
      <c r="AL208" s="4">
        <f>(0+0.84*2.5+1.18*2.51+0.81*6.02+0.93*0.43+1.19*0.19)/AD208</f>
        <v>0.90678111587982846</v>
      </c>
      <c r="AM208" s="4">
        <f>(0+0.14*2.5+0.11*2.51+0.1*6.02+0.11*0.43+0.11*0.19)/AD208</f>
        <v>0.11127038626609441</v>
      </c>
      <c r="AN208" s="2"/>
      <c r="AO208" s="2"/>
      <c r="AP208" s="2"/>
      <c r="AQ208" s="2"/>
      <c r="AR208" s="2"/>
      <c r="AS208" s="2"/>
      <c r="AT208" s="15">
        <f>(0+47.01*2.5+45.01*2.51+43.22*6.02+43.68*0.43+41.58*0.19)/AD208</f>
        <v>44.409193133047211</v>
      </c>
      <c r="AU208" s="2"/>
      <c r="AV208" s="2"/>
      <c r="AW208" s="2"/>
      <c r="AX208" s="2"/>
      <c r="AY208" s="2">
        <f>3.76+0.57+1.71+2.41+0.34+0</f>
        <v>8.7899999999999991</v>
      </c>
      <c r="AZ208" s="2"/>
      <c r="BA208" s="2"/>
      <c r="BB208" s="2"/>
      <c r="BC208" s="2"/>
      <c r="BD208" s="2"/>
      <c r="BE208" s="2"/>
      <c r="BF208" s="2"/>
      <c r="BG208" s="4">
        <f>(1.16*3.76+0.9*0.57+0.98*1.71+0.74*2.41+0.96*0.34+0)/AY208</f>
        <v>0.98523321956769039</v>
      </c>
      <c r="BH208" s="4">
        <f>(0.15*3.76+0.16*0.57+0.12*1.71+0.1*2.41+0.12*0.34+0)/AY208</f>
        <v>0.12994311717861207</v>
      </c>
      <c r="BI208" s="2"/>
      <c r="BJ208" s="2"/>
      <c r="BK208" s="2"/>
      <c r="BL208" s="2"/>
      <c r="BM208" s="2"/>
      <c r="BN208" s="2"/>
      <c r="BO208" s="15">
        <f>(46.33*3.76+47.09*0.57+45.02*1.71+43.13*2.41+43.93*0.34+0)/AY208</f>
        <v>45.154243458475541</v>
      </c>
      <c r="BP208" s="2"/>
      <c r="BQ208" s="2"/>
      <c r="BR208" s="2"/>
      <c r="BS208" s="2"/>
      <c r="BT208" s="2">
        <f>3.5+2.2+0.8+1.1+0.8</f>
        <v>8.4</v>
      </c>
      <c r="BU208" s="2"/>
      <c r="BV208" s="2"/>
      <c r="BW208" s="2"/>
      <c r="BX208" s="2"/>
      <c r="BY208" s="2"/>
      <c r="BZ208" s="2"/>
      <c r="CA208" s="2"/>
      <c r="CB208" s="4">
        <f>(1.08*3.5+1.05*2.2+1.04*0.8+1.17*1.1+1.32*0.8)/BT208</f>
        <v>1.1029761904761906</v>
      </c>
      <c r="CC208" s="4">
        <f>(0.14*3.5+0.14*2.2+0.12*0.8+0.11*1.1+0.12*0.8)/BT208</f>
        <v>0.13226190476190477</v>
      </c>
      <c r="CD208" s="2"/>
      <c r="CE208" s="2"/>
      <c r="CF208" s="2"/>
      <c r="CG208" s="2"/>
      <c r="CH208" s="2"/>
      <c r="CI208" s="2"/>
      <c r="CJ208" s="15">
        <f>(44.56*3.5+45*2.2+41.36*0.8+40.69*1.1+39.43*0.8)/BT208</f>
        <v>43.375119047619052</v>
      </c>
      <c r="CK208" s="2"/>
      <c r="CL208" s="2"/>
      <c r="CM208" s="2"/>
      <c r="CN208" s="2"/>
      <c r="CO208" s="2">
        <f>0+0.4+0.5+0.2+0.1</f>
        <v>1.2000000000000002</v>
      </c>
      <c r="CP208" s="2"/>
      <c r="CQ208" s="2"/>
      <c r="CR208" s="2"/>
      <c r="CS208" s="2"/>
      <c r="CT208" s="2"/>
      <c r="CU208" s="2"/>
      <c r="CV208" s="2"/>
      <c r="CW208" s="4">
        <f>(0+1.12*0.4+1.03*0.5+1.1*0.2+1.4*0.1)/CO208</f>
        <v>1.1024999999999998</v>
      </c>
      <c r="CX208" s="4">
        <f>(0+0.13*0.4+0.12*0.5+0.13*0.2+0.13*0.1)/CO208</f>
        <v>0.12583333333333332</v>
      </c>
      <c r="CY208" s="2"/>
      <c r="CZ208" s="2"/>
      <c r="DA208" s="2"/>
      <c r="DB208" s="2"/>
      <c r="DC208" s="2"/>
      <c r="DD208" s="2"/>
      <c r="DE208" s="15">
        <f>(0+44.14*0.4+40.16*0.5+41.17*0.2+39.52*0.1)/CO208</f>
        <v>41.601666666666667</v>
      </c>
      <c r="DF208" s="2"/>
      <c r="DG208" s="2"/>
      <c r="DH208" s="2"/>
      <c r="DI208" s="2"/>
      <c r="DJ208" s="2" t="s">
        <v>81</v>
      </c>
      <c r="DK208" s="2" t="s">
        <v>81</v>
      </c>
      <c r="DL208" s="2">
        <f t="shared" si="3"/>
        <v>0.99030752333882477</v>
      </c>
      <c r="DM208" s="2">
        <f t="shared" si="4"/>
        <v>0.12343218012081275</v>
      </c>
      <c r="DN208" s="2" t="s">
        <v>834</v>
      </c>
      <c r="DO208" s="2" t="s">
        <v>3</v>
      </c>
      <c r="DP208" s="2">
        <f t="shared" si="5"/>
        <v>0</v>
      </c>
      <c r="DQ208" s="2">
        <f t="shared" ref="DQ208:DR208" si="3519">K208*$I208+AF208*$AD208+BA208*$AY208</f>
        <v>0</v>
      </c>
      <c r="DR208" s="2">
        <f t="shared" si="3519"/>
        <v>0</v>
      </c>
      <c r="DS208" s="2">
        <f t="shared" ref="DS208:DX208" si="3520">(M208*$I208+AH208*$AD208+BC208*$AY208)/100</f>
        <v>0</v>
      </c>
      <c r="DT208" s="2">
        <f t="shared" si="3520"/>
        <v>0</v>
      </c>
      <c r="DU208" s="2">
        <f t="shared" si="3520"/>
        <v>0</v>
      </c>
      <c r="DV208" s="2">
        <f t="shared" si="3520"/>
        <v>0</v>
      </c>
      <c r="DW208" s="2">
        <f t="shared" si="3520"/>
        <v>0.54100499999999985</v>
      </c>
      <c r="DX208" s="2">
        <f t="shared" si="3520"/>
        <v>6.7431000000000005E-2</v>
      </c>
      <c r="DY208" s="2">
        <f t="shared" ref="DY208:EC208" si="3521">S208*$I208+AN208*$AD208+BI208*$AY208</f>
        <v>0</v>
      </c>
      <c r="DZ208" s="2">
        <f t="shared" si="3521"/>
        <v>0</v>
      </c>
      <c r="EA208" s="2">
        <f t="shared" si="3521"/>
        <v>0</v>
      </c>
      <c r="EB208" s="2">
        <f t="shared" si="3521"/>
        <v>0</v>
      </c>
      <c r="EC208" s="2">
        <f t="shared" si="3521"/>
        <v>0</v>
      </c>
      <c r="ED208" s="2">
        <f t="shared" ref="ED208:EE208" si="3522">(X208*$I208+AS208*$AD208+BN208*$AY208)/100</f>
        <v>0</v>
      </c>
      <c r="EE208" s="2">
        <f t="shared" si="3522"/>
        <v>24.772309</v>
      </c>
      <c r="EF208" s="2"/>
      <c r="EG208" s="2">
        <f t="shared" si="10"/>
        <v>0</v>
      </c>
      <c r="EH208" s="2">
        <f t="shared" si="11"/>
        <v>0</v>
      </c>
      <c r="EI208" s="39">
        <f t="shared" si="12"/>
        <v>0</v>
      </c>
      <c r="EJ208" s="39">
        <f t="shared" ref="EJ208:EK208" si="3523">EJ$1*DQ208/1000000</f>
        <v>0</v>
      </c>
      <c r="EK208" s="39">
        <f t="shared" si="3523"/>
        <v>0</v>
      </c>
      <c r="EL208" s="39">
        <f t="shared" ref="EL208:EQ208" si="3524">EL$1*DS208</f>
        <v>0</v>
      </c>
      <c r="EM208" s="39">
        <f t="shared" si="3524"/>
        <v>0</v>
      </c>
      <c r="EN208" s="39">
        <f t="shared" si="3524"/>
        <v>0</v>
      </c>
      <c r="EO208" s="39">
        <f t="shared" si="3524"/>
        <v>0</v>
      </c>
      <c r="EP208" s="39">
        <f t="shared" si="3524"/>
        <v>7094.7395699999979</v>
      </c>
      <c r="EQ208" s="39">
        <f t="shared" si="3524"/>
        <v>4896.8071228439994</v>
      </c>
      <c r="ER208" s="39">
        <f t="shared" ref="ER208:EV208" si="3525">ER$1*DY208/1000000</f>
        <v>0</v>
      </c>
      <c r="ES208" s="39">
        <f t="shared" si="3525"/>
        <v>0</v>
      </c>
      <c r="ET208" s="39">
        <f t="shared" si="3525"/>
        <v>0</v>
      </c>
      <c r="EU208" s="39">
        <f t="shared" si="3525"/>
        <v>0</v>
      </c>
      <c r="EV208" s="39">
        <f t="shared" si="3525"/>
        <v>0</v>
      </c>
      <c r="EW208" s="39">
        <f t="shared" ref="EW208:EX208" si="3526">EW$1*ED208</f>
        <v>0</v>
      </c>
      <c r="EX208" s="39">
        <f t="shared" si="3526"/>
        <v>2303.8247369999999</v>
      </c>
      <c r="EY208" s="2"/>
      <c r="EZ208" s="39">
        <f t="shared" si="17"/>
        <v>0</v>
      </c>
      <c r="FA208" s="39">
        <f t="shared" si="18"/>
        <v>0</v>
      </c>
      <c r="FB208" s="2">
        <f t="shared" si="19"/>
        <v>0</v>
      </c>
      <c r="FC208" s="2">
        <f t="shared" ref="FC208:FD208" si="3527">BV208*$BT208+CQ208*$CO208</f>
        <v>0</v>
      </c>
      <c r="FD208" s="2">
        <f t="shared" si="3527"/>
        <v>0</v>
      </c>
      <c r="FE208" s="2">
        <f t="shared" ref="FE208:FJ208" si="3528">(BX208*$BT208+CS208*$CO208)/100</f>
        <v>0</v>
      </c>
      <c r="FF208" s="2">
        <f t="shared" si="3528"/>
        <v>0</v>
      </c>
      <c r="FG208" s="2">
        <f t="shared" si="3528"/>
        <v>0</v>
      </c>
      <c r="FH208" s="2">
        <f t="shared" si="3528"/>
        <v>0</v>
      </c>
      <c r="FI208" s="2">
        <f t="shared" si="3528"/>
        <v>0.10588000000000002</v>
      </c>
      <c r="FJ208" s="2">
        <f t="shared" si="3528"/>
        <v>1.2620000000000003E-2</v>
      </c>
      <c r="FK208" s="2">
        <f t="shared" ref="FK208:FO208" si="3529">CD208*$BT208+CY208*$CO208</f>
        <v>0</v>
      </c>
      <c r="FL208" s="2">
        <f t="shared" si="3529"/>
        <v>0</v>
      </c>
      <c r="FM208" s="2">
        <f t="shared" si="3529"/>
        <v>0</v>
      </c>
      <c r="FN208" s="2">
        <f t="shared" si="3529"/>
        <v>0</v>
      </c>
      <c r="FO208" s="2">
        <f t="shared" si="3529"/>
        <v>0</v>
      </c>
      <c r="FP208" s="2">
        <f t="shared" ref="FP208:FQ208" si="3530">(CI208*$BT208+DD208*$CO208)/100</f>
        <v>0</v>
      </c>
      <c r="FQ208" s="2">
        <f t="shared" si="3530"/>
        <v>4.1427300000000011</v>
      </c>
      <c r="FR208" s="2"/>
      <c r="FS208" s="2">
        <f t="shared" si="24"/>
        <v>0</v>
      </c>
      <c r="FT208" s="2">
        <f t="shared" si="25"/>
        <v>0</v>
      </c>
      <c r="FU208" s="39">
        <f t="shared" si="26"/>
        <v>0</v>
      </c>
      <c r="FV208" s="39">
        <f t="shared" ref="FV208:FW208" si="3531">FV$1*FC208/1000000</f>
        <v>0</v>
      </c>
      <c r="FW208" s="39">
        <f t="shared" si="3531"/>
        <v>0</v>
      </c>
      <c r="FX208" s="39">
        <f t="shared" ref="FX208:GC208" si="3532">FX$1*FE208</f>
        <v>0</v>
      </c>
      <c r="FY208" s="39">
        <f t="shared" si="3532"/>
        <v>0</v>
      </c>
      <c r="FZ208" s="39">
        <f t="shared" si="3532"/>
        <v>0</v>
      </c>
      <c r="GA208" s="39">
        <f t="shared" si="3532"/>
        <v>0</v>
      </c>
      <c r="GB208" s="39">
        <f t="shared" si="3532"/>
        <v>1388.5103200000003</v>
      </c>
      <c r="GC208" s="39">
        <f t="shared" si="3532"/>
        <v>916.45839288000013</v>
      </c>
      <c r="GD208" s="39">
        <f t="shared" ref="GD208:GH208" si="3533">GD$1*FK208/1000000</f>
        <v>0</v>
      </c>
      <c r="GE208" s="39">
        <f t="shared" si="3533"/>
        <v>0</v>
      </c>
      <c r="GF208" s="39">
        <f t="shared" si="3533"/>
        <v>0</v>
      </c>
      <c r="GG208" s="39">
        <f t="shared" si="3533"/>
        <v>0</v>
      </c>
      <c r="GH208" s="39">
        <f t="shared" si="3533"/>
        <v>0</v>
      </c>
      <c r="GI208" s="39">
        <f t="shared" ref="GI208:GJ208" si="3534">GI$1*FP208</f>
        <v>0</v>
      </c>
      <c r="GJ208" s="39">
        <f t="shared" si="3534"/>
        <v>385.27389000000011</v>
      </c>
      <c r="GK208" s="2"/>
      <c r="GL208" s="39">
        <f t="shared" si="31"/>
        <v>0</v>
      </c>
      <c r="GM208" s="39">
        <f t="shared" si="32"/>
        <v>0</v>
      </c>
      <c r="GN208" s="2" t="s">
        <v>3</v>
      </c>
      <c r="GO208" s="2">
        <f t="shared" si="33"/>
        <v>54.629999999999995</v>
      </c>
      <c r="GP208" s="4">
        <f t="shared" si="34"/>
        <v>0.99030752333882477</v>
      </c>
      <c r="GQ208" s="15">
        <f t="shared" si="35"/>
        <v>541.00499999999988</v>
      </c>
      <c r="GR208" s="15">
        <f t="shared" si="36"/>
        <v>14295.371429843995</v>
      </c>
      <c r="GS208" s="15">
        <f t="shared" si="37"/>
        <v>261.67621141943982</v>
      </c>
      <c r="GT208" s="2">
        <f t="shared" si="38"/>
        <v>348.76299999999998</v>
      </c>
      <c r="GU208" s="2">
        <f t="shared" si="39"/>
        <v>105.64</v>
      </c>
      <c r="GV208" s="2">
        <f t="shared" si="40"/>
        <v>86.601999999999975</v>
      </c>
      <c r="GW208" s="2">
        <f t="shared" si="41"/>
        <v>9.6000000000000014</v>
      </c>
      <c r="GX208" s="4">
        <f t="shared" ref="GX208:GX210" si="3535">(BT208*CB208+CO208*CW208)/GW208</f>
        <v>1.1029166666666665</v>
      </c>
      <c r="GY208" s="15">
        <f t="shared" ref="GY208:GY210" si="3536">1000*GW208*GX208/100</f>
        <v>105.88</v>
      </c>
      <c r="GZ208" s="15">
        <f t="shared" ref="GZ208:GZ210" si="3537">SUM(FU208:GM208)</f>
        <v>2690.2426028800005</v>
      </c>
      <c r="HA208" s="15">
        <f t="shared" ref="HA208:HA210" si="3538">GZ208/GW208</f>
        <v>280.23360446666669</v>
      </c>
      <c r="HB208" s="2">
        <f t="shared" si="42"/>
        <v>92.65</v>
      </c>
      <c r="HC208" s="2">
        <f t="shared" si="43"/>
        <v>13.23</v>
      </c>
      <c r="HD208" s="2" t="s">
        <v>3</v>
      </c>
      <c r="HE208" s="2" t="s">
        <v>37</v>
      </c>
      <c r="HF208" s="2" t="s">
        <v>235</v>
      </c>
      <c r="HG208" s="2" t="s">
        <v>235</v>
      </c>
      <c r="HH208" s="2"/>
      <c r="HI208" s="2" t="s">
        <v>81</v>
      </c>
      <c r="HJ208" s="2" t="s">
        <v>3</v>
      </c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  <c r="JA208" s="2"/>
      <c r="JB208" s="2"/>
      <c r="JC208" s="2"/>
      <c r="JD208" s="2"/>
      <c r="JE208" s="2"/>
      <c r="JF208" s="2"/>
      <c r="JG208" s="2"/>
      <c r="JH208" s="2" t="s">
        <v>3</v>
      </c>
    </row>
    <row r="209" spans="1:268" ht="15.75" customHeight="1" x14ac:dyDescent="0.2">
      <c r="A209" s="13" t="s">
        <v>835</v>
      </c>
      <c r="B209" s="2" t="s">
        <v>109</v>
      </c>
      <c r="C209" s="2"/>
      <c r="D209" s="2"/>
      <c r="E209" s="2"/>
      <c r="F209" s="2" t="s">
        <v>833</v>
      </c>
      <c r="G209" s="2"/>
      <c r="H209" s="2" t="s">
        <v>80</v>
      </c>
      <c r="I209" s="2">
        <f>31.06+21.37</f>
        <v>52.43</v>
      </c>
      <c r="J209" s="2"/>
      <c r="K209" s="2"/>
      <c r="L209" s="2"/>
      <c r="M209" s="2"/>
      <c r="N209" s="2"/>
      <c r="O209" s="2"/>
      <c r="P209" s="2"/>
      <c r="Q209" s="4">
        <f>(1.01*31.06+1.15*21.37)/I209</f>
        <v>1.0670627503337784</v>
      </c>
      <c r="R209" s="4">
        <f>(0.13*31.06+0.12*21.37)/I209</f>
        <v>0.12592408926187298</v>
      </c>
      <c r="S209" s="2"/>
      <c r="T209" s="2"/>
      <c r="U209" s="2"/>
      <c r="V209" s="2"/>
      <c r="W209" s="2"/>
      <c r="X209" s="2"/>
      <c r="Y209" s="15">
        <f>(44.44*31.06+43.13*21.37)/I209</f>
        <v>43.906055693305355</v>
      </c>
      <c r="Z209" s="2"/>
      <c r="AA209" s="2"/>
      <c r="AB209" s="2"/>
      <c r="AC209" s="2"/>
      <c r="AD209" s="2">
        <f>8.82+13.35</f>
        <v>22.17</v>
      </c>
      <c r="AE209" s="2"/>
      <c r="AF209" s="2"/>
      <c r="AG209" s="2"/>
      <c r="AH209" s="2"/>
      <c r="AI209" s="2"/>
      <c r="AJ209" s="2"/>
      <c r="AK209" s="2"/>
      <c r="AL209" s="4">
        <f>(0.95*8.82+0.99*13.35)/AD209</f>
        <v>0.97408660351826792</v>
      </c>
      <c r="AM209" s="4">
        <f>(0.12*8.82+0.11*13.35)/AD209</f>
        <v>0.113978349120433</v>
      </c>
      <c r="AN209" s="2"/>
      <c r="AO209" s="2"/>
      <c r="AP209" s="2"/>
      <c r="AQ209" s="2"/>
      <c r="AR209" s="2"/>
      <c r="AS209" s="2"/>
      <c r="AT209" s="15">
        <f>(43.35*8.82+41.6*13.35)/AD209</f>
        <v>42.29621109607578</v>
      </c>
      <c r="AU209" s="2"/>
      <c r="AV209" s="2"/>
      <c r="AW209" s="2"/>
      <c r="AX209" s="2"/>
      <c r="AY209" s="2">
        <f>11.58+3.85</f>
        <v>15.43</v>
      </c>
      <c r="AZ209" s="2"/>
      <c r="BA209" s="2"/>
      <c r="BB209" s="2"/>
      <c r="BC209" s="2"/>
      <c r="BD209" s="2"/>
      <c r="BE209" s="2"/>
      <c r="BF209" s="2"/>
      <c r="BG209" s="4">
        <f>(0.88*11.58+1.05*3.85)/AY209</f>
        <v>0.92241736876215175</v>
      </c>
      <c r="BH209" s="4">
        <f>(0.13*11.58+0.11*3.85)/AY209</f>
        <v>0.12500972132209981</v>
      </c>
      <c r="BI209" s="2"/>
      <c r="BJ209" s="2"/>
      <c r="BK209" s="2"/>
      <c r="BL209" s="2"/>
      <c r="BM209" s="2"/>
      <c r="BN209" s="2"/>
      <c r="BO209" s="15">
        <f>(43.53*11.58+40.88*3.85)/AY209</f>
        <v>42.86878807517823</v>
      </c>
      <c r="BP209" s="2"/>
      <c r="BQ209" s="2"/>
      <c r="BR209" s="2"/>
      <c r="BS209" s="2"/>
      <c r="BT209" s="2">
        <f>12.9+13.2</f>
        <v>26.1</v>
      </c>
      <c r="BU209" s="2"/>
      <c r="BV209" s="2"/>
      <c r="BW209" s="2"/>
      <c r="BX209" s="2"/>
      <c r="BY209" s="2"/>
      <c r="BZ209" s="2"/>
      <c r="CA209" s="2"/>
      <c r="CB209" s="4">
        <f>(1.17*12.9+1.21*13.2)/BT209</f>
        <v>1.1902298850574711</v>
      </c>
      <c r="CC209" s="4">
        <f>(0.13*12.9+0.12*13.2)/BT209</f>
        <v>0.12494252873563218</v>
      </c>
      <c r="CD209" s="2"/>
      <c r="CE209" s="2"/>
      <c r="CF209" s="2"/>
      <c r="CG209" s="2"/>
      <c r="CH209" s="2"/>
      <c r="CI209" s="2"/>
      <c r="CJ209" s="15">
        <f>(41.91*12.9+41.16*13.2)/BT209</f>
        <v>41.530689655172409</v>
      </c>
      <c r="CK209" s="2"/>
      <c r="CL209" s="2"/>
      <c r="CM209" s="2"/>
      <c r="CN209" s="2"/>
      <c r="CO209" s="2">
        <f>2.9+5</f>
        <v>7.9</v>
      </c>
      <c r="CP209" s="2"/>
      <c r="CQ209" s="2"/>
      <c r="CR209" s="2"/>
      <c r="CS209" s="2"/>
      <c r="CT209" s="2"/>
      <c r="CU209" s="2"/>
      <c r="CV209" s="2"/>
      <c r="CW209" s="4">
        <f>(1.13*2.9+1.14*5)/CO209</f>
        <v>1.1363291139240503</v>
      </c>
      <c r="CX209" s="4">
        <f>(0.12*2.9+0.12*5)/CO209</f>
        <v>0.12</v>
      </c>
      <c r="CY209" s="2"/>
      <c r="CZ209" s="2"/>
      <c r="DA209" s="2"/>
      <c r="DB209" s="2"/>
      <c r="DC209" s="2"/>
      <c r="DD209" s="2"/>
      <c r="DE209" s="15">
        <f>(40.62*12.9+39.72*5)/CO209</f>
        <v>91.468101265822781</v>
      </c>
      <c r="DF209" s="2"/>
      <c r="DG209" s="2"/>
      <c r="DH209" s="2"/>
      <c r="DI209" s="2"/>
      <c r="DJ209" s="2" t="s">
        <v>81</v>
      </c>
      <c r="DK209" s="2" t="s">
        <v>81</v>
      </c>
      <c r="DL209" s="2">
        <f t="shared" si="3"/>
        <v>1.0193768743752083</v>
      </c>
      <c r="DM209" s="2">
        <f t="shared" si="4"/>
        <v>0.12282572475841388</v>
      </c>
      <c r="DN209" s="2" t="s">
        <v>834</v>
      </c>
      <c r="DO209" s="2" t="s">
        <v>3</v>
      </c>
      <c r="DP209" s="2">
        <f t="shared" si="5"/>
        <v>0</v>
      </c>
      <c r="DQ209" s="2">
        <f t="shared" ref="DQ209:DR209" si="3539">K209*$I209+AF209*$AD209+BA209*$AY209</f>
        <v>0</v>
      </c>
      <c r="DR209" s="2">
        <f t="shared" si="3539"/>
        <v>0</v>
      </c>
      <c r="DS209" s="2">
        <f t="shared" ref="DS209:DX209" si="3540">(M209*$I209+AH209*$AD209+BC209*$AY209)/100</f>
        <v>0</v>
      </c>
      <c r="DT209" s="2">
        <f t="shared" si="3540"/>
        <v>0</v>
      </c>
      <c r="DU209" s="2">
        <f t="shared" si="3540"/>
        <v>0</v>
      </c>
      <c r="DV209" s="2">
        <f t="shared" si="3540"/>
        <v>0</v>
      </c>
      <c r="DW209" s="2">
        <f t="shared" si="3540"/>
        <v>0.91774500000000003</v>
      </c>
      <c r="DX209" s="2">
        <f t="shared" si="3540"/>
        <v>0.11058000000000001</v>
      </c>
      <c r="DY209" s="2">
        <f t="shared" ref="DY209:EC209" si="3541">S209*$I209+AN209*$AD209+BI209*$AY209</f>
        <v>0</v>
      </c>
      <c r="DZ209" s="2">
        <f t="shared" si="3541"/>
        <v>0</v>
      </c>
      <c r="EA209" s="2">
        <f t="shared" si="3541"/>
        <v>0</v>
      </c>
      <c r="EB209" s="2">
        <f t="shared" si="3541"/>
        <v>0</v>
      </c>
      <c r="EC209" s="2">
        <f t="shared" si="3541"/>
        <v>0</v>
      </c>
      <c r="ED209" s="2">
        <f t="shared" ref="ED209:EE209" si="3542">(X209*$I209+AS209*$AD209+BN209*$AY209)/100</f>
        <v>0</v>
      </c>
      <c r="EE209" s="2">
        <f t="shared" si="3542"/>
        <v>39.011669000000005</v>
      </c>
      <c r="EF209" s="2"/>
      <c r="EG209" s="2">
        <f t="shared" si="10"/>
        <v>0</v>
      </c>
      <c r="EH209" s="2">
        <f t="shared" si="11"/>
        <v>0</v>
      </c>
      <c r="EI209" s="39">
        <f t="shared" si="12"/>
        <v>0</v>
      </c>
      <c r="EJ209" s="39">
        <f t="shared" ref="EJ209:EK209" si="3543">EJ$1*DQ209/1000000</f>
        <v>0</v>
      </c>
      <c r="EK209" s="39">
        <f t="shared" si="3543"/>
        <v>0</v>
      </c>
      <c r="EL209" s="39">
        <f t="shared" ref="EL209:EQ209" si="3544">EL$1*DS209</f>
        <v>0</v>
      </c>
      <c r="EM209" s="39">
        <f t="shared" si="3544"/>
        <v>0</v>
      </c>
      <c r="EN209" s="39">
        <f t="shared" si="3544"/>
        <v>0</v>
      </c>
      <c r="EO209" s="39">
        <f t="shared" si="3544"/>
        <v>0</v>
      </c>
      <c r="EP209" s="39">
        <f t="shared" si="3544"/>
        <v>12035.307930000001</v>
      </c>
      <c r="EQ209" s="39">
        <f t="shared" si="3544"/>
        <v>8030.2669639199994</v>
      </c>
      <c r="ER209" s="39">
        <f t="shared" ref="ER209:EV209" si="3545">ER$1*DY209/1000000</f>
        <v>0</v>
      </c>
      <c r="ES209" s="39">
        <f t="shared" si="3545"/>
        <v>0</v>
      </c>
      <c r="ET209" s="39">
        <f t="shared" si="3545"/>
        <v>0</v>
      </c>
      <c r="EU209" s="39">
        <f t="shared" si="3545"/>
        <v>0</v>
      </c>
      <c r="EV209" s="39">
        <f t="shared" si="3545"/>
        <v>0</v>
      </c>
      <c r="EW209" s="39">
        <f t="shared" ref="EW209:EX209" si="3546">EW$1*ED209</f>
        <v>0</v>
      </c>
      <c r="EX209" s="39">
        <f t="shared" si="3546"/>
        <v>3628.0852170000003</v>
      </c>
      <c r="EY209" s="2"/>
      <c r="EZ209" s="39">
        <f t="shared" si="17"/>
        <v>0</v>
      </c>
      <c r="FA209" s="39">
        <f t="shared" si="18"/>
        <v>0</v>
      </c>
      <c r="FB209" s="2">
        <f t="shared" si="19"/>
        <v>0</v>
      </c>
      <c r="FC209" s="2">
        <f t="shared" ref="FC209:FD209" si="3547">BV209*$BT209+CQ209*$CO209</f>
        <v>0</v>
      </c>
      <c r="FD209" s="2">
        <f t="shared" si="3547"/>
        <v>0</v>
      </c>
      <c r="FE209" s="2">
        <f t="shared" ref="FE209:FJ209" si="3548">(BX209*$BT209+CS209*$CO209)/100</f>
        <v>0</v>
      </c>
      <c r="FF209" s="2">
        <f t="shared" si="3548"/>
        <v>0</v>
      </c>
      <c r="FG209" s="2">
        <f t="shared" si="3548"/>
        <v>0</v>
      </c>
      <c r="FH209" s="2">
        <f t="shared" si="3548"/>
        <v>0</v>
      </c>
      <c r="FI209" s="2">
        <f t="shared" si="3548"/>
        <v>0.40041999999999994</v>
      </c>
      <c r="FJ209" s="2">
        <f t="shared" si="3548"/>
        <v>4.2089999999999995E-2</v>
      </c>
      <c r="FK209" s="2">
        <f t="shared" ref="FK209:FO209" si="3549">CD209*$BT209+CY209*$CO209</f>
        <v>0</v>
      </c>
      <c r="FL209" s="2">
        <f t="shared" si="3549"/>
        <v>0</v>
      </c>
      <c r="FM209" s="2">
        <f t="shared" si="3549"/>
        <v>0</v>
      </c>
      <c r="FN209" s="2">
        <f t="shared" si="3549"/>
        <v>0</v>
      </c>
      <c r="FO209" s="2">
        <f t="shared" si="3549"/>
        <v>0</v>
      </c>
      <c r="FP209" s="2">
        <f t="shared" ref="FP209:FQ209" si="3550">(CI209*$BT209+DD209*$CO209)/100</f>
        <v>0</v>
      </c>
      <c r="FQ209" s="2">
        <f t="shared" si="3550"/>
        <v>18.06549</v>
      </c>
      <c r="FR209" s="2"/>
      <c r="FS209" s="2">
        <f t="shared" si="24"/>
        <v>0</v>
      </c>
      <c r="FT209" s="2">
        <f t="shared" si="25"/>
        <v>0</v>
      </c>
      <c r="FU209" s="39">
        <f t="shared" si="26"/>
        <v>0</v>
      </c>
      <c r="FV209" s="39">
        <f t="shared" ref="FV209:FW209" si="3551">FV$1*FC209/1000000</f>
        <v>0</v>
      </c>
      <c r="FW209" s="39">
        <f t="shared" si="3551"/>
        <v>0</v>
      </c>
      <c r="FX209" s="39">
        <f t="shared" ref="FX209:GC209" si="3552">FX$1*FE209</f>
        <v>0</v>
      </c>
      <c r="FY209" s="39">
        <f t="shared" si="3552"/>
        <v>0</v>
      </c>
      <c r="FZ209" s="39">
        <f t="shared" si="3552"/>
        <v>0</v>
      </c>
      <c r="GA209" s="39">
        <f t="shared" si="3552"/>
        <v>0</v>
      </c>
      <c r="GB209" s="39">
        <f t="shared" si="3552"/>
        <v>5251.1078799999996</v>
      </c>
      <c r="GC209" s="39">
        <f t="shared" si="3552"/>
        <v>3056.5557651599993</v>
      </c>
      <c r="GD209" s="39">
        <f t="shared" ref="GD209:GH209" si="3553">GD$1*FK209/1000000</f>
        <v>0</v>
      </c>
      <c r="GE209" s="39">
        <f t="shared" si="3553"/>
        <v>0</v>
      </c>
      <c r="GF209" s="39">
        <f t="shared" si="3553"/>
        <v>0</v>
      </c>
      <c r="GG209" s="39">
        <f t="shared" si="3553"/>
        <v>0</v>
      </c>
      <c r="GH209" s="39">
        <f t="shared" si="3553"/>
        <v>0</v>
      </c>
      <c r="GI209" s="39">
        <f t="shared" ref="GI209:GJ209" si="3554">GI$1*FP209</f>
        <v>0</v>
      </c>
      <c r="GJ209" s="39">
        <f t="shared" si="3554"/>
        <v>1680.0905700000001</v>
      </c>
      <c r="GK209" s="2"/>
      <c r="GL209" s="39">
        <f t="shared" si="31"/>
        <v>0</v>
      </c>
      <c r="GM209" s="39">
        <f t="shared" si="32"/>
        <v>0</v>
      </c>
      <c r="GN209" s="2" t="s">
        <v>3</v>
      </c>
      <c r="GO209" s="2">
        <f t="shared" si="33"/>
        <v>90.03</v>
      </c>
      <c r="GP209" s="4">
        <f t="shared" si="34"/>
        <v>1.0193768743752083</v>
      </c>
      <c r="GQ209" s="15">
        <f t="shared" si="35"/>
        <v>917.745</v>
      </c>
      <c r="GR209" s="15">
        <f t="shared" si="36"/>
        <v>23693.660110919998</v>
      </c>
      <c r="GS209" s="15">
        <f t="shared" si="37"/>
        <v>263.17516506631119</v>
      </c>
      <c r="GT209" s="2">
        <f t="shared" si="38"/>
        <v>559.46100000000001</v>
      </c>
      <c r="GU209" s="2">
        <f t="shared" si="39"/>
        <v>215.95500000000001</v>
      </c>
      <c r="GV209" s="2">
        <f t="shared" si="40"/>
        <v>142.32900000000001</v>
      </c>
      <c r="GW209" s="2">
        <f t="shared" si="41"/>
        <v>34</v>
      </c>
      <c r="GX209" s="4">
        <f t="shared" si="3535"/>
        <v>1.1777058823529409</v>
      </c>
      <c r="GY209" s="15">
        <f t="shared" si="3536"/>
        <v>400.4199999999999</v>
      </c>
      <c r="GZ209" s="15">
        <f t="shared" si="3537"/>
        <v>9987.7542151599991</v>
      </c>
      <c r="HA209" s="15">
        <f t="shared" si="3538"/>
        <v>293.75747691647058</v>
      </c>
      <c r="HB209" s="2">
        <f t="shared" si="42"/>
        <v>310.64999999999998</v>
      </c>
      <c r="HC209" s="2">
        <f t="shared" si="43"/>
        <v>89.769999999999982</v>
      </c>
      <c r="HD209" s="2" t="s">
        <v>3</v>
      </c>
      <c r="HE209" s="2" t="s">
        <v>37</v>
      </c>
      <c r="HF209" s="2" t="s">
        <v>235</v>
      </c>
      <c r="HG209" s="2" t="s">
        <v>235</v>
      </c>
      <c r="HH209" s="2"/>
      <c r="HI209" s="2" t="s">
        <v>81</v>
      </c>
      <c r="HJ209" s="2" t="s">
        <v>3</v>
      </c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  <c r="JA209" s="2"/>
      <c r="JB209" s="2"/>
      <c r="JC209" s="2"/>
      <c r="JD209" s="2"/>
      <c r="JE209" s="2"/>
      <c r="JF209" s="2"/>
      <c r="JG209" s="2"/>
      <c r="JH209" s="2" t="s">
        <v>3</v>
      </c>
    </row>
    <row r="210" spans="1:268" ht="15.75" customHeight="1" x14ac:dyDescent="0.2">
      <c r="A210" s="13" t="s">
        <v>836</v>
      </c>
      <c r="B210" s="2" t="s">
        <v>109</v>
      </c>
      <c r="C210" s="2"/>
      <c r="D210" s="2"/>
      <c r="E210" s="2"/>
      <c r="F210" s="2" t="s">
        <v>833</v>
      </c>
      <c r="G210" s="2"/>
      <c r="H210" s="2" t="s">
        <v>80</v>
      </c>
      <c r="I210" s="2">
        <f>0+10.54+16.01</f>
        <v>26.55</v>
      </c>
      <c r="J210" s="2"/>
      <c r="K210" s="2"/>
      <c r="L210" s="2"/>
      <c r="M210" s="2"/>
      <c r="N210" s="2"/>
      <c r="O210" s="2"/>
      <c r="P210" s="2"/>
      <c r="Q210" s="4">
        <f>(0+1.03*10.54+0.94*16.01)/I210</f>
        <v>0.97572881355932195</v>
      </c>
      <c r="R210" s="4">
        <f>(0+0.13*10.54+0.15*16.01)/I210</f>
        <v>0.14206026365348398</v>
      </c>
      <c r="S210" s="2"/>
      <c r="T210" s="2"/>
      <c r="U210" s="2"/>
      <c r="V210" s="2"/>
      <c r="W210" s="2"/>
      <c r="X210" s="2"/>
      <c r="Y210" s="15">
        <f>(0+44.31*10.54+46.9*16.01)/I210</f>
        <v>45.871804143126177</v>
      </c>
      <c r="Z210" s="2"/>
      <c r="AA210" s="2"/>
      <c r="AB210" s="2"/>
      <c r="AC210" s="2"/>
      <c r="AD210" s="2">
        <f>7.49+3.03+1.7</f>
        <v>12.219999999999999</v>
      </c>
      <c r="AE210" s="2"/>
      <c r="AF210" s="2"/>
      <c r="AG210" s="2"/>
      <c r="AH210" s="2"/>
      <c r="AI210" s="2"/>
      <c r="AJ210" s="2"/>
      <c r="AK210" s="2"/>
      <c r="AL210" s="4">
        <f>(1*7.49+0.81*3.03+0.83*1.7)/AD210</f>
        <v>0.92923895253682498</v>
      </c>
      <c r="AM210" s="4">
        <f>(0.13*7.49+0.13*3.03+0.15*1.7)/AD210</f>
        <v>0.13278232405891979</v>
      </c>
      <c r="AN210" s="2"/>
      <c r="AO210" s="2"/>
      <c r="AP210" s="2"/>
      <c r="AQ210" s="2"/>
      <c r="AR210" s="2"/>
      <c r="AS210" s="2"/>
      <c r="AT210" s="15">
        <f>(45.67*7.49+43.75*3.03+46.65*1.7)/AD210</f>
        <v>45.33026186579378</v>
      </c>
      <c r="AU210" s="2"/>
      <c r="AV210" s="2"/>
      <c r="AW210" s="2"/>
      <c r="AX210" s="2"/>
      <c r="AY210" s="2">
        <f>7.42+0.86+0.09</f>
        <v>8.3699999999999992</v>
      </c>
      <c r="AZ210" s="2"/>
      <c r="BA210" s="2"/>
      <c r="BB210" s="2"/>
      <c r="BC210" s="2"/>
      <c r="BD210" s="2"/>
      <c r="BE210" s="2"/>
      <c r="BF210" s="2"/>
      <c r="BG210" s="4">
        <f>(0.75*7.42+0.67*0.86+0.75*0.09)/AY210</f>
        <v>0.74178016726403828</v>
      </c>
      <c r="BH210" s="4">
        <f>(0.14*7.42+0.14*0.86+0.14*0.09)/AY210</f>
        <v>0.14000000000000004</v>
      </c>
      <c r="BI210" s="2"/>
      <c r="BJ210" s="2"/>
      <c r="BK210" s="2"/>
      <c r="BL210" s="2"/>
      <c r="BM210" s="2"/>
      <c r="BN210" s="2"/>
      <c r="BO210" s="15">
        <f>(45.42*7.42+41.05*0.86+43.59*0.09)/AY210</f>
        <v>44.951314217443255</v>
      </c>
      <c r="BP210" s="2"/>
      <c r="BQ210" s="2"/>
      <c r="BR210" s="2"/>
      <c r="BS210" s="2"/>
      <c r="BT210" s="2">
        <f>4.6+4.5</f>
        <v>9.1</v>
      </c>
      <c r="BU210" s="2"/>
      <c r="BV210" s="2"/>
      <c r="BW210" s="2"/>
      <c r="BX210" s="2"/>
      <c r="BY210" s="2"/>
      <c r="BZ210" s="2"/>
      <c r="CA210" s="2"/>
      <c r="CB210" s="4">
        <f>(1.2*4.6+1.15*4.5)/BT210</f>
        <v>1.1752747252747253</v>
      </c>
      <c r="CC210" s="4">
        <f>(0.14*4.6+0.16*4.5)/BT210</f>
        <v>0.1498901098901099</v>
      </c>
      <c r="CD210" s="2"/>
      <c r="CE210" s="2"/>
      <c r="CF210" s="2"/>
      <c r="CG210" s="2"/>
      <c r="CH210" s="2"/>
      <c r="CI210" s="2"/>
      <c r="CJ210" s="15">
        <f>(42.68*4.6+44.29*4.5)/BT210</f>
        <v>43.476153846153849</v>
      </c>
      <c r="CK210" s="2"/>
      <c r="CL210" s="2"/>
      <c r="CM210" s="2"/>
      <c r="CN210" s="2"/>
      <c r="CO210" s="2">
        <f>0.5+0.3</f>
        <v>0.8</v>
      </c>
      <c r="CP210" s="2"/>
      <c r="CQ210" s="2"/>
      <c r="CR210" s="2"/>
      <c r="CS210" s="2"/>
      <c r="CT210" s="2"/>
      <c r="CU210" s="2"/>
      <c r="CV210" s="2"/>
      <c r="CW210" s="4">
        <f>(1.16*0.5+1.14*0.3)/CO210</f>
        <v>1.1524999999999999</v>
      </c>
      <c r="CX210" s="4">
        <f>(0.13*0.5+0.13*0.3)/CO210</f>
        <v>0.13</v>
      </c>
      <c r="CY210" s="2"/>
      <c r="CZ210" s="2"/>
      <c r="DA210" s="2"/>
      <c r="DB210" s="2"/>
      <c r="DC210" s="2"/>
      <c r="DD210" s="2"/>
      <c r="DE210" s="15">
        <f>(42.29*0.5+44.22*0.3)/CO210</f>
        <v>43.013750000000002</v>
      </c>
      <c r="DF210" s="2"/>
      <c r="DG210" s="2"/>
      <c r="DH210" s="2"/>
      <c r="DI210" s="2"/>
      <c r="DJ210" s="2" t="s">
        <v>81</v>
      </c>
      <c r="DK210" s="2" t="s">
        <v>81</v>
      </c>
      <c r="DL210" s="2">
        <f t="shared" si="3"/>
        <v>0.92213831141281299</v>
      </c>
      <c r="DM210" s="2">
        <f t="shared" si="4"/>
        <v>0.1392893508697497</v>
      </c>
      <c r="DN210" s="2" t="s">
        <v>834</v>
      </c>
      <c r="DO210" s="2" t="s">
        <v>3</v>
      </c>
      <c r="DP210" s="2">
        <f t="shared" si="5"/>
        <v>0</v>
      </c>
      <c r="DQ210" s="2">
        <f t="shared" ref="DQ210:DR210" si="3555">K210*$I210+AF210*$AD210+BA210*$AY210</f>
        <v>0</v>
      </c>
      <c r="DR210" s="2">
        <f t="shared" si="3555"/>
        <v>0</v>
      </c>
      <c r="DS210" s="2">
        <f t="shared" ref="DS210:DX210" si="3556">(M210*$I210+AH210*$AD210+BC210*$AY210)/100</f>
        <v>0</v>
      </c>
      <c r="DT210" s="2">
        <f t="shared" si="3556"/>
        <v>0</v>
      </c>
      <c r="DU210" s="2">
        <f t="shared" si="3556"/>
        <v>0</v>
      </c>
      <c r="DV210" s="2">
        <f t="shared" si="3556"/>
        <v>0</v>
      </c>
      <c r="DW210" s="2">
        <f t="shared" si="3556"/>
        <v>0.43469599999999997</v>
      </c>
      <c r="DX210" s="2">
        <f t="shared" si="3556"/>
        <v>6.5660999999999997E-2</v>
      </c>
      <c r="DY210" s="2">
        <f t="shared" ref="DY210:EC210" si="3557">S210*$I210+AN210*$AD210+BI210*$AY210</f>
        <v>0</v>
      </c>
      <c r="DZ210" s="2">
        <f t="shared" si="3557"/>
        <v>0</v>
      </c>
      <c r="EA210" s="2">
        <f t="shared" si="3557"/>
        <v>0</v>
      </c>
      <c r="EB210" s="2">
        <f t="shared" si="3557"/>
        <v>0</v>
      </c>
      <c r="EC210" s="2">
        <f t="shared" si="3557"/>
        <v>0</v>
      </c>
      <c r="ED210" s="2">
        <f t="shared" ref="ED210:EE210" si="3558">(X210*$I210+AS210*$AD210+BN210*$AY210)/100</f>
        <v>0</v>
      </c>
      <c r="EE210" s="2">
        <f t="shared" si="3558"/>
        <v>21.480747000000001</v>
      </c>
      <c r="EF210" s="2"/>
      <c r="EG210" s="2">
        <f t="shared" si="10"/>
        <v>0</v>
      </c>
      <c r="EH210" s="2">
        <f t="shared" si="11"/>
        <v>0</v>
      </c>
      <c r="EI210" s="39">
        <f t="shared" si="12"/>
        <v>0</v>
      </c>
      <c r="EJ210" s="39">
        <f t="shared" ref="EJ210:EK210" si="3559">EJ$1*DQ210/1000000</f>
        <v>0</v>
      </c>
      <c r="EK210" s="39">
        <f t="shared" si="3559"/>
        <v>0</v>
      </c>
      <c r="EL210" s="39">
        <f t="shared" ref="EL210:EQ210" si="3560">EL$1*DS210</f>
        <v>0</v>
      </c>
      <c r="EM210" s="39">
        <f t="shared" si="3560"/>
        <v>0</v>
      </c>
      <c r="EN210" s="39">
        <f t="shared" si="3560"/>
        <v>0</v>
      </c>
      <c r="EO210" s="39">
        <f t="shared" si="3560"/>
        <v>0</v>
      </c>
      <c r="EP210" s="39">
        <f t="shared" si="3560"/>
        <v>5700.6033439999992</v>
      </c>
      <c r="EQ210" s="39">
        <f t="shared" si="3560"/>
        <v>4768.2705653639996</v>
      </c>
      <c r="ER210" s="39">
        <f t="shared" ref="ER210:EV210" si="3561">ER$1*DY210/1000000</f>
        <v>0</v>
      </c>
      <c r="ES210" s="39">
        <f t="shared" si="3561"/>
        <v>0</v>
      </c>
      <c r="ET210" s="39">
        <f t="shared" si="3561"/>
        <v>0</v>
      </c>
      <c r="EU210" s="39">
        <f t="shared" si="3561"/>
        <v>0</v>
      </c>
      <c r="EV210" s="39">
        <f t="shared" si="3561"/>
        <v>0</v>
      </c>
      <c r="EW210" s="39">
        <f t="shared" ref="EW210:EX210" si="3562">EW$1*ED210</f>
        <v>0</v>
      </c>
      <c r="EX210" s="39">
        <f t="shared" si="3562"/>
        <v>1997.7094710000001</v>
      </c>
      <c r="EY210" s="2"/>
      <c r="EZ210" s="39">
        <f t="shared" si="17"/>
        <v>0</v>
      </c>
      <c r="FA210" s="39">
        <f t="shared" si="18"/>
        <v>0</v>
      </c>
      <c r="FB210" s="2">
        <f t="shared" si="19"/>
        <v>0</v>
      </c>
      <c r="FC210" s="2">
        <f t="shared" ref="FC210:FD210" si="3563">BV210*$BT210+CQ210*$CO210</f>
        <v>0</v>
      </c>
      <c r="FD210" s="2">
        <f t="shared" si="3563"/>
        <v>0</v>
      </c>
      <c r="FE210" s="2">
        <f t="shared" ref="FE210:FJ210" si="3564">(BX210*$BT210+CS210*$CO210)/100</f>
        <v>0</v>
      </c>
      <c r="FF210" s="2">
        <f t="shared" si="3564"/>
        <v>0</v>
      </c>
      <c r="FG210" s="2">
        <f t="shared" si="3564"/>
        <v>0</v>
      </c>
      <c r="FH210" s="2">
        <f t="shared" si="3564"/>
        <v>0</v>
      </c>
      <c r="FI210" s="2">
        <f t="shared" si="3564"/>
        <v>0.11617000000000001</v>
      </c>
      <c r="FJ210" s="2">
        <f t="shared" si="3564"/>
        <v>1.4680000000000002E-2</v>
      </c>
      <c r="FK210" s="2">
        <f t="shared" ref="FK210:FO210" si="3565">CD210*$BT210+CY210*$CO210</f>
        <v>0</v>
      </c>
      <c r="FL210" s="2">
        <f t="shared" si="3565"/>
        <v>0</v>
      </c>
      <c r="FM210" s="2">
        <f t="shared" si="3565"/>
        <v>0</v>
      </c>
      <c r="FN210" s="2">
        <f t="shared" si="3565"/>
        <v>0</v>
      </c>
      <c r="FO210" s="2">
        <f t="shared" si="3565"/>
        <v>0</v>
      </c>
      <c r="FP210" s="2">
        <f t="shared" ref="FP210:FQ210" si="3566">(CI210*$BT210+DD210*$CO210)/100</f>
        <v>0</v>
      </c>
      <c r="FQ210" s="2">
        <f t="shared" si="3566"/>
        <v>4.30044</v>
      </c>
      <c r="FR210" s="2"/>
      <c r="FS210" s="2">
        <f t="shared" si="24"/>
        <v>0</v>
      </c>
      <c r="FT210" s="2">
        <f t="shared" si="25"/>
        <v>0</v>
      </c>
      <c r="FU210" s="39">
        <f t="shared" si="26"/>
        <v>0</v>
      </c>
      <c r="FV210" s="39">
        <f t="shared" ref="FV210:FW210" si="3567">FV$1*FC210/1000000</f>
        <v>0</v>
      </c>
      <c r="FW210" s="39">
        <f t="shared" si="3567"/>
        <v>0</v>
      </c>
      <c r="FX210" s="39">
        <f t="shared" ref="FX210:GC210" si="3568">FX$1*FE210</f>
        <v>0</v>
      </c>
      <c r="FY210" s="39">
        <f t="shared" si="3568"/>
        <v>0</v>
      </c>
      <c r="FZ210" s="39">
        <f t="shared" si="3568"/>
        <v>0</v>
      </c>
      <c r="GA210" s="39">
        <f t="shared" si="3568"/>
        <v>0</v>
      </c>
      <c r="GB210" s="39">
        <f t="shared" si="3568"/>
        <v>1523.4533800000002</v>
      </c>
      <c r="GC210" s="39">
        <f t="shared" si="3568"/>
        <v>1066.0546123199999</v>
      </c>
      <c r="GD210" s="39">
        <f t="shared" ref="GD210:GH210" si="3569">GD$1*FK210/1000000</f>
        <v>0</v>
      </c>
      <c r="GE210" s="39">
        <f t="shared" si="3569"/>
        <v>0</v>
      </c>
      <c r="GF210" s="39">
        <f t="shared" si="3569"/>
        <v>0</v>
      </c>
      <c r="GG210" s="39">
        <f t="shared" si="3569"/>
        <v>0</v>
      </c>
      <c r="GH210" s="39">
        <f t="shared" si="3569"/>
        <v>0</v>
      </c>
      <c r="GI210" s="39">
        <f t="shared" ref="GI210:GJ210" si="3570">GI$1*FP210</f>
        <v>0</v>
      </c>
      <c r="GJ210" s="39">
        <f t="shared" si="3570"/>
        <v>399.94092000000001</v>
      </c>
      <c r="GK210" s="2"/>
      <c r="GL210" s="39">
        <f t="shared" si="31"/>
        <v>0</v>
      </c>
      <c r="GM210" s="39">
        <f t="shared" si="32"/>
        <v>0</v>
      </c>
      <c r="GN210" s="2" t="s">
        <v>3</v>
      </c>
      <c r="GO210" s="2">
        <f t="shared" si="33"/>
        <v>47.139999999999993</v>
      </c>
      <c r="GP210" s="4">
        <f t="shared" si="34"/>
        <v>0.92213831141281299</v>
      </c>
      <c r="GQ210" s="15">
        <f t="shared" si="35"/>
        <v>434.69599999999997</v>
      </c>
      <c r="GR210" s="15">
        <f t="shared" si="36"/>
        <v>12466.583380364</v>
      </c>
      <c r="GS210" s="15">
        <f t="shared" si="37"/>
        <v>264.45870556563432</v>
      </c>
      <c r="GT210" s="2">
        <f t="shared" si="38"/>
        <v>259.05599999999998</v>
      </c>
      <c r="GU210" s="2">
        <f t="shared" si="39"/>
        <v>113.553</v>
      </c>
      <c r="GV210" s="2">
        <f t="shared" si="40"/>
        <v>62.086999999999996</v>
      </c>
      <c r="GW210" s="2">
        <f t="shared" si="41"/>
        <v>9.9</v>
      </c>
      <c r="GX210" s="4">
        <f t="shared" si="3535"/>
        <v>1.1734343434343435</v>
      </c>
      <c r="GY210" s="15">
        <f t="shared" si="3536"/>
        <v>116.17</v>
      </c>
      <c r="GZ210" s="15">
        <f t="shared" si="3537"/>
        <v>2989.4489123200001</v>
      </c>
      <c r="HA210" s="15">
        <f t="shared" si="3538"/>
        <v>301.96453659797982</v>
      </c>
      <c r="HB210" s="2">
        <f t="shared" si="42"/>
        <v>106.95</v>
      </c>
      <c r="HC210" s="2">
        <f t="shared" si="43"/>
        <v>9.2199999999999989</v>
      </c>
      <c r="HD210" s="2" t="s">
        <v>3</v>
      </c>
      <c r="HE210" s="2" t="s">
        <v>37</v>
      </c>
      <c r="HF210" s="2" t="s">
        <v>235</v>
      </c>
      <c r="HG210" s="2" t="s">
        <v>235</v>
      </c>
      <c r="HH210" s="2"/>
      <c r="HI210" s="2" t="s">
        <v>81</v>
      </c>
      <c r="HJ210" s="2" t="s">
        <v>3</v>
      </c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  <c r="JA210" s="2"/>
      <c r="JB210" s="2"/>
      <c r="JC210" s="2"/>
      <c r="JD210" s="2"/>
      <c r="JE210" s="2"/>
      <c r="JF210" s="2"/>
      <c r="JG210" s="2"/>
      <c r="JH210" s="2" t="s">
        <v>3</v>
      </c>
    </row>
    <row r="211" spans="1:268" ht="15.75" customHeight="1" x14ac:dyDescent="0.2">
      <c r="A211" s="13" t="s">
        <v>460</v>
      </c>
      <c r="B211" s="2" t="s">
        <v>109</v>
      </c>
      <c r="C211" s="2"/>
      <c r="D211" s="2"/>
      <c r="E211" s="2"/>
      <c r="F211" s="2" t="s">
        <v>461</v>
      </c>
      <c r="G211" s="2"/>
      <c r="H211" s="2"/>
      <c r="I211" s="2">
        <f>44.32+2.3+8.394</f>
        <v>55.013999999999996</v>
      </c>
      <c r="J211" s="2"/>
      <c r="K211" s="2"/>
      <c r="L211" s="2"/>
      <c r="M211" s="2"/>
      <c r="N211" s="2"/>
      <c r="O211" s="2"/>
      <c r="P211" s="2"/>
      <c r="Q211" s="4">
        <f>(1.12*44.32+1.1*2.3+2.1*8.394)/I211</f>
        <v>1.2686916057730764</v>
      </c>
      <c r="R211" s="19">
        <f>(0.11*44.32+0.093*2.3+0*8.394)/I211</f>
        <v>9.2505544043334428E-2</v>
      </c>
      <c r="S211" s="2"/>
      <c r="T211" s="2"/>
      <c r="U211" s="2"/>
      <c r="V211" s="2"/>
      <c r="W211" s="2"/>
      <c r="X211" s="2"/>
      <c r="Y211" s="2">
        <v>44.6</v>
      </c>
      <c r="Z211" s="2">
        <v>5.5</v>
      </c>
      <c r="AA211" s="2"/>
      <c r="AB211" s="2"/>
      <c r="AC211" s="2"/>
      <c r="AD211" s="2">
        <f>28.454+2.206+10.3</f>
        <v>40.96</v>
      </c>
      <c r="AE211" s="2"/>
      <c r="AF211" s="2"/>
      <c r="AG211" s="2"/>
      <c r="AH211" s="2"/>
      <c r="AI211" s="2"/>
      <c r="AJ211" s="2"/>
      <c r="AK211" s="2"/>
      <c r="AL211" s="4">
        <f>(1.87*28.454+1.02*2.206+1.2*10.3)/AD211</f>
        <v>1.6557397460937502</v>
      </c>
      <c r="AM211" s="19">
        <f>(0*28.454+0.098*2.206+0.101*10.3)/AD211</f>
        <v>3.0675976562500006E-2</v>
      </c>
      <c r="AN211" s="2"/>
      <c r="AO211" s="2"/>
      <c r="AP211" s="2"/>
      <c r="AQ211" s="2"/>
      <c r="AR211" s="2"/>
      <c r="AS211" s="2"/>
      <c r="AT211" s="15">
        <v>43</v>
      </c>
      <c r="AU211" s="2">
        <v>7.1</v>
      </c>
      <c r="AV211" s="2"/>
      <c r="AW211" s="2"/>
      <c r="AX211" s="2"/>
      <c r="AY211" s="2">
        <f>3.9+3.9+14.7+32.8</f>
        <v>55.3</v>
      </c>
      <c r="AZ211" s="2"/>
      <c r="BA211" s="2"/>
      <c r="BB211" s="2"/>
      <c r="BC211" s="2"/>
      <c r="BD211" s="2"/>
      <c r="BE211" s="2"/>
      <c r="BF211" s="2"/>
      <c r="BG211" s="4">
        <f>(1.8*3.9+1.8*3.9+1.01*14.7+1.15*32.8)/AY211</f>
        <v>1.2044665461121158</v>
      </c>
      <c r="BH211" s="19">
        <f>(0*3.9+0*3.9+0.083*14.7+0.095*32.8)/AY211</f>
        <v>7.841048824593129E-2</v>
      </c>
      <c r="BI211" s="2"/>
      <c r="BJ211" s="2"/>
      <c r="BK211" s="2"/>
      <c r="BL211" s="2"/>
      <c r="BM211" s="2"/>
      <c r="BN211" s="2"/>
      <c r="BO211" s="2">
        <v>41.5</v>
      </c>
      <c r="BP211" s="2">
        <v>7.6</v>
      </c>
      <c r="BQ211" s="2"/>
      <c r="BR211" s="2"/>
      <c r="BS211" s="2"/>
      <c r="BT211" s="2">
        <v>0</v>
      </c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>
        <v>0</v>
      </c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 t="s">
        <v>81</v>
      </c>
      <c r="DK211" s="2" t="s">
        <v>81</v>
      </c>
      <c r="DL211" s="2">
        <f t="shared" si="3"/>
        <v>1.3500132210426117</v>
      </c>
      <c r="DM211" s="2">
        <f t="shared" si="4"/>
        <v>7.0611526104948641E-2</v>
      </c>
      <c r="DN211" s="2" t="s">
        <v>462</v>
      </c>
      <c r="DO211" s="2" t="s">
        <v>3</v>
      </c>
      <c r="DP211" s="2">
        <f t="shared" si="5"/>
        <v>0</v>
      </c>
      <c r="DQ211" s="2">
        <f t="shared" ref="DQ211:DR211" si="3571">K211*$I211+AF211*$AD211+BA211*$AY211</f>
        <v>0</v>
      </c>
      <c r="DR211" s="2">
        <f t="shared" si="3571"/>
        <v>0</v>
      </c>
      <c r="DS211" s="2">
        <f t="shared" ref="DS211:DX211" si="3572">(M211*$I211+AH211*$AD211+BC211*$AY211)/100</f>
        <v>0</v>
      </c>
      <c r="DT211" s="2">
        <f t="shared" si="3572"/>
        <v>0</v>
      </c>
      <c r="DU211" s="2">
        <f t="shared" si="3572"/>
        <v>0</v>
      </c>
      <c r="DV211" s="2">
        <f t="shared" si="3572"/>
        <v>0</v>
      </c>
      <c r="DW211" s="2">
        <f t="shared" si="3572"/>
        <v>2.0422190000000002</v>
      </c>
      <c r="DX211" s="2">
        <f t="shared" si="3572"/>
        <v>0.10681688000000002</v>
      </c>
      <c r="DY211" s="2">
        <f t="shared" ref="DY211:EC211" si="3573">S211*$I211+AN211*$AD211+BI211*$AY211</f>
        <v>0</v>
      </c>
      <c r="DZ211" s="2">
        <f t="shared" si="3573"/>
        <v>0</v>
      </c>
      <c r="EA211" s="2">
        <f t="shared" si="3573"/>
        <v>0</v>
      </c>
      <c r="EB211" s="2">
        <f t="shared" si="3573"/>
        <v>0</v>
      </c>
      <c r="EC211" s="2">
        <f t="shared" si="3573"/>
        <v>0</v>
      </c>
      <c r="ED211" s="2">
        <f t="shared" ref="ED211:EE211" si="3574">(X211*$I211+AS211*$AD211+BN211*$AY211)/100</f>
        <v>0</v>
      </c>
      <c r="EE211" s="2">
        <f t="shared" si="3574"/>
        <v>65.09854399999999</v>
      </c>
      <c r="EF211" s="2"/>
      <c r="EG211" s="2">
        <f t="shared" si="10"/>
        <v>0</v>
      </c>
      <c r="EH211" s="2">
        <f t="shared" si="11"/>
        <v>0</v>
      </c>
      <c r="EI211" s="39">
        <f t="shared" si="12"/>
        <v>0</v>
      </c>
      <c r="EJ211" s="39">
        <f t="shared" ref="EJ211:EK211" si="3575">EJ$1*DQ211/1000000</f>
        <v>0</v>
      </c>
      <c r="EK211" s="39">
        <f t="shared" si="3575"/>
        <v>0</v>
      </c>
      <c r="EL211" s="39">
        <f t="shared" ref="EL211:EQ211" si="3576">EL$1*DS211</f>
        <v>0</v>
      </c>
      <c r="EM211" s="39">
        <f t="shared" si="3576"/>
        <v>0</v>
      </c>
      <c r="EN211" s="39">
        <f t="shared" si="3576"/>
        <v>0</v>
      </c>
      <c r="EO211" s="39">
        <f t="shared" si="3576"/>
        <v>0</v>
      </c>
      <c r="EP211" s="39">
        <f t="shared" si="3576"/>
        <v>26781.659966000003</v>
      </c>
      <c r="EQ211" s="39">
        <f t="shared" si="3576"/>
        <v>7756.9909807651202</v>
      </c>
      <c r="ER211" s="39">
        <f t="shared" ref="ER211:EV211" si="3577">ER$1*DY211/1000000</f>
        <v>0</v>
      </c>
      <c r="ES211" s="39">
        <f t="shared" si="3577"/>
        <v>0</v>
      </c>
      <c r="ET211" s="39">
        <f t="shared" si="3577"/>
        <v>0</v>
      </c>
      <c r="EU211" s="39">
        <f t="shared" si="3577"/>
        <v>0</v>
      </c>
      <c r="EV211" s="39">
        <f t="shared" si="3577"/>
        <v>0</v>
      </c>
      <c r="EW211" s="39">
        <f t="shared" ref="EW211:EX211" si="3578">EW$1*ED211</f>
        <v>0</v>
      </c>
      <c r="EX211" s="39">
        <f t="shared" si="3578"/>
        <v>6054.1645919999992</v>
      </c>
      <c r="EY211" s="2"/>
      <c r="EZ211" s="39">
        <f t="shared" si="17"/>
        <v>0</v>
      </c>
      <c r="FA211" s="39">
        <f t="shared" si="18"/>
        <v>0</v>
      </c>
      <c r="FB211" s="2">
        <f t="shared" si="19"/>
        <v>0</v>
      </c>
      <c r="FC211" s="2">
        <f t="shared" ref="FC211:FD211" si="3579">BV211*$BT211+CQ211*$CO211</f>
        <v>0</v>
      </c>
      <c r="FD211" s="2">
        <f t="shared" si="3579"/>
        <v>0</v>
      </c>
      <c r="FE211" s="2">
        <f t="shared" ref="FE211:FJ211" si="3580">(BX211*$BT211+CS211*$CO211)/100</f>
        <v>0</v>
      </c>
      <c r="FF211" s="2">
        <f t="shared" si="3580"/>
        <v>0</v>
      </c>
      <c r="FG211" s="2">
        <f t="shared" si="3580"/>
        <v>0</v>
      </c>
      <c r="FH211" s="2">
        <f t="shared" si="3580"/>
        <v>0</v>
      </c>
      <c r="FI211" s="2">
        <f t="shared" si="3580"/>
        <v>0</v>
      </c>
      <c r="FJ211" s="2">
        <f t="shared" si="3580"/>
        <v>0</v>
      </c>
      <c r="FK211" s="2">
        <f t="shared" ref="FK211:FO211" si="3581">CD211*$BT211+CY211*$CO211</f>
        <v>0</v>
      </c>
      <c r="FL211" s="2">
        <f t="shared" si="3581"/>
        <v>0</v>
      </c>
      <c r="FM211" s="2">
        <f t="shared" si="3581"/>
        <v>0</v>
      </c>
      <c r="FN211" s="2">
        <f t="shared" si="3581"/>
        <v>0</v>
      </c>
      <c r="FO211" s="2">
        <f t="shared" si="3581"/>
        <v>0</v>
      </c>
      <c r="FP211" s="2">
        <f t="shared" ref="FP211:FQ211" si="3582">(CI211*$BT211+DD211*$CO211)/100</f>
        <v>0</v>
      </c>
      <c r="FQ211" s="2">
        <f t="shared" si="3582"/>
        <v>0</v>
      </c>
      <c r="FR211" s="2"/>
      <c r="FS211" s="2">
        <f t="shared" si="24"/>
        <v>0</v>
      </c>
      <c r="FT211" s="2">
        <f t="shared" si="25"/>
        <v>0</v>
      </c>
      <c r="FU211" s="39">
        <f t="shared" si="26"/>
        <v>0</v>
      </c>
      <c r="FV211" s="39">
        <f t="shared" ref="FV211:FW211" si="3583">FV$1*FC211/1000000</f>
        <v>0</v>
      </c>
      <c r="FW211" s="39">
        <f t="shared" si="3583"/>
        <v>0</v>
      </c>
      <c r="FX211" s="39">
        <f t="shared" ref="FX211:GC211" si="3584">FX$1*FE211</f>
        <v>0</v>
      </c>
      <c r="FY211" s="39">
        <f t="shared" si="3584"/>
        <v>0</v>
      </c>
      <c r="FZ211" s="39">
        <f t="shared" si="3584"/>
        <v>0</v>
      </c>
      <c r="GA211" s="39">
        <f t="shared" si="3584"/>
        <v>0</v>
      </c>
      <c r="GB211" s="39">
        <f t="shared" si="3584"/>
        <v>0</v>
      </c>
      <c r="GC211" s="39">
        <f t="shared" si="3584"/>
        <v>0</v>
      </c>
      <c r="GD211" s="39">
        <f t="shared" ref="GD211:GH211" si="3585">GD$1*FK211/1000000</f>
        <v>0</v>
      </c>
      <c r="GE211" s="39">
        <f t="shared" si="3585"/>
        <v>0</v>
      </c>
      <c r="GF211" s="39">
        <f t="shared" si="3585"/>
        <v>0</v>
      </c>
      <c r="GG211" s="39">
        <f t="shared" si="3585"/>
        <v>0</v>
      </c>
      <c r="GH211" s="39">
        <f t="shared" si="3585"/>
        <v>0</v>
      </c>
      <c r="GI211" s="39">
        <f t="shared" ref="GI211:GJ211" si="3586">GI$1*FP211</f>
        <v>0</v>
      </c>
      <c r="GJ211" s="39">
        <f t="shared" si="3586"/>
        <v>0</v>
      </c>
      <c r="GK211" s="2"/>
      <c r="GL211" s="39">
        <f t="shared" si="31"/>
        <v>0</v>
      </c>
      <c r="GM211" s="39">
        <f t="shared" si="32"/>
        <v>0</v>
      </c>
      <c r="GN211" s="2" t="s">
        <v>3</v>
      </c>
      <c r="GO211" s="15">
        <f t="shared" si="33"/>
        <v>151.274</v>
      </c>
      <c r="GP211" s="4">
        <f t="shared" si="34"/>
        <v>1.3500132210426117</v>
      </c>
      <c r="GQ211" s="18">
        <f t="shared" si="35"/>
        <v>2042.2190000000005</v>
      </c>
      <c r="GR211" s="15">
        <f t="shared" si="36"/>
        <v>40592.81553876512</v>
      </c>
      <c r="GS211" s="15">
        <f t="shared" si="37"/>
        <v>268.33967197776963</v>
      </c>
      <c r="GT211" s="2">
        <f t="shared" si="38"/>
        <v>697.9580000000002</v>
      </c>
      <c r="GU211" s="2">
        <f t="shared" si="39"/>
        <v>678.19100000000003</v>
      </c>
      <c r="GV211" s="2">
        <f t="shared" si="40"/>
        <v>666.07</v>
      </c>
      <c r="GW211" s="2">
        <f t="shared" si="41"/>
        <v>0</v>
      </c>
      <c r="GX211" s="2"/>
      <c r="GY211" s="2"/>
      <c r="GZ211" s="2"/>
      <c r="HA211" s="2"/>
      <c r="HB211" s="2">
        <f t="shared" si="42"/>
        <v>0</v>
      </c>
      <c r="HC211" s="2">
        <f t="shared" si="43"/>
        <v>0</v>
      </c>
      <c r="HD211" s="2" t="s">
        <v>3</v>
      </c>
      <c r="HE211" s="2" t="s">
        <v>37</v>
      </c>
      <c r="HF211" s="2" t="s">
        <v>235</v>
      </c>
      <c r="HG211" s="2" t="s">
        <v>235</v>
      </c>
      <c r="HH211" s="2"/>
      <c r="HI211" s="2" t="s">
        <v>81</v>
      </c>
      <c r="HJ211" s="2" t="s">
        <v>3</v>
      </c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  <c r="JA211" s="2"/>
      <c r="JB211" s="2"/>
      <c r="JC211" s="2"/>
      <c r="JD211" s="2"/>
      <c r="JE211" s="2"/>
      <c r="JF211" s="2"/>
      <c r="JG211" s="2"/>
      <c r="JH211" s="2" t="s">
        <v>3</v>
      </c>
    </row>
    <row r="212" spans="1:268" ht="15.75" customHeight="1" x14ac:dyDescent="0.2">
      <c r="A212" s="13" t="s">
        <v>807</v>
      </c>
      <c r="B212" s="2" t="s">
        <v>99</v>
      </c>
      <c r="C212" s="2"/>
      <c r="D212" s="2"/>
      <c r="E212" s="2"/>
      <c r="F212" s="2" t="s">
        <v>79</v>
      </c>
      <c r="G212" s="2"/>
      <c r="H212" s="2"/>
      <c r="I212" s="2">
        <v>0</v>
      </c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>
        <v>50.758000000000003</v>
      </c>
      <c r="AE212" s="2"/>
      <c r="AF212" s="2"/>
      <c r="AG212" s="2"/>
      <c r="AH212" s="2"/>
      <c r="AI212" s="2"/>
      <c r="AJ212" s="2"/>
      <c r="AK212" s="2"/>
      <c r="AL212" s="2">
        <v>1.29</v>
      </c>
      <c r="AM212" s="4">
        <f>(1.29/1.4)*0.06</f>
        <v>5.5285714285714285E-2</v>
      </c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>
        <v>84.162999999999997</v>
      </c>
      <c r="AZ212" s="2"/>
      <c r="BA212" s="2"/>
      <c r="BB212" s="2"/>
      <c r="BC212" s="2"/>
      <c r="BD212" s="2"/>
      <c r="BE212" s="2"/>
      <c r="BF212" s="2"/>
      <c r="BG212" s="2">
        <v>1.21</v>
      </c>
      <c r="BH212" s="4">
        <f>(1.35/1.4)*0.05</f>
        <v>4.8214285714285723E-2</v>
      </c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>
        <v>0</v>
      </c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>
        <v>0</v>
      </c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 t="s">
        <v>81</v>
      </c>
      <c r="DK212" s="2" t="s">
        <v>81</v>
      </c>
      <c r="DL212" s="2">
        <f t="shared" si="3"/>
        <v>1.240096426797904</v>
      </c>
      <c r="DM212" s="2">
        <f t="shared" si="4"/>
        <v>5.0874594868743302E-2</v>
      </c>
      <c r="DN212" s="2" t="s">
        <v>808</v>
      </c>
      <c r="DO212" s="2" t="s">
        <v>3</v>
      </c>
      <c r="DP212" s="2">
        <f t="shared" si="5"/>
        <v>0</v>
      </c>
      <c r="DQ212" s="2">
        <f t="shared" ref="DQ212:DR212" si="3587">K212*$I212+AF212*$AD212+BA212*$AY212</f>
        <v>0</v>
      </c>
      <c r="DR212" s="2">
        <f t="shared" si="3587"/>
        <v>0</v>
      </c>
      <c r="DS212" s="2">
        <f t="shared" ref="DS212:DX212" si="3588">(M212*$I212+AH212*$AD212+BC212*$AY212)/100</f>
        <v>0</v>
      </c>
      <c r="DT212" s="2">
        <f t="shared" si="3588"/>
        <v>0</v>
      </c>
      <c r="DU212" s="2">
        <f t="shared" si="3588"/>
        <v>0</v>
      </c>
      <c r="DV212" s="2">
        <f t="shared" si="3588"/>
        <v>0</v>
      </c>
      <c r="DW212" s="2">
        <f t="shared" si="3588"/>
        <v>1.6731504999999998</v>
      </c>
      <c r="DX212" s="2">
        <f t="shared" si="3588"/>
        <v>6.8640512142857144E-2</v>
      </c>
      <c r="DY212" s="2">
        <f t="shared" ref="DY212:EC212" si="3589">S212*$I212+AN212*$AD212+BI212*$AY212</f>
        <v>0</v>
      </c>
      <c r="DZ212" s="2">
        <f t="shared" si="3589"/>
        <v>0</v>
      </c>
      <c r="EA212" s="2">
        <f t="shared" si="3589"/>
        <v>0</v>
      </c>
      <c r="EB212" s="2">
        <f t="shared" si="3589"/>
        <v>0</v>
      </c>
      <c r="EC212" s="2">
        <f t="shared" si="3589"/>
        <v>0</v>
      </c>
      <c r="ED212" s="2">
        <f t="shared" ref="ED212:EE212" si="3590">(X212*$I212+AS212*$AD212+BN212*$AY212)/100</f>
        <v>0</v>
      </c>
      <c r="EE212" s="2">
        <f t="shared" si="3590"/>
        <v>0</v>
      </c>
      <c r="EF212" s="2"/>
      <c r="EG212" s="2">
        <f t="shared" si="10"/>
        <v>0</v>
      </c>
      <c r="EH212" s="2">
        <f t="shared" si="11"/>
        <v>0</v>
      </c>
      <c r="EI212" s="39">
        <f t="shared" si="12"/>
        <v>0</v>
      </c>
      <c r="EJ212" s="39">
        <f t="shared" ref="EJ212:EK212" si="3591">EJ$1*DQ212/1000000</f>
        <v>0</v>
      </c>
      <c r="EK212" s="39">
        <f t="shared" si="3591"/>
        <v>0</v>
      </c>
      <c r="EL212" s="39">
        <f t="shared" ref="EL212:EQ212" si="3592">EL$1*DS212</f>
        <v>0</v>
      </c>
      <c r="EM212" s="39">
        <f t="shared" si="3592"/>
        <v>0</v>
      </c>
      <c r="EN212" s="39">
        <f t="shared" si="3592"/>
        <v>0</v>
      </c>
      <c r="EO212" s="39">
        <f t="shared" si="3592"/>
        <v>0</v>
      </c>
      <c r="EP212" s="39">
        <f t="shared" si="3592"/>
        <v>21941.695656999997</v>
      </c>
      <c r="EQ212" s="39">
        <f t="shared" si="3592"/>
        <v>4984.6413189305049</v>
      </c>
      <c r="ER212" s="39">
        <f t="shared" ref="ER212:EV212" si="3593">ER$1*DY212/1000000</f>
        <v>0</v>
      </c>
      <c r="ES212" s="39">
        <f t="shared" si="3593"/>
        <v>0</v>
      </c>
      <c r="ET212" s="39">
        <f t="shared" si="3593"/>
        <v>0</v>
      </c>
      <c r="EU212" s="39">
        <f t="shared" si="3593"/>
        <v>0</v>
      </c>
      <c r="EV212" s="39">
        <f t="shared" si="3593"/>
        <v>0</v>
      </c>
      <c r="EW212" s="39">
        <f t="shared" ref="EW212:EX212" si="3594">EW$1*ED212</f>
        <v>0</v>
      </c>
      <c r="EX212" s="39">
        <f t="shared" si="3594"/>
        <v>0</v>
      </c>
      <c r="EY212" s="2"/>
      <c r="EZ212" s="39">
        <f t="shared" si="17"/>
        <v>0</v>
      </c>
      <c r="FA212" s="39">
        <f t="shared" si="18"/>
        <v>0</v>
      </c>
      <c r="FB212" s="2">
        <f t="shared" si="19"/>
        <v>0</v>
      </c>
      <c r="FC212" s="2">
        <f t="shared" ref="FC212:FD212" si="3595">BV212*$BT212+CQ212*$CO212</f>
        <v>0</v>
      </c>
      <c r="FD212" s="2">
        <f t="shared" si="3595"/>
        <v>0</v>
      </c>
      <c r="FE212" s="2">
        <f t="shared" ref="FE212:FJ212" si="3596">(BX212*$BT212+CS212*$CO212)/100</f>
        <v>0</v>
      </c>
      <c r="FF212" s="2">
        <f t="shared" si="3596"/>
        <v>0</v>
      </c>
      <c r="FG212" s="2">
        <f t="shared" si="3596"/>
        <v>0</v>
      </c>
      <c r="FH212" s="2">
        <f t="shared" si="3596"/>
        <v>0</v>
      </c>
      <c r="FI212" s="2">
        <f t="shared" si="3596"/>
        <v>0</v>
      </c>
      <c r="FJ212" s="2">
        <f t="shared" si="3596"/>
        <v>0</v>
      </c>
      <c r="FK212" s="2">
        <f t="shared" ref="FK212:FO212" si="3597">CD212*$BT212+CY212*$CO212</f>
        <v>0</v>
      </c>
      <c r="FL212" s="2">
        <f t="shared" si="3597"/>
        <v>0</v>
      </c>
      <c r="FM212" s="2">
        <f t="shared" si="3597"/>
        <v>0</v>
      </c>
      <c r="FN212" s="2">
        <f t="shared" si="3597"/>
        <v>0</v>
      </c>
      <c r="FO212" s="2">
        <f t="shared" si="3597"/>
        <v>0</v>
      </c>
      <c r="FP212" s="2">
        <f t="shared" ref="FP212:FQ212" si="3598">(CI212*$BT212+DD212*$CO212)/100</f>
        <v>0</v>
      </c>
      <c r="FQ212" s="2">
        <f t="shared" si="3598"/>
        <v>0</v>
      </c>
      <c r="FR212" s="2"/>
      <c r="FS212" s="2">
        <f t="shared" si="24"/>
        <v>0</v>
      </c>
      <c r="FT212" s="2">
        <f t="shared" si="25"/>
        <v>0</v>
      </c>
      <c r="FU212" s="39">
        <f t="shared" si="26"/>
        <v>0</v>
      </c>
      <c r="FV212" s="39">
        <f t="shared" ref="FV212:FW212" si="3599">FV$1*FC212/1000000</f>
        <v>0</v>
      </c>
      <c r="FW212" s="39">
        <f t="shared" si="3599"/>
        <v>0</v>
      </c>
      <c r="FX212" s="39">
        <f t="shared" ref="FX212:GC212" si="3600">FX$1*FE212</f>
        <v>0</v>
      </c>
      <c r="FY212" s="39">
        <f t="shared" si="3600"/>
        <v>0</v>
      </c>
      <c r="FZ212" s="39">
        <f t="shared" si="3600"/>
        <v>0</v>
      </c>
      <c r="GA212" s="39">
        <f t="shared" si="3600"/>
        <v>0</v>
      </c>
      <c r="GB212" s="39">
        <f t="shared" si="3600"/>
        <v>0</v>
      </c>
      <c r="GC212" s="39">
        <f t="shared" si="3600"/>
        <v>0</v>
      </c>
      <c r="GD212" s="39">
        <f t="shared" ref="GD212:GH212" si="3601">GD$1*FK212/1000000</f>
        <v>0</v>
      </c>
      <c r="GE212" s="39">
        <f t="shared" si="3601"/>
        <v>0</v>
      </c>
      <c r="GF212" s="39">
        <f t="shared" si="3601"/>
        <v>0</v>
      </c>
      <c r="GG212" s="39">
        <f t="shared" si="3601"/>
        <v>0</v>
      </c>
      <c r="GH212" s="39">
        <f t="shared" si="3601"/>
        <v>0</v>
      </c>
      <c r="GI212" s="39">
        <f t="shared" ref="GI212:GJ212" si="3602">GI$1*FP212</f>
        <v>0</v>
      </c>
      <c r="GJ212" s="39">
        <f t="shared" si="3602"/>
        <v>0</v>
      </c>
      <c r="GK212" s="2"/>
      <c r="GL212" s="39">
        <f t="shared" si="31"/>
        <v>0</v>
      </c>
      <c r="GM212" s="39">
        <f t="shared" si="32"/>
        <v>0</v>
      </c>
      <c r="GN212" s="2" t="s">
        <v>3</v>
      </c>
      <c r="GO212" s="15">
        <f t="shared" si="33"/>
        <v>134.92099999999999</v>
      </c>
      <c r="GP212" s="4">
        <f t="shared" si="34"/>
        <v>1.240096426797904</v>
      </c>
      <c r="GQ212" s="18">
        <f t="shared" si="35"/>
        <v>1673.1505000000002</v>
      </c>
      <c r="GR212" s="15">
        <f t="shared" si="36"/>
        <v>26926.336975930502</v>
      </c>
      <c r="GS212" s="15">
        <f t="shared" si="37"/>
        <v>199.57113404088693</v>
      </c>
      <c r="GT212" s="2">
        <f t="shared" si="38"/>
        <v>0</v>
      </c>
      <c r="GU212" s="2">
        <f t="shared" si="39"/>
        <v>654.77820000000008</v>
      </c>
      <c r="GV212" s="2">
        <f t="shared" si="40"/>
        <v>1018.3723</v>
      </c>
      <c r="GW212" s="2">
        <f t="shared" si="41"/>
        <v>0</v>
      </c>
      <c r="GX212" s="2"/>
      <c r="GY212" s="2"/>
      <c r="GZ212" s="2"/>
      <c r="HA212" s="2"/>
      <c r="HB212" s="2">
        <f t="shared" si="42"/>
        <v>0</v>
      </c>
      <c r="HC212" s="2">
        <f t="shared" si="43"/>
        <v>0</v>
      </c>
      <c r="HD212" s="2" t="s">
        <v>3</v>
      </c>
      <c r="HE212" s="2" t="s">
        <v>37</v>
      </c>
      <c r="HF212" s="2" t="s">
        <v>235</v>
      </c>
      <c r="HG212" s="2" t="s">
        <v>235</v>
      </c>
      <c r="HH212" s="2"/>
      <c r="HI212" s="2" t="s">
        <v>81</v>
      </c>
      <c r="HJ212" s="2" t="s">
        <v>3</v>
      </c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  <c r="JC212" s="2"/>
      <c r="JD212" s="2"/>
      <c r="JE212" s="2"/>
      <c r="JF212" s="2"/>
      <c r="JG212" s="2"/>
      <c r="JH212" s="2" t="s">
        <v>3</v>
      </c>
    </row>
    <row r="213" spans="1:268" ht="15.75" customHeight="1" x14ac:dyDescent="0.2">
      <c r="A213" s="13" t="s">
        <v>1166</v>
      </c>
      <c r="B213" s="2" t="s">
        <v>99</v>
      </c>
      <c r="C213" s="2"/>
      <c r="D213" s="2"/>
      <c r="E213" s="2"/>
      <c r="F213" s="2" t="s">
        <v>200</v>
      </c>
      <c r="G213" s="2"/>
      <c r="H213" s="2" t="s">
        <v>111</v>
      </c>
      <c r="I213" s="2">
        <v>0</v>
      </c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>
        <v>0</v>
      </c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>
        <v>97</v>
      </c>
      <c r="AZ213" s="2"/>
      <c r="BA213" s="2"/>
      <c r="BB213" s="2"/>
      <c r="BC213" s="2"/>
      <c r="BD213" s="2"/>
      <c r="BE213" s="2"/>
      <c r="BF213" s="2"/>
      <c r="BG213" s="2">
        <v>1.78</v>
      </c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>
        <v>0</v>
      </c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>
        <v>0</v>
      </c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 t="s">
        <v>81</v>
      </c>
      <c r="DK213" s="2"/>
      <c r="DL213" s="2">
        <f t="shared" si="3"/>
        <v>1.78</v>
      </c>
      <c r="DM213" s="2">
        <f t="shared" si="4"/>
        <v>0</v>
      </c>
      <c r="DN213" s="2" t="s">
        <v>1167</v>
      </c>
      <c r="DO213" s="2" t="s">
        <v>3</v>
      </c>
      <c r="DP213" s="2">
        <f t="shared" si="5"/>
        <v>0</v>
      </c>
      <c r="DQ213" s="2">
        <f t="shared" ref="DQ213:DR213" si="3603">K213*$I213+AF213*$AD213+BA213*$AY213</f>
        <v>0</v>
      </c>
      <c r="DR213" s="2">
        <f t="shared" si="3603"/>
        <v>0</v>
      </c>
      <c r="DS213" s="2">
        <f t="shared" ref="DS213:DX213" si="3604">(M213*$I213+AH213*$AD213+BC213*$AY213)/100</f>
        <v>0</v>
      </c>
      <c r="DT213" s="2">
        <f t="shared" si="3604"/>
        <v>0</v>
      </c>
      <c r="DU213" s="2">
        <f t="shared" si="3604"/>
        <v>0</v>
      </c>
      <c r="DV213" s="2">
        <f t="shared" si="3604"/>
        <v>0</v>
      </c>
      <c r="DW213" s="2">
        <f t="shared" si="3604"/>
        <v>1.7265999999999999</v>
      </c>
      <c r="DX213" s="2">
        <f t="shared" si="3604"/>
        <v>0</v>
      </c>
      <c r="DY213" s="2">
        <f t="shared" ref="DY213:EC213" si="3605">S213*$I213+AN213*$AD213+BI213*$AY213</f>
        <v>0</v>
      </c>
      <c r="DZ213" s="2">
        <f t="shared" si="3605"/>
        <v>0</v>
      </c>
      <c r="EA213" s="2">
        <f t="shared" si="3605"/>
        <v>0</v>
      </c>
      <c r="EB213" s="2">
        <f t="shared" si="3605"/>
        <v>0</v>
      </c>
      <c r="EC213" s="2">
        <f t="shared" si="3605"/>
        <v>0</v>
      </c>
      <c r="ED213" s="2">
        <f t="shared" ref="ED213:EE213" si="3606">(X213*$I213+AS213*$AD213+BN213*$AY213)/100</f>
        <v>0</v>
      </c>
      <c r="EE213" s="2">
        <f t="shared" si="3606"/>
        <v>0</v>
      </c>
      <c r="EF213" s="2"/>
      <c r="EG213" s="2">
        <f t="shared" si="10"/>
        <v>0</v>
      </c>
      <c r="EH213" s="2">
        <f t="shared" si="11"/>
        <v>0</v>
      </c>
      <c r="EI213" s="39">
        <f t="shared" si="12"/>
        <v>0</v>
      </c>
      <c r="EJ213" s="39">
        <f t="shared" ref="EJ213:EK213" si="3607">EJ$1*DQ213/1000000</f>
        <v>0</v>
      </c>
      <c r="EK213" s="39">
        <f t="shared" si="3607"/>
        <v>0</v>
      </c>
      <c r="EL213" s="39">
        <f t="shared" ref="EL213:EQ213" si="3608">EL$1*DS213</f>
        <v>0</v>
      </c>
      <c r="EM213" s="39">
        <f t="shared" si="3608"/>
        <v>0</v>
      </c>
      <c r="EN213" s="39">
        <f t="shared" si="3608"/>
        <v>0</v>
      </c>
      <c r="EO213" s="39">
        <f t="shared" si="3608"/>
        <v>0</v>
      </c>
      <c r="EP213" s="39">
        <f t="shared" si="3608"/>
        <v>22642.632399999999</v>
      </c>
      <c r="EQ213" s="39">
        <f t="shared" si="3608"/>
        <v>0</v>
      </c>
      <c r="ER213" s="39">
        <f t="shared" ref="ER213:EV213" si="3609">ER$1*DY213/1000000</f>
        <v>0</v>
      </c>
      <c r="ES213" s="39">
        <f t="shared" si="3609"/>
        <v>0</v>
      </c>
      <c r="ET213" s="39">
        <f t="shared" si="3609"/>
        <v>0</v>
      </c>
      <c r="EU213" s="39">
        <f t="shared" si="3609"/>
        <v>0</v>
      </c>
      <c r="EV213" s="39">
        <f t="shared" si="3609"/>
        <v>0</v>
      </c>
      <c r="EW213" s="39">
        <f t="shared" ref="EW213:EX213" si="3610">EW$1*ED213</f>
        <v>0</v>
      </c>
      <c r="EX213" s="39">
        <f t="shared" si="3610"/>
        <v>0</v>
      </c>
      <c r="EY213" s="2"/>
      <c r="EZ213" s="39">
        <f t="shared" si="17"/>
        <v>0</v>
      </c>
      <c r="FA213" s="39">
        <f t="shared" si="18"/>
        <v>0</v>
      </c>
      <c r="FB213" s="2">
        <f t="shared" si="19"/>
        <v>0</v>
      </c>
      <c r="FC213" s="2">
        <f t="shared" ref="FC213:FD213" si="3611">BV213*$BT213+CQ213*$CO213</f>
        <v>0</v>
      </c>
      <c r="FD213" s="2">
        <f t="shared" si="3611"/>
        <v>0</v>
      </c>
      <c r="FE213" s="2">
        <f t="shared" ref="FE213:FJ213" si="3612">(BX213*$BT213+CS213*$CO213)/100</f>
        <v>0</v>
      </c>
      <c r="FF213" s="2">
        <f t="shared" si="3612"/>
        <v>0</v>
      </c>
      <c r="FG213" s="2">
        <f t="shared" si="3612"/>
        <v>0</v>
      </c>
      <c r="FH213" s="2">
        <f t="shared" si="3612"/>
        <v>0</v>
      </c>
      <c r="FI213" s="2">
        <f t="shared" si="3612"/>
        <v>0</v>
      </c>
      <c r="FJ213" s="2">
        <f t="shared" si="3612"/>
        <v>0</v>
      </c>
      <c r="FK213" s="2">
        <f t="shared" ref="FK213:FO213" si="3613">CD213*$BT213+CY213*$CO213</f>
        <v>0</v>
      </c>
      <c r="FL213" s="2">
        <f t="shared" si="3613"/>
        <v>0</v>
      </c>
      <c r="FM213" s="2">
        <f t="shared" si="3613"/>
        <v>0</v>
      </c>
      <c r="FN213" s="2">
        <f t="shared" si="3613"/>
        <v>0</v>
      </c>
      <c r="FO213" s="2">
        <f t="shared" si="3613"/>
        <v>0</v>
      </c>
      <c r="FP213" s="2">
        <f t="shared" ref="FP213:FQ213" si="3614">(CI213*$BT213+DD213*$CO213)/100</f>
        <v>0</v>
      </c>
      <c r="FQ213" s="2">
        <f t="shared" si="3614"/>
        <v>0</v>
      </c>
      <c r="FR213" s="2"/>
      <c r="FS213" s="2">
        <f t="shared" si="24"/>
        <v>0</v>
      </c>
      <c r="FT213" s="2">
        <f t="shared" si="25"/>
        <v>0</v>
      </c>
      <c r="FU213" s="39">
        <f t="shared" si="26"/>
        <v>0</v>
      </c>
      <c r="FV213" s="39">
        <f t="shared" ref="FV213:FW213" si="3615">FV$1*FC213/1000000</f>
        <v>0</v>
      </c>
      <c r="FW213" s="39">
        <f t="shared" si="3615"/>
        <v>0</v>
      </c>
      <c r="FX213" s="39">
        <f t="shared" ref="FX213:GC213" si="3616">FX$1*FE213</f>
        <v>0</v>
      </c>
      <c r="FY213" s="39">
        <f t="shared" si="3616"/>
        <v>0</v>
      </c>
      <c r="FZ213" s="39">
        <f t="shared" si="3616"/>
        <v>0</v>
      </c>
      <c r="GA213" s="39">
        <f t="shared" si="3616"/>
        <v>0</v>
      </c>
      <c r="GB213" s="39">
        <f t="shared" si="3616"/>
        <v>0</v>
      </c>
      <c r="GC213" s="39">
        <f t="shared" si="3616"/>
        <v>0</v>
      </c>
      <c r="GD213" s="39">
        <f t="shared" ref="GD213:GH213" si="3617">GD$1*FK213/1000000</f>
        <v>0</v>
      </c>
      <c r="GE213" s="39">
        <f t="shared" si="3617"/>
        <v>0</v>
      </c>
      <c r="GF213" s="39">
        <f t="shared" si="3617"/>
        <v>0</v>
      </c>
      <c r="GG213" s="39">
        <f t="shared" si="3617"/>
        <v>0</v>
      </c>
      <c r="GH213" s="39">
        <f t="shared" si="3617"/>
        <v>0</v>
      </c>
      <c r="GI213" s="39">
        <f t="shared" ref="GI213:GJ213" si="3618">GI$1*FP213</f>
        <v>0</v>
      </c>
      <c r="GJ213" s="39">
        <f t="shared" si="3618"/>
        <v>0</v>
      </c>
      <c r="GK213" s="2"/>
      <c r="GL213" s="39">
        <f t="shared" si="31"/>
        <v>0</v>
      </c>
      <c r="GM213" s="39">
        <f t="shared" si="32"/>
        <v>0</v>
      </c>
      <c r="GN213" s="2" t="s">
        <v>3</v>
      </c>
      <c r="GO213" s="2">
        <f t="shared" si="33"/>
        <v>97</v>
      </c>
      <c r="GP213" s="4">
        <f t="shared" si="34"/>
        <v>1.78</v>
      </c>
      <c r="GQ213" s="18">
        <f t="shared" si="35"/>
        <v>1726.6</v>
      </c>
      <c r="GR213" s="15">
        <f t="shared" si="36"/>
        <v>22642.632399999999</v>
      </c>
      <c r="GS213" s="15">
        <f t="shared" si="37"/>
        <v>233.42919999999998</v>
      </c>
      <c r="GT213" s="2">
        <f t="shared" si="38"/>
        <v>0</v>
      </c>
      <c r="GU213" s="2">
        <f t="shared" si="39"/>
        <v>0</v>
      </c>
      <c r="GV213" s="2">
        <f t="shared" si="40"/>
        <v>1726.6</v>
      </c>
      <c r="GW213" s="2">
        <f t="shared" si="41"/>
        <v>0</v>
      </c>
      <c r="GX213" s="2"/>
      <c r="GY213" s="2"/>
      <c r="GZ213" s="2"/>
      <c r="HA213" s="2"/>
      <c r="HB213" s="2">
        <f t="shared" si="42"/>
        <v>0</v>
      </c>
      <c r="HC213" s="2">
        <f t="shared" si="43"/>
        <v>0</v>
      </c>
      <c r="HD213" s="2" t="s">
        <v>3</v>
      </c>
      <c r="HE213" s="2" t="s">
        <v>37</v>
      </c>
      <c r="HF213" s="2" t="s">
        <v>235</v>
      </c>
      <c r="HG213" s="2" t="s">
        <v>235</v>
      </c>
      <c r="HH213" s="2"/>
      <c r="HI213" s="2" t="s">
        <v>81</v>
      </c>
      <c r="HJ213" s="2" t="s">
        <v>3</v>
      </c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 t="s">
        <v>3</v>
      </c>
    </row>
    <row r="214" spans="1:268" ht="15.75" customHeight="1" x14ac:dyDescent="0.2">
      <c r="A214" s="13" t="s">
        <v>1200</v>
      </c>
      <c r="B214" s="2" t="s">
        <v>99</v>
      </c>
      <c r="C214" s="2"/>
      <c r="D214" s="2"/>
      <c r="E214" s="2" t="s">
        <v>78</v>
      </c>
      <c r="F214" s="2" t="s">
        <v>79</v>
      </c>
      <c r="G214" s="2"/>
      <c r="H214" s="2" t="s">
        <v>242</v>
      </c>
      <c r="I214" s="2">
        <v>0</v>
      </c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>
        <v>0</v>
      </c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>
        <v>162</v>
      </c>
      <c r="AZ214" s="2"/>
      <c r="BA214" s="2"/>
      <c r="BB214" s="2"/>
      <c r="BC214" s="2"/>
      <c r="BD214" s="2"/>
      <c r="BE214" s="2"/>
      <c r="BF214" s="2"/>
      <c r="BG214" s="2">
        <v>1.62</v>
      </c>
      <c r="BH214" s="2">
        <v>0.08</v>
      </c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>
        <v>0</v>
      </c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>
        <v>0</v>
      </c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 t="s">
        <v>81</v>
      </c>
      <c r="DK214" s="2" t="s">
        <v>81</v>
      </c>
      <c r="DL214" s="2">
        <f t="shared" si="3"/>
        <v>1.6199999999999999</v>
      </c>
      <c r="DM214" s="2">
        <f t="shared" si="4"/>
        <v>0.08</v>
      </c>
      <c r="DN214" s="2" t="s">
        <v>1201</v>
      </c>
      <c r="DO214" s="2" t="s">
        <v>3</v>
      </c>
      <c r="DP214" s="2">
        <f t="shared" si="5"/>
        <v>0</v>
      </c>
      <c r="DQ214" s="2">
        <f t="shared" ref="DQ214:DR214" si="3619">K214*$I214+AF214*$AD214+BA214*$AY214</f>
        <v>0</v>
      </c>
      <c r="DR214" s="2">
        <f t="shared" si="3619"/>
        <v>0</v>
      </c>
      <c r="DS214" s="2">
        <f t="shared" ref="DS214:DX214" si="3620">(M214*$I214+AH214*$AD214+BC214*$AY214)/100</f>
        <v>0</v>
      </c>
      <c r="DT214" s="2">
        <f t="shared" si="3620"/>
        <v>0</v>
      </c>
      <c r="DU214" s="2">
        <f t="shared" si="3620"/>
        <v>0</v>
      </c>
      <c r="DV214" s="2">
        <f t="shared" si="3620"/>
        <v>0</v>
      </c>
      <c r="DW214" s="2">
        <f t="shared" si="3620"/>
        <v>2.6244000000000001</v>
      </c>
      <c r="DX214" s="2">
        <f t="shared" si="3620"/>
        <v>0.12960000000000002</v>
      </c>
      <c r="DY214" s="2">
        <f t="shared" ref="DY214:EC214" si="3621">S214*$I214+AN214*$AD214+BI214*$AY214</f>
        <v>0</v>
      </c>
      <c r="DZ214" s="2">
        <f t="shared" si="3621"/>
        <v>0</v>
      </c>
      <c r="EA214" s="2">
        <f t="shared" si="3621"/>
        <v>0</v>
      </c>
      <c r="EB214" s="2">
        <f t="shared" si="3621"/>
        <v>0</v>
      </c>
      <c r="EC214" s="2">
        <f t="shared" si="3621"/>
        <v>0</v>
      </c>
      <c r="ED214" s="2">
        <f t="shared" ref="ED214:EE214" si="3622">(X214*$I214+AS214*$AD214+BN214*$AY214)/100</f>
        <v>0</v>
      </c>
      <c r="EE214" s="2">
        <f t="shared" si="3622"/>
        <v>0</v>
      </c>
      <c r="EF214" s="2"/>
      <c r="EG214" s="2">
        <f t="shared" si="10"/>
        <v>0</v>
      </c>
      <c r="EH214" s="2">
        <f t="shared" si="11"/>
        <v>0</v>
      </c>
      <c r="EI214" s="39">
        <f t="shared" si="12"/>
        <v>0</v>
      </c>
      <c r="EJ214" s="39">
        <f t="shared" ref="EJ214:EK214" si="3623">EJ$1*DQ214/1000000</f>
        <v>0</v>
      </c>
      <c r="EK214" s="39">
        <f t="shared" si="3623"/>
        <v>0</v>
      </c>
      <c r="EL214" s="39">
        <f t="shared" ref="EL214:EQ214" si="3624">EL$1*DS214</f>
        <v>0</v>
      </c>
      <c r="EM214" s="39">
        <f t="shared" si="3624"/>
        <v>0</v>
      </c>
      <c r="EN214" s="39">
        <f t="shared" si="3624"/>
        <v>0</v>
      </c>
      <c r="EO214" s="39">
        <f t="shared" si="3624"/>
        <v>0</v>
      </c>
      <c r="EP214" s="39">
        <f t="shared" si="3624"/>
        <v>34416.381600000001</v>
      </c>
      <c r="EQ214" s="39">
        <f t="shared" si="3624"/>
        <v>9411.4903104000005</v>
      </c>
      <c r="ER214" s="39">
        <f t="shared" ref="ER214:EV214" si="3625">ER$1*DY214/1000000</f>
        <v>0</v>
      </c>
      <c r="ES214" s="39">
        <f t="shared" si="3625"/>
        <v>0</v>
      </c>
      <c r="ET214" s="39">
        <f t="shared" si="3625"/>
        <v>0</v>
      </c>
      <c r="EU214" s="39">
        <f t="shared" si="3625"/>
        <v>0</v>
      </c>
      <c r="EV214" s="39">
        <f t="shared" si="3625"/>
        <v>0</v>
      </c>
      <c r="EW214" s="39">
        <f t="shared" ref="EW214:EX214" si="3626">EW$1*ED214</f>
        <v>0</v>
      </c>
      <c r="EX214" s="39">
        <f t="shared" si="3626"/>
        <v>0</v>
      </c>
      <c r="EY214" s="2"/>
      <c r="EZ214" s="39">
        <f t="shared" si="17"/>
        <v>0</v>
      </c>
      <c r="FA214" s="39">
        <f t="shared" si="18"/>
        <v>0</v>
      </c>
      <c r="FB214" s="2">
        <f t="shared" si="19"/>
        <v>0</v>
      </c>
      <c r="FC214" s="2">
        <f t="shared" ref="FC214:FD214" si="3627">BV214*$BT214+CQ214*$CO214</f>
        <v>0</v>
      </c>
      <c r="FD214" s="2">
        <f t="shared" si="3627"/>
        <v>0</v>
      </c>
      <c r="FE214" s="2">
        <f t="shared" ref="FE214:FJ214" si="3628">(BX214*$BT214+CS214*$CO214)/100</f>
        <v>0</v>
      </c>
      <c r="FF214" s="2">
        <f t="shared" si="3628"/>
        <v>0</v>
      </c>
      <c r="FG214" s="2">
        <f t="shared" si="3628"/>
        <v>0</v>
      </c>
      <c r="FH214" s="2">
        <f t="shared" si="3628"/>
        <v>0</v>
      </c>
      <c r="FI214" s="2">
        <f t="shared" si="3628"/>
        <v>0</v>
      </c>
      <c r="FJ214" s="2">
        <f t="shared" si="3628"/>
        <v>0</v>
      </c>
      <c r="FK214" s="2">
        <f t="shared" ref="FK214:FO214" si="3629">CD214*$BT214+CY214*$CO214</f>
        <v>0</v>
      </c>
      <c r="FL214" s="2">
        <f t="shared" si="3629"/>
        <v>0</v>
      </c>
      <c r="FM214" s="2">
        <f t="shared" si="3629"/>
        <v>0</v>
      </c>
      <c r="FN214" s="2">
        <f t="shared" si="3629"/>
        <v>0</v>
      </c>
      <c r="FO214" s="2">
        <f t="shared" si="3629"/>
        <v>0</v>
      </c>
      <c r="FP214" s="2">
        <f t="shared" ref="FP214:FQ214" si="3630">(CI214*$BT214+DD214*$CO214)/100</f>
        <v>0</v>
      </c>
      <c r="FQ214" s="2">
        <f t="shared" si="3630"/>
        <v>0</v>
      </c>
      <c r="FR214" s="2"/>
      <c r="FS214" s="2">
        <f t="shared" si="24"/>
        <v>0</v>
      </c>
      <c r="FT214" s="2">
        <f t="shared" si="25"/>
        <v>0</v>
      </c>
      <c r="FU214" s="39">
        <f t="shared" si="26"/>
        <v>0</v>
      </c>
      <c r="FV214" s="39">
        <f t="shared" ref="FV214:FW214" si="3631">FV$1*FC214/1000000</f>
        <v>0</v>
      </c>
      <c r="FW214" s="39">
        <f t="shared" si="3631"/>
        <v>0</v>
      </c>
      <c r="FX214" s="39">
        <f t="shared" ref="FX214:GC214" si="3632">FX$1*FE214</f>
        <v>0</v>
      </c>
      <c r="FY214" s="39">
        <f t="shared" si="3632"/>
        <v>0</v>
      </c>
      <c r="FZ214" s="39">
        <f t="shared" si="3632"/>
        <v>0</v>
      </c>
      <c r="GA214" s="39">
        <f t="shared" si="3632"/>
        <v>0</v>
      </c>
      <c r="GB214" s="39">
        <f t="shared" si="3632"/>
        <v>0</v>
      </c>
      <c r="GC214" s="39">
        <f t="shared" si="3632"/>
        <v>0</v>
      </c>
      <c r="GD214" s="39">
        <f t="shared" ref="GD214:GH214" si="3633">GD$1*FK214/1000000</f>
        <v>0</v>
      </c>
      <c r="GE214" s="39">
        <f t="shared" si="3633"/>
        <v>0</v>
      </c>
      <c r="GF214" s="39">
        <f t="shared" si="3633"/>
        <v>0</v>
      </c>
      <c r="GG214" s="39">
        <f t="shared" si="3633"/>
        <v>0</v>
      </c>
      <c r="GH214" s="39">
        <f t="shared" si="3633"/>
        <v>0</v>
      </c>
      <c r="GI214" s="39">
        <f t="shared" ref="GI214:GJ214" si="3634">GI$1*FP214</f>
        <v>0</v>
      </c>
      <c r="GJ214" s="39">
        <f t="shared" si="3634"/>
        <v>0</v>
      </c>
      <c r="GK214" s="2"/>
      <c r="GL214" s="39">
        <f t="shared" si="31"/>
        <v>0</v>
      </c>
      <c r="GM214" s="39">
        <f t="shared" si="32"/>
        <v>0</v>
      </c>
      <c r="GN214" s="2" t="s">
        <v>3</v>
      </c>
      <c r="GO214" s="2">
        <f t="shared" si="33"/>
        <v>162</v>
      </c>
      <c r="GP214" s="4">
        <f t="shared" si="34"/>
        <v>1.6199999999999999</v>
      </c>
      <c r="GQ214" s="18">
        <f t="shared" si="35"/>
        <v>2624.4</v>
      </c>
      <c r="GR214" s="15">
        <f t="shared" si="36"/>
        <v>43827.871910400005</v>
      </c>
      <c r="GS214" s="15">
        <f t="shared" si="37"/>
        <v>270.54241920000004</v>
      </c>
      <c r="GT214" s="2">
        <f t="shared" si="38"/>
        <v>0</v>
      </c>
      <c r="GU214" s="2">
        <f t="shared" si="39"/>
        <v>0</v>
      </c>
      <c r="GV214" s="2">
        <f t="shared" si="40"/>
        <v>2624.4</v>
      </c>
      <c r="GW214" s="2">
        <f t="shared" si="41"/>
        <v>0</v>
      </c>
      <c r="GX214" s="2"/>
      <c r="GY214" s="2"/>
      <c r="GZ214" s="2"/>
      <c r="HA214" s="2"/>
      <c r="HB214" s="2">
        <f t="shared" si="42"/>
        <v>0</v>
      </c>
      <c r="HC214" s="2">
        <f t="shared" si="43"/>
        <v>0</v>
      </c>
      <c r="HD214" s="2" t="s">
        <v>3</v>
      </c>
      <c r="HE214" s="2" t="s">
        <v>37</v>
      </c>
      <c r="HF214" s="2" t="s">
        <v>235</v>
      </c>
      <c r="HG214" s="2" t="s">
        <v>235</v>
      </c>
      <c r="HH214" s="2"/>
      <c r="HI214" s="2" t="s">
        <v>81</v>
      </c>
      <c r="HJ214" s="2" t="s">
        <v>3</v>
      </c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 t="s">
        <v>3</v>
      </c>
    </row>
    <row r="215" spans="1:268" ht="15.75" customHeight="1" x14ac:dyDescent="0.2">
      <c r="A215" s="13" t="s">
        <v>148</v>
      </c>
      <c r="B215" s="2" t="s">
        <v>109</v>
      </c>
      <c r="C215" s="2"/>
      <c r="D215" s="2"/>
      <c r="E215" s="2"/>
      <c r="F215" s="2" t="s">
        <v>149</v>
      </c>
      <c r="G215" s="2"/>
      <c r="H215" s="2"/>
      <c r="I215" s="2">
        <f>49.9+4.6</f>
        <v>54.5</v>
      </c>
      <c r="J215" s="2"/>
      <c r="K215" s="2"/>
      <c r="L215" s="2"/>
      <c r="M215" s="2"/>
      <c r="N215" s="2"/>
      <c r="O215" s="2"/>
      <c r="P215" s="2"/>
      <c r="Q215" s="4">
        <f>(0.94*49.9+1.05*4.6)/I215</f>
        <v>0.94928440366972466</v>
      </c>
      <c r="R215" s="4">
        <f>(0.08*49.9+0.08*4.6)/I215</f>
        <v>0.08</v>
      </c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>
        <f>102.6+19.2</f>
        <v>121.8</v>
      </c>
      <c r="AE215" s="2"/>
      <c r="AF215" s="2"/>
      <c r="AG215" s="2"/>
      <c r="AH215" s="2"/>
      <c r="AI215" s="2"/>
      <c r="AJ215" s="2"/>
      <c r="AK215" s="2"/>
      <c r="AL215" s="4">
        <f>(0.93*102.6+0.84*19.2)/AD215</f>
        <v>0.91581280788177344</v>
      </c>
      <c r="AM215" s="4">
        <f>(0.08*102.6+0.07*19.2)/AD215</f>
        <v>7.842364532019705E-2</v>
      </c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>
        <v>52.5</v>
      </c>
      <c r="AZ215" s="2"/>
      <c r="BA215" s="2"/>
      <c r="BB215" s="2"/>
      <c r="BC215" s="2"/>
      <c r="BD215" s="2"/>
      <c r="BE215" s="2"/>
      <c r="BF215" s="2"/>
      <c r="BG215" s="2">
        <v>0.84</v>
      </c>
      <c r="BH215" s="2">
        <v>0.08</v>
      </c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>
        <v>49.9</v>
      </c>
      <c r="BU215" s="2"/>
      <c r="BV215" s="2"/>
      <c r="BW215" s="2"/>
      <c r="BX215" s="2"/>
      <c r="BY215" s="2"/>
      <c r="BZ215" s="2"/>
      <c r="CA215" s="2"/>
      <c r="CB215" s="2">
        <v>0.94</v>
      </c>
      <c r="CC215" s="2">
        <v>0.08</v>
      </c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>
        <v>102.6</v>
      </c>
      <c r="CP215" s="2"/>
      <c r="CQ215" s="2"/>
      <c r="CR215" s="2"/>
      <c r="CS215" s="2"/>
      <c r="CT215" s="2"/>
      <c r="CU215" s="2"/>
      <c r="CV215" s="2"/>
      <c r="CW215" s="2">
        <v>0.93</v>
      </c>
      <c r="CX215" s="2">
        <v>0.08</v>
      </c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 t="s">
        <v>81</v>
      </c>
      <c r="DK215" s="2" t="s">
        <v>81</v>
      </c>
      <c r="DL215" s="2">
        <f t="shared" si="3"/>
        <v>0.90638986013986012</v>
      </c>
      <c r="DM215" s="2">
        <f t="shared" si="4"/>
        <v>7.9160839160839144E-2</v>
      </c>
      <c r="DN215" s="2" t="s">
        <v>150</v>
      </c>
      <c r="DO215" s="2" t="s">
        <v>3</v>
      </c>
      <c r="DP215" s="2">
        <f t="shared" si="5"/>
        <v>0</v>
      </c>
      <c r="DQ215" s="2">
        <f t="shared" ref="DQ215:DR215" si="3635">K215*$I215+AF215*$AD215+BA215*$AY215</f>
        <v>0</v>
      </c>
      <c r="DR215" s="2">
        <f t="shared" si="3635"/>
        <v>0</v>
      </c>
      <c r="DS215" s="2">
        <f t="shared" ref="DS215:DX215" si="3636">(M215*$I215+AH215*$AD215+BC215*$AY215)/100</f>
        <v>0</v>
      </c>
      <c r="DT215" s="2">
        <f t="shared" si="3636"/>
        <v>0</v>
      </c>
      <c r="DU215" s="2">
        <f t="shared" si="3636"/>
        <v>0</v>
      </c>
      <c r="DV215" s="2">
        <f t="shared" si="3636"/>
        <v>0</v>
      </c>
      <c r="DW215" s="2">
        <f t="shared" si="3636"/>
        <v>2.07382</v>
      </c>
      <c r="DX215" s="2">
        <f t="shared" si="3636"/>
        <v>0.18111999999999998</v>
      </c>
      <c r="DY215" s="2">
        <f t="shared" ref="DY215:EC215" si="3637">S215*$I215+AN215*$AD215+BI215*$AY215</f>
        <v>0</v>
      </c>
      <c r="DZ215" s="2">
        <f t="shared" si="3637"/>
        <v>0</v>
      </c>
      <c r="EA215" s="2">
        <f t="shared" si="3637"/>
        <v>0</v>
      </c>
      <c r="EB215" s="2">
        <f t="shared" si="3637"/>
        <v>0</v>
      </c>
      <c r="EC215" s="2">
        <f t="shared" si="3637"/>
        <v>0</v>
      </c>
      <c r="ED215" s="2">
        <f t="shared" ref="ED215:EE215" si="3638">(X215*$I215+AS215*$AD215+BN215*$AY215)/100</f>
        <v>0</v>
      </c>
      <c r="EE215" s="2">
        <f t="shared" si="3638"/>
        <v>0</v>
      </c>
      <c r="EF215" s="2"/>
      <c r="EG215" s="2">
        <f t="shared" si="10"/>
        <v>0</v>
      </c>
      <c r="EH215" s="2">
        <f t="shared" si="11"/>
        <v>0</v>
      </c>
      <c r="EI215" s="39">
        <f t="shared" si="12"/>
        <v>0</v>
      </c>
      <c r="EJ215" s="39">
        <f t="shared" ref="EJ215:EK215" si="3639">EJ$1*DQ215/1000000</f>
        <v>0</v>
      </c>
      <c r="EK215" s="39">
        <f t="shared" si="3639"/>
        <v>0</v>
      </c>
      <c r="EL215" s="39">
        <f t="shared" ref="EL215:EQ215" si="3640">EL$1*DS215</f>
        <v>0</v>
      </c>
      <c r="EM215" s="39">
        <f t="shared" si="3640"/>
        <v>0</v>
      </c>
      <c r="EN215" s="39">
        <f t="shared" si="3640"/>
        <v>0</v>
      </c>
      <c r="EO215" s="39">
        <f t="shared" si="3640"/>
        <v>0</v>
      </c>
      <c r="EP215" s="39">
        <f t="shared" si="3640"/>
        <v>27196.07548</v>
      </c>
      <c r="EQ215" s="39">
        <f t="shared" si="3640"/>
        <v>13152.848186879997</v>
      </c>
      <c r="ER215" s="39">
        <f t="shared" ref="ER215:EV215" si="3641">ER$1*DY215/1000000</f>
        <v>0</v>
      </c>
      <c r="ES215" s="39">
        <f t="shared" si="3641"/>
        <v>0</v>
      </c>
      <c r="ET215" s="39">
        <f t="shared" si="3641"/>
        <v>0</v>
      </c>
      <c r="EU215" s="39">
        <f t="shared" si="3641"/>
        <v>0</v>
      </c>
      <c r="EV215" s="39">
        <f t="shared" si="3641"/>
        <v>0</v>
      </c>
      <c r="EW215" s="39">
        <f t="shared" ref="EW215:EX215" si="3642">EW$1*ED215</f>
        <v>0</v>
      </c>
      <c r="EX215" s="39">
        <f t="shared" si="3642"/>
        <v>0</v>
      </c>
      <c r="EY215" s="2"/>
      <c r="EZ215" s="39">
        <f t="shared" si="17"/>
        <v>0</v>
      </c>
      <c r="FA215" s="39">
        <f t="shared" si="18"/>
        <v>0</v>
      </c>
      <c r="FB215" s="2">
        <f t="shared" si="19"/>
        <v>0</v>
      </c>
      <c r="FC215" s="2">
        <f t="shared" ref="FC215:FD215" si="3643">BV215*$BT215+CQ215*$CO215</f>
        <v>0</v>
      </c>
      <c r="FD215" s="2">
        <f t="shared" si="3643"/>
        <v>0</v>
      </c>
      <c r="FE215" s="2">
        <f t="shared" ref="FE215:FJ215" si="3644">(BX215*$BT215+CS215*$CO215)/100</f>
        <v>0</v>
      </c>
      <c r="FF215" s="2">
        <f t="shared" si="3644"/>
        <v>0</v>
      </c>
      <c r="FG215" s="2">
        <f t="shared" si="3644"/>
        <v>0</v>
      </c>
      <c r="FH215" s="2">
        <f t="shared" si="3644"/>
        <v>0</v>
      </c>
      <c r="FI215" s="2">
        <f t="shared" si="3644"/>
        <v>1.4232400000000001</v>
      </c>
      <c r="FJ215" s="2">
        <f t="shared" si="3644"/>
        <v>0.122</v>
      </c>
      <c r="FK215" s="2">
        <f t="shared" ref="FK215:FO215" si="3645">CD215*$BT215+CY215*$CO215</f>
        <v>0</v>
      </c>
      <c r="FL215" s="2">
        <f t="shared" si="3645"/>
        <v>0</v>
      </c>
      <c r="FM215" s="2">
        <f t="shared" si="3645"/>
        <v>0</v>
      </c>
      <c r="FN215" s="2">
        <f t="shared" si="3645"/>
        <v>0</v>
      </c>
      <c r="FO215" s="2">
        <f t="shared" si="3645"/>
        <v>0</v>
      </c>
      <c r="FP215" s="2">
        <f t="shared" ref="FP215:FQ215" si="3646">(CI215*$BT215+DD215*$CO215)/100</f>
        <v>0</v>
      </c>
      <c r="FQ215" s="2">
        <f t="shared" si="3646"/>
        <v>0</v>
      </c>
      <c r="FR215" s="2"/>
      <c r="FS215" s="2">
        <f t="shared" si="24"/>
        <v>0</v>
      </c>
      <c r="FT215" s="2">
        <f t="shared" si="25"/>
        <v>0</v>
      </c>
      <c r="FU215" s="39">
        <f t="shared" si="26"/>
        <v>0</v>
      </c>
      <c r="FV215" s="39">
        <f t="shared" ref="FV215:FW215" si="3647">FV$1*FC215/1000000</f>
        <v>0</v>
      </c>
      <c r="FW215" s="39">
        <f t="shared" si="3647"/>
        <v>0</v>
      </c>
      <c r="FX215" s="39">
        <f t="shared" ref="FX215:GC215" si="3648">FX$1*FE215</f>
        <v>0</v>
      </c>
      <c r="FY215" s="39">
        <f t="shared" si="3648"/>
        <v>0</v>
      </c>
      <c r="FZ215" s="39">
        <f t="shared" si="3648"/>
        <v>0</v>
      </c>
      <c r="GA215" s="39">
        <f t="shared" si="3648"/>
        <v>0</v>
      </c>
      <c r="GB215" s="39">
        <f t="shared" si="3648"/>
        <v>18664.369360000001</v>
      </c>
      <c r="GC215" s="39">
        <f t="shared" si="3648"/>
        <v>8859.5819279999978</v>
      </c>
      <c r="GD215" s="39">
        <f t="shared" ref="GD215:GH215" si="3649">GD$1*FK215/1000000</f>
        <v>0</v>
      </c>
      <c r="GE215" s="39">
        <f t="shared" si="3649"/>
        <v>0</v>
      </c>
      <c r="GF215" s="39">
        <f t="shared" si="3649"/>
        <v>0</v>
      </c>
      <c r="GG215" s="39">
        <f t="shared" si="3649"/>
        <v>0</v>
      </c>
      <c r="GH215" s="39">
        <f t="shared" si="3649"/>
        <v>0</v>
      </c>
      <c r="GI215" s="39">
        <f t="shared" ref="GI215:GJ215" si="3650">GI$1*FP215</f>
        <v>0</v>
      </c>
      <c r="GJ215" s="39">
        <f t="shared" si="3650"/>
        <v>0</v>
      </c>
      <c r="GK215" s="2"/>
      <c r="GL215" s="39">
        <f t="shared" si="31"/>
        <v>0</v>
      </c>
      <c r="GM215" s="39">
        <f t="shared" si="32"/>
        <v>0</v>
      </c>
      <c r="GN215" s="2" t="s">
        <v>3</v>
      </c>
      <c r="GO215" s="2">
        <f t="shared" si="33"/>
        <v>228.8</v>
      </c>
      <c r="GP215" s="4">
        <f t="shared" si="34"/>
        <v>0.90638986013986012</v>
      </c>
      <c r="GQ215" s="18">
        <f t="shared" si="35"/>
        <v>2073.8200000000002</v>
      </c>
      <c r="GR215" s="15">
        <f t="shared" si="36"/>
        <v>40348.92366688</v>
      </c>
      <c r="GS215" s="15">
        <f t="shared" si="37"/>
        <v>176.35019085174824</v>
      </c>
      <c r="GT215" s="2">
        <f t="shared" si="38"/>
        <v>517.36</v>
      </c>
      <c r="GU215" s="2">
        <f t="shared" si="39"/>
        <v>1115.46</v>
      </c>
      <c r="GV215" s="2">
        <f t="shared" si="40"/>
        <v>441</v>
      </c>
      <c r="GW215" s="2">
        <f t="shared" si="41"/>
        <v>152.5</v>
      </c>
      <c r="GX215" s="4">
        <f>(BT215*CB215+CO215*CW215)/GW215</f>
        <v>0.93327213114754104</v>
      </c>
      <c r="GY215" s="18">
        <f>1000*GW215*GX215/100</f>
        <v>1423.24</v>
      </c>
      <c r="GZ215" s="15">
        <f>SUM(FU215:GM215)</f>
        <v>27523.951287999997</v>
      </c>
      <c r="HA215" s="15">
        <f>GZ215/GW215</f>
        <v>180.48492647868849</v>
      </c>
      <c r="HB215" s="2">
        <f t="shared" si="42"/>
        <v>469.06</v>
      </c>
      <c r="HC215" s="2">
        <f t="shared" si="43"/>
        <v>954.18</v>
      </c>
      <c r="HD215" s="2" t="s">
        <v>3</v>
      </c>
      <c r="HE215" s="2" t="s">
        <v>37</v>
      </c>
      <c r="HF215" s="2" t="s">
        <v>151</v>
      </c>
      <c r="HG215" s="2" t="s">
        <v>151</v>
      </c>
      <c r="HH215" s="2"/>
      <c r="HI215" s="2" t="s">
        <v>81</v>
      </c>
      <c r="HJ215" s="2" t="s">
        <v>3</v>
      </c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 t="s">
        <v>3</v>
      </c>
    </row>
    <row r="216" spans="1:268" ht="15.75" customHeight="1" x14ac:dyDescent="0.2">
      <c r="A216" s="13" t="s">
        <v>505</v>
      </c>
      <c r="B216" s="2" t="s">
        <v>109</v>
      </c>
      <c r="C216" s="2"/>
      <c r="D216" s="2"/>
      <c r="E216" s="2" t="s">
        <v>78</v>
      </c>
      <c r="F216" s="2" t="s">
        <v>200</v>
      </c>
      <c r="G216" s="2"/>
      <c r="H216" s="2" t="s">
        <v>80</v>
      </c>
      <c r="I216" s="2">
        <v>0</v>
      </c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>
        <v>0</v>
      </c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15">
        <f>122.3-2.561-2.919-3.03-2.62</f>
        <v>111.17</v>
      </c>
      <c r="AZ216" s="2"/>
      <c r="BA216" s="2"/>
      <c r="BB216" s="2"/>
      <c r="BC216" s="2"/>
      <c r="BD216" s="2"/>
      <c r="BE216" s="2"/>
      <c r="BF216" s="2"/>
      <c r="BG216" s="4">
        <f>(1.42*122.3-1.41*2.561-1.53*2.919-1.47*3.03-1.46*2.62)/AY216</f>
        <v>1.4150366105963839</v>
      </c>
      <c r="BH216" s="2">
        <v>0.11</v>
      </c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>
        <v>0</v>
      </c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>
        <v>0</v>
      </c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 t="s">
        <v>81</v>
      </c>
      <c r="DK216" s="2" t="s">
        <v>81</v>
      </c>
      <c r="DL216" s="2">
        <f t="shared" si="3"/>
        <v>1.4150366105963839</v>
      </c>
      <c r="DM216" s="2">
        <f t="shared" si="4"/>
        <v>0.11</v>
      </c>
      <c r="DN216" s="2" t="s">
        <v>506</v>
      </c>
      <c r="DO216" s="2" t="s">
        <v>3</v>
      </c>
      <c r="DP216" s="2">
        <f t="shared" si="5"/>
        <v>0</v>
      </c>
      <c r="DQ216" s="2">
        <f t="shared" ref="DQ216:DR216" si="3651">K216*$I216+AF216*$AD216+BA216*$AY216</f>
        <v>0</v>
      </c>
      <c r="DR216" s="2">
        <f t="shared" si="3651"/>
        <v>0</v>
      </c>
      <c r="DS216" s="2">
        <f t="shared" ref="DS216:DX216" si="3652">(M216*$I216+AH216*$AD216+BC216*$AY216)/100</f>
        <v>0</v>
      </c>
      <c r="DT216" s="2">
        <f t="shared" si="3652"/>
        <v>0</v>
      </c>
      <c r="DU216" s="2">
        <f t="shared" si="3652"/>
        <v>0</v>
      </c>
      <c r="DV216" s="2">
        <f t="shared" si="3652"/>
        <v>0</v>
      </c>
      <c r="DW216" s="2">
        <f t="shared" si="3652"/>
        <v>1.5730961999999999</v>
      </c>
      <c r="DX216" s="2">
        <f t="shared" si="3652"/>
        <v>0.12228699999999999</v>
      </c>
      <c r="DY216" s="2">
        <f t="shared" ref="DY216:EC216" si="3653">S216*$I216+AN216*$AD216+BI216*$AY216</f>
        <v>0</v>
      </c>
      <c r="DZ216" s="2">
        <f t="shared" si="3653"/>
        <v>0</v>
      </c>
      <c r="EA216" s="2">
        <f t="shared" si="3653"/>
        <v>0</v>
      </c>
      <c r="EB216" s="2">
        <f t="shared" si="3653"/>
        <v>0</v>
      </c>
      <c r="EC216" s="2">
        <f t="shared" si="3653"/>
        <v>0</v>
      </c>
      <c r="ED216" s="2">
        <f t="shared" ref="ED216:EE216" si="3654">(X216*$I216+AS216*$AD216+BN216*$AY216)/100</f>
        <v>0</v>
      </c>
      <c r="EE216" s="2">
        <f t="shared" si="3654"/>
        <v>0</v>
      </c>
      <c r="EF216" s="2"/>
      <c r="EG216" s="2">
        <f t="shared" si="10"/>
        <v>0</v>
      </c>
      <c r="EH216" s="2">
        <f t="shared" si="11"/>
        <v>0</v>
      </c>
      <c r="EI216" s="39">
        <f t="shared" si="12"/>
        <v>0</v>
      </c>
      <c r="EJ216" s="39">
        <f t="shared" ref="EJ216:EK216" si="3655">EJ$1*DQ216/1000000</f>
        <v>0</v>
      </c>
      <c r="EK216" s="39">
        <f t="shared" si="3655"/>
        <v>0</v>
      </c>
      <c r="EL216" s="39">
        <f t="shared" ref="EL216:EQ216" si="3656">EL$1*DS216</f>
        <v>0</v>
      </c>
      <c r="EM216" s="39">
        <f t="shared" si="3656"/>
        <v>0</v>
      </c>
      <c r="EN216" s="39">
        <f t="shared" si="3656"/>
        <v>0</v>
      </c>
      <c r="EO216" s="39">
        <f t="shared" si="3656"/>
        <v>0</v>
      </c>
      <c r="EP216" s="39">
        <f t="shared" si="3656"/>
        <v>20629.5835668</v>
      </c>
      <c r="EQ216" s="39">
        <f t="shared" si="3656"/>
        <v>8880.4237313879985</v>
      </c>
      <c r="ER216" s="39">
        <f t="shared" ref="ER216:EV216" si="3657">ER$1*DY216/1000000</f>
        <v>0</v>
      </c>
      <c r="ES216" s="39">
        <f t="shared" si="3657"/>
        <v>0</v>
      </c>
      <c r="ET216" s="39">
        <f t="shared" si="3657"/>
        <v>0</v>
      </c>
      <c r="EU216" s="39">
        <f t="shared" si="3657"/>
        <v>0</v>
      </c>
      <c r="EV216" s="39">
        <f t="shared" si="3657"/>
        <v>0</v>
      </c>
      <c r="EW216" s="39">
        <f t="shared" ref="EW216:EX216" si="3658">EW$1*ED216</f>
        <v>0</v>
      </c>
      <c r="EX216" s="39">
        <f t="shared" si="3658"/>
        <v>0</v>
      </c>
      <c r="EY216" s="2"/>
      <c r="EZ216" s="39">
        <f t="shared" si="17"/>
        <v>0</v>
      </c>
      <c r="FA216" s="39">
        <f t="shared" si="18"/>
        <v>0</v>
      </c>
      <c r="FB216" s="2">
        <f t="shared" si="19"/>
        <v>0</v>
      </c>
      <c r="FC216" s="2">
        <f t="shared" ref="FC216:FD216" si="3659">BV216*$BT216+CQ216*$CO216</f>
        <v>0</v>
      </c>
      <c r="FD216" s="2">
        <f t="shared" si="3659"/>
        <v>0</v>
      </c>
      <c r="FE216" s="2">
        <f t="shared" ref="FE216:FJ216" si="3660">(BX216*$BT216+CS216*$CO216)/100</f>
        <v>0</v>
      </c>
      <c r="FF216" s="2">
        <f t="shared" si="3660"/>
        <v>0</v>
      </c>
      <c r="FG216" s="2">
        <f t="shared" si="3660"/>
        <v>0</v>
      </c>
      <c r="FH216" s="2">
        <f t="shared" si="3660"/>
        <v>0</v>
      </c>
      <c r="FI216" s="2">
        <f t="shared" si="3660"/>
        <v>0</v>
      </c>
      <c r="FJ216" s="2">
        <f t="shared" si="3660"/>
        <v>0</v>
      </c>
      <c r="FK216" s="2">
        <f t="shared" ref="FK216:FO216" si="3661">CD216*$BT216+CY216*$CO216</f>
        <v>0</v>
      </c>
      <c r="FL216" s="2">
        <f t="shared" si="3661"/>
        <v>0</v>
      </c>
      <c r="FM216" s="2">
        <f t="shared" si="3661"/>
        <v>0</v>
      </c>
      <c r="FN216" s="2">
        <f t="shared" si="3661"/>
        <v>0</v>
      </c>
      <c r="FO216" s="2">
        <f t="shared" si="3661"/>
        <v>0</v>
      </c>
      <c r="FP216" s="2">
        <f t="shared" ref="FP216:FQ216" si="3662">(CI216*$BT216+DD216*$CO216)/100</f>
        <v>0</v>
      </c>
      <c r="FQ216" s="2">
        <f t="shared" si="3662"/>
        <v>0</v>
      </c>
      <c r="FR216" s="2"/>
      <c r="FS216" s="2">
        <f t="shared" si="24"/>
        <v>0</v>
      </c>
      <c r="FT216" s="2">
        <f t="shared" si="25"/>
        <v>0</v>
      </c>
      <c r="FU216" s="39">
        <f t="shared" si="26"/>
        <v>0</v>
      </c>
      <c r="FV216" s="39">
        <f t="shared" ref="FV216:FW216" si="3663">FV$1*FC216/1000000</f>
        <v>0</v>
      </c>
      <c r="FW216" s="39">
        <f t="shared" si="3663"/>
        <v>0</v>
      </c>
      <c r="FX216" s="39">
        <f t="shared" ref="FX216:GC216" si="3664">FX$1*FE216</f>
        <v>0</v>
      </c>
      <c r="FY216" s="39">
        <f t="shared" si="3664"/>
        <v>0</v>
      </c>
      <c r="FZ216" s="39">
        <f t="shared" si="3664"/>
        <v>0</v>
      </c>
      <c r="GA216" s="39">
        <f t="shared" si="3664"/>
        <v>0</v>
      </c>
      <c r="GB216" s="39">
        <f t="shared" si="3664"/>
        <v>0</v>
      </c>
      <c r="GC216" s="39">
        <f t="shared" si="3664"/>
        <v>0</v>
      </c>
      <c r="GD216" s="39">
        <f t="shared" ref="GD216:GH216" si="3665">GD$1*FK216/1000000</f>
        <v>0</v>
      </c>
      <c r="GE216" s="39">
        <f t="shared" si="3665"/>
        <v>0</v>
      </c>
      <c r="GF216" s="39">
        <f t="shared" si="3665"/>
        <v>0</v>
      </c>
      <c r="GG216" s="39">
        <f t="shared" si="3665"/>
        <v>0</v>
      </c>
      <c r="GH216" s="39">
        <f t="shared" si="3665"/>
        <v>0</v>
      </c>
      <c r="GI216" s="39">
        <f t="shared" ref="GI216:GJ216" si="3666">GI$1*FP216</f>
        <v>0</v>
      </c>
      <c r="GJ216" s="39">
        <f t="shared" si="3666"/>
        <v>0</v>
      </c>
      <c r="GK216" s="2"/>
      <c r="GL216" s="39">
        <f t="shared" si="31"/>
        <v>0</v>
      </c>
      <c r="GM216" s="39">
        <f t="shared" si="32"/>
        <v>0</v>
      </c>
      <c r="GN216" s="2" t="s">
        <v>3</v>
      </c>
      <c r="GO216" s="15">
        <f t="shared" si="33"/>
        <v>111.17</v>
      </c>
      <c r="GP216" s="4">
        <f t="shared" si="34"/>
        <v>1.4150366105963839</v>
      </c>
      <c r="GQ216" s="18">
        <f t="shared" si="35"/>
        <v>1573.0962</v>
      </c>
      <c r="GR216" s="15">
        <f t="shared" si="36"/>
        <v>29510.007298188</v>
      </c>
      <c r="GS216" s="15">
        <f t="shared" si="37"/>
        <v>265.44937751360976</v>
      </c>
      <c r="GT216" s="2">
        <f t="shared" si="38"/>
        <v>0</v>
      </c>
      <c r="GU216" s="2">
        <f t="shared" si="39"/>
        <v>0</v>
      </c>
      <c r="GV216" s="2">
        <f t="shared" si="40"/>
        <v>1573.0962</v>
      </c>
      <c r="GW216" s="2">
        <f t="shared" si="41"/>
        <v>0</v>
      </c>
      <c r="GX216" s="2"/>
      <c r="GY216" s="2"/>
      <c r="GZ216" s="2"/>
      <c r="HA216" s="2"/>
      <c r="HB216" s="2">
        <f t="shared" si="42"/>
        <v>0</v>
      </c>
      <c r="HC216" s="2">
        <f t="shared" si="43"/>
        <v>0</v>
      </c>
      <c r="HD216" s="2" t="s">
        <v>3</v>
      </c>
      <c r="HE216" s="2" t="s">
        <v>37</v>
      </c>
      <c r="HF216" s="2" t="s">
        <v>151</v>
      </c>
      <c r="HG216" s="2" t="s">
        <v>151</v>
      </c>
      <c r="HH216" s="2"/>
      <c r="HI216" s="2" t="s">
        <v>81</v>
      </c>
      <c r="HJ216" s="2" t="s">
        <v>3</v>
      </c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 t="s">
        <v>3</v>
      </c>
    </row>
    <row r="217" spans="1:268" ht="15.75" customHeight="1" x14ac:dyDescent="0.2">
      <c r="A217" s="13" t="s">
        <v>1209</v>
      </c>
      <c r="B217" s="2" t="s">
        <v>109</v>
      </c>
      <c r="C217" s="2"/>
      <c r="D217" s="2"/>
      <c r="E217" s="2" t="s">
        <v>78</v>
      </c>
      <c r="F217" s="2" t="s">
        <v>1210</v>
      </c>
      <c r="G217" s="2"/>
      <c r="H217" s="2" t="s">
        <v>1052</v>
      </c>
      <c r="I217" s="2">
        <v>0</v>
      </c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15">
        <f>36.969+73.001</f>
        <v>109.97</v>
      </c>
      <c r="AE217" s="2"/>
      <c r="AF217" s="2"/>
      <c r="AG217" s="2"/>
      <c r="AH217" s="2"/>
      <c r="AI217" s="2"/>
      <c r="AJ217" s="2"/>
      <c r="AK217" s="2"/>
      <c r="AL217" s="4">
        <f>(1.65*36.969+1.06*73.001)/AD217</f>
        <v>1.2583423660998454</v>
      </c>
      <c r="AM217" s="2"/>
      <c r="AN217" s="2"/>
      <c r="AO217" s="2"/>
      <c r="AP217" s="2"/>
      <c r="AQ217" s="2"/>
      <c r="AR217" s="2"/>
      <c r="AS217" s="2"/>
      <c r="AT217" s="4">
        <f>(10.18*36.969+45.7*73.001)/AD217</f>
        <v>33.759117213785579</v>
      </c>
      <c r="AU217" s="2"/>
      <c r="AV217" s="2"/>
      <c r="AW217" s="2"/>
      <c r="AX217" s="4">
        <f>100*((53.03+108.933)-(36.969+73.001))/(53.03+108.933)</f>
        <v>32.101776331631307</v>
      </c>
      <c r="AY217" s="4">
        <v>2.4950000000000001</v>
      </c>
      <c r="AZ217" s="2"/>
      <c r="BA217" s="2"/>
      <c r="BB217" s="2"/>
      <c r="BC217" s="2"/>
      <c r="BD217" s="2"/>
      <c r="BE217" s="2"/>
      <c r="BF217" s="2"/>
      <c r="BG217" s="2">
        <v>1.56</v>
      </c>
      <c r="BH217" s="2"/>
      <c r="BI217" s="2"/>
      <c r="BJ217" s="2"/>
      <c r="BK217" s="2"/>
      <c r="BL217" s="2"/>
      <c r="BM217" s="2"/>
      <c r="BN217" s="2"/>
      <c r="BO217" s="2">
        <v>11.88</v>
      </c>
      <c r="BP217" s="2"/>
      <c r="BQ217" s="2"/>
      <c r="BR217" s="2"/>
      <c r="BS217" s="4">
        <f>100*(3.607-2.495)/3.607</f>
        <v>30.828943720543389</v>
      </c>
      <c r="BT217" s="2">
        <v>0</v>
      </c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15">
        <f>36.969+73.001</f>
        <v>109.97</v>
      </c>
      <c r="CP217" s="2"/>
      <c r="CQ217" s="2"/>
      <c r="CR217" s="2"/>
      <c r="CS217" s="2"/>
      <c r="CT217" s="2"/>
      <c r="CU217" s="2"/>
      <c r="CV217" s="2"/>
      <c r="CW217" s="4">
        <f>(1.48*36.969+1.06*73.001)/CO217</f>
        <v>1.2011928707829409</v>
      </c>
      <c r="CX217" s="2"/>
      <c r="CY217" s="2"/>
      <c r="CZ217" s="2"/>
      <c r="DA217" s="2"/>
      <c r="DB217" s="2"/>
      <c r="DC217" s="2"/>
      <c r="DD217" s="2"/>
      <c r="DE217" s="4">
        <f>(10.18*36.969+45.7*73.001)/CO217</f>
        <v>33.759117213785579</v>
      </c>
      <c r="DF217" s="2"/>
      <c r="DG217" s="2"/>
      <c r="DH217" s="2"/>
      <c r="DI217" s="4">
        <f>100*((53.03+108.933)-(36.969+73.001))/(53.03+108.933)</f>
        <v>32.101776331631307</v>
      </c>
      <c r="DJ217" s="2" t="s">
        <v>81</v>
      </c>
      <c r="DK217" s="2"/>
      <c r="DL217" s="2">
        <f t="shared" si="3"/>
        <v>1.2650345440803805</v>
      </c>
      <c r="DM217" s="2">
        <f t="shared" si="4"/>
        <v>0</v>
      </c>
      <c r="DN217" s="2" t="s">
        <v>211</v>
      </c>
      <c r="DO217" s="2" t="s">
        <v>3</v>
      </c>
      <c r="DP217" s="2">
        <f t="shared" si="5"/>
        <v>0</v>
      </c>
      <c r="DQ217" s="2">
        <f t="shared" ref="DQ217:DR217" si="3667">K217*$I217+AF217*$AD217+BA217*$AY217</f>
        <v>0</v>
      </c>
      <c r="DR217" s="2">
        <f t="shared" si="3667"/>
        <v>0</v>
      </c>
      <c r="DS217" s="2">
        <f t="shared" ref="DS217:DX217" si="3668">(M217*$I217+AH217*$AD217+BC217*$AY217)/100</f>
        <v>0</v>
      </c>
      <c r="DT217" s="2">
        <f t="shared" si="3668"/>
        <v>0</v>
      </c>
      <c r="DU217" s="2">
        <f t="shared" si="3668"/>
        <v>0</v>
      </c>
      <c r="DV217" s="2">
        <f t="shared" si="3668"/>
        <v>0</v>
      </c>
      <c r="DW217" s="2">
        <f t="shared" si="3668"/>
        <v>1.4227211</v>
      </c>
      <c r="DX217" s="2">
        <f t="shared" si="3668"/>
        <v>0</v>
      </c>
      <c r="DY217" s="2">
        <f t="shared" ref="DY217:EC217" si="3669">S217*$I217+AN217*$AD217+BI217*$AY217</f>
        <v>0</v>
      </c>
      <c r="DZ217" s="2">
        <f t="shared" si="3669"/>
        <v>0</v>
      </c>
      <c r="EA217" s="2">
        <f t="shared" si="3669"/>
        <v>0</v>
      </c>
      <c r="EB217" s="2">
        <f t="shared" si="3669"/>
        <v>0</v>
      </c>
      <c r="EC217" s="2">
        <f t="shared" si="3669"/>
        <v>0</v>
      </c>
      <c r="ED217" s="2">
        <f t="shared" ref="ED217:EE217" si="3670">(X217*$I217+AS217*$AD217+BN217*$AY217)/100</f>
        <v>0</v>
      </c>
      <c r="EE217" s="2">
        <f t="shared" si="3670"/>
        <v>37.421307200000001</v>
      </c>
      <c r="EF217" s="2"/>
      <c r="EG217" s="2">
        <f t="shared" si="10"/>
        <v>0</v>
      </c>
      <c r="EH217" s="2">
        <f t="shared" si="11"/>
        <v>0</v>
      </c>
      <c r="EI217" s="39">
        <f t="shared" si="12"/>
        <v>0</v>
      </c>
      <c r="EJ217" s="39">
        <f t="shared" ref="EJ217:EK217" si="3671">EJ$1*DQ217/1000000</f>
        <v>0</v>
      </c>
      <c r="EK217" s="39">
        <f t="shared" si="3671"/>
        <v>0</v>
      </c>
      <c r="EL217" s="39">
        <f t="shared" ref="EL217:EQ217" si="3672">EL$1*DS217</f>
        <v>0</v>
      </c>
      <c r="EM217" s="39">
        <f t="shared" si="3672"/>
        <v>0</v>
      </c>
      <c r="EN217" s="39">
        <f t="shared" si="3672"/>
        <v>0</v>
      </c>
      <c r="EO217" s="39">
        <f t="shared" si="3672"/>
        <v>0</v>
      </c>
      <c r="EP217" s="39">
        <f t="shared" si="3672"/>
        <v>18657.564505399998</v>
      </c>
      <c r="EQ217" s="39">
        <f t="shared" si="3672"/>
        <v>0</v>
      </c>
      <c r="ER217" s="39">
        <f t="shared" ref="ER217:EV217" si="3673">ER$1*DY217/1000000</f>
        <v>0</v>
      </c>
      <c r="ES217" s="39">
        <f t="shared" si="3673"/>
        <v>0</v>
      </c>
      <c r="ET217" s="39">
        <f t="shared" si="3673"/>
        <v>0</v>
      </c>
      <c r="EU217" s="39">
        <f t="shared" si="3673"/>
        <v>0</v>
      </c>
      <c r="EV217" s="39">
        <f t="shared" si="3673"/>
        <v>0</v>
      </c>
      <c r="EW217" s="39">
        <f t="shared" ref="EW217:EX217" si="3674">EW$1*ED217</f>
        <v>0</v>
      </c>
      <c r="EX217" s="39">
        <f t="shared" si="3674"/>
        <v>3480.1815696000003</v>
      </c>
      <c r="EY217" s="2"/>
      <c r="EZ217" s="39">
        <f t="shared" si="17"/>
        <v>0</v>
      </c>
      <c r="FA217" s="39">
        <f t="shared" si="18"/>
        <v>0</v>
      </c>
      <c r="FB217" s="2">
        <f t="shared" si="19"/>
        <v>0</v>
      </c>
      <c r="FC217" s="2">
        <f t="shared" ref="FC217:FD217" si="3675">BV217*$BT217+CQ217*$CO217</f>
        <v>0</v>
      </c>
      <c r="FD217" s="2">
        <f t="shared" si="3675"/>
        <v>0</v>
      </c>
      <c r="FE217" s="2">
        <f t="shared" ref="FE217:FJ217" si="3676">(BX217*$BT217+CS217*$CO217)/100</f>
        <v>0</v>
      </c>
      <c r="FF217" s="2">
        <f t="shared" si="3676"/>
        <v>0</v>
      </c>
      <c r="FG217" s="2">
        <f t="shared" si="3676"/>
        <v>0</v>
      </c>
      <c r="FH217" s="2">
        <f t="shared" si="3676"/>
        <v>0</v>
      </c>
      <c r="FI217" s="2">
        <f t="shared" si="3676"/>
        <v>1.3209518</v>
      </c>
      <c r="FJ217" s="2">
        <f t="shared" si="3676"/>
        <v>0</v>
      </c>
      <c r="FK217" s="2">
        <f t="shared" ref="FK217:FO217" si="3677">CD217*$BT217+CY217*$CO217</f>
        <v>0</v>
      </c>
      <c r="FL217" s="2">
        <f t="shared" si="3677"/>
        <v>0</v>
      </c>
      <c r="FM217" s="2">
        <f t="shared" si="3677"/>
        <v>0</v>
      </c>
      <c r="FN217" s="2">
        <f t="shared" si="3677"/>
        <v>0</v>
      </c>
      <c r="FO217" s="2">
        <f t="shared" si="3677"/>
        <v>0</v>
      </c>
      <c r="FP217" s="2">
        <f t="shared" ref="FP217:FQ217" si="3678">(CI217*$BT217+DD217*$CO217)/100</f>
        <v>0</v>
      </c>
      <c r="FQ217" s="2">
        <f t="shared" si="3678"/>
        <v>37.124901199999996</v>
      </c>
      <c r="FR217" s="2"/>
      <c r="FS217" s="2">
        <f t="shared" si="24"/>
        <v>0</v>
      </c>
      <c r="FT217" s="2">
        <f t="shared" si="25"/>
        <v>0</v>
      </c>
      <c r="FU217" s="39">
        <f t="shared" si="26"/>
        <v>0</v>
      </c>
      <c r="FV217" s="39">
        <f t="shared" ref="FV217:FW217" si="3679">FV$1*FC217/1000000</f>
        <v>0</v>
      </c>
      <c r="FW217" s="39">
        <f t="shared" si="3679"/>
        <v>0</v>
      </c>
      <c r="FX217" s="39">
        <f t="shared" ref="FX217:GC217" si="3680">FX$1*FE217</f>
        <v>0</v>
      </c>
      <c r="FY217" s="39">
        <f t="shared" si="3680"/>
        <v>0</v>
      </c>
      <c r="FZ217" s="39">
        <f t="shared" si="3680"/>
        <v>0</v>
      </c>
      <c r="GA217" s="39">
        <f t="shared" si="3680"/>
        <v>0</v>
      </c>
      <c r="GB217" s="39">
        <f t="shared" si="3680"/>
        <v>17322.961905200002</v>
      </c>
      <c r="GC217" s="39">
        <f t="shared" si="3680"/>
        <v>0</v>
      </c>
      <c r="GD217" s="39">
        <f t="shared" ref="GD217:GH217" si="3681">GD$1*FK217/1000000</f>
        <v>0</v>
      </c>
      <c r="GE217" s="39">
        <f t="shared" si="3681"/>
        <v>0</v>
      </c>
      <c r="GF217" s="39">
        <f t="shared" si="3681"/>
        <v>0</v>
      </c>
      <c r="GG217" s="39">
        <f t="shared" si="3681"/>
        <v>0</v>
      </c>
      <c r="GH217" s="39">
        <f t="shared" si="3681"/>
        <v>0</v>
      </c>
      <c r="GI217" s="39">
        <f t="shared" ref="GI217:GJ217" si="3682">GI$1*FP217</f>
        <v>0</v>
      </c>
      <c r="GJ217" s="39">
        <f t="shared" si="3682"/>
        <v>3452.6158115999997</v>
      </c>
      <c r="GK217" s="2"/>
      <c r="GL217" s="39">
        <f t="shared" si="31"/>
        <v>0</v>
      </c>
      <c r="GM217" s="39">
        <f t="shared" si="32"/>
        <v>0</v>
      </c>
      <c r="GN217" s="2" t="s">
        <v>3</v>
      </c>
      <c r="GO217" s="15">
        <f t="shared" si="33"/>
        <v>112.465</v>
      </c>
      <c r="GP217" s="4">
        <f t="shared" si="34"/>
        <v>1.2650345440803805</v>
      </c>
      <c r="GQ217" s="18">
        <f t="shared" si="35"/>
        <v>1422.7210999999998</v>
      </c>
      <c r="GR217" s="15">
        <f t="shared" si="36"/>
        <v>22137.746074999999</v>
      </c>
      <c r="GS217" s="15">
        <f t="shared" si="37"/>
        <v>196.8412045969857</v>
      </c>
      <c r="GT217" s="2">
        <f t="shared" si="38"/>
        <v>0</v>
      </c>
      <c r="GU217" s="2">
        <f t="shared" si="39"/>
        <v>1383.7991</v>
      </c>
      <c r="GV217" s="2">
        <f t="shared" si="40"/>
        <v>38.922000000000004</v>
      </c>
      <c r="GW217" s="4">
        <f t="shared" si="41"/>
        <v>109.97</v>
      </c>
      <c r="GX217" s="4">
        <f t="shared" ref="GX217:GX218" si="3683">(BT217*CB217+CO217*CW217)/GW217</f>
        <v>1.2011928707829409</v>
      </c>
      <c r="GY217" s="18">
        <f t="shared" ref="GY217:GY218" si="3684">1000*GW217*GX217/100</f>
        <v>1320.9518000000003</v>
      </c>
      <c r="GZ217" s="15">
        <f t="shared" ref="GZ217:GZ218" si="3685">SUM(FU217:GM217)</f>
        <v>20775.577716800002</v>
      </c>
      <c r="HA217" s="15">
        <f t="shared" ref="HA217:HA218" si="3686">GZ217/GW217</f>
        <v>188.92041208329547</v>
      </c>
      <c r="HB217" s="2">
        <f t="shared" si="42"/>
        <v>0</v>
      </c>
      <c r="HC217" s="2">
        <f t="shared" si="43"/>
        <v>1320.9517999999998</v>
      </c>
      <c r="HD217" s="2" t="s">
        <v>3</v>
      </c>
      <c r="HE217" s="2" t="s">
        <v>37</v>
      </c>
      <c r="HF217" s="2" t="s">
        <v>151</v>
      </c>
      <c r="HG217" s="2" t="s">
        <v>151</v>
      </c>
      <c r="HH217" s="2"/>
      <c r="HI217" s="2" t="s">
        <v>81</v>
      </c>
      <c r="HJ217" s="2" t="s">
        <v>3</v>
      </c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  <c r="JE217" s="2"/>
      <c r="JF217" s="2"/>
      <c r="JG217" s="2"/>
      <c r="JH217" s="2" t="s">
        <v>3</v>
      </c>
    </row>
    <row r="218" spans="1:268" ht="15.75" customHeight="1" x14ac:dyDescent="0.2">
      <c r="A218" s="13" t="s">
        <v>419</v>
      </c>
      <c r="B218" s="2" t="s">
        <v>99</v>
      </c>
      <c r="C218" s="2"/>
      <c r="D218" s="2"/>
      <c r="E218" s="2" t="s">
        <v>78</v>
      </c>
      <c r="F218" s="2" t="s">
        <v>304</v>
      </c>
      <c r="G218" s="2"/>
      <c r="H218" s="2" t="s">
        <v>141</v>
      </c>
      <c r="I218" s="2">
        <v>0</v>
      </c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>
        <f>28.35+39.54</f>
        <v>67.89</v>
      </c>
      <c r="AE218" s="2"/>
      <c r="AF218" s="2"/>
      <c r="AG218" s="2"/>
      <c r="AH218" s="2"/>
      <c r="AI218" s="2"/>
      <c r="AJ218" s="2"/>
      <c r="AK218" s="2"/>
      <c r="AL218" s="4">
        <f>(1.2*28.35+1.23*39.54)/AD218</f>
        <v>1.2174723817940787</v>
      </c>
      <c r="AM218" s="2"/>
      <c r="AN218" s="2"/>
      <c r="AO218" s="2"/>
      <c r="AP218" s="2"/>
      <c r="AQ218" s="2"/>
      <c r="AR218" s="2"/>
      <c r="AS218" s="2"/>
      <c r="AT218" s="4">
        <f>(13.78*28.35+43.32*39.54)/AD218</f>
        <v>30.984471939902779</v>
      </c>
      <c r="AU218" s="2"/>
      <c r="AV218" s="2"/>
      <c r="AW218" s="2"/>
      <c r="AX218" s="4">
        <f>100*((43.615+60.83)-(28.35+39.54))/(43.615+60.83)</f>
        <v>34.999281918713194</v>
      </c>
      <c r="AY218" s="4">
        <f>16.28+5.72</f>
        <v>22</v>
      </c>
      <c r="AZ218" s="2"/>
      <c r="BA218" s="2"/>
      <c r="BB218" s="2"/>
      <c r="BC218" s="2"/>
      <c r="BD218" s="2"/>
      <c r="BE218" s="2"/>
      <c r="BF218" s="2"/>
      <c r="BG218" s="4">
        <f>(1.14*16.28+1.06*5.72)/AY218</f>
        <v>1.1192</v>
      </c>
      <c r="BH218" s="2"/>
      <c r="BI218" s="2"/>
      <c r="BJ218" s="2"/>
      <c r="BK218" s="2"/>
      <c r="BL218" s="2"/>
      <c r="BM218" s="2"/>
      <c r="BN218" s="2"/>
      <c r="BO218" s="4">
        <f>(13.95*16.28+42.33*5.72)/AY218</f>
        <v>21.328799999999998</v>
      </c>
      <c r="BP218" s="2"/>
      <c r="BQ218" s="2"/>
      <c r="BR218" s="2"/>
      <c r="BS218" s="4">
        <f>100*((25.046+8.8)-(16.28+5.72))/(25.046+8.8)</f>
        <v>34.999704544111573</v>
      </c>
      <c r="BT218" s="2">
        <v>0</v>
      </c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4">
        <f>2.819+32.875</f>
        <v>35.694000000000003</v>
      </c>
      <c r="CP218" s="2"/>
      <c r="CQ218" s="2"/>
      <c r="CR218" s="2"/>
      <c r="CS218" s="2"/>
      <c r="CT218" s="2"/>
      <c r="CU218" s="2"/>
      <c r="CV218" s="2"/>
      <c r="CW218" s="4">
        <f>(1.85*2.819+1.32*32.875)/CO218</f>
        <v>1.3618577351935899</v>
      </c>
      <c r="CX218" s="2"/>
      <c r="CY218" s="2"/>
      <c r="CZ218" s="2"/>
      <c r="DA218" s="2"/>
      <c r="DB218" s="2"/>
      <c r="DC218" s="2"/>
      <c r="DD218" s="2"/>
      <c r="DE218" s="4">
        <f>(28.74*2.819+40*32.875)/CO218</f>
        <v>39.110720569283345</v>
      </c>
      <c r="DF218" s="2"/>
      <c r="DG218" s="2"/>
      <c r="DH218" s="2"/>
      <c r="DI218" s="4">
        <f>100*((4.337+50.576)-(2.819+32.875))/(4.337+50.576)</f>
        <v>34.998998415675693</v>
      </c>
      <c r="DJ218" s="2" t="s">
        <v>81</v>
      </c>
      <c r="DK218" s="2"/>
      <c r="DL218" s="2">
        <f t="shared" si="3"/>
        <v>1.1934208477027479</v>
      </c>
      <c r="DM218" s="2">
        <f t="shared" si="4"/>
        <v>0</v>
      </c>
      <c r="DN218" s="2" t="s">
        <v>211</v>
      </c>
      <c r="DO218" s="2" t="s">
        <v>3</v>
      </c>
      <c r="DP218" s="2">
        <f t="shared" si="5"/>
        <v>0</v>
      </c>
      <c r="DQ218" s="2">
        <f t="shared" ref="DQ218:DR218" si="3687">K218*$I218+AF218*$AD218+BA218*$AY218</f>
        <v>0</v>
      </c>
      <c r="DR218" s="2">
        <f t="shared" si="3687"/>
        <v>0</v>
      </c>
      <c r="DS218" s="2">
        <f t="shared" ref="DS218:DX218" si="3688">(M218*$I218+AH218*$AD218+BC218*$AY218)/100</f>
        <v>0</v>
      </c>
      <c r="DT218" s="2">
        <f t="shared" si="3688"/>
        <v>0</v>
      </c>
      <c r="DU218" s="2">
        <f t="shared" si="3688"/>
        <v>0</v>
      </c>
      <c r="DV218" s="2">
        <f t="shared" si="3688"/>
        <v>0</v>
      </c>
      <c r="DW218" s="2">
        <f t="shared" si="3688"/>
        <v>1.0727660000000001</v>
      </c>
      <c r="DX218" s="2">
        <f t="shared" si="3688"/>
        <v>0</v>
      </c>
      <c r="DY218" s="2">
        <f t="shared" ref="DY218:EC218" si="3689">S218*$I218+AN218*$AD218+BI218*$AY218</f>
        <v>0</v>
      </c>
      <c r="DZ218" s="2">
        <f t="shared" si="3689"/>
        <v>0</v>
      </c>
      <c r="EA218" s="2">
        <f t="shared" si="3689"/>
        <v>0</v>
      </c>
      <c r="EB218" s="2">
        <f t="shared" si="3689"/>
        <v>0</v>
      </c>
      <c r="EC218" s="2">
        <f t="shared" si="3689"/>
        <v>0</v>
      </c>
      <c r="ED218" s="2">
        <f t="shared" ref="ED218:EE218" si="3690">(X218*$I218+AS218*$AD218+BN218*$AY218)/100</f>
        <v>0</v>
      </c>
      <c r="EE218" s="2">
        <f t="shared" si="3690"/>
        <v>25.727693999999996</v>
      </c>
      <c r="EF218" s="2"/>
      <c r="EG218" s="2">
        <f t="shared" si="10"/>
        <v>0</v>
      </c>
      <c r="EH218" s="2">
        <f t="shared" si="11"/>
        <v>0</v>
      </c>
      <c r="EI218" s="39">
        <f t="shared" si="12"/>
        <v>0</v>
      </c>
      <c r="EJ218" s="39">
        <f t="shared" ref="EJ218:EK218" si="3691">EJ$1*DQ218/1000000</f>
        <v>0</v>
      </c>
      <c r="EK218" s="39">
        <f t="shared" si="3691"/>
        <v>0</v>
      </c>
      <c r="EL218" s="39">
        <f t="shared" ref="EL218:EQ218" si="3692">EL$1*DS218</f>
        <v>0</v>
      </c>
      <c r="EM218" s="39">
        <f t="shared" si="3692"/>
        <v>0</v>
      </c>
      <c r="EN218" s="39">
        <f t="shared" si="3692"/>
        <v>0</v>
      </c>
      <c r="EO218" s="39">
        <f t="shared" si="3692"/>
        <v>0</v>
      </c>
      <c r="EP218" s="39">
        <f t="shared" si="3692"/>
        <v>14068.253324000001</v>
      </c>
      <c r="EQ218" s="39">
        <f t="shared" si="3692"/>
        <v>0</v>
      </c>
      <c r="ER218" s="39">
        <f t="shared" ref="ER218:EV218" si="3693">ER$1*DY218/1000000</f>
        <v>0</v>
      </c>
      <c r="ES218" s="39">
        <f t="shared" si="3693"/>
        <v>0</v>
      </c>
      <c r="ET218" s="39">
        <f t="shared" si="3693"/>
        <v>0</v>
      </c>
      <c r="EU218" s="39">
        <f t="shared" si="3693"/>
        <v>0</v>
      </c>
      <c r="EV218" s="39">
        <f t="shared" si="3693"/>
        <v>0</v>
      </c>
      <c r="EW218" s="39">
        <f t="shared" ref="EW218:EX218" si="3694">EW$1*ED218</f>
        <v>0</v>
      </c>
      <c r="EX218" s="39">
        <f t="shared" si="3694"/>
        <v>2392.6755419999995</v>
      </c>
      <c r="EY218" s="2"/>
      <c r="EZ218" s="39">
        <f t="shared" si="17"/>
        <v>0</v>
      </c>
      <c r="FA218" s="39">
        <f t="shared" si="18"/>
        <v>0</v>
      </c>
      <c r="FB218" s="2">
        <f t="shared" si="19"/>
        <v>0</v>
      </c>
      <c r="FC218" s="2">
        <f t="shared" ref="FC218:FD218" si="3695">BV218*$BT218+CQ218*$CO218</f>
        <v>0</v>
      </c>
      <c r="FD218" s="2">
        <f t="shared" si="3695"/>
        <v>0</v>
      </c>
      <c r="FE218" s="2">
        <f t="shared" ref="FE218:FJ218" si="3696">(BX218*$BT218+CS218*$CO218)/100</f>
        <v>0</v>
      </c>
      <c r="FF218" s="2">
        <f t="shared" si="3696"/>
        <v>0</v>
      </c>
      <c r="FG218" s="2">
        <f t="shared" si="3696"/>
        <v>0</v>
      </c>
      <c r="FH218" s="2">
        <f t="shared" si="3696"/>
        <v>0</v>
      </c>
      <c r="FI218" s="2">
        <f t="shared" si="3696"/>
        <v>0.48610149999999996</v>
      </c>
      <c r="FJ218" s="2">
        <f t="shared" si="3696"/>
        <v>0</v>
      </c>
      <c r="FK218" s="2">
        <f t="shared" ref="FK218:FO218" si="3697">CD218*$BT218+CY218*$CO218</f>
        <v>0</v>
      </c>
      <c r="FL218" s="2">
        <f t="shared" si="3697"/>
        <v>0</v>
      </c>
      <c r="FM218" s="2">
        <f t="shared" si="3697"/>
        <v>0</v>
      </c>
      <c r="FN218" s="2">
        <f t="shared" si="3697"/>
        <v>0</v>
      </c>
      <c r="FO218" s="2">
        <f t="shared" si="3697"/>
        <v>0</v>
      </c>
      <c r="FP218" s="2">
        <f t="shared" ref="FP218:FQ218" si="3698">(CI218*$BT218+DD218*$CO218)/100</f>
        <v>0</v>
      </c>
      <c r="FQ218" s="2">
        <f t="shared" si="3698"/>
        <v>13.960180599999999</v>
      </c>
      <c r="FR218" s="2"/>
      <c r="FS218" s="2">
        <f t="shared" si="24"/>
        <v>0</v>
      </c>
      <c r="FT218" s="2">
        <f t="shared" si="25"/>
        <v>0</v>
      </c>
      <c r="FU218" s="39">
        <f t="shared" si="26"/>
        <v>0</v>
      </c>
      <c r="FV218" s="39">
        <f t="shared" ref="FV218:FW218" si="3699">FV$1*FC218/1000000</f>
        <v>0</v>
      </c>
      <c r="FW218" s="39">
        <f t="shared" si="3699"/>
        <v>0</v>
      </c>
      <c r="FX218" s="39">
        <f t="shared" ref="FX218:GC218" si="3700">FX$1*FE218</f>
        <v>0</v>
      </c>
      <c r="FY218" s="39">
        <f t="shared" si="3700"/>
        <v>0</v>
      </c>
      <c r="FZ218" s="39">
        <f t="shared" si="3700"/>
        <v>0</v>
      </c>
      <c r="GA218" s="39">
        <f t="shared" si="3700"/>
        <v>0</v>
      </c>
      <c r="GB218" s="39">
        <f t="shared" si="3700"/>
        <v>6374.7350709999992</v>
      </c>
      <c r="GC218" s="39">
        <f t="shared" si="3700"/>
        <v>0</v>
      </c>
      <c r="GD218" s="39">
        <f t="shared" ref="GD218:GH218" si="3701">GD$1*FK218/1000000</f>
        <v>0</v>
      </c>
      <c r="GE218" s="39">
        <f t="shared" si="3701"/>
        <v>0</v>
      </c>
      <c r="GF218" s="39">
        <f t="shared" si="3701"/>
        <v>0</v>
      </c>
      <c r="GG218" s="39">
        <f t="shared" si="3701"/>
        <v>0</v>
      </c>
      <c r="GH218" s="39">
        <f t="shared" si="3701"/>
        <v>0</v>
      </c>
      <c r="GI218" s="39">
        <f t="shared" ref="GI218:GJ218" si="3702">GI$1*FP218</f>
        <v>0</v>
      </c>
      <c r="GJ218" s="39">
        <f t="shared" si="3702"/>
        <v>1298.2967957999999</v>
      </c>
      <c r="GK218" s="2"/>
      <c r="GL218" s="39">
        <f t="shared" si="31"/>
        <v>0</v>
      </c>
      <c r="GM218" s="39">
        <f t="shared" si="32"/>
        <v>0</v>
      </c>
      <c r="GN218" s="2" t="s">
        <v>3</v>
      </c>
      <c r="GO218" s="4">
        <f t="shared" si="33"/>
        <v>89.89</v>
      </c>
      <c r="GP218" s="4">
        <f t="shared" si="34"/>
        <v>1.1934208477027479</v>
      </c>
      <c r="GQ218" s="18">
        <f t="shared" si="35"/>
        <v>1072.7660000000001</v>
      </c>
      <c r="GR218" s="15">
        <f t="shared" si="36"/>
        <v>16460.928866000002</v>
      </c>
      <c r="GS218" s="15">
        <f t="shared" si="37"/>
        <v>183.12302665480033</v>
      </c>
      <c r="GT218" s="2">
        <f t="shared" si="38"/>
        <v>0</v>
      </c>
      <c r="GU218" s="2">
        <f t="shared" si="39"/>
        <v>826.54199999999992</v>
      </c>
      <c r="GV218" s="2">
        <f t="shared" si="40"/>
        <v>246.22399999999999</v>
      </c>
      <c r="GW218" s="4">
        <f t="shared" si="41"/>
        <v>35.694000000000003</v>
      </c>
      <c r="GX218" s="4">
        <f t="shared" si="3683"/>
        <v>1.3618577351935899</v>
      </c>
      <c r="GY218" s="15">
        <f t="shared" si="3684"/>
        <v>486.10149999999993</v>
      </c>
      <c r="GZ218" s="15">
        <f t="shared" si="3685"/>
        <v>7673.0318667999991</v>
      </c>
      <c r="HA218" s="15">
        <f t="shared" si="3686"/>
        <v>214.96699352272086</v>
      </c>
      <c r="HB218" s="2">
        <f t="shared" si="42"/>
        <v>0</v>
      </c>
      <c r="HC218" s="2">
        <f t="shared" si="43"/>
        <v>486.10149999999993</v>
      </c>
      <c r="HD218" s="2" t="s">
        <v>3</v>
      </c>
      <c r="HE218" s="2" t="s">
        <v>37</v>
      </c>
      <c r="HF218" s="2" t="s">
        <v>235</v>
      </c>
      <c r="HG218" s="2" t="s">
        <v>235</v>
      </c>
      <c r="HH218" s="2"/>
      <c r="HI218" s="2" t="s">
        <v>81</v>
      </c>
      <c r="HJ218" s="2" t="s">
        <v>3</v>
      </c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 t="s">
        <v>3</v>
      </c>
    </row>
    <row r="219" spans="1:268" ht="15.75" customHeight="1" x14ac:dyDescent="0.2">
      <c r="A219" s="13" t="s">
        <v>318</v>
      </c>
      <c r="B219" s="2" t="s">
        <v>109</v>
      </c>
      <c r="C219" s="2"/>
      <c r="D219" s="2"/>
      <c r="E219" s="2" t="s">
        <v>78</v>
      </c>
      <c r="F219" s="2" t="s">
        <v>319</v>
      </c>
      <c r="G219" s="2"/>
      <c r="H219" s="2" t="s">
        <v>141</v>
      </c>
      <c r="I219" s="2">
        <v>0</v>
      </c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>
        <v>9.8970000000000002</v>
      </c>
      <c r="AE219" s="2"/>
      <c r="AF219" s="2"/>
      <c r="AG219" s="2"/>
      <c r="AH219" s="2"/>
      <c r="AI219" s="2"/>
      <c r="AJ219" s="2"/>
      <c r="AK219" s="2"/>
      <c r="AL219" s="2">
        <v>1.02</v>
      </c>
      <c r="AM219" s="2"/>
      <c r="AN219" s="2"/>
      <c r="AO219" s="2"/>
      <c r="AP219" s="2"/>
      <c r="AQ219" s="2"/>
      <c r="AR219" s="2"/>
      <c r="AS219" s="2"/>
      <c r="AT219" s="15">
        <f>100*3.5/9.897</f>
        <v>35.364251793472768</v>
      </c>
      <c r="AU219" s="2"/>
      <c r="AV219" s="2"/>
      <c r="AW219" s="2"/>
      <c r="AX219" s="2"/>
      <c r="AY219" s="2">
        <v>0</v>
      </c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>
        <v>0</v>
      </c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>
        <v>0</v>
      </c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 t="s">
        <v>81</v>
      </c>
      <c r="DK219" s="2"/>
      <c r="DL219" s="2">
        <f t="shared" si="3"/>
        <v>1.02</v>
      </c>
      <c r="DM219" s="2">
        <f t="shared" si="4"/>
        <v>0</v>
      </c>
      <c r="DN219" s="2" t="s">
        <v>320</v>
      </c>
      <c r="DO219" s="2" t="s">
        <v>3</v>
      </c>
      <c r="DP219" s="2">
        <f t="shared" si="5"/>
        <v>0</v>
      </c>
      <c r="DQ219" s="2">
        <f t="shared" ref="DQ219:DR219" si="3703">K219*$I219+AF219*$AD219+BA219*$AY219</f>
        <v>0</v>
      </c>
      <c r="DR219" s="2">
        <f t="shared" si="3703"/>
        <v>0</v>
      </c>
      <c r="DS219" s="2">
        <f t="shared" ref="DS219:DX219" si="3704">(M219*$I219+AH219*$AD219+BC219*$AY219)/100</f>
        <v>0</v>
      </c>
      <c r="DT219" s="2">
        <f t="shared" si="3704"/>
        <v>0</v>
      </c>
      <c r="DU219" s="2">
        <f t="shared" si="3704"/>
        <v>0</v>
      </c>
      <c r="DV219" s="2">
        <f t="shared" si="3704"/>
        <v>0</v>
      </c>
      <c r="DW219" s="2">
        <f t="shared" si="3704"/>
        <v>0.10094940000000001</v>
      </c>
      <c r="DX219" s="2">
        <f t="shared" si="3704"/>
        <v>0</v>
      </c>
      <c r="DY219" s="2">
        <f t="shared" ref="DY219:EC219" si="3705">S219*$I219+AN219*$AD219+BI219*$AY219</f>
        <v>0</v>
      </c>
      <c r="DZ219" s="2">
        <f t="shared" si="3705"/>
        <v>0</v>
      </c>
      <c r="EA219" s="2">
        <f t="shared" si="3705"/>
        <v>0</v>
      </c>
      <c r="EB219" s="2">
        <f t="shared" si="3705"/>
        <v>0</v>
      </c>
      <c r="EC219" s="2">
        <f t="shared" si="3705"/>
        <v>0</v>
      </c>
      <c r="ED219" s="2">
        <f t="shared" ref="ED219:EE219" si="3706">(X219*$I219+AS219*$AD219+BN219*$AY219)/100</f>
        <v>0</v>
      </c>
      <c r="EE219" s="2">
        <f t="shared" si="3706"/>
        <v>3.5</v>
      </c>
      <c r="EF219" s="2"/>
      <c r="EG219" s="2">
        <f t="shared" si="10"/>
        <v>0</v>
      </c>
      <c r="EH219" s="2">
        <f t="shared" si="11"/>
        <v>0</v>
      </c>
      <c r="EI219" s="39">
        <f t="shared" si="12"/>
        <v>0</v>
      </c>
      <c r="EJ219" s="39">
        <f t="shared" ref="EJ219:EK219" si="3707">EJ$1*DQ219/1000000</f>
        <v>0</v>
      </c>
      <c r="EK219" s="39">
        <f t="shared" si="3707"/>
        <v>0</v>
      </c>
      <c r="EL219" s="39">
        <f t="shared" ref="EL219:EQ219" si="3708">EL$1*DS219</f>
        <v>0</v>
      </c>
      <c r="EM219" s="39">
        <f t="shared" si="3708"/>
        <v>0</v>
      </c>
      <c r="EN219" s="39">
        <f t="shared" si="3708"/>
        <v>0</v>
      </c>
      <c r="EO219" s="39">
        <f t="shared" si="3708"/>
        <v>0</v>
      </c>
      <c r="EP219" s="39">
        <f t="shared" si="3708"/>
        <v>1323.8504316000001</v>
      </c>
      <c r="EQ219" s="39">
        <f t="shared" si="3708"/>
        <v>0</v>
      </c>
      <c r="ER219" s="39">
        <f t="shared" ref="ER219:EV219" si="3709">ER$1*DY219/1000000</f>
        <v>0</v>
      </c>
      <c r="ES219" s="39">
        <f t="shared" si="3709"/>
        <v>0</v>
      </c>
      <c r="ET219" s="39">
        <f t="shared" si="3709"/>
        <v>0</v>
      </c>
      <c r="EU219" s="39">
        <f t="shared" si="3709"/>
        <v>0</v>
      </c>
      <c r="EV219" s="39">
        <f t="shared" si="3709"/>
        <v>0</v>
      </c>
      <c r="EW219" s="39">
        <f t="shared" ref="EW219:EX219" si="3710">EW$1*ED219</f>
        <v>0</v>
      </c>
      <c r="EX219" s="39">
        <f t="shared" si="3710"/>
        <v>325.5</v>
      </c>
      <c r="EY219" s="2"/>
      <c r="EZ219" s="39">
        <f t="shared" si="17"/>
        <v>0</v>
      </c>
      <c r="FA219" s="39">
        <f t="shared" si="18"/>
        <v>0</v>
      </c>
      <c r="FB219" s="2">
        <f t="shared" si="19"/>
        <v>0</v>
      </c>
      <c r="FC219" s="2">
        <f t="shared" ref="FC219:FD219" si="3711">BV219*$BT219+CQ219*$CO219</f>
        <v>0</v>
      </c>
      <c r="FD219" s="2">
        <f t="shared" si="3711"/>
        <v>0</v>
      </c>
      <c r="FE219" s="2">
        <f t="shared" ref="FE219:FJ219" si="3712">(BX219*$BT219+CS219*$CO219)/100</f>
        <v>0</v>
      </c>
      <c r="FF219" s="2">
        <f t="shared" si="3712"/>
        <v>0</v>
      </c>
      <c r="FG219" s="2">
        <f t="shared" si="3712"/>
        <v>0</v>
      </c>
      <c r="FH219" s="2">
        <f t="shared" si="3712"/>
        <v>0</v>
      </c>
      <c r="FI219" s="2">
        <f t="shared" si="3712"/>
        <v>0</v>
      </c>
      <c r="FJ219" s="2">
        <f t="shared" si="3712"/>
        <v>0</v>
      </c>
      <c r="FK219" s="2">
        <f t="shared" ref="FK219:FO219" si="3713">CD219*$BT219+CY219*$CO219</f>
        <v>0</v>
      </c>
      <c r="FL219" s="2">
        <f t="shared" si="3713"/>
        <v>0</v>
      </c>
      <c r="FM219" s="2">
        <f t="shared" si="3713"/>
        <v>0</v>
      </c>
      <c r="FN219" s="2">
        <f t="shared" si="3713"/>
        <v>0</v>
      </c>
      <c r="FO219" s="2">
        <f t="shared" si="3713"/>
        <v>0</v>
      </c>
      <c r="FP219" s="2">
        <f t="shared" ref="FP219:FQ219" si="3714">(CI219*$BT219+DD219*$CO219)/100</f>
        <v>0</v>
      </c>
      <c r="FQ219" s="2">
        <f t="shared" si="3714"/>
        <v>0</v>
      </c>
      <c r="FR219" s="2"/>
      <c r="FS219" s="2">
        <f t="shared" si="24"/>
        <v>0</v>
      </c>
      <c r="FT219" s="2">
        <f t="shared" si="25"/>
        <v>0</v>
      </c>
      <c r="FU219" s="39">
        <f t="shared" si="26"/>
        <v>0</v>
      </c>
      <c r="FV219" s="39">
        <f t="shared" ref="FV219:FW219" si="3715">FV$1*FC219/1000000</f>
        <v>0</v>
      </c>
      <c r="FW219" s="39">
        <f t="shared" si="3715"/>
        <v>0</v>
      </c>
      <c r="FX219" s="39">
        <f t="shared" ref="FX219:GC219" si="3716">FX$1*FE219</f>
        <v>0</v>
      </c>
      <c r="FY219" s="39">
        <f t="shared" si="3716"/>
        <v>0</v>
      </c>
      <c r="FZ219" s="39">
        <f t="shared" si="3716"/>
        <v>0</v>
      </c>
      <c r="GA219" s="39">
        <f t="shared" si="3716"/>
        <v>0</v>
      </c>
      <c r="GB219" s="39">
        <f t="shared" si="3716"/>
        <v>0</v>
      </c>
      <c r="GC219" s="39">
        <f t="shared" si="3716"/>
        <v>0</v>
      </c>
      <c r="GD219" s="39">
        <f t="shared" ref="GD219:GH219" si="3717">GD$1*FK219/1000000</f>
        <v>0</v>
      </c>
      <c r="GE219" s="39">
        <f t="shared" si="3717"/>
        <v>0</v>
      </c>
      <c r="GF219" s="39">
        <f t="shared" si="3717"/>
        <v>0</v>
      </c>
      <c r="GG219" s="39">
        <f t="shared" si="3717"/>
        <v>0</v>
      </c>
      <c r="GH219" s="39">
        <f t="shared" si="3717"/>
        <v>0</v>
      </c>
      <c r="GI219" s="39">
        <f t="shared" ref="GI219:GJ219" si="3718">GI$1*FP219</f>
        <v>0</v>
      </c>
      <c r="GJ219" s="39">
        <f t="shared" si="3718"/>
        <v>0</v>
      </c>
      <c r="GK219" s="2"/>
      <c r="GL219" s="39">
        <f t="shared" si="31"/>
        <v>0</v>
      </c>
      <c r="GM219" s="39">
        <f t="shared" si="32"/>
        <v>0</v>
      </c>
      <c r="GN219" s="2" t="s">
        <v>3</v>
      </c>
      <c r="GO219" s="2">
        <f t="shared" si="33"/>
        <v>9.8970000000000002</v>
      </c>
      <c r="GP219" s="4">
        <f t="shared" si="34"/>
        <v>1.02</v>
      </c>
      <c r="GQ219" s="15">
        <f t="shared" si="35"/>
        <v>100.94940000000001</v>
      </c>
      <c r="GR219" s="15">
        <f t="shared" si="36"/>
        <v>1649.3504316000001</v>
      </c>
      <c r="GS219" s="15">
        <f t="shared" si="37"/>
        <v>166.65155416792967</v>
      </c>
      <c r="GT219" s="2">
        <f t="shared" si="38"/>
        <v>0</v>
      </c>
      <c r="GU219" s="2">
        <f t="shared" si="39"/>
        <v>100.94940000000001</v>
      </c>
      <c r="GV219" s="2">
        <f t="shared" si="40"/>
        <v>0</v>
      </c>
      <c r="GW219" s="2">
        <f t="shared" si="41"/>
        <v>0</v>
      </c>
      <c r="GX219" s="2"/>
      <c r="GY219" s="2"/>
      <c r="GZ219" s="2"/>
      <c r="HA219" s="2"/>
      <c r="HB219" s="2">
        <f t="shared" si="42"/>
        <v>0</v>
      </c>
      <c r="HC219" s="2">
        <f t="shared" si="43"/>
        <v>0</v>
      </c>
      <c r="HD219" s="2" t="s">
        <v>3</v>
      </c>
      <c r="HE219" s="2" t="s">
        <v>37</v>
      </c>
      <c r="HF219" s="2" t="s">
        <v>151</v>
      </c>
      <c r="HG219" s="2" t="s">
        <v>151</v>
      </c>
      <c r="HH219" s="2"/>
      <c r="HI219" s="2" t="s">
        <v>81</v>
      </c>
      <c r="HJ219" s="2" t="s">
        <v>3</v>
      </c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 t="s">
        <v>3</v>
      </c>
    </row>
    <row r="220" spans="1:268" ht="15.75" customHeight="1" x14ac:dyDescent="0.2">
      <c r="A220" s="13" t="s">
        <v>822</v>
      </c>
      <c r="B220" s="2" t="s">
        <v>99</v>
      </c>
      <c r="C220" s="2"/>
      <c r="D220" s="2"/>
      <c r="E220" s="2" t="s">
        <v>78</v>
      </c>
      <c r="F220" s="2" t="s">
        <v>823</v>
      </c>
      <c r="G220" s="2"/>
      <c r="H220" s="2" t="s">
        <v>80</v>
      </c>
      <c r="I220" s="2">
        <v>0</v>
      </c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15">
        <v>198.863</v>
      </c>
      <c r="AE220" s="2"/>
      <c r="AF220" s="2"/>
      <c r="AG220" s="2"/>
      <c r="AH220" s="2"/>
      <c r="AI220" s="2"/>
      <c r="AJ220" s="2"/>
      <c r="AK220" s="2"/>
      <c r="AL220" s="2">
        <v>0.86</v>
      </c>
      <c r="AM220" s="2">
        <v>0.05</v>
      </c>
      <c r="AN220" s="2"/>
      <c r="AO220" s="2"/>
      <c r="AP220" s="2"/>
      <c r="AQ220" s="2"/>
      <c r="AR220" s="2"/>
      <c r="AS220" s="4">
        <f>2.02*(2*52/(2*52+3*16.001))</f>
        <v>1.3820779853029219</v>
      </c>
      <c r="AT220" s="15">
        <v>26</v>
      </c>
      <c r="AU220" s="2">
        <v>25.49</v>
      </c>
      <c r="AV220" s="2"/>
      <c r="AW220" s="2"/>
      <c r="AX220" s="2"/>
      <c r="AY220" s="2">
        <v>0</v>
      </c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>
        <v>0</v>
      </c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15">
        <v>126.27</v>
      </c>
      <c r="CP220" s="2"/>
      <c r="CQ220" s="2"/>
      <c r="CR220" s="2"/>
      <c r="CS220" s="2"/>
      <c r="CT220" s="2"/>
      <c r="CU220" s="2"/>
      <c r="CV220" s="2"/>
      <c r="CW220" s="2">
        <v>0.95</v>
      </c>
      <c r="CX220" s="2">
        <v>0.06</v>
      </c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 t="s">
        <v>81</v>
      </c>
      <c r="DK220" s="2" t="s">
        <v>81</v>
      </c>
      <c r="DL220" s="2">
        <f t="shared" si="3"/>
        <v>0.86</v>
      </c>
      <c r="DM220" s="2">
        <f t="shared" si="4"/>
        <v>0.05</v>
      </c>
      <c r="DN220" s="2" t="s">
        <v>824</v>
      </c>
      <c r="DO220" s="2" t="s">
        <v>3</v>
      </c>
      <c r="DP220" s="2">
        <f t="shared" si="5"/>
        <v>0</v>
      </c>
      <c r="DQ220" s="2">
        <f t="shared" ref="DQ220:DR220" si="3719">K220*$I220+AF220*$AD220+BA220*$AY220</f>
        <v>0</v>
      </c>
      <c r="DR220" s="2">
        <f t="shared" si="3719"/>
        <v>0</v>
      </c>
      <c r="DS220" s="2">
        <f t="shared" ref="DS220:DX220" si="3720">(M220*$I220+AH220*$AD220+BC220*$AY220)/100</f>
        <v>0</v>
      </c>
      <c r="DT220" s="2">
        <f t="shared" si="3720"/>
        <v>0</v>
      </c>
      <c r="DU220" s="2">
        <f t="shared" si="3720"/>
        <v>0</v>
      </c>
      <c r="DV220" s="2">
        <f t="shared" si="3720"/>
        <v>0</v>
      </c>
      <c r="DW220" s="2">
        <f t="shared" si="3720"/>
        <v>1.7102218</v>
      </c>
      <c r="DX220" s="2">
        <f t="shared" si="3720"/>
        <v>9.9431500000000006E-2</v>
      </c>
      <c r="DY220" s="2">
        <f t="shared" ref="DY220:EC220" si="3721">S220*$I220+AN220*$AD220+BI220*$AY220</f>
        <v>0</v>
      </c>
      <c r="DZ220" s="2">
        <f t="shared" si="3721"/>
        <v>0</v>
      </c>
      <c r="EA220" s="2">
        <f t="shared" si="3721"/>
        <v>0</v>
      </c>
      <c r="EB220" s="2">
        <f t="shared" si="3721"/>
        <v>0</v>
      </c>
      <c r="EC220" s="2">
        <f t="shared" si="3721"/>
        <v>0</v>
      </c>
      <c r="ED220" s="2">
        <f t="shared" ref="ED220:EE220" si="3722">(X220*$I220+AS220*$AD220+BN220*$AY220)/100</f>
        <v>2.74844174391295</v>
      </c>
      <c r="EE220" s="2">
        <f t="shared" si="3722"/>
        <v>51.70438</v>
      </c>
      <c r="EF220" s="2"/>
      <c r="EG220" s="2">
        <f t="shared" si="10"/>
        <v>0</v>
      </c>
      <c r="EH220" s="2">
        <f t="shared" si="11"/>
        <v>0</v>
      </c>
      <c r="EI220" s="39">
        <f t="shared" si="12"/>
        <v>0</v>
      </c>
      <c r="EJ220" s="39">
        <f t="shared" ref="EJ220:EK220" si="3723">EJ$1*DQ220/1000000</f>
        <v>0</v>
      </c>
      <c r="EK220" s="39">
        <f t="shared" si="3723"/>
        <v>0</v>
      </c>
      <c r="EL220" s="39">
        <f t="shared" ref="EL220:EQ220" si="3724">EL$1*DS220</f>
        <v>0</v>
      </c>
      <c r="EM220" s="39">
        <f t="shared" si="3724"/>
        <v>0</v>
      </c>
      <c r="EN220" s="39">
        <f t="shared" si="3724"/>
        <v>0</v>
      </c>
      <c r="EO220" s="39">
        <f t="shared" si="3724"/>
        <v>0</v>
      </c>
      <c r="EP220" s="39">
        <f t="shared" si="3724"/>
        <v>22427.848685199999</v>
      </c>
      <c r="EQ220" s="39">
        <f t="shared" si="3724"/>
        <v>7220.6682006059991</v>
      </c>
      <c r="ER220" s="39">
        <f t="shared" ref="ER220:EV220" si="3725">ER$1*DY220/1000000</f>
        <v>0</v>
      </c>
      <c r="ES220" s="39">
        <f t="shared" si="3725"/>
        <v>0</v>
      </c>
      <c r="ET220" s="39">
        <f t="shared" si="3725"/>
        <v>0</v>
      </c>
      <c r="EU220" s="39">
        <f t="shared" si="3725"/>
        <v>0</v>
      </c>
      <c r="EV220" s="39">
        <f t="shared" si="3725"/>
        <v>0</v>
      </c>
      <c r="EW220" s="39">
        <f t="shared" ref="EW220:EX220" si="3726">EW$1*ED220</f>
        <v>766.81524655171302</v>
      </c>
      <c r="EX220" s="39">
        <f t="shared" si="3726"/>
        <v>4808.5073400000001</v>
      </c>
      <c r="EY220" s="2"/>
      <c r="EZ220" s="39">
        <f t="shared" si="17"/>
        <v>0</v>
      </c>
      <c r="FA220" s="39">
        <f t="shared" si="18"/>
        <v>0</v>
      </c>
      <c r="FB220" s="2">
        <f t="shared" si="19"/>
        <v>0</v>
      </c>
      <c r="FC220" s="2">
        <f t="shared" ref="FC220:FD220" si="3727">BV220*$BT220+CQ220*$CO220</f>
        <v>0</v>
      </c>
      <c r="FD220" s="2">
        <f t="shared" si="3727"/>
        <v>0</v>
      </c>
      <c r="FE220" s="2">
        <f t="shared" ref="FE220:FJ220" si="3728">(BX220*$BT220+CS220*$CO220)/100</f>
        <v>0</v>
      </c>
      <c r="FF220" s="2">
        <f t="shared" si="3728"/>
        <v>0</v>
      </c>
      <c r="FG220" s="2">
        <f t="shared" si="3728"/>
        <v>0</v>
      </c>
      <c r="FH220" s="2">
        <f t="shared" si="3728"/>
        <v>0</v>
      </c>
      <c r="FI220" s="2">
        <f t="shared" si="3728"/>
        <v>1.199565</v>
      </c>
      <c r="FJ220" s="2">
        <f t="shared" si="3728"/>
        <v>7.5761999999999996E-2</v>
      </c>
      <c r="FK220" s="2">
        <f t="shared" ref="FK220:FO220" si="3729">CD220*$BT220+CY220*$CO220</f>
        <v>0</v>
      </c>
      <c r="FL220" s="2">
        <f t="shared" si="3729"/>
        <v>0</v>
      </c>
      <c r="FM220" s="2">
        <f t="shared" si="3729"/>
        <v>0</v>
      </c>
      <c r="FN220" s="2">
        <f t="shared" si="3729"/>
        <v>0</v>
      </c>
      <c r="FO220" s="2">
        <f t="shared" si="3729"/>
        <v>0</v>
      </c>
      <c r="FP220" s="2">
        <f t="shared" ref="FP220:FQ220" si="3730">(CI220*$BT220+DD220*$CO220)/100</f>
        <v>0</v>
      </c>
      <c r="FQ220" s="2">
        <f t="shared" si="3730"/>
        <v>0</v>
      </c>
      <c r="FR220" s="2"/>
      <c r="FS220" s="2">
        <f t="shared" si="24"/>
        <v>0</v>
      </c>
      <c r="FT220" s="2">
        <f t="shared" si="25"/>
        <v>0</v>
      </c>
      <c r="FU220" s="39">
        <f t="shared" si="26"/>
        <v>0</v>
      </c>
      <c r="FV220" s="39">
        <f t="shared" ref="FV220:FW220" si="3731">FV$1*FC220/1000000</f>
        <v>0</v>
      </c>
      <c r="FW220" s="39">
        <f t="shared" si="3731"/>
        <v>0</v>
      </c>
      <c r="FX220" s="39">
        <f t="shared" ref="FX220:GC220" si="3732">FX$1*FE220</f>
        <v>0</v>
      </c>
      <c r="FY220" s="39">
        <f t="shared" si="3732"/>
        <v>0</v>
      </c>
      <c r="FZ220" s="39">
        <f t="shared" si="3732"/>
        <v>0</v>
      </c>
      <c r="GA220" s="39">
        <f t="shared" si="3732"/>
        <v>0</v>
      </c>
      <c r="GB220" s="39">
        <f t="shared" si="3732"/>
        <v>15731.09541</v>
      </c>
      <c r="GC220" s="39">
        <f t="shared" si="3732"/>
        <v>5501.8003772879993</v>
      </c>
      <c r="GD220" s="39">
        <f t="shared" ref="GD220:GH220" si="3733">GD$1*FK220/1000000</f>
        <v>0</v>
      </c>
      <c r="GE220" s="39">
        <f t="shared" si="3733"/>
        <v>0</v>
      </c>
      <c r="GF220" s="39">
        <f t="shared" si="3733"/>
        <v>0</v>
      </c>
      <c r="GG220" s="39">
        <f t="shared" si="3733"/>
        <v>0</v>
      </c>
      <c r="GH220" s="39">
        <f t="shared" si="3733"/>
        <v>0</v>
      </c>
      <c r="GI220" s="39">
        <f t="shared" ref="GI220:GJ220" si="3734">GI$1*FP220</f>
        <v>0</v>
      </c>
      <c r="GJ220" s="39">
        <f t="shared" si="3734"/>
        <v>0</v>
      </c>
      <c r="GK220" s="2"/>
      <c r="GL220" s="39">
        <f t="shared" si="31"/>
        <v>0</v>
      </c>
      <c r="GM220" s="39">
        <f t="shared" si="32"/>
        <v>0</v>
      </c>
      <c r="GN220" s="2" t="s">
        <v>3</v>
      </c>
      <c r="GO220" s="15">
        <f t="shared" si="33"/>
        <v>198.863</v>
      </c>
      <c r="GP220" s="4">
        <f t="shared" si="34"/>
        <v>0.86</v>
      </c>
      <c r="GQ220" s="18">
        <f t="shared" si="35"/>
        <v>1710.2218</v>
      </c>
      <c r="GR220" s="15">
        <f t="shared" si="36"/>
        <v>35223.839472357708</v>
      </c>
      <c r="GS220" s="15">
        <f t="shared" si="37"/>
        <v>177.12615957899513</v>
      </c>
      <c r="GT220" s="2">
        <f t="shared" si="38"/>
        <v>0</v>
      </c>
      <c r="GU220" s="2">
        <f t="shared" si="39"/>
        <v>1710.2218</v>
      </c>
      <c r="GV220" s="2">
        <f t="shared" si="40"/>
        <v>0</v>
      </c>
      <c r="GW220" s="15">
        <f t="shared" si="41"/>
        <v>126.27</v>
      </c>
      <c r="GX220" s="4">
        <f>(BT220*CB220+CO220*CW220)/GW220</f>
        <v>0.95</v>
      </c>
      <c r="GY220" s="18">
        <f>1000*GW220*GX220/100</f>
        <v>1199.5650000000001</v>
      </c>
      <c r="GZ220" s="15">
        <f>SUM(FU220:GM220)</f>
        <v>21232.895787287998</v>
      </c>
      <c r="HA220" s="15">
        <f>GZ220/GW220</f>
        <v>168.15471439999999</v>
      </c>
      <c r="HB220" s="2">
        <f t="shared" si="42"/>
        <v>0</v>
      </c>
      <c r="HC220" s="2">
        <f t="shared" si="43"/>
        <v>1199.5649999999998</v>
      </c>
      <c r="HD220" s="2" t="s">
        <v>3</v>
      </c>
      <c r="HE220" s="2" t="s">
        <v>37</v>
      </c>
      <c r="HF220" s="2" t="s">
        <v>151</v>
      </c>
      <c r="HG220" s="2" t="s">
        <v>151</v>
      </c>
      <c r="HH220" s="2"/>
      <c r="HI220" s="2" t="s">
        <v>81</v>
      </c>
      <c r="HJ220" s="2" t="s">
        <v>3</v>
      </c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  <c r="JE220" s="2"/>
      <c r="JF220" s="2"/>
      <c r="JG220" s="2"/>
      <c r="JH220" s="2" t="s">
        <v>3</v>
      </c>
    </row>
    <row r="221" spans="1:268" ht="15.75" customHeight="1" x14ac:dyDescent="0.2">
      <c r="A221" s="13" t="s">
        <v>560</v>
      </c>
      <c r="B221" s="2" t="s">
        <v>99</v>
      </c>
      <c r="C221" s="2"/>
      <c r="D221" s="2"/>
      <c r="E221" s="2" t="s">
        <v>78</v>
      </c>
      <c r="F221" s="2" t="s">
        <v>228</v>
      </c>
      <c r="G221" s="2"/>
      <c r="H221" s="2"/>
      <c r="I221" s="2">
        <v>0</v>
      </c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>
        <v>0</v>
      </c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>
        <v>43.37</v>
      </c>
      <c r="AZ221" s="2"/>
      <c r="BA221" s="2"/>
      <c r="BB221" s="2"/>
      <c r="BC221" s="2"/>
      <c r="BD221" s="2"/>
      <c r="BE221" s="2"/>
      <c r="BF221" s="2"/>
      <c r="BG221" s="4">
        <v>1.2</v>
      </c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>
        <v>0</v>
      </c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>
        <v>0</v>
      </c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 t="s">
        <v>81</v>
      </c>
      <c r="DK221" s="2"/>
      <c r="DL221" s="2">
        <f t="shared" si="3"/>
        <v>1.2</v>
      </c>
      <c r="DM221" s="2">
        <f t="shared" si="4"/>
        <v>0</v>
      </c>
      <c r="DN221" s="2" t="s">
        <v>82</v>
      </c>
      <c r="DO221" s="2" t="s">
        <v>3</v>
      </c>
      <c r="DP221" s="2">
        <f t="shared" si="5"/>
        <v>0</v>
      </c>
      <c r="DQ221" s="2">
        <f t="shared" ref="DQ221:DR221" si="3735">K221*$I221+AF221*$AD221+BA221*$AY221</f>
        <v>0</v>
      </c>
      <c r="DR221" s="2">
        <f t="shared" si="3735"/>
        <v>0</v>
      </c>
      <c r="DS221" s="2">
        <f t="shared" ref="DS221:DX221" si="3736">(M221*$I221+AH221*$AD221+BC221*$AY221)/100</f>
        <v>0</v>
      </c>
      <c r="DT221" s="2">
        <f t="shared" si="3736"/>
        <v>0</v>
      </c>
      <c r="DU221" s="2">
        <f t="shared" si="3736"/>
        <v>0</v>
      </c>
      <c r="DV221" s="2">
        <f t="shared" si="3736"/>
        <v>0</v>
      </c>
      <c r="DW221" s="2">
        <f t="shared" si="3736"/>
        <v>0.52044000000000001</v>
      </c>
      <c r="DX221" s="2">
        <f t="shared" si="3736"/>
        <v>0</v>
      </c>
      <c r="DY221" s="2">
        <f t="shared" ref="DY221:EC221" si="3737">S221*$I221+AN221*$AD221+BI221*$AY221</f>
        <v>0</v>
      </c>
      <c r="DZ221" s="2">
        <f t="shared" si="3737"/>
        <v>0</v>
      </c>
      <c r="EA221" s="2">
        <f t="shared" si="3737"/>
        <v>0</v>
      </c>
      <c r="EB221" s="2">
        <f t="shared" si="3737"/>
        <v>0</v>
      </c>
      <c r="EC221" s="2">
        <f t="shared" si="3737"/>
        <v>0</v>
      </c>
      <c r="ED221" s="2">
        <f t="shared" ref="ED221:EE221" si="3738">(X221*$I221+AS221*$AD221+BN221*$AY221)/100</f>
        <v>0</v>
      </c>
      <c r="EE221" s="2">
        <f t="shared" si="3738"/>
        <v>0</v>
      </c>
      <c r="EF221" s="2"/>
      <c r="EG221" s="2">
        <f t="shared" si="10"/>
        <v>0</v>
      </c>
      <c r="EH221" s="2">
        <f t="shared" si="11"/>
        <v>0</v>
      </c>
      <c r="EI221" s="39">
        <f t="shared" si="12"/>
        <v>0</v>
      </c>
      <c r="EJ221" s="39">
        <f t="shared" ref="EJ221:EK221" si="3739">EJ$1*DQ221/1000000</f>
        <v>0</v>
      </c>
      <c r="EK221" s="39">
        <f t="shared" si="3739"/>
        <v>0</v>
      </c>
      <c r="EL221" s="39">
        <f t="shared" ref="EL221:EQ221" si="3740">EL$1*DS221</f>
        <v>0</v>
      </c>
      <c r="EM221" s="39">
        <f t="shared" si="3740"/>
        <v>0</v>
      </c>
      <c r="EN221" s="39">
        <f t="shared" si="3740"/>
        <v>0</v>
      </c>
      <c r="EO221" s="39">
        <f t="shared" si="3740"/>
        <v>0</v>
      </c>
      <c r="EP221" s="39">
        <f t="shared" si="3740"/>
        <v>6825.0501599999998</v>
      </c>
      <c r="EQ221" s="39">
        <f t="shared" si="3740"/>
        <v>0</v>
      </c>
      <c r="ER221" s="39">
        <f t="shared" ref="ER221:EV221" si="3741">ER$1*DY221/1000000</f>
        <v>0</v>
      </c>
      <c r="ES221" s="39">
        <f t="shared" si="3741"/>
        <v>0</v>
      </c>
      <c r="ET221" s="39">
        <f t="shared" si="3741"/>
        <v>0</v>
      </c>
      <c r="EU221" s="39">
        <f t="shared" si="3741"/>
        <v>0</v>
      </c>
      <c r="EV221" s="39">
        <f t="shared" si="3741"/>
        <v>0</v>
      </c>
      <c r="EW221" s="39">
        <f t="shared" ref="EW221:EX221" si="3742">EW$1*ED221</f>
        <v>0</v>
      </c>
      <c r="EX221" s="39">
        <f t="shared" si="3742"/>
        <v>0</v>
      </c>
      <c r="EY221" s="2"/>
      <c r="EZ221" s="39">
        <f t="shared" si="17"/>
        <v>0</v>
      </c>
      <c r="FA221" s="39">
        <f t="shared" si="18"/>
        <v>0</v>
      </c>
      <c r="FB221" s="2">
        <f t="shared" si="19"/>
        <v>0</v>
      </c>
      <c r="FC221" s="2">
        <f t="shared" ref="FC221:FD221" si="3743">BV221*$BT221+CQ221*$CO221</f>
        <v>0</v>
      </c>
      <c r="FD221" s="2">
        <f t="shared" si="3743"/>
        <v>0</v>
      </c>
      <c r="FE221" s="2">
        <f t="shared" ref="FE221:FJ221" si="3744">(BX221*$BT221+CS221*$CO221)/100</f>
        <v>0</v>
      </c>
      <c r="FF221" s="2">
        <f t="shared" si="3744"/>
        <v>0</v>
      </c>
      <c r="FG221" s="2">
        <f t="shared" si="3744"/>
        <v>0</v>
      </c>
      <c r="FH221" s="2">
        <f t="shared" si="3744"/>
        <v>0</v>
      </c>
      <c r="FI221" s="2">
        <f t="shared" si="3744"/>
        <v>0</v>
      </c>
      <c r="FJ221" s="2">
        <f t="shared" si="3744"/>
        <v>0</v>
      </c>
      <c r="FK221" s="2">
        <f t="shared" ref="FK221:FO221" si="3745">CD221*$BT221+CY221*$CO221</f>
        <v>0</v>
      </c>
      <c r="FL221" s="2">
        <f t="shared" si="3745"/>
        <v>0</v>
      </c>
      <c r="FM221" s="2">
        <f t="shared" si="3745"/>
        <v>0</v>
      </c>
      <c r="FN221" s="2">
        <f t="shared" si="3745"/>
        <v>0</v>
      </c>
      <c r="FO221" s="2">
        <f t="shared" si="3745"/>
        <v>0</v>
      </c>
      <c r="FP221" s="2">
        <f t="shared" ref="FP221:FQ221" si="3746">(CI221*$BT221+DD221*$CO221)/100</f>
        <v>0</v>
      </c>
      <c r="FQ221" s="2">
        <f t="shared" si="3746"/>
        <v>0</v>
      </c>
      <c r="FR221" s="2"/>
      <c r="FS221" s="2">
        <f t="shared" si="24"/>
        <v>0</v>
      </c>
      <c r="FT221" s="2">
        <f t="shared" si="25"/>
        <v>0</v>
      </c>
      <c r="FU221" s="39">
        <f t="shared" si="26"/>
        <v>0</v>
      </c>
      <c r="FV221" s="39">
        <f t="shared" ref="FV221:FW221" si="3747">FV$1*FC221/1000000</f>
        <v>0</v>
      </c>
      <c r="FW221" s="39">
        <f t="shared" si="3747"/>
        <v>0</v>
      </c>
      <c r="FX221" s="39">
        <f t="shared" ref="FX221:GC221" si="3748">FX$1*FE221</f>
        <v>0</v>
      </c>
      <c r="FY221" s="39">
        <f t="shared" si="3748"/>
        <v>0</v>
      </c>
      <c r="FZ221" s="39">
        <f t="shared" si="3748"/>
        <v>0</v>
      </c>
      <c r="GA221" s="39">
        <f t="shared" si="3748"/>
        <v>0</v>
      </c>
      <c r="GB221" s="39">
        <f t="shared" si="3748"/>
        <v>0</v>
      </c>
      <c r="GC221" s="39">
        <f t="shared" si="3748"/>
        <v>0</v>
      </c>
      <c r="GD221" s="39">
        <f t="shared" ref="GD221:GH221" si="3749">GD$1*FK221/1000000</f>
        <v>0</v>
      </c>
      <c r="GE221" s="39">
        <f t="shared" si="3749"/>
        <v>0</v>
      </c>
      <c r="GF221" s="39">
        <f t="shared" si="3749"/>
        <v>0</v>
      </c>
      <c r="GG221" s="39">
        <f t="shared" si="3749"/>
        <v>0</v>
      </c>
      <c r="GH221" s="39">
        <f t="shared" si="3749"/>
        <v>0</v>
      </c>
      <c r="GI221" s="39">
        <f t="shared" ref="GI221:GJ221" si="3750">GI$1*FP221</f>
        <v>0</v>
      </c>
      <c r="GJ221" s="39">
        <f t="shared" si="3750"/>
        <v>0</v>
      </c>
      <c r="GK221" s="2"/>
      <c r="GL221" s="39">
        <f t="shared" si="31"/>
        <v>0</v>
      </c>
      <c r="GM221" s="39">
        <f t="shared" si="32"/>
        <v>0</v>
      </c>
      <c r="GN221" s="2" t="s">
        <v>3</v>
      </c>
      <c r="GO221" s="2">
        <f t="shared" si="33"/>
        <v>43.37</v>
      </c>
      <c r="GP221" s="4">
        <f t="shared" si="34"/>
        <v>1.2</v>
      </c>
      <c r="GQ221" s="15">
        <f t="shared" si="35"/>
        <v>520.44000000000005</v>
      </c>
      <c r="GR221" s="15">
        <f t="shared" si="36"/>
        <v>6825.0501599999998</v>
      </c>
      <c r="GS221" s="15">
        <f t="shared" si="37"/>
        <v>157.36799999999999</v>
      </c>
      <c r="GT221" s="2">
        <f t="shared" si="38"/>
        <v>0</v>
      </c>
      <c r="GU221" s="2">
        <f t="shared" si="39"/>
        <v>0</v>
      </c>
      <c r="GV221" s="2">
        <f t="shared" si="40"/>
        <v>520.44000000000005</v>
      </c>
      <c r="GW221" s="2">
        <f t="shared" si="41"/>
        <v>0</v>
      </c>
      <c r="GX221" s="2"/>
      <c r="GY221" s="2"/>
      <c r="GZ221" s="2"/>
      <c r="HA221" s="2"/>
      <c r="HB221" s="2">
        <f t="shared" si="42"/>
        <v>0</v>
      </c>
      <c r="HC221" s="2">
        <f t="shared" si="43"/>
        <v>0</v>
      </c>
      <c r="HD221" s="2" t="s">
        <v>3</v>
      </c>
      <c r="HE221" s="2" t="s">
        <v>37</v>
      </c>
      <c r="HF221" s="2" t="s">
        <v>151</v>
      </c>
      <c r="HG221" s="2" t="s">
        <v>151</v>
      </c>
      <c r="HH221" s="2"/>
      <c r="HI221" s="2" t="s">
        <v>81</v>
      </c>
      <c r="HJ221" s="2" t="s">
        <v>3</v>
      </c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  <c r="JE221" s="2"/>
      <c r="JF221" s="2"/>
      <c r="JG221" s="2"/>
      <c r="JH221" s="2" t="s">
        <v>3</v>
      </c>
    </row>
    <row r="222" spans="1:268" ht="15.75" customHeight="1" x14ac:dyDescent="0.2">
      <c r="A222" s="13" t="s">
        <v>1059</v>
      </c>
      <c r="B222" s="2" t="s">
        <v>99</v>
      </c>
      <c r="C222" s="2"/>
      <c r="D222" s="2"/>
      <c r="E222" s="2" t="s">
        <v>78</v>
      </c>
      <c r="F222" s="2" t="s">
        <v>1060</v>
      </c>
      <c r="G222" s="2"/>
      <c r="H222" s="2" t="s">
        <v>242</v>
      </c>
      <c r="I222" s="2">
        <v>0</v>
      </c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>
        <v>0</v>
      </c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>
        <v>7.26</v>
      </c>
      <c r="AZ222" s="2"/>
      <c r="BA222" s="2"/>
      <c r="BB222" s="2"/>
      <c r="BC222" s="2"/>
      <c r="BD222" s="2"/>
      <c r="BE222" s="2"/>
      <c r="BF222" s="2"/>
      <c r="BG222" s="2">
        <v>1.54</v>
      </c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>
        <v>0</v>
      </c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>
        <v>0</v>
      </c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 t="s">
        <v>81</v>
      </c>
      <c r="DK222" s="2"/>
      <c r="DL222" s="2">
        <f t="shared" si="3"/>
        <v>1.54</v>
      </c>
      <c r="DM222" s="2">
        <f t="shared" si="4"/>
        <v>0</v>
      </c>
      <c r="DN222" s="2" t="s">
        <v>82</v>
      </c>
      <c r="DO222" s="2" t="s">
        <v>3</v>
      </c>
      <c r="DP222" s="2">
        <f t="shared" si="5"/>
        <v>0</v>
      </c>
      <c r="DQ222" s="2">
        <f t="shared" ref="DQ222:DR222" si="3751">K222*$I222+AF222*$AD222+BA222*$AY222</f>
        <v>0</v>
      </c>
      <c r="DR222" s="2">
        <f t="shared" si="3751"/>
        <v>0</v>
      </c>
      <c r="DS222" s="2">
        <f t="shared" ref="DS222:DX222" si="3752">(M222*$I222+AH222*$AD222+BC222*$AY222)/100</f>
        <v>0</v>
      </c>
      <c r="DT222" s="2">
        <f t="shared" si="3752"/>
        <v>0</v>
      </c>
      <c r="DU222" s="2">
        <f t="shared" si="3752"/>
        <v>0</v>
      </c>
      <c r="DV222" s="2">
        <f t="shared" si="3752"/>
        <v>0</v>
      </c>
      <c r="DW222" s="2">
        <f t="shared" si="3752"/>
        <v>0.111804</v>
      </c>
      <c r="DX222" s="2">
        <f t="shared" si="3752"/>
        <v>0</v>
      </c>
      <c r="DY222" s="2">
        <f t="shared" ref="DY222:EC222" si="3753">S222*$I222+AN222*$AD222+BI222*$AY222</f>
        <v>0</v>
      </c>
      <c r="DZ222" s="2">
        <f t="shared" si="3753"/>
        <v>0</v>
      </c>
      <c r="EA222" s="2">
        <f t="shared" si="3753"/>
        <v>0</v>
      </c>
      <c r="EB222" s="2">
        <f t="shared" si="3753"/>
        <v>0</v>
      </c>
      <c r="EC222" s="2">
        <f t="shared" si="3753"/>
        <v>0</v>
      </c>
      <c r="ED222" s="2">
        <f t="shared" ref="ED222:EE222" si="3754">(X222*$I222+AS222*$AD222+BN222*$AY222)/100</f>
        <v>0</v>
      </c>
      <c r="EE222" s="2">
        <f t="shared" si="3754"/>
        <v>0</v>
      </c>
      <c r="EF222" s="2"/>
      <c r="EG222" s="2">
        <f t="shared" si="10"/>
        <v>0</v>
      </c>
      <c r="EH222" s="2">
        <f t="shared" si="11"/>
        <v>0</v>
      </c>
      <c r="EI222" s="39">
        <f t="shared" si="12"/>
        <v>0</v>
      </c>
      <c r="EJ222" s="39">
        <f t="shared" ref="EJ222:EK222" si="3755">EJ$1*DQ222/1000000</f>
        <v>0</v>
      </c>
      <c r="EK222" s="39">
        <f t="shared" si="3755"/>
        <v>0</v>
      </c>
      <c r="EL222" s="39">
        <f t="shared" ref="EL222:EQ222" si="3756">EL$1*DS222</f>
        <v>0</v>
      </c>
      <c r="EM222" s="39">
        <f t="shared" si="3756"/>
        <v>0</v>
      </c>
      <c r="EN222" s="39">
        <f t="shared" si="3756"/>
        <v>0</v>
      </c>
      <c r="EO222" s="39">
        <f t="shared" si="3756"/>
        <v>0</v>
      </c>
      <c r="EP222" s="39">
        <f t="shared" si="3756"/>
        <v>1466.1976560000001</v>
      </c>
      <c r="EQ222" s="39">
        <f t="shared" si="3756"/>
        <v>0</v>
      </c>
      <c r="ER222" s="39">
        <f t="shared" ref="ER222:EV222" si="3757">ER$1*DY222/1000000</f>
        <v>0</v>
      </c>
      <c r="ES222" s="39">
        <f t="shared" si="3757"/>
        <v>0</v>
      </c>
      <c r="ET222" s="39">
        <f t="shared" si="3757"/>
        <v>0</v>
      </c>
      <c r="EU222" s="39">
        <f t="shared" si="3757"/>
        <v>0</v>
      </c>
      <c r="EV222" s="39">
        <f t="shared" si="3757"/>
        <v>0</v>
      </c>
      <c r="EW222" s="39">
        <f t="shared" ref="EW222:EX222" si="3758">EW$1*ED222</f>
        <v>0</v>
      </c>
      <c r="EX222" s="39">
        <f t="shared" si="3758"/>
        <v>0</v>
      </c>
      <c r="EY222" s="2"/>
      <c r="EZ222" s="39">
        <f t="shared" si="17"/>
        <v>0</v>
      </c>
      <c r="FA222" s="39">
        <f t="shared" si="18"/>
        <v>0</v>
      </c>
      <c r="FB222" s="2">
        <f t="shared" si="19"/>
        <v>0</v>
      </c>
      <c r="FC222" s="2">
        <f t="shared" ref="FC222:FD222" si="3759">BV222*$BT222+CQ222*$CO222</f>
        <v>0</v>
      </c>
      <c r="FD222" s="2">
        <f t="shared" si="3759"/>
        <v>0</v>
      </c>
      <c r="FE222" s="2">
        <f t="shared" ref="FE222:FJ222" si="3760">(BX222*$BT222+CS222*$CO222)/100</f>
        <v>0</v>
      </c>
      <c r="FF222" s="2">
        <f t="shared" si="3760"/>
        <v>0</v>
      </c>
      <c r="FG222" s="2">
        <f t="shared" si="3760"/>
        <v>0</v>
      </c>
      <c r="FH222" s="2">
        <f t="shared" si="3760"/>
        <v>0</v>
      </c>
      <c r="FI222" s="2">
        <f t="shared" si="3760"/>
        <v>0</v>
      </c>
      <c r="FJ222" s="2">
        <f t="shared" si="3760"/>
        <v>0</v>
      </c>
      <c r="FK222" s="2">
        <f t="shared" ref="FK222:FO222" si="3761">CD222*$BT222+CY222*$CO222</f>
        <v>0</v>
      </c>
      <c r="FL222" s="2">
        <f t="shared" si="3761"/>
        <v>0</v>
      </c>
      <c r="FM222" s="2">
        <f t="shared" si="3761"/>
        <v>0</v>
      </c>
      <c r="FN222" s="2">
        <f t="shared" si="3761"/>
        <v>0</v>
      </c>
      <c r="FO222" s="2">
        <f t="shared" si="3761"/>
        <v>0</v>
      </c>
      <c r="FP222" s="2">
        <f t="shared" ref="FP222:FQ222" si="3762">(CI222*$BT222+DD222*$CO222)/100</f>
        <v>0</v>
      </c>
      <c r="FQ222" s="2">
        <f t="shared" si="3762"/>
        <v>0</v>
      </c>
      <c r="FR222" s="2"/>
      <c r="FS222" s="2">
        <f t="shared" si="24"/>
        <v>0</v>
      </c>
      <c r="FT222" s="2">
        <f t="shared" si="25"/>
        <v>0</v>
      </c>
      <c r="FU222" s="39">
        <f t="shared" si="26"/>
        <v>0</v>
      </c>
      <c r="FV222" s="39">
        <f t="shared" ref="FV222:FW222" si="3763">FV$1*FC222/1000000</f>
        <v>0</v>
      </c>
      <c r="FW222" s="39">
        <f t="shared" si="3763"/>
        <v>0</v>
      </c>
      <c r="FX222" s="39">
        <f t="shared" ref="FX222:GC222" si="3764">FX$1*FE222</f>
        <v>0</v>
      </c>
      <c r="FY222" s="39">
        <f t="shared" si="3764"/>
        <v>0</v>
      </c>
      <c r="FZ222" s="39">
        <f t="shared" si="3764"/>
        <v>0</v>
      </c>
      <c r="GA222" s="39">
        <f t="shared" si="3764"/>
        <v>0</v>
      </c>
      <c r="GB222" s="39">
        <f t="shared" si="3764"/>
        <v>0</v>
      </c>
      <c r="GC222" s="39">
        <f t="shared" si="3764"/>
        <v>0</v>
      </c>
      <c r="GD222" s="39">
        <f t="shared" ref="GD222:GH222" si="3765">GD$1*FK222/1000000</f>
        <v>0</v>
      </c>
      <c r="GE222" s="39">
        <f t="shared" si="3765"/>
        <v>0</v>
      </c>
      <c r="GF222" s="39">
        <f t="shared" si="3765"/>
        <v>0</v>
      </c>
      <c r="GG222" s="39">
        <f t="shared" si="3765"/>
        <v>0</v>
      </c>
      <c r="GH222" s="39">
        <f t="shared" si="3765"/>
        <v>0</v>
      </c>
      <c r="GI222" s="39">
        <f t="shared" ref="GI222:GJ222" si="3766">GI$1*FP222</f>
        <v>0</v>
      </c>
      <c r="GJ222" s="39">
        <f t="shared" si="3766"/>
        <v>0</v>
      </c>
      <c r="GK222" s="2"/>
      <c r="GL222" s="39">
        <f t="shared" si="31"/>
        <v>0</v>
      </c>
      <c r="GM222" s="39">
        <f t="shared" si="32"/>
        <v>0</v>
      </c>
      <c r="GN222" s="2" t="s">
        <v>3</v>
      </c>
      <c r="GO222" s="2">
        <f t="shared" si="33"/>
        <v>7.26</v>
      </c>
      <c r="GP222" s="4">
        <f t="shared" si="34"/>
        <v>1.54</v>
      </c>
      <c r="GQ222" s="15">
        <f t="shared" si="35"/>
        <v>111.804</v>
      </c>
      <c r="GR222" s="15">
        <f t="shared" si="36"/>
        <v>1466.1976560000001</v>
      </c>
      <c r="GS222" s="15">
        <f t="shared" si="37"/>
        <v>201.9556</v>
      </c>
      <c r="GT222" s="2">
        <f t="shared" si="38"/>
        <v>0</v>
      </c>
      <c r="GU222" s="2">
        <f t="shared" si="39"/>
        <v>0</v>
      </c>
      <c r="GV222" s="2">
        <f t="shared" si="40"/>
        <v>111.80400000000002</v>
      </c>
      <c r="GW222" s="2">
        <f t="shared" si="41"/>
        <v>0</v>
      </c>
      <c r="GX222" s="2"/>
      <c r="GY222" s="2"/>
      <c r="GZ222" s="2"/>
      <c r="HA222" s="2"/>
      <c r="HB222" s="2">
        <f t="shared" si="42"/>
        <v>0</v>
      </c>
      <c r="HC222" s="2">
        <f t="shared" si="43"/>
        <v>0</v>
      </c>
      <c r="HD222" s="2" t="s">
        <v>3</v>
      </c>
      <c r="HE222" s="2" t="s">
        <v>37</v>
      </c>
      <c r="HF222" s="2" t="s">
        <v>151</v>
      </c>
      <c r="HG222" s="2" t="s">
        <v>151</v>
      </c>
      <c r="HH222" s="2"/>
      <c r="HI222" s="2" t="s">
        <v>81</v>
      </c>
      <c r="HJ222" s="2" t="s">
        <v>3</v>
      </c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  <c r="JA222" s="2"/>
      <c r="JB222" s="2"/>
      <c r="JC222" s="2"/>
      <c r="JD222" s="2"/>
      <c r="JE222" s="2"/>
      <c r="JF222" s="2"/>
      <c r="JG222" s="2"/>
      <c r="JH222" s="2" t="s">
        <v>3</v>
      </c>
    </row>
    <row r="223" spans="1:268" ht="15.75" customHeight="1" x14ac:dyDescent="0.2">
      <c r="A223" s="13" t="s">
        <v>1039</v>
      </c>
      <c r="B223" s="2" t="s">
        <v>109</v>
      </c>
      <c r="C223" s="29">
        <f>-5-34.246/60</f>
        <v>-5.5707666666666666</v>
      </c>
      <c r="D223" s="29">
        <f>145+12.236/60</f>
        <v>145.20393333333334</v>
      </c>
      <c r="E223" s="2" t="s">
        <v>78</v>
      </c>
      <c r="F223" s="2" t="s">
        <v>1040</v>
      </c>
      <c r="G223" s="2"/>
      <c r="H223" s="2" t="s">
        <v>80</v>
      </c>
      <c r="I223" s="2">
        <v>34</v>
      </c>
      <c r="J223" s="2"/>
      <c r="K223" s="2"/>
      <c r="L223" s="2"/>
      <c r="M223" s="2"/>
      <c r="N223" s="2"/>
      <c r="O223" s="2"/>
      <c r="P223" s="2"/>
      <c r="Q223" s="2">
        <v>0.9</v>
      </c>
      <c r="R223" s="2">
        <v>0.1</v>
      </c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>
        <v>42</v>
      </c>
      <c r="AE223" s="2"/>
      <c r="AF223" s="2"/>
      <c r="AG223" s="2"/>
      <c r="AH223" s="2"/>
      <c r="AI223" s="2"/>
      <c r="AJ223" s="2"/>
      <c r="AK223" s="2"/>
      <c r="AL223" s="2">
        <v>0.9</v>
      </c>
      <c r="AM223" s="2">
        <v>0.1</v>
      </c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>
        <v>60</v>
      </c>
      <c r="AZ223" s="2"/>
      <c r="BA223" s="2"/>
      <c r="BB223" s="2"/>
      <c r="BC223" s="2"/>
      <c r="BD223" s="2"/>
      <c r="BE223" s="2"/>
      <c r="BF223" s="2"/>
      <c r="BG223" s="15">
        <v>1</v>
      </c>
      <c r="BH223" s="2">
        <v>0.1</v>
      </c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>
        <v>24</v>
      </c>
      <c r="BU223" s="2"/>
      <c r="BV223" s="2"/>
      <c r="BW223" s="2"/>
      <c r="BX223" s="2"/>
      <c r="BY223" s="2"/>
      <c r="BZ223" s="2"/>
      <c r="CA223" s="2"/>
      <c r="CB223" s="2">
        <v>0.9</v>
      </c>
      <c r="CC223" s="2">
        <v>0.1</v>
      </c>
      <c r="CD223" s="2"/>
      <c r="CE223" s="2"/>
      <c r="CF223" s="2"/>
      <c r="CG223" s="2"/>
      <c r="CH223" s="2"/>
      <c r="CI223" s="2"/>
      <c r="CJ223" s="2">
        <v>33</v>
      </c>
      <c r="CK223" s="2">
        <v>0.9</v>
      </c>
      <c r="CL223" s="2"/>
      <c r="CM223" s="2"/>
      <c r="CN223" s="2"/>
      <c r="CO223" s="2">
        <v>33</v>
      </c>
      <c r="CP223" s="2"/>
      <c r="CQ223" s="2"/>
      <c r="CR223" s="2"/>
      <c r="CS223" s="2"/>
      <c r="CT223" s="2"/>
      <c r="CU223" s="2"/>
      <c r="CV223" s="2"/>
      <c r="CW223" s="2">
        <v>0.9</v>
      </c>
      <c r="CX223" s="2">
        <v>0.1</v>
      </c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 t="s">
        <v>81</v>
      </c>
      <c r="DK223" s="2" t="s">
        <v>81</v>
      </c>
      <c r="DL223" s="2">
        <f t="shared" si="3"/>
        <v>0.94411764705882362</v>
      </c>
      <c r="DM223" s="2">
        <f t="shared" si="4"/>
        <v>0.1</v>
      </c>
      <c r="DN223" s="2" t="s">
        <v>211</v>
      </c>
      <c r="DO223" s="2" t="s">
        <v>3</v>
      </c>
      <c r="DP223" s="2">
        <f t="shared" si="5"/>
        <v>0</v>
      </c>
      <c r="DQ223" s="2">
        <f t="shared" ref="DQ223:DR223" si="3767">K223*$I223+AF223*$AD223+BA223*$AY223</f>
        <v>0</v>
      </c>
      <c r="DR223" s="2">
        <f t="shared" si="3767"/>
        <v>0</v>
      </c>
      <c r="DS223" s="2">
        <f t="shared" ref="DS223:DX223" si="3768">(M223*$I223+AH223*$AD223+BC223*$AY223)/100</f>
        <v>0</v>
      </c>
      <c r="DT223" s="2">
        <f t="shared" si="3768"/>
        <v>0</v>
      </c>
      <c r="DU223" s="2">
        <f t="shared" si="3768"/>
        <v>0</v>
      </c>
      <c r="DV223" s="2">
        <f t="shared" si="3768"/>
        <v>0</v>
      </c>
      <c r="DW223" s="2">
        <f t="shared" si="3768"/>
        <v>1.284</v>
      </c>
      <c r="DX223" s="2">
        <f t="shared" si="3768"/>
        <v>0.13600000000000001</v>
      </c>
      <c r="DY223" s="2">
        <f t="shared" ref="DY223:EC223" si="3769">S223*$I223+AN223*$AD223+BI223*$AY223</f>
        <v>0</v>
      </c>
      <c r="DZ223" s="2">
        <f t="shared" si="3769"/>
        <v>0</v>
      </c>
      <c r="EA223" s="2">
        <f t="shared" si="3769"/>
        <v>0</v>
      </c>
      <c r="EB223" s="2">
        <f t="shared" si="3769"/>
        <v>0</v>
      </c>
      <c r="EC223" s="2">
        <f t="shared" si="3769"/>
        <v>0</v>
      </c>
      <c r="ED223" s="2">
        <f t="shared" ref="ED223:EE223" si="3770">(X223*$I223+AS223*$AD223+BN223*$AY223)/100</f>
        <v>0</v>
      </c>
      <c r="EE223" s="2">
        <f t="shared" si="3770"/>
        <v>0</v>
      </c>
      <c r="EF223" s="2"/>
      <c r="EG223" s="2">
        <f t="shared" si="10"/>
        <v>0</v>
      </c>
      <c r="EH223" s="2">
        <f t="shared" si="11"/>
        <v>0</v>
      </c>
      <c r="EI223" s="39">
        <f t="shared" si="12"/>
        <v>0</v>
      </c>
      <c r="EJ223" s="39">
        <f t="shared" ref="EJ223:EK223" si="3771">EJ$1*DQ223/1000000</f>
        <v>0</v>
      </c>
      <c r="EK223" s="39">
        <f t="shared" si="3771"/>
        <v>0</v>
      </c>
      <c r="EL223" s="39">
        <f t="shared" ref="EL223:EQ223" si="3772">EL$1*DS223</f>
        <v>0</v>
      </c>
      <c r="EM223" s="39">
        <f t="shared" si="3772"/>
        <v>0</v>
      </c>
      <c r="EN223" s="39">
        <f t="shared" si="3772"/>
        <v>0</v>
      </c>
      <c r="EO223" s="39">
        <f t="shared" si="3772"/>
        <v>0</v>
      </c>
      <c r="EP223" s="39">
        <f t="shared" si="3772"/>
        <v>16838.376</v>
      </c>
      <c r="EQ223" s="39">
        <f t="shared" si="3772"/>
        <v>9876.2552639999994</v>
      </c>
      <c r="ER223" s="39">
        <f t="shared" ref="ER223:EV223" si="3773">ER$1*DY223/1000000</f>
        <v>0</v>
      </c>
      <c r="ES223" s="39">
        <f t="shared" si="3773"/>
        <v>0</v>
      </c>
      <c r="ET223" s="39">
        <f t="shared" si="3773"/>
        <v>0</v>
      </c>
      <c r="EU223" s="39">
        <f t="shared" si="3773"/>
        <v>0</v>
      </c>
      <c r="EV223" s="39">
        <f t="shared" si="3773"/>
        <v>0</v>
      </c>
      <c r="EW223" s="39">
        <f t="shared" ref="EW223:EX223" si="3774">EW$1*ED223</f>
        <v>0</v>
      </c>
      <c r="EX223" s="39">
        <f t="shared" si="3774"/>
        <v>0</v>
      </c>
      <c r="EY223" s="2"/>
      <c r="EZ223" s="39">
        <f t="shared" si="17"/>
        <v>0</v>
      </c>
      <c r="FA223" s="39">
        <f t="shared" si="18"/>
        <v>0</v>
      </c>
      <c r="FB223" s="2">
        <f t="shared" si="19"/>
        <v>0</v>
      </c>
      <c r="FC223" s="2">
        <f t="shared" ref="FC223:FD223" si="3775">BV223*$BT223+CQ223*$CO223</f>
        <v>0</v>
      </c>
      <c r="FD223" s="2">
        <f t="shared" si="3775"/>
        <v>0</v>
      </c>
      <c r="FE223" s="2">
        <f t="shared" ref="FE223:FJ223" si="3776">(BX223*$BT223+CS223*$CO223)/100</f>
        <v>0</v>
      </c>
      <c r="FF223" s="2">
        <f t="shared" si="3776"/>
        <v>0</v>
      </c>
      <c r="FG223" s="2">
        <f t="shared" si="3776"/>
        <v>0</v>
      </c>
      <c r="FH223" s="2">
        <f t="shared" si="3776"/>
        <v>0</v>
      </c>
      <c r="FI223" s="2">
        <f t="shared" si="3776"/>
        <v>0.51300000000000001</v>
      </c>
      <c r="FJ223" s="2">
        <f t="shared" si="3776"/>
        <v>5.7000000000000009E-2</v>
      </c>
      <c r="FK223" s="2">
        <f t="shared" ref="FK223:FO223" si="3777">CD223*$BT223+CY223*$CO223</f>
        <v>0</v>
      </c>
      <c r="FL223" s="2">
        <f t="shared" si="3777"/>
        <v>0</v>
      </c>
      <c r="FM223" s="2">
        <f t="shared" si="3777"/>
        <v>0</v>
      </c>
      <c r="FN223" s="2">
        <f t="shared" si="3777"/>
        <v>0</v>
      </c>
      <c r="FO223" s="2">
        <f t="shared" si="3777"/>
        <v>0</v>
      </c>
      <c r="FP223" s="2">
        <f t="shared" ref="FP223:FQ223" si="3778">(CI223*$BT223+DD223*$CO223)/100</f>
        <v>0</v>
      </c>
      <c r="FQ223" s="2">
        <f t="shared" si="3778"/>
        <v>7.92</v>
      </c>
      <c r="FR223" s="2"/>
      <c r="FS223" s="2">
        <f t="shared" si="24"/>
        <v>0</v>
      </c>
      <c r="FT223" s="2">
        <f t="shared" si="25"/>
        <v>0</v>
      </c>
      <c r="FU223" s="39">
        <f t="shared" si="26"/>
        <v>0</v>
      </c>
      <c r="FV223" s="39">
        <f t="shared" ref="FV223:FW223" si="3779">FV$1*FC223/1000000</f>
        <v>0</v>
      </c>
      <c r="FW223" s="39">
        <f t="shared" si="3779"/>
        <v>0</v>
      </c>
      <c r="FX223" s="39">
        <f t="shared" ref="FX223:GC223" si="3780">FX$1*FE223</f>
        <v>0</v>
      </c>
      <c r="FY223" s="39">
        <f t="shared" si="3780"/>
        <v>0</v>
      </c>
      <c r="FZ223" s="39">
        <f t="shared" si="3780"/>
        <v>0</v>
      </c>
      <c r="GA223" s="39">
        <f t="shared" si="3780"/>
        <v>0</v>
      </c>
      <c r="GB223" s="39">
        <f t="shared" si="3780"/>
        <v>6727.482</v>
      </c>
      <c r="GC223" s="39">
        <f t="shared" si="3780"/>
        <v>4139.312868</v>
      </c>
      <c r="GD223" s="39">
        <f t="shared" ref="GD223:GH223" si="3781">GD$1*FK223/1000000</f>
        <v>0</v>
      </c>
      <c r="GE223" s="39">
        <f t="shared" si="3781"/>
        <v>0</v>
      </c>
      <c r="GF223" s="39">
        <f t="shared" si="3781"/>
        <v>0</v>
      </c>
      <c r="GG223" s="39">
        <f t="shared" si="3781"/>
        <v>0</v>
      </c>
      <c r="GH223" s="39">
        <f t="shared" si="3781"/>
        <v>0</v>
      </c>
      <c r="GI223" s="39">
        <f t="shared" ref="GI223:GJ223" si="3782">GI$1*FP223</f>
        <v>0</v>
      </c>
      <c r="GJ223" s="39">
        <f t="shared" si="3782"/>
        <v>736.56</v>
      </c>
      <c r="GK223" s="2"/>
      <c r="GL223" s="39">
        <f t="shared" si="31"/>
        <v>0</v>
      </c>
      <c r="GM223" s="39">
        <f t="shared" si="32"/>
        <v>0</v>
      </c>
      <c r="GN223" s="2" t="s">
        <v>3</v>
      </c>
      <c r="GO223" s="2">
        <f t="shared" si="33"/>
        <v>136</v>
      </c>
      <c r="GP223" s="4">
        <f t="shared" si="34"/>
        <v>0.94411764705882362</v>
      </c>
      <c r="GQ223" s="18">
        <f t="shared" si="35"/>
        <v>1284.0000000000002</v>
      </c>
      <c r="GR223" s="15">
        <f t="shared" si="36"/>
        <v>26714.631264</v>
      </c>
      <c r="GS223" s="15">
        <f t="shared" si="37"/>
        <v>196.43111223529411</v>
      </c>
      <c r="GT223" s="2">
        <f t="shared" si="38"/>
        <v>306</v>
      </c>
      <c r="GU223" s="2">
        <f t="shared" si="39"/>
        <v>378.00000000000006</v>
      </c>
      <c r="GV223" s="2">
        <f t="shared" si="40"/>
        <v>600</v>
      </c>
      <c r="GW223" s="2">
        <f t="shared" si="41"/>
        <v>57</v>
      </c>
      <c r="GX223" s="2">
        <f>(BT223*CB223+CO223*CW223)/GW223</f>
        <v>0.89999999999999991</v>
      </c>
      <c r="GY223" s="15">
        <f>1000*GW223*GX223/100</f>
        <v>512.99999999999989</v>
      </c>
      <c r="GZ223" s="15">
        <f>SUM(FU223:GM223)</f>
        <v>11603.354868</v>
      </c>
      <c r="HA223" s="15">
        <f>GZ223/GW223</f>
        <v>203.5676292631579</v>
      </c>
      <c r="HB223" s="2">
        <f t="shared" si="42"/>
        <v>216</v>
      </c>
      <c r="HC223" s="2">
        <f t="shared" si="43"/>
        <v>297</v>
      </c>
      <c r="HD223" s="2" t="s">
        <v>3</v>
      </c>
      <c r="HE223" s="2" t="s">
        <v>37</v>
      </c>
      <c r="HF223" s="2" t="s">
        <v>235</v>
      </c>
      <c r="HG223" s="2" t="s">
        <v>235</v>
      </c>
      <c r="HH223" s="2"/>
      <c r="HI223" s="2" t="s">
        <v>81</v>
      </c>
      <c r="HJ223" s="2" t="s">
        <v>3</v>
      </c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/>
      <c r="JF223" s="2"/>
      <c r="JG223" s="2"/>
      <c r="JH223" s="2" t="s">
        <v>3</v>
      </c>
    </row>
    <row r="224" spans="1:268" ht="15.75" customHeight="1" x14ac:dyDescent="0.2">
      <c r="A224" s="13" t="s">
        <v>1318</v>
      </c>
      <c r="B224" s="2" t="s">
        <v>99</v>
      </c>
      <c r="C224" s="29">
        <f>-9-30/60</f>
        <v>-9.5</v>
      </c>
      <c r="D224" s="29">
        <f>148+34/60</f>
        <v>148.56666666666666</v>
      </c>
      <c r="E224" s="2" t="s">
        <v>78</v>
      </c>
      <c r="F224" s="2" t="s">
        <v>1319</v>
      </c>
      <c r="G224" s="2"/>
      <c r="H224" s="2" t="s">
        <v>242</v>
      </c>
      <c r="I224" s="2">
        <v>0</v>
      </c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>
        <v>72</v>
      </c>
      <c r="AE224" s="2"/>
      <c r="AF224" s="2"/>
      <c r="AG224" s="2"/>
      <c r="AH224" s="2"/>
      <c r="AI224" s="2"/>
      <c r="AJ224" s="2"/>
      <c r="AK224" s="2"/>
      <c r="AL224" s="2">
        <v>1.03</v>
      </c>
      <c r="AM224" s="2">
        <v>7.0000000000000007E-2</v>
      </c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>
        <v>53</v>
      </c>
      <c r="AZ224" s="2"/>
      <c r="BA224" s="2"/>
      <c r="BB224" s="2"/>
      <c r="BC224" s="2"/>
      <c r="BD224" s="2"/>
      <c r="BE224" s="2"/>
      <c r="BF224" s="2"/>
      <c r="BG224" s="2">
        <v>1.08</v>
      </c>
      <c r="BH224" s="2">
        <v>0.06</v>
      </c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>
        <v>0</v>
      </c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>
        <v>0</v>
      </c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 t="s">
        <v>81</v>
      </c>
      <c r="DK224" s="2" t="s">
        <v>81</v>
      </c>
      <c r="DL224" s="2">
        <f t="shared" si="3"/>
        <v>1.0512000000000001</v>
      </c>
      <c r="DM224" s="2">
        <f t="shared" si="4"/>
        <v>6.5759999999999999E-2</v>
      </c>
      <c r="DN224" s="2" t="s">
        <v>211</v>
      </c>
      <c r="DO224" s="2" t="s">
        <v>3</v>
      </c>
      <c r="DP224" s="2">
        <f t="shared" si="5"/>
        <v>0</v>
      </c>
      <c r="DQ224" s="2">
        <f t="shared" ref="DQ224:DR224" si="3783">K224*$I224+AF224*$AD224+BA224*$AY224</f>
        <v>0</v>
      </c>
      <c r="DR224" s="2">
        <f t="shared" si="3783"/>
        <v>0</v>
      </c>
      <c r="DS224" s="2">
        <f t="shared" ref="DS224:DX224" si="3784">(M224*$I224+AH224*$AD224+BC224*$AY224)/100</f>
        <v>0</v>
      </c>
      <c r="DT224" s="2">
        <f t="shared" si="3784"/>
        <v>0</v>
      </c>
      <c r="DU224" s="2">
        <f t="shared" si="3784"/>
        <v>0</v>
      </c>
      <c r="DV224" s="2">
        <f t="shared" si="3784"/>
        <v>0</v>
      </c>
      <c r="DW224" s="2">
        <f t="shared" si="3784"/>
        <v>1.3140000000000001</v>
      </c>
      <c r="DX224" s="2">
        <f t="shared" si="3784"/>
        <v>8.2200000000000009E-2</v>
      </c>
      <c r="DY224" s="2">
        <f t="shared" ref="DY224:EC224" si="3785">S224*$I224+AN224*$AD224+BI224*$AY224</f>
        <v>0</v>
      </c>
      <c r="DZ224" s="2">
        <f t="shared" si="3785"/>
        <v>0</v>
      </c>
      <c r="EA224" s="2">
        <f t="shared" si="3785"/>
        <v>0</v>
      </c>
      <c r="EB224" s="2">
        <f t="shared" si="3785"/>
        <v>0</v>
      </c>
      <c r="EC224" s="2">
        <f t="shared" si="3785"/>
        <v>0</v>
      </c>
      <c r="ED224" s="2">
        <f t="shared" ref="ED224:EE224" si="3786">(X224*$I224+AS224*$AD224+BN224*$AY224)/100</f>
        <v>0</v>
      </c>
      <c r="EE224" s="2">
        <f t="shared" si="3786"/>
        <v>0</v>
      </c>
      <c r="EF224" s="2"/>
      <c r="EG224" s="2">
        <f t="shared" si="10"/>
        <v>0</v>
      </c>
      <c r="EH224" s="2">
        <f t="shared" si="11"/>
        <v>0</v>
      </c>
      <c r="EI224" s="39">
        <f t="shared" si="12"/>
        <v>0</v>
      </c>
      <c r="EJ224" s="39">
        <f t="shared" ref="EJ224:EK224" si="3787">EJ$1*DQ224/1000000</f>
        <v>0</v>
      </c>
      <c r="EK224" s="39">
        <f t="shared" si="3787"/>
        <v>0</v>
      </c>
      <c r="EL224" s="39">
        <f t="shared" ref="EL224:EQ224" si="3788">EL$1*DS224</f>
        <v>0</v>
      </c>
      <c r="EM224" s="39">
        <f t="shared" si="3788"/>
        <v>0</v>
      </c>
      <c r="EN224" s="39">
        <f t="shared" si="3788"/>
        <v>0</v>
      </c>
      <c r="EO224" s="39">
        <f t="shared" si="3788"/>
        <v>0</v>
      </c>
      <c r="EP224" s="39">
        <f t="shared" si="3788"/>
        <v>17231.796000000002</v>
      </c>
      <c r="EQ224" s="39">
        <f t="shared" si="3788"/>
        <v>5969.3248727999999</v>
      </c>
      <c r="ER224" s="39">
        <f t="shared" ref="ER224:EV224" si="3789">ER$1*DY224/1000000</f>
        <v>0</v>
      </c>
      <c r="ES224" s="39">
        <f t="shared" si="3789"/>
        <v>0</v>
      </c>
      <c r="ET224" s="39">
        <f t="shared" si="3789"/>
        <v>0</v>
      </c>
      <c r="EU224" s="39">
        <f t="shared" si="3789"/>
        <v>0</v>
      </c>
      <c r="EV224" s="39">
        <f t="shared" si="3789"/>
        <v>0</v>
      </c>
      <c r="EW224" s="39">
        <f t="shared" ref="EW224:EX224" si="3790">EW$1*ED224</f>
        <v>0</v>
      </c>
      <c r="EX224" s="39">
        <f t="shared" si="3790"/>
        <v>0</v>
      </c>
      <c r="EY224" s="2"/>
      <c r="EZ224" s="39">
        <f t="shared" si="17"/>
        <v>0</v>
      </c>
      <c r="FA224" s="39">
        <f t="shared" si="18"/>
        <v>0</v>
      </c>
      <c r="FB224" s="2">
        <f t="shared" si="19"/>
        <v>0</v>
      </c>
      <c r="FC224" s="2">
        <f t="shared" ref="FC224:FD224" si="3791">BV224*$BT224+CQ224*$CO224</f>
        <v>0</v>
      </c>
      <c r="FD224" s="2">
        <f t="shared" si="3791"/>
        <v>0</v>
      </c>
      <c r="FE224" s="2">
        <f t="shared" ref="FE224:FJ224" si="3792">(BX224*$BT224+CS224*$CO224)/100</f>
        <v>0</v>
      </c>
      <c r="FF224" s="2">
        <f t="shared" si="3792"/>
        <v>0</v>
      </c>
      <c r="FG224" s="2">
        <f t="shared" si="3792"/>
        <v>0</v>
      </c>
      <c r="FH224" s="2">
        <f t="shared" si="3792"/>
        <v>0</v>
      </c>
      <c r="FI224" s="2">
        <f t="shared" si="3792"/>
        <v>0</v>
      </c>
      <c r="FJ224" s="2">
        <f t="shared" si="3792"/>
        <v>0</v>
      </c>
      <c r="FK224" s="2">
        <f t="shared" ref="FK224:FO224" si="3793">CD224*$BT224+CY224*$CO224</f>
        <v>0</v>
      </c>
      <c r="FL224" s="2">
        <f t="shared" si="3793"/>
        <v>0</v>
      </c>
      <c r="FM224" s="2">
        <f t="shared" si="3793"/>
        <v>0</v>
      </c>
      <c r="FN224" s="2">
        <f t="shared" si="3793"/>
        <v>0</v>
      </c>
      <c r="FO224" s="2">
        <f t="shared" si="3793"/>
        <v>0</v>
      </c>
      <c r="FP224" s="2">
        <f t="shared" ref="FP224:FQ224" si="3794">(CI224*$BT224+DD224*$CO224)/100</f>
        <v>0</v>
      </c>
      <c r="FQ224" s="2">
        <f t="shared" si="3794"/>
        <v>0</v>
      </c>
      <c r="FR224" s="2"/>
      <c r="FS224" s="2">
        <f t="shared" si="24"/>
        <v>0</v>
      </c>
      <c r="FT224" s="2">
        <f t="shared" si="25"/>
        <v>0</v>
      </c>
      <c r="FU224" s="39">
        <f t="shared" si="26"/>
        <v>0</v>
      </c>
      <c r="FV224" s="39">
        <f t="shared" ref="FV224:FW224" si="3795">FV$1*FC224/1000000</f>
        <v>0</v>
      </c>
      <c r="FW224" s="39">
        <f t="shared" si="3795"/>
        <v>0</v>
      </c>
      <c r="FX224" s="39">
        <f t="shared" ref="FX224:GC224" si="3796">FX$1*FE224</f>
        <v>0</v>
      </c>
      <c r="FY224" s="39">
        <f t="shared" si="3796"/>
        <v>0</v>
      </c>
      <c r="FZ224" s="39">
        <f t="shared" si="3796"/>
        <v>0</v>
      </c>
      <c r="GA224" s="39">
        <f t="shared" si="3796"/>
        <v>0</v>
      </c>
      <c r="GB224" s="39">
        <f t="shared" si="3796"/>
        <v>0</v>
      </c>
      <c r="GC224" s="39">
        <f t="shared" si="3796"/>
        <v>0</v>
      </c>
      <c r="GD224" s="39">
        <f t="shared" ref="GD224:GH224" si="3797">GD$1*FK224/1000000</f>
        <v>0</v>
      </c>
      <c r="GE224" s="39">
        <f t="shared" si="3797"/>
        <v>0</v>
      </c>
      <c r="GF224" s="39">
        <f t="shared" si="3797"/>
        <v>0</v>
      </c>
      <c r="GG224" s="39">
        <f t="shared" si="3797"/>
        <v>0</v>
      </c>
      <c r="GH224" s="39">
        <f t="shared" si="3797"/>
        <v>0</v>
      </c>
      <c r="GI224" s="39">
        <f t="shared" ref="GI224:GJ224" si="3798">GI$1*FP224</f>
        <v>0</v>
      </c>
      <c r="GJ224" s="39">
        <f t="shared" si="3798"/>
        <v>0</v>
      </c>
      <c r="GK224" s="2"/>
      <c r="GL224" s="39">
        <f t="shared" si="31"/>
        <v>0</v>
      </c>
      <c r="GM224" s="39">
        <f t="shared" si="32"/>
        <v>0</v>
      </c>
      <c r="GN224" s="2" t="s">
        <v>3</v>
      </c>
      <c r="GO224" s="2">
        <f t="shared" si="33"/>
        <v>125</v>
      </c>
      <c r="GP224" s="4">
        <f t="shared" si="34"/>
        <v>1.0512000000000001</v>
      </c>
      <c r="GQ224" s="18">
        <f t="shared" si="35"/>
        <v>1314.0000000000002</v>
      </c>
      <c r="GR224" s="15">
        <f t="shared" si="36"/>
        <v>23201.120872800002</v>
      </c>
      <c r="GS224" s="15">
        <f t="shared" si="37"/>
        <v>185.60896698240001</v>
      </c>
      <c r="GT224" s="2">
        <f t="shared" si="38"/>
        <v>0</v>
      </c>
      <c r="GU224" s="2">
        <f t="shared" si="39"/>
        <v>741.6</v>
      </c>
      <c r="GV224" s="2">
        <f t="shared" si="40"/>
        <v>572.4</v>
      </c>
      <c r="GW224" s="2">
        <f t="shared" si="41"/>
        <v>0</v>
      </c>
      <c r="GX224" s="2"/>
      <c r="GY224" s="2"/>
      <c r="GZ224" s="2"/>
      <c r="HA224" s="2"/>
      <c r="HB224" s="2">
        <f t="shared" si="42"/>
        <v>0</v>
      </c>
      <c r="HC224" s="2">
        <f t="shared" si="43"/>
        <v>0</v>
      </c>
      <c r="HD224" s="2" t="s">
        <v>3</v>
      </c>
      <c r="HE224" s="2" t="s">
        <v>37</v>
      </c>
      <c r="HF224" s="2" t="s">
        <v>235</v>
      </c>
      <c r="HG224" s="2" t="s">
        <v>235</v>
      </c>
      <c r="HH224" s="2"/>
      <c r="HI224" s="2" t="s">
        <v>81</v>
      </c>
      <c r="HJ224" s="2" t="s">
        <v>3</v>
      </c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  <c r="JE224" s="2"/>
      <c r="JF224" s="2"/>
      <c r="JG224" s="2"/>
      <c r="JH224" s="2" t="s">
        <v>3</v>
      </c>
    </row>
    <row r="225" spans="1:268" ht="15.75" customHeight="1" x14ac:dyDescent="0.2">
      <c r="A225" s="13" t="s">
        <v>561</v>
      </c>
      <c r="B225" s="2" t="s">
        <v>109</v>
      </c>
      <c r="C225" s="2"/>
      <c r="D225" s="2"/>
      <c r="E225" s="2"/>
      <c r="F225" s="2" t="s">
        <v>562</v>
      </c>
      <c r="G225" s="2"/>
      <c r="H225" s="2"/>
      <c r="I225" s="2">
        <v>1.9</v>
      </c>
      <c r="J225" s="2"/>
      <c r="K225" s="2"/>
      <c r="L225" s="2"/>
      <c r="M225" s="2"/>
      <c r="N225" s="2"/>
      <c r="O225" s="2"/>
      <c r="P225" s="2"/>
      <c r="Q225" s="2">
        <v>1.4</v>
      </c>
      <c r="R225" s="2">
        <v>7.0000000000000007E-2</v>
      </c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>
        <v>6.9</v>
      </c>
      <c r="AE225" s="2"/>
      <c r="AF225" s="2"/>
      <c r="AG225" s="2"/>
      <c r="AH225" s="2"/>
      <c r="AI225" s="2"/>
      <c r="AJ225" s="2"/>
      <c r="AK225" s="2"/>
      <c r="AL225" s="2">
        <v>1.3</v>
      </c>
      <c r="AM225" s="2">
        <v>7.0000000000000007E-2</v>
      </c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>
        <v>7.2</v>
      </c>
      <c r="AZ225" s="2"/>
      <c r="BA225" s="2"/>
      <c r="BB225" s="2"/>
      <c r="BC225" s="2"/>
      <c r="BD225" s="2"/>
      <c r="BE225" s="2"/>
      <c r="BF225" s="2"/>
      <c r="BG225" s="2">
        <v>1.2</v>
      </c>
      <c r="BH225" s="2">
        <v>7.0000000000000007E-2</v>
      </c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>
        <v>0</v>
      </c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>
        <v>0</v>
      </c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 t="s">
        <v>81</v>
      </c>
      <c r="DK225" s="2" t="s">
        <v>81</v>
      </c>
      <c r="DL225" s="2">
        <f t="shared" si="3"/>
        <v>1.2668750000000002</v>
      </c>
      <c r="DM225" s="2">
        <f t="shared" si="4"/>
        <v>7.0000000000000007E-2</v>
      </c>
      <c r="DN225" s="2" t="s">
        <v>563</v>
      </c>
      <c r="DO225" s="2" t="s">
        <v>3</v>
      </c>
      <c r="DP225" s="2">
        <f t="shared" si="5"/>
        <v>0</v>
      </c>
      <c r="DQ225" s="2">
        <f t="shared" ref="DQ225:DR225" si="3799">K225*$I225+AF225*$AD225+BA225*$AY225</f>
        <v>0</v>
      </c>
      <c r="DR225" s="2">
        <f t="shared" si="3799"/>
        <v>0</v>
      </c>
      <c r="DS225" s="2">
        <f t="shared" ref="DS225:DX225" si="3800">(M225*$I225+AH225*$AD225+BC225*$AY225)/100</f>
        <v>0</v>
      </c>
      <c r="DT225" s="2">
        <f t="shared" si="3800"/>
        <v>0</v>
      </c>
      <c r="DU225" s="2">
        <f t="shared" si="3800"/>
        <v>0</v>
      </c>
      <c r="DV225" s="2">
        <f t="shared" si="3800"/>
        <v>0</v>
      </c>
      <c r="DW225" s="2">
        <f t="shared" si="3800"/>
        <v>0.20270000000000002</v>
      </c>
      <c r="DX225" s="2">
        <f t="shared" si="3800"/>
        <v>1.1200000000000002E-2</v>
      </c>
      <c r="DY225" s="2">
        <f t="shared" ref="DY225:EC225" si="3801">S225*$I225+AN225*$AD225+BI225*$AY225</f>
        <v>0</v>
      </c>
      <c r="DZ225" s="2">
        <f t="shared" si="3801"/>
        <v>0</v>
      </c>
      <c r="EA225" s="2">
        <f t="shared" si="3801"/>
        <v>0</v>
      </c>
      <c r="EB225" s="2">
        <f t="shared" si="3801"/>
        <v>0</v>
      </c>
      <c r="EC225" s="2">
        <f t="shared" si="3801"/>
        <v>0</v>
      </c>
      <c r="ED225" s="2">
        <f t="shared" ref="ED225:EE225" si="3802">(X225*$I225+AS225*$AD225+BN225*$AY225)/100</f>
        <v>0</v>
      </c>
      <c r="EE225" s="2">
        <f t="shared" si="3802"/>
        <v>0</v>
      </c>
      <c r="EF225" s="2"/>
      <c r="EG225" s="2">
        <f t="shared" si="10"/>
        <v>0</v>
      </c>
      <c r="EH225" s="2">
        <f t="shared" si="11"/>
        <v>0</v>
      </c>
      <c r="EI225" s="39">
        <f t="shared" si="12"/>
        <v>0</v>
      </c>
      <c r="EJ225" s="39">
        <f t="shared" ref="EJ225:EK225" si="3803">EJ$1*DQ225/1000000</f>
        <v>0</v>
      </c>
      <c r="EK225" s="39">
        <f t="shared" si="3803"/>
        <v>0</v>
      </c>
      <c r="EL225" s="39">
        <f t="shared" ref="EL225:EQ225" si="3804">EL$1*DS225</f>
        <v>0</v>
      </c>
      <c r="EM225" s="39">
        <f t="shared" si="3804"/>
        <v>0</v>
      </c>
      <c r="EN225" s="39">
        <f t="shared" si="3804"/>
        <v>0</v>
      </c>
      <c r="EO225" s="39">
        <f t="shared" si="3804"/>
        <v>0</v>
      </c>
      <c r="EP225" s="39">
        <f t="shared" si="3804"/>
        <v>2658.2078000000001</v>
      </c>
      <c r="EQ225" s="39">
        <f t="shared" si="3804"/>
        <v>813.33866880000005</v>
      </c>
      <c r="ER225" s="39">
        <f t="shared" ref="ER225:EV225" si="3805">ER$1*DY225/1000000</f>
        <v>0</v>
      </c>
      <c r="ES225" s="39">
        <f t="shared" si="3805"/>
        <v>0</v>
      </c>
      <c r="ET225" s="39">
        <f t="shared" si="3805"/>
        <v>0</v>
      </c>
      <c r="EU225" s="39">
        <f t="shared" si="3805"/>
        <v>0</v>
      </c>
      <c r="EV225" s="39">
        <f t="shared" si="3805"/>
        <v>0</v>
      </c>
      <c r="EW225" s="39">
        <f t="shared" ref="EW225:EX225" si="3806">EW$1*ED225</f>
        <v>0</v>
      </c>
      <c r="EX225" s="39">
        <f t="shared" si="3806"/>
        <v>0</v>
      </c>
      <c r="EY225" s="2"/>
      <c r="EZ225" s="39">
        <f t="shared" si="17"/>
        <v>0</v>
      </c>
      <c r="FA225" s="39">
        <f t="shared" si="18"/>
        <v>0</v>
      </c>
      <c r="FB225" s="2">
        <f t="shared" si="19"/>
        <v>0</v>
      </c>
      <c r="FC225" s="2">
        <f t="shared" ref="FC225:FD225" si="3807">BV225*$BT225+CQ225*$CO225</f>
        <v>0</v>
      </c>
      <c r="FD225" s="2">
        <f t="shared" si="3807"/>
        <v>0</v>
      </c>
      <c r="FE225" s="2">
        <f t="shared" ref="FE225:FJ225" si="3808">(BX225*$BT225+CS225*$CO225)/100</f>
        <v>0</v>
      </c>
      <c r="FF225" s="2">
        <f t="shared" si="3808"/>
        <v>0</v>
      </c>
      <c r="FG225" s="2">
        <f t="shared" si="3808"/>
        <v>0</v>
      </c>
      <c r="FH225" s="2">
        <f t="shared" si="3808"/>
        <v>0</v>
      </c>
      <c r="FI225" s="2">
        <f t="shared" si="3808"/>
        <v>0</v>
      </c>
      <c r="FJ225" s="2">
        <f t="shared" si="3808"/>
        <v>0</v>
      </c>
      <c r="FK225" s="2">
        <f t="shared" ref="FK225:FO225" si="3809">CD225*$BT225+CY225*$CO225</f>
        <v>0</v>
      </c>
      <c r="FL225" s="2">
        <f t="shared" si="3809"/>
        <v>0</v>
      </c>
      <c r="FM225" s="2">
        <f t="shared" si="3809"/>
        <v>0</v>
      </c>
      <c r="FN225" s="2">
        <f t="shared" si="3809"/>
        <v>0</v>
      </c>
      <c r="FO225" s="2">
        <f t="shared" si="3809"/>
        <v>0</v>
      </c>
      <c r="FP225" s="2">
        <f t="shared" ref="FP225:FQ225" si="3810">(CI225*$BT225+DD225*$CO225)/100</f>
        <v>0</v>
      </c>
      <c r="FQ225" s="2">
        <f t="shared" si="3810"/>
        <v>0</v>
      </c>
      <c r="FR225" s="2"/>
      <c r="FS225" s="2">
        <f t="shared" si="24"/>
        <v>0</v>
      </c>
      <c r="FT225" s="2">
        <f t="shared" si="25"/>
        <v>0</v>
      </c>
      <c r="FU225" s="39">
        <f t="shared" si="26"/>
        <v>0</v>
      </c>
      <c r="FV225" s="39">
        <f t="shared" ref="FV225:FW225" si="3811">FV$1*FC225/1000000</f>
        <v>0</v>
      </c>
      <c r="FW225" s="39">
        <f t="shared" si="3811"/>
        <v>0</v>
      </c>
      <c r="FX225" s="39">
        <f t="shared" ref="FX225:GC225" si="3812">FX$1*FE225</f>
        <v>0</v>
      </c>
      <c r="FY225" s="39">
        <f t="shared" si="3812"/>
        <v>0</v>
      </c>
      <c r="FZ225" s="39">
        <f t="shared" si="3812"/>
        <v>0</v>
      </c>
      <c r="GA225" s="39">
        <f t="shared" si="3812"/>
        <v>0</v>
      </c>
      <c r="GB225" s="39">
        <f t="shared" si="3812"/>
        <v>0</v>
      </c>
      <c r="GC225" s="39">
        <f t="shared" si="3812"/>
        <v>0</v>
      </c>
      <c r="GD225" s="39">
        <f t="shared" ref="GD225:GH225" si="3813">GD$1*FK225/1000000</f>
        <v>0</v>
      </c>
      <c r="GE225" s="39">
        <f t="shared" si="3813"/>
        <v>0</v>
      </c>
      <c r="GF225" s="39">
        <f t="shared" si="3813"/>
        <v>0</v>
      </c>
      <c r="GG225" s="39">
        <f t="shared" si="3813"/>
        <v>0</v>
      </c>
      <c r="GH225" s="39">
        <f t="shared" si="3813"/>
        <v>0</v>
      </c>
      <c r="GI225" s="39">
        <f t="shared" ref="GI225:GJ225" si="3814">GI$1*FP225</f>
        <v>0</v>
      </c>
      <c r="GJ225" s="39">
        <f t="shared" si="3814"/>
        <v>0</v>
      </c>
      <c r="GK225" s="2"/>
      <c r="GL225" s="39">
        <f t="shared" si="31"/>
        <v>0</v>
      </c>
      <c r="GM225" s="39">
        <f t="shared" si="32"/>
        <v>0</v>
      </c>
      <c r="GN225" s="2" t="s">
        <v>3</v>
      </c>
      <c r="GO225" s="2">
        <f t="shared" si="33"/>
        <v>16</v>
      </c>
      <c r="GP225" s="4">
        <f t="shared" si="34"/>
        <v>1.2668750000000002</v>
      </c>
      <c r="GQ225" s="15">
        <f t="shared" si="35"/>
        <v>202.70000000000005</v>
      </c>
      <c r="GR225" s="15">
        <f t="shared" si="36"/>
        <v>3471.5464688000002</v>
      </c>
      <c r="GS225" s="15">
        <f t="shared" si="37"/>
        <v>216.97165430000001</v>
      </c>
      <c r="GT225" s="2">
        <f t="shared" si="38"/>
        <v>26.599999999999994</v>
      </c>
      <c r="GU225" s="2">
        <f t="shared" si="39"/>
        <v>89.7</v>
      </c>
      <c r="GV225" s="2">
        <f t="shared" si="40"/>
        <v>86.4</v>
      </c>
      <c r="GW225" s="2">
        <f t="shared" si="41"/>
        <v>0</v>
      </c>
      <c r="GX225" s="2"/>
      <c r="GY225" s="2"/>
      <c r="GZ225" s="2"/>
      <c r="HA225" s="2"/>
      <c r="HB225" s="2">
        <f t="shared" si="42"/>
        <v>0</v>
      </c>
      <c r="HC225" s="2">
        <f t="shared" si="43"/>
        <v>0</v>
      </c>
      <c r="HD225" s="2" t="s">
        <v>3</v>
      </c>
      <c r="HE225" s="2" t="s">
        <v>37</v>
      </c>
      <c r="HF225" s="2" t="s">
        <v>235</v>
      </c>
      <c r="HG225" s="2" t="s">
        <v>235</v>
      </c>
      <c r="HH225" s="2"/>
      <c r="HI225" s="2" t="s">
        <v>81</v>
      </c>
      <c r="HJ225" s="2" t="s">
        <v>3</v>
      </c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2" t="s">
        <v>3</v>
      </c>
    </row>
    <row r="226" spans="1:268" ht="15.75" customHeight="1" x14ac:dyDescent="0.2">
      <c r="A226" s="13" t="s">
        <v>1267</v>
      </c>
      <c r="B226" s="2" t="s">
        <v>99</v>
      </c>
      <c r="C226" s="2"/>
      <c r="D226" s="2"/>
      <c r="E226" s="2"/>
      <c r="F226" s="2" t="s">
        <v>156</v>
      </c>
      <c r="G226" s="2"/>
      <c r="H226" s="2"/>
      <c r="I226" s="2">
        <v>185.6</v>
      </c>
      <c r="J226" s="2"/>
      <c r="K226" s="2"/>
      <c r="L226" s="2"/>
      <c r="M226" s="2"/>
      <c r="N226" s="2"/>
      <c r="O226" s="2"/>
      <c r="P226" s="2"/>
      <c r="Q226" s="2">
        <v>0.96</v>
      </c>
      <c r="R226" s="2">
        <v>0.05</v>
      </c>
      <c r="S226" s="2"/>
      <c r="T226" s="2"/>
      <c r="U226" s="2"/>
      <c r="V226" s="2"/>
      <c r="W226" s="2"/>
      <c r="X226" s="2"/>
      <c r="Y226" s="4">
        <f>31.53*(2*55.85/(2*55.85+3*16.001))</f>
        <v>22.052816791168606</v>
      </c>
      <c r="Z226" s="2"/>
      <c r="AA226" s="2"/>
      <c r="AB226" s="2"/>
      <c r="AC226" s="2"/>
      <c r="AD226" s="2">
        <v>7.7</v>
      </c>
      <c r="AE226" s="2"/>
      <c r="AF226" s="2"/>
      <c r="AG226" s="2"/>
      <c r="AH226" s="2"/>
      <c r="AI226" s="2"/>
      <c r="AJ226" s="2"/>
      <c r="AK226" s="2"/>
      <c r="AL226" s="2">
        <v>0.88</v>
      </c>
      <c r="AM226" s="2">
        <v>0.06</v>
      </c>
      <c r="AN226" s="2"/>
      <c r="AO226" s="2"/>
      <c r="AP226" s="2"/>
      <c r="AQ226" s="2"/>
      <c r="AR226" s="2"/>
      <c r="AS226" s="2"/>
      <c r="AT226" s="4">
        <f>27.15*(2*55.85/(2*55.85+3*16.001))</f>
        <v>18.989342717419209</v>
      </c>
      <c r="AU226" s="2"/>
      <c r="AV226" s="2"/>
      <c r="AW226" s="2"/>
      <c r="AX226" s="2"/>
      <c r="AY226" s="2">
        <v>3.8</v>
      </c>
      <c r="AZ226" s="2"/>
      <c r="BA226" s="2"/>
      <c r="BB226" s="2"/>
      <c r="BC226" s="2"/>
      <c r="BD226" s="2"/>
      <c r="BE226" s="2"/>
      <c r="BF226" s="2"/>
      <c r="BG226" s="2">
        <v>0.87</v>
      </c>
      <c r="BH226" s="2">
        <v>0.04</v>
      </c>
      <c r="BI226" s="2"/>
      <c r="BJ226" s="2"/>
      <c r="BK226" s="2"/>
      <c r="BL226" s="2"/>
      <c r="BM226" s="2"/>
      <c r="BN226" s="2"/>
      <c r="BO226" s="4">
        <f>31.53*(2*55.85/(2*55.85+3*16.001))</f>
        <v>22.052816791168606</v>
      </c>
      <c r="BP226" s="2"/>
      <c r="BQ226" s="2"/>
      <c r="BR226" s="2"/>
      <c r="BS226" s="2"/>
      <c r="BT226" s="2">
        <v>0</v>
      </c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>
        <v>0</v>
      </c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 t="s">
        <v>81</v>
      </c>
      <c r="DK226" s="2" t="s">
        <v>81</v>
      </c>
      <c r="DL226" s="2">
        <f t="shared" si="3"/>
        <v>0.9551395230847286</v>
      </c>
      <c r="DM226" s="2">
        <f t="shared" si="4"/>
        <v>5.0197869101978682E-2</v>
      </c>
      <c r="DN226" s="2" t="s">
        <v>1268</v>
      </c>
      <c r="DO226" s="2" t="s">
        <v>3</v>
      </c>
      <c r="DP226" s="2">
        <f t="shared" si="5"/>
        <v>0</v>
      </c>
      <c r="DQ226" s="2">
        <f t="shared" ref="DQ226:DR226" si="3815">K226*$I226+AF226*$AD226+BA226*$AY226</f>
        <v>0</v>
      </c>
      <c r="DR226" s="2">
        <f t="shared" si="3815"/>
        <v>0</v>
      </c>
      <c r="DS226" s="2">
        <f t="shared" ref="DS226:DX226" si="3816">(M226*$I226+AH226*$AD226+BC226*$AY226)/100</f>
        <v>0</v>
      </c>
      <c r="DT226" s="2">
        <f t="shared" si="3816"/>
        <v>0</v>
      </c>
      <c r="DU226" s="2">
        <f t="shared" si="3816"/>
        <v>0</v>
      </c>
      <c r="DV226" s="2">
        <f t="shared" si="3816"/>
        <v>0</v>
      </c>
      <c r="DW226" s="2">
        <f t="shared" si="3816"/>
        <v>1.8825800000000001</v>
      </c>
      <c r="DX226" s="2">
        <f t="shared" si="3816"/>
        <v>9.8939999999999986E-2</v>
      </c>
      <c r="DY226" s="2">
        <f t="shared" ref="DY226:EC226" si="3817">S226*$I226+AN226*$AD226+BI226*$AY226</f>
        <v>0</v>
      </c>
      <c r="DZ226" s="2">
        <f t="shared" si="3817"/>
        <v>0</v>
      </c>
      <c r="EA226" s="2">
        <f t="shared" si="3817"/>
        <v>0</v>
      </c>
      <c r="EB226" s="2">
        <f t="shared" si="3817"/>
        <v>0</v>
      </c>
      <c r="EC226" s="2">
        <f t="shared" si="3817"/>
        <v>0</v>
      </c>
      <c r="ED226" s="2">
        <f t="shared" ref="ED226:EE226" si="3818">(X226*$I226+AS226*$AD226+BN226*$AY226)/100</f>
        <v>0</v>
      </c>
      <c r="EE226" s="2">
        <f t="shared" si="3818"/>
        <v>43.230214391714618</v>
      </c>
      <c r="EF226" s="2"/>
      <c r="EG226" s="2">
        <f t="shared" si="10"/>
        <v>0</v>
      </c>
      <c r="EH226" s="2">
        <f t="shared" si="11"/>
        <v>0</v>
      </c>
      <c r="EI226" s="39">
        <f t="shared" si="12"/>
        <v>0</v>
      </c>
      <c r="EJ226" s="39">
        <f t="shared" ref="EJ226:EK226" si="3819">EJ$1*DQ226/1000000</f>
        <v>0</v>
      </c>
      <c r="EK226" s="39">
        <f t="shared" si="3819"/>
        <v>0</v>
      </c>
      <c r="EL226" s="39">
        <f t="shared" ref="EL226:EQ226" si="3820">EL$1*DS226</f>
        <v>0</v>
      </c>
      <c r="EM226" s="39">
        <f t="shared" si="3820"/>
        <v>0</v>
      </c>
      <c r="EN226" s="39">
        <f t="shared" si="3820"/>
        <v>0</v>
      </c>
      <c r="EO226" s="39">
        <f t="shared" si="3820"/>
        <v>0</v>
      </c>
      <c r="EP226" s="39">
        <f t="shared" si="3820"/>
        <v>24688.154120000003</v>
      </c>
      <c r="EQ226" s="39">
        <f t="shared" si="3820"/>
        <v>7184.9757045599981</v>
      </c>
      <c r="ER226" s="39">
        <f t="shared" ref="ER226:EV226" si="3821">ER$1*DY226/1000000</f>
        <v>0</v>
      </c>
      <c r="ES226" s="39">
        <f t="shared" si="3821"/>
        <v>0</v>
      </c>
      <c r="ET226" s="39">
        <f t="shared" si="3821"/>
        <v>0</v>
      </c>
      <c r="EU226" s="39">
        <f t="shared" si="3821"/>
        <v>0</v>
      </c>
      <c r="EV226" s="39">
        <f t="shared" si="3821"/>
        <v>0</v>
      </c>
      <c r="EW226" s="39">
        <f t="shared" ref="EW226:EX226" si="3822">EW$1*ED226</f>
        <v>0</v>
      </c>
      <c r="EX226" s="39">
        <f t="shared" si="3822"/>
        <v>4020.4099384294595</v>
      </c>
      <c r="EY226" s="2"/>
      <c r="EZ226" s="39">
        <f t="shared" si="17"/>
        <v>0</v>
      </c>
      <c r="FA226" s="39">
        <f t="shared" si="18"/>
        <v>0</v>
      </c>
      <c r="FB226" s="2">
        <f t="shared" si="19"/>
        <v>0</v>
      </c>
      <c r="FC226" s="2">
        <f t="shared" ref="FC226:FD226" si="3823">BV226*$BT226+CQ226*$CO226</f>
        <v>0</v>
      </c>
      <c r="FD226" s="2">
        <f t="shared" si="3823"/>
        <v>0</v>
      </c>
      <c r="FE226" s="2">
        <f t="shared" ref="FE226:FJ226" si="3824">(BX226*$BT226+CS226*$CO226)/100</f>
        <v>0</v>
      </c>
      <c r="FF226" s="2">
        <f t="shared" si="3824"/>
        <v>0</v>
      </c>
      <c r="FG226" s="2">
        <f t="shared" si="3824"/>
        <v>0</v>
      </c>
      <c r="FH226" s="2">
        <f t="shared" si="3824"/>
        <v>0</v>
      </c>
      <c r="FI226" s="2">
        <f t="shared" si="3824"/>
        <v>0</v>
      </c>
      <c r="FJ226" s="2">
        <f t="shared" si="3824"/>
        <v>0</v>
      </c>
      <c r="FK226" s="2">
        <f t="shared" ref="FK226:FO226" si="3825">CD226*$BT226+CY226*$CO226</f>
        <v>0</v>
      </c>
      <c r="FL226" s="2">
        <f t="shared" si="3825"/>
        <v>0</v>
      </c>
      <c r="FM226" s="2">
        <f t="shared" si="3825"/>
        <v>0</v>
      </c>
      <c r="FN226" s="2">
        <f t="shared" si="3825"/>
        <v>0</v>
      </c>
      <c r="FO226" s="2">
        <f t="shared" si="3825"/>
        <v>0</v>
      </c>
      <c r="FP226" s="2">
        <f t="shared" ref="FP226:FQ226" si="3826">(CI226*$BT226+DD226*$CO226)/100</f>
        <v>0</v>
      </c>
      <c r="FQ226" s="2">
        <f t="shared" si="3826"/>
        <v>0</v>
      </c>
      <c r="FR226" s="2"/>
      <c r="FS226" s="2">
        <f t="shared" si="24"/>
        <v>0</v>
      </c>
      <c r="FT226" s="2">
        <f t="shared" si="25"/>
        <v>0</v>
      </c>
      <c r="FU226" s="39">
        <f t="shared" si="26"/>
        <v>0</v>
      </c>
      <c r="FV226" s="39">
        <f t="shared" ref="FV226:FW226" si="3827">FV$1*FC226/1000000</f>
        <v>0</v>
      </c>
      <c r="FW226" s="39">
        <f t="shared" si="3827"/>
        <v>0</v>
      </c>
      <c r="FX226" s="39">
        <f t="shared" ref="FX226:GC226" si="3828">FX$1*FE226</f>
        <v>0</v>
      </c>
      <c r="FY226" s="39">
        <f t="shared" si="3828"/>
        <v>0</v>
      </c>
      <c r="FZ226" s="39">
        <f t="shared" si="3828"/>
        <v>0</v>
      </c>
      <c r="GA226" s="39">
        <f t="shared" si="3828"/>
        <v>0</v>
      </c>
      <c r="GB226" s="39">
        <f t="shared" si="3828"/>
        <v>0</v>
      </c>
      <c r="GC226" s="39">
        <f t="shared" si="3828"/>
        <v>0</v>
      </c>
      <c r="GD226" s="39">
        <f t="shared" ref="GD226:GH226" si="3829">GD$1*FK226/1000000</f>
        <v>0</v>
      </c>
      <c r="GE226" s="39">
        <f t="shared" si="3829"/>
        <v>0</v>
      </c>
      <c r="GF226" s="39">
        <f t="shared" si="3829"/>
        <v>0</v>
      </c>
      <c r="GG226" s="39">
        <f t="shared" si="3829"/>
        <v>0</v>
      </c>
      <c r="GH226" s="39">
        <f t="shared" si="3829"/>
        <v>0</v>
      </c>
      <c r="GI226" s="39">
        <f t="shared" ref="GI226:GJ226" si="3830">GI$1*FP226</f>
        <v>0</v>
      </c>
      <c r="GJ226" s="39">
        <f t="shared" si="3830"/>
        <v>0</v>
      </c>
      <c r="GK226" s="2"/>
      <c r="GL226" s="39">
        <f t="shared" si="31"/>
        <v>0</v>
      </c>
      <c r="GM226" s="39">
        <f t="shared" si="32"/>
        <v>0</v>
      </c>
      <c r="GN226" s="2" t="s">
        <v>3</v>
      </c>
      <c r="GO226" s="2">
        <f t="shared" si="33"/>
        <v>197.1</v>
      </c>
      <c r="GP226" s="4">
        <f t="shared" si="34"/>
        <v>0.9551395230847286</v>
      </c>
      <c r="GQ226" s="18">
        <f t="shared" si="35"/>
        <v>1882.58</v>
      </c>
      <c r="GR226" s="15">
        <f t="shared" si="36"/>
        <v>35893.539762989458</v>
      </c>
      <c r="GS226" s="15">
        <f t="shared" si="37"/>
        <v>182.10826871126056</v>
      </c>
      <c r="GT226" s="2">
        <f t="shared" si="38"/>
        <v>1781.76</v>
      </c>
      <c r="GU226" s="2">
        <f t="shared" si="39"/>
        <v>67.760000000000005</v>
      </c>
      <c r="GV226" s="2">
        <f t="shared" si="40"/>
        <v>33.06</v>
      </c>
      <c r="GW226" s="2">
        <f t="shared" si="41"/>
        <v>0</v>
      </c>
      <c r="GX226" s="2"/>
      <c r="GY226" s="2"/>
      <c r="GZ226" s="2"/>
      <c r="HA226" s="2"/>
      <c r="HB226" s="2">
        <f t="shared" si="42"/>
        <v>0</v>
      </c>
      <c r="HC226" s="2">
        <f t="shared" si="43"/>
        <v>0</v>
      </c>
      <c r="HD226" s="2" t="s">
        <v>3</v>
      </c>
      <c r="HE226" s="2" t="s">
        <v>37</v>
      </c>
      <c r="HF226" s="2" t="s">
        <v>151</v>
      </c>
      <c r="HG226" s="2" t="s">
        <v>1269</v>
      </c>
      <c r="HH226" s="2"/>
      <c r="HI226" s="2" t="s">
        <v>81</v>
      </c>
      <c r="HJ226" s="2" t="s">
        <v>3</v>
      </c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  <c r="JC226" s="2"/>
      <c r="JD226" s="2"/>
      <c r="JE226" s="2"/>
      <c r="JF226" s="2"/>
      <c r="JG226" s="2"/>
      <c r="JH226" s="2" t="s">
        <v>3</v>
      </c>
    </row>
    <row r="227" spans="1:268" ht="15.75" customHeight="1" x14ac:dyDescent="0.2">
      <c r="A227" s="13" t="s">
        <v>1123</v>
      </c>
      <c r="B227" s="2" t="s">
        <v>99</v>
      </c>
      <c r="C227" s="2"/>
      <c r="D227" s="2"/>
      <c r="E227" s="2"/>
      <c r="F227" s="2" t="s">
        <v>79</v>
      </c>
      <c r="G227" s="2"/>
      <c r="H227" s="2"/>
      <c r="I227" s="2">
        <v>0</v>
      </c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>
        <v>0</v>
      </c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>
        <v>13</v>
      </c>
      <c r="AZ227" s="2"/>
      <c r="BA227" s="2"/>
      <c r="BB227" s="2"/>
      <c r="BC227" s="2"/>
      <c r="BD227" s="2"/>
      <c r="BE227" s="2"/>
      <c r="BF227" s="2"/>
      <c r="BG227" s="2">
        <v>1.3</v>
      </c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>
        <v>0</v>
      </c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>
        <v>0</v>
      </c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 t="s">
        <v>81</v>
      </c>
      <c r="DK227" s="2"/>
      <c r="DL227" s="2">
        <f t="shared" si="3"/>
        <v>1.3000000000000003</v>
      </c>
      <c r="DM227" s="2">
        <f t="shared" si="4"/>
        <v>0</v>
      </c>
      <c r="DN227" s="2" t="s">
        <v>1124</v>
      </c>
      <c r="DO227" s="2" t="s">
        <v>3</v>
      </c>
      <c r="DP227" s="2">
        <f t="shared" si="5"/>
        <v>0</v>
      </c>
      <c r="DQ227" s="2">
        <f t="shared" ref="DQ227:DR227" si="3831">K227*$I227+AF227*$AD227+BA227*$AY227</f>
        <v>0</v>
      </c>
      <c r="DR227" s="2">
        <f t="shared" si="3831"/>
        <v>0</v>
      </c>
      <c r="DS227" s="2">
        <f t="shared" ref="DS227:DX227" si="3832">(M227*$I227+AH227*$AD227+BC227*$AY227)/100</f>
        <v>0</v>
      </c>
      <c r="DT227" s="2">
        <f t="shared" si="3832"/>
        <v>0</v>
      </c>
      <c r="DU227" s="2">
        <f t="shared" si="3832"/>
        <v>0</v>
      </c>
      <c r="DV227" s="2">
        <f t="shared" si="3832"/>
        <v>0</v>
      </c>
      <c r="DW227" s="2">
        <f t="shared" si="3832"/>
        <v>0.16900000000000001</v>
      </c>
      <c r="DX227" s="2">
        <f t="shared" si="3832"/>
        <v>0</v>
      </c>
      <c r="DY227" s="2">
        <f t="shared" ref="DY227:EC227" si="3833">S227*$I227+AN227*$AD227+BI227*$AY227</f>
        <v>0</v>
      </c>
      <c r="DZ227" s="2">
        <f t="shared" si="3833"/>
        <v>0</v>
      </c>
      <c r="EA227" s="2">
        <f t="shared" si="3833"/>
        <v>0</v>
      </c>
      <c r="EB227" s="2">
        <f t="shared" si="3833"/>
        <v>0</v>
      </c>
      <c r="EC227" s="2">
        <f t="shared" si="3833"/>
        <v>0</v>
      </c>
      <c r="ED227" s="2">
        <f t="shared" ref="ED227:EE227" si="3834">(X227*$I227+AS227*$AD227+BN227*$AY227)/100</f>
        <v>0</v>
      </c>
      <c r="EE227" s="2">
        <f t="shared" si="3834"/>
        <v>0</v>
      </c>
      <c r="EF227" s="2"/>
      <c r="EG227" s="2">
        <f t="shared" si="10"/>
        <v>0</v>
      </c>
      <c r="EH227" s="2">
        <f t="shared" si="11"/>
        <v>0</v>
      </c>
      <c r="EI227" s="39">
        <f t="shared" si="12"/>
        <v>0</v>
      </c>
      <c r="EJ227" s="39">
        <f t="shared" ref="EJ227:EK227" si="3835">EJ$1*DQ227/1000000</f>
        <v>0</v>
      </c>
      <c r="EK227" s="39">
        <f t="shared" si="3835"/>
        <v>0</v>
      </c>
      <c r="EL227" s="39">
        <f t="shared" ref="EL227:EQ227" si="3836">EL$1*DS227</f>
        <v>0</v>
      </c>
      <c r="EM227" s="39">
        <f t="shared" si="3836"/>
        <v>0</v>
      </c>
      <c r="EN227" s="39">
        <f t="shared" si="3836"/>
        <v>0</v>
      </c>
      <c r="EO227" s="39">
        <f t="shared" si="3836"/>
        <v>0</v>
      </c>
      <c r="EP227" s="39">
        <f t="shared" si="3836"/>
        <v>2216.2660000000001</v>
      </c>
      <c r="EQ227" s="39">
        <f t="shared" si="3836"/>
        <v>0</v>
      </c>
      <c r="ER227" s="39">
        <f t="shared" ref="ER227:EV227" si="3837">ER$1*DY227/1000000</f>
        <v>0</v>
      </c>
      <c r="ES227" s="39">
        <f t="shared" si="3837"/>
        <v>0</v>
      </c>
      <c r="ET227" s="39">
        <f t="shared" si="3837"/>
        <v>0</v>
      </c>
      <c r="EU227" s="39">
        <f t="shared" si="3837"/>
        <v>0</v>
      </c>
      <c r="EV227" s="39">
        <f t="shared" si="3837"/>
        <v>0</v>
      </c>
      <c r="EW227" s="39">
        <f t="shared" ref="EW227:EX227" si="3838">EW$1*ED227</f>
        <v>0</v>
      </c>
      <c r="EX227" s="39">
        <f t="shared" si="3838"/>
        <v>0</v>
      </c>
      <c r="EY227" s="2"/>
      <c r="EZ227" s="39">
        <f t="shared" si="17"/>
        <v>0</v>
      </c>
      <c r="FA227" s="39">
        <f t="shared" si="18"/>
        <v>0</v>
      </c>
      <c r="FB227" s="2">
        <f t="shared" si="19"/>
        <v>0</v>
      </c>
      <c r="FC227" s="2">
        <f t="shared" ref="FC227:FD227" si="3839">BV227*$BT227+CQ227*$CO227</f>
        <v>0</v>
      </c>
      <c r="FD227" s="2">
        <f t="shared" si="3839"/>
        <v>0</v>
      </c>
      <c r="FE227" s="2">
        <f t="shared" ref="FE227:FJ227" si="3840">(BX227*$BT227+CS227*$CO227)/100</f>
        <v>0</v>
      </c>
      <c r="FF227" s="2">
        <f t="shared" si="3840"/>
        <v>0</v>
      </c>
      <c r="FG227" s="2">
        <f t="shared" si="3840"/>
        <v>0</v>
      </c>
      <c r="FH227" s="2">
        <f t="shared" si="3840"/>
        <v>0</v>
      </c>
      <c r="FI227" s="2">
        <f t="shared" si="3840"/>
        <v>0</v>
      </c>
      <c r="FJ227" s="2">
        <f t="shared" si="3840"/>
        <v>0</v>
      </c>
      <c r="FK227" s="2">
        <f t="shared" ref="FK227:FO227" si="3841">CD227*$BT227+CY227*$CO227</f>
        <v>0</v>
      </c>
      <c r="FL227" s="2">
        <f t="shared" si="3841"/>
        <v>0</v>
      </c>
      <c r="FM227" s="2">
        <f t="shared" si="3841"/>
        <v>0</v>
      </c>
      <c r="FN227" s="2">
        <f t="shared" si="3841"/>
        <v>0</v>
      </c>
      <c r="FO227" s="2">
        <f t="shared" si="3841"/>
        <v>0</v>
      </c>
      <c r="FP227" s="2">
        <f t="shared" ref="FP227:FQ227" si="3842">(CI227*$BT227+DD227*$CO227)/100</f>
        <v>0</v>
      </c>
      <c r="FQ227" s="2">
        <f t="shared" si="3842"/>
        <v>0</v>
      </c>
      <c r="FR227" s="2"/>
      <c r="FS227" s="2">
        <f t="shared" si="24"/>
        <v>0</v>
      </c>
      <c r="FT227" s="2">
        <f t="shared" si="25"/>
        <v>0</v>
      </c>
      <c r="FU227" s="39">
        <f t="shared" si="26"/>
        <v>0</v>
      </c>
      <c r="FV227" s="39">
        <f t="shared" ref="FV227:FW227" si="3843">FV$1*FC227/1000000</f>
        <v>0</v>
      </c>
      <c r="FW227" s="39">
        <f t="shared" si="3843"/>
        <v>0</v>
      </c>
      <c r="FX227" s="39">
        <f t="shared" ref="FX227:GC227" si="3844">FX$1*FE227</f>
        <v>0</v>
      </c>
      <c r="FY227" s="39">
        <f t="shared" si="3844"/>
        <v>0</v>
      </c>
      <c r="FZ227" s="39">
        <f t="shared" si="3844"/>
        <v>0</v>
      </c>
      <c r="GA227" s="39">
        <f t="shared" si="3844"/>
        <v>0</v>
      </c>
      <c r="GB227" s="39">
        <f t="shared" si="3844"/>
        <v>0</v>
      </c>
      <c r="GC227" s="39">
        <f t="shared" si="3844"/>
        <v>0</v>
      </c>
      <c r="GD227" s="39">
        <f t="shared" ref="GD227:GH227" si="3845">GD$1*FK227/1000000</f>
        <v>0</v>
      </c>
      <c r="GE227" s="39">
        <f t="shared" si="3845"/>
        <v>0</v>
      </c>
      <c r="GF227" s="39">
        <f t="shared" si="3845"/>
        <v>0</v>
      </c>
      <c r="GG227" s="39">
        <f t="shared" si="3845"/>
        <v>0</v>
      </c>
      <c r="GH227" s="39">
        <f t="shared" si="3845"/>
        <v>0</v>
      </c>
      <c r="GI227" s="39">
        <f t="shared" ref="GI227:GJ227" si="3846">GI$1*FP227</f>
        <v>0</v>
      </c>
      <c r="GJ227" s="39">
        <f t="shared" si="3846"/>
        <v>0</v>
      </c>
      <c r="GK227" s="2"/>
      <c r="GL227" s="39">
        <f t="shared" si="31"/>
        <v>0</v>
      </c>
      <c r="GM227" s="39">
        <f t="shared" si="32"/>
        <v>0</v>
      </c>
      <c r="GN227" s="2" t="s">
        <v>3</v>
      </c>
      <c r="GO227" s="2">
        <f t="shared" si="33"/>
        <v>13</v>
      </c>
      <c r="GP227" s="2">
        <f t="shared" si="34"/>
        <v>1.3000000000000003</v>
      </c>
      <c r="GQ227" s="15">
        <f t="shared" si="35"/>
        <v>169.00000000000003</v>
      </c>
      <c r="GR227" s="15">
        <f t="shared" si="36"/>
        <v>2216.2660000000001</v>
      </c>
      <c r="GS227" s="15">
        <f t="shared" si="37"/>
        <v>170.482</v>
      </c>
      <c r="GT227" s="2">
        <f t="shared" si="38"/>
        <v>0</v>
      </c>
      <c r="GU227" s="2">
        <f t="shared" si="39"/>
        <v>0</v>
      </c>
      <c r="GV227" s="2">
        <f t="shared" si="40"/>
        <v>169.00000000000003</v>
      </c>
      <c r="GW227" s="2">
        <f t="shared" si="41"/>
        <v>0</v>
      </c>
      <c r="GX227" s="2"/>
      <c r="GY227" s="2"/>
      <c r="GZ227" s="2"/>
      <c r="HA227" s="2"/>
      <c r="HB227" s="2">
        <f t="shared" si="42"/>
        <v>0</v>
      </c>
      <c r="HC227" s="2">
        <f t="shared" si="43"/>
        <v>0</v>
      </c>
      <c r="HD227" s="2" t="s">
        <v>3</v>
      </c>
      <c r="HE227" s="2" t="s">
        <v>37</v>
      </c>
      <c r="HF227" s="2" t="s">
        <v>151</v>
      </c>
      <c r="HG227" s="2"/>
      <c r="HH227" s="2"/>
      <c r="HI227" s="2" t="s">
        <v>81</v>
      </c>
      <c r="HJ227" s="2" t="s">
        <v>3</v>
      </c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  <c r="JA227" s="2"/>
      <c r="JB227" s="2"/>
      <c r="JC227" s="2"/>
      <c r="JD227" s="2"/>
      <c r="JE227" s="2"/>
      <c r="JF227" s="2"/>
      <c r="JG227" s="2"/>
      <c r="JH227" s="2" t="s">
        <v>3</v>
      </c>
    </row>
    <row r="228" spans="1:268" ht="15.75" customHeight="1" x14ac:dyDescent="0.2">
      <c r="A228" s="13" t="s">
        <v>492</v>
      </c>
      <c r="B228" s="2" t="s">
        <v>99</v>
      </c>
      <c r="C228" s="2"/>
      <c r="D228" s="2"/>
      <c r="E228" s="2"/>
      <c r="F228" s="2" t="s">
        <v>493</v>
      </c>
      <c r="G228" s="2"/>
      <c r="H228" s="2"/>
      <c r="I228" s="2">
        <v>0</v>
      </c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>
        <v>0</v>
      </c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>
        <v>44.89</v>
      </c>
      <c r="AZ228" s="2"/>
      <c r="BA228" s="2"/>
      <c r="BB228" s="2"/>
      <c r="BC228" s="2"/>
      <c r="BD228" s="2"/>
      <c r="BE228" s="2"/>
      <c r="BF228" s="2"/>
      <c r="BG228" s="2">
        <v>1.28</v>
      </c>
      <c r="BH228" s="2">
        <v>0.13</v>
      </c>
      <c r="BI228" s="2"/>
      <c r="BJ228" s="2"/>
      <c r="BK228" s="2"/>
      <c r="BL228" s="2"/>
      <c r="BM228" s="2"/>
      <c r="BN228" s="2"/>
      <c r="BO228" s="2">
        <v>41.27</v>
      </c>
      <c r="BP228" s="2"/>
      <c r="BQ228" s="2">
        <v>29</v>
      </c>
      <c r="BR228" s="2"/>
      <c r="BS228" s="2"/>
      <c r="BT228" s="2">
        <v>0</v>
      </c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>
        <v>0</v>
      </c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 t="s">
        <v>81</v>
      </c>
      <c r="DK228" s="2" t="s">
        <v>81</v>
      </c>
      <c r="DL228" s="2">
        <f t="shared" si="3"/>
        <v>1.28</v>
      </c>
      <c r="DM228" s="2">
        <f t="shared" si="4"/>
        <v>0.13</v>
      </c>
      <c r="DN228" s="2" t="s">
        <v>494</v>
      </c>
      <c r="DO228" s="2" t="s">
        <v>3</v>
      </c>
      <c r="DP228" s="2">
        <f t="shared" si="5"/>
        <v>0</v>
      </c>
      <c r="DQ228" s="2">
        <f t="shared" ref="DQ228:DR228" si="3847">K228*$I228+AF228*$AD228+BA228*$AY228</f>
        <v>0</v>
      </c>
      <c r="DR228" s="2">
        <f t="shared" si="3847"/>
        <v>0</v>
      </c>
      <c r="DS228" s="2">
        <f t="shared" ref="DS228:DX228" si="3848">(M228*$I228+AH228*$AD228+BC228*$AY228)/100</f>
        <v>0</v>
      </c>
      <c r="DT228" s="2">
        <f t="shared" si="3848"/>
        <v>0</v>
      </c>
      <c r="DU228" s="2">
        <f t="shared" si="3848"/>
        <v>0</v>
      </c>
      <c r="DV228" s="2">
        <f t="shared" si="3848"/>
        <v>0</v>
      </c>
      <c r="DW228" s="2">
        <f t="shared" si="3848"/>
        <v>0.57459199999999999</v>
      </c>
      <c r="DX228" s="2">
        <f t="shared" si="3848"/>
        <v>5.8356999999999999E-2</v>
      </c>
      <c r="DY228" s="2">
        <f t="shared" ref="DY228:EC228" si="3849">S228*$I228+AN228*$AD228+BI228*$AY228</f>
        <v>0</v>
      </c>
      <c r="DZ228" s="2">
        <f t="shared" si="3849"/>
        <v>0</v>
      </c>
      <c r="EA228" s="2">
        <f t="shared" si="3849"/>
        <v>0</v>
      </c>
      <c r="EB228" s="2">
        <f t="shared" si="3849"/>
        <v>0</v>
      </c>
      <c r="EC228" s="2">
        <f t="shared" si="3849"/>
        <v>0</v>
      </c>
      <c r="ED228" s="2">
        <f t="shared" ref="ED228:EE228" si="3850">(X228*$I228+AS228*$AD228+BN228*$AY228)/100</f>
        <v>0</v>
      </c>
      <c r="EE228" s="2">
        <f t="shared" si="3850"/>
        <v>18.526102999999999</v>
      </c>
      <c r="EF228" s="2"/>
      <c r="EG228" s="2">
        <f t="shared" si="10"/>
        <v>1301.81</v>
      </c>
      <c r="EH228" s="2">
        <f t="shared" si="11"/>
        <v>0</v>
      </c>
      <c r="EI228" s="39">
        <f t="shared" si="12"/>
        <v>0</v>
      </c>
      <c r="EJ228" s="39">
        <f t="shared" ref="EJ228:EK228" si="3851">EJ$1*DQ228/1000000</f>
        <v>0</v>
      </c>
      <c r="EK228" s="39">
        <f t="shared" si="3851"/>
        <v>0</v>
      </c>
      <c r="EL228" s="39">
        <f t="shared" ref="EL228:EQ228" si="3852">EL$1*DS228</f>
        <v>0</v>
      </c>
      <c r="EM228" s="39">
        <f t="shared" si="3852"/>
        <v>0</v>
      </c>
      <c r="EN228" s="39">
        <f t="shared" si="3852"/>
        <v>0</v>
      </c>
      <c r="EO228" s="39">
        <f t="shared" si="3852"/>
        <v>0</v>
      </c>
      <c r="EP228" s="39">
        <f t="shared" si="3852"/>
        <v>7535.1994880000002</v>
      </c>
      <c r="EQ228" s="39">
        <f t="shared" si="3852"/>
        <v>4237.8575620679994</v>
      </c>
      <c r="ER228" s="39">
        <f t="shared" ref="ER228:EV228" si="3853">ER$1*DY228/1000000</f>
        <v>0</v>
      </c>
      <c r="ES228" s="39">
        <f t="shared" si="3853"/>
        <v>0</v>
      </c>
      <c r="ET228" s="39">
        <f t="shared" si="3853"/>
        <v>0</v>
      </c>
      <c r="EU228" s="39">
        <f t="shared" si="3853"/>
        <v>0</v>
      </c>
      <c r="EV228" s="39">
        <f t="shared" si="3853"/>
        <v>0</v>
      </c>
      <c r="EW228" s="39">
        <f t="shared" ref="EW228:EX228" si="3854">EW$1*ED228</f>
        <v>0</v>
      </c>
      <c r="EX228" s="39">
        <f t="shared" si="3854"/>
        <v>1722.9275789999999</v>
      </c>
      <c r="EY228" s="2"/>
      <c r="EZ228" s="39">
        <f t="shared" si="17"/>
        <v>468.65159999999997</v>
      </c>
      <c r="FA228" s="39">
        <f t="shared" si="18"/>
        <v>0</v>
      </c>
      <c r="FB228" s="2">
        <f t="shared" si="19"/>
        <v>0</v>
      </c>
      <c r="FC228" s="2">
        <f t="shared" ref="FC228:FD228" si="3855">BV228*$BT228+CQ228*$CO228</f>
        <v>0</v>
      </c>
      <c r="FD228" s="2">
        <f t="shared" si="3855"/>
        <v>0</v>
      </c>
      <c r="FE228" s="2">
        <f t="shared" ref="FE228:FJ228" si="3856">(BX228*$BT228+CS228*$CO228)/100</f>
        <v>0</v>
      </c>
      <c r="FF228" s="2">
        <f t="shared" si="3856"/>
        <v>0</v>
      </c>
      <c r="FG228" s="2">
        <f t="shared" si="3856"/>
        <v>0</v>
      </c>
      <c r="FH228" s="2">
        <f t="shared" si="3856"/>
        <v>0</v>
      </c>
      <c r="FI228" s="2">
        <f t="shared" si="3856"/>
        <v>0</v>
      </c>
      <c r="FJ228" s="2">
        <f t="shared" si="3856"/>
        <v>0</v>
      </c>
      <c r="FK228" s="2">
        <f t="shared" ref="FK228:FO228" si="3857">CD228*$BT228+CY228*$CO228</f>
        <v>0</v>
      </c>
      <c r="FL228" s="2">
        <f t="shared" si="3857"/>
        <v>0</v>
      </c>
      <c r="FM228" s="2">
        <f t="shared" si="3857"/>
        <v>0</v>
      </c>
      <c r="FN228" s="2">
        <f t="shared" si="3857"/>
        <v>0</v>
      </c>
      <c r="FO228" s="2">
        <f t="shared" si="3857"/>
        <v>0</v>
      </c>
      <c r="FP228" s="2">
        <f t="shared" ref="FP228:FQ228" si="3858">(CI228*$BT228+DD228*$CO228)/100</f>
        <v>0</v>
      </c>
      <c r="FQ228" s="2">
        <f t="shared" si="3858"/>
        <v>0</v>
      </c>
      <c r="FR228" s="2"/>
      <c r="FS228" s="2">
        <f t="shared" si="24"/>
        <v>0</v>
      </c>
      <c r="FT228" s="2">
        <f t="shared" si="25"/>
        <v>0</v>
      </c>
      <c r="FU228" s="39">
        <f t="shared" si="26"/>
        <v>0</v>
      </c>
      <c r="FV228" s="39">
        <f t="shared" ref="FV228:FW228" si="3859">FV$1*FC228/1000000</f>
        <v>0</v>
      </c>
      <c r="FW228" s="39">
        <f t="shared" si="3859"/>
        <v>0</v>
      </c>
      <c r="FX228" s="39">
        <f t="shared" ref="FX228:GC228" si="3860">FX$1*FE228</f>
        <v>0</v>
      </c>
      <c r="FY228" s="39">
        <f t="shared" si="3860"/>
        <v>0</v>
      </c>
      <c r="FZ228" s="39">
        <f t="shared" si="3860"/>
        <v>0</v>
      </c>
      <c r="GA228" s="39">
        <f t="shared" si="3860"/>
        <v>0</v>
      </c>
      <c r="GB228" s="39">
        <f t="shared" si="3860"/>
        <v>0</v>
      </c>
      <c r="GC228" s="39">
        <f t="shared" si="3860"/>
        <v>0</v>
      </c>
      <c r="GD228" s="39">
        <f t="shared" ref="GD228:GH228" si="3861">GD$1*FK228/1000000</f>
        <v>0</v>
      </c>
      <c r="GE228" s="39">
        <f t="shared" si="3861"/>
        <v>0</v>
      </c>
      <c r="GF228" s="39">
        <f t="shared" si="3861"/>
        <v>0</v>
      </c>
      <c r="GG228" s="39">
        <f t="shared" si="3861"/>
        <v>0</v>
      </c>
      <c r="GH228" s="39">
        <f t="shared" si="3861"/>
        <v>0</v>
      </c>
      <c r="GI228" s="39">
        <f t="shared" ref="GI228:GJ228" si="3862">GI$1*FP228</f>
        <v>0</v>
      </c>
      <c r="GJ228" s="39">
        <f t="shared" si="3862"/>
        <v>0</v>
      </c>
      <c r="GK228" s="2"/>
      <c r="GL228" s="39">
        <f t="shared" si="31"/>
        <v>0</v>
      </c>
      <c r="GM228" s="39">
        <f t="shared" si="32"/>
        <v>0</v>
      </c>
      <c r="GN228" s="2" t="s">
        <v>3</v>
      </c>
      <c r="GO228" s="2">
        <f t="shared" si="33"/>
        <v>44.89</v>
      </c>
      <c r="GP228" s="2">
        <f t="shared" si="34"/>
        <v>1.28</v>
      </c>
      <c r="GQ228" s="15">
        <f t="shared" si="35"/>
        <v>574.5920000000001</v>
      </c>
      <c r="GR228" s="15">
        <f t="shared" si="36"/>
        <v>13964.636229067999</v>
      </c>
      <c r="GS228" s="15">
        <f t="shared" si="37"/>
        <v>311.08568119999995</v>
      </c>
      <c r="GT228" s="2">
        <f t="shared" si="38"/>
        <v>0</v>
      </c>
      <c r="GU228" s="2">
        <f t="shared" si="39"/>
        <v>0</v>
      </c>
      <c r="GV228" s="2">
        <f t="shared" si="40"/>
        <v>574.5920000000001</v>
      </c>
      <c r="GW228" s="2">
        <f t="shared" si="41"/>
        <v>0</v>
      </c>
      <c r="GX228" s="2"/>
      <c r="GY228" s="2"/>
      <c r="GZ228" s="2"/>
      <c r="HA228" s="2"/>
      <c r="HB228" s="2">
        <f t="shared" si="42"/>
        <v>0</v>
      </c>
      <c r="HC228" s="2">
        <f t="shared" si="43"/>
        <v>0</v>
      </c>
      <c r="HD228" s="2" t="s">
        <v>3</v>
      </c>
      <c r="HE228" s="2" t="s">
        <v>37</v>
      </c>
      <c r="HF228" s="2" t="s">
        <v>151</v>
      </c>
      <c r="HG228" s="2"/>
      <c r="HH228" s="2"/>
      <c r="HI228" s="2" t="s">
        <v>81</v>
      </c>
      <c r="HJ228" s="2" t="s">
        <v>3</v>
      </c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  <c r="JA228" s="2"/>
      <c r="JB228" s="2"/>
      <c r="JC228" s="2"/>
      <c r="JD228" s="2"/>
      <c r="JE228" s="2"/>
      <c r="JF228" s="2"/>
      <c r="JG228" s="2"/>
      <c r="JH228" s="2" t="s">
        <v>3</v>
      </c>
    </row>
    <row r="229" spans="1:268" ht="15.75" customHeight="1" x14ac:dyDescent="0.2">
      <c r="A229" s="13" t="s">
        <v>441</v>
      </c>
      <c r="B229" s="2" t="s">
        <v>109</v>
      </c>
      <c r="C229" s="2"/>
      <c r="D229" s="2"/>
      <c r="E229" s="2"/>
      <c r="F229" s="2" t="s">
        <v>442</v>
      </c>
      <c r="G229" s="2"/>
      <c r="H229" s="2" t="s">
        <v>242</v>
      </c>
      <c r="I229" s="2">
        <f>13.47+4.15+10.61+9.32</f>
        <v>37.549999999999997</v>
      </c>
      <c r="J229" s="2"/>
      <c r="K229" s="2"/>
      <c r="L229" s="2"/>
      <c r="M229" s="2"/>
      <c r="N229" s="2"/>
      <c r="O229" s="2"/>
      <c r="P229" s="2"/>
      <c r="Q229" s="4">
        <f>(1.57*13.47+1.51*4.15+1.45*10.61+1.32*9.32)/I229</f>
        <v>1.467411451398136</v>
      </c>
      <c r="R229" s="4">
        <f>(0.18*13.47+0.16*4.15+0.18*10.61+0.16*9.32)/I229</f>
        <v>0.1728255659121172</v>
      </c>
      <c r="S229" s="2"/>
      <c r="T229" s="2"/>
      <c r="U229" s="2"/>
      <c r="V229" s="2"/>
      <c r="W229" s="2"/>
      <c r="X229" s="2"/>
      <c r="Y229" s="4">
        <f>(40.71*13.47+36.19*4.15+39.75*10.61+41.98*9.32)/I229</f>
        <v>40.25441544607191</v>
      </c>
      <c r="Z229" s="4">
        <f>(9.46*13.47+17.68*4.15+15.63*10.61+12.76*9.32)/I229</f>
        <v>12.930910785619178</v>
      </c>
      <c r="AA229" s="2"/>
      <c r="AB229" s="2"/>
      <c r="AC229" s="2"/>
      <c r="AD229" s="2">
        <f>0.44+1.85+5.21+18.55</f>
        <v>26.05</v>
      </c>
      <c r="AE229" s="2"/>
      <c r="AF229" s="2"/>
      <c r="AG229" s="2"/>
      <c r="AH229" s="2"/>
      <c r="AI229" s="2"/>
      <c r="AJ229" s="2"/>
      <c r="AK229" s="2"/>
      <c r="AL229" s="4">
        <f>(1.56*0.44+1.58*1.85+1.42*5.21+1.33*18.55)/AD229</f>
        <v>1.3696391554702496</v>
      </c>
      <c r="AM229" s="4">
        <f>(0.22*0.44+0.16*1.85+0.16*5.21+0.16*18.55)/AD229</f>
        <v>0.1610134357005758</v>
      </c>
      <c r="AN229" s="2"/>
      <c r="AO229" s="2"/>
      <c r="AP229" s="2"/>
      <c r="AQ229" s="2"/>
      <c r="AR229" s="2"/>
      <c r="AS229" s="2"/>
      <c r="AT229" s="4">
        <f>(37.85*0.44+37.26*1.85+36.36*5.21+42.89*18.55)/AD229</f>
        <v>41.099044145873322</v>
      </c>
      <c r="AU229" s="4">
        <f>(15.11*0.44+16.25*1.85+19.72*5.21+11.66*18.55)/AD229</f>
        <v>13.656241842610363</v>
      </c>
      <c r="AV229" s="2"/>
      <c r="AW229" s="2"/>
      <c r="AX229" s="2"/>
      <c r="AY229" s="2">
        <f>0.11+2.97+0.03+21.59</f>
        <v>24.7</v>
      </c>
      <c r="AZ229" s="2"/>
      <c r="BA229" s="2"/>
      <c r="BB229" s="2"/>
      <c r="BC229" s="2"/>
      <c r="BD229" s="2"/>
      <c r="BE229" s="2"/>
      <c r="BF229" s="2"/>
      <c r="BG229" s="4">
        <f>(1.57*0.11+1.63*2.97+1.35*0.03+1.35*21.59)/AY229</f>
        <v>1.3846477732793523</v>
      </c>
      <c r="BH229" s="4">
        <f>(0.21*0.11+0.16*2.97+0.15*0.03+0.17*21.59)/AY229</f>
        <v>0.16895141700404859</v>
      </c>
      <c r="BI229" s="2"/>
      <c r="BJ229" s="2"/>
      <c r="BK229" s="2"/>
      <c r="BL229" s="2"/>
      <c r="BM229" s="2"/>
      <c r="BN229" s="2"/>
      <c r="BO229" s="4">
        <f>(39.94*0.11+36.13*2.97+34.94*0.03+42.35*21.59)/AY229</f>
        <v>41.582356275303646</v>
      </c>
      <c r="BP229" s="4">
        <f>(14.15*0.11+19.28*2.97+17.98*0.03+10.8*21.59)/AY229</f>
        <v>11.843299595141703</v>
      </c>
      <c r="BQ229" s="2"/>
      <c r="BR229" s="2"/>
      <c r="BS229" s="2"/>
      <c r="BT229" s="2">
        <f>5.16+1.66+3+0.4</f>
        <v>10.220000000000001</v>
      </c>
      <c r="BU229" s="2"/>
      <c r="BV229" s="2"/>
      <c r="BW229" s="2"/>
      <c r="BX229" s="2"/>
      <c r="BY229" s="2"/>
      <c r="BZ229" s="2"/>
      <c r="CA229" s="2"/>
      <c r="CB229" s="4">
        <f>(1.7*5.16+1.79*1.66+1.65*3+1.58*0.4)/BT229</f>
        <v>1.6952446183953034</v>
      </c>
      <c r="CC229" s="4">
        <f>(0.19*5.16+0.13*1.66+0.18*3+0.15*0.4)/BT229</f>
        <v>0.17575342465753427</v>
      </c>
      <c r="CD229" s="2"/>
      <c r="CE229" s="2"/>
      <c r="CF229" s="2"/>
      <c r="CG229" s="2"/>
      <c r="CH229" s="2"/>
      <c r="CI229" s="2"/>
      <c r="CJ229" s="4">
        <f>(39.98*5.16+28.09*1.66+38.09*3+40.38*0.4)/BT229</f>
        <v>37.509608610567511</v>
      </c>
      <c r="CK229" s="4">
        <f>(9.86*5.16+25.7*1.66+17.35*3+14.81*0.4)/BT229</f>
        <v>14.825205479452057</v>
      </c>
      <c r="CL229" s="2"/>
      <c r="CM229" s="2"/>
      <c r="CN229" s="2"/>
      <c r="CO229" s="2">
        <f>0.03+0.38+1.12+1</f>
        <v>2.5300000000000002</v>
      </c>
      <c r="CP229" s="2"/>
      <c r="CQ229" s="2"/>
      <c r="CR229" s="2"/>
      <c r="CS229" s="2"/>
      <c r="CT229" s="2"/>
      <c r="CU229" s="2"/>
      <c r="CV229" s="2"/>
      <c r="CW229" s="4">
        <f>(1.71*0.03+1.76*0.38+1.63*1.12+1.57*1)/CO229</f>
        <v>1.6267588932806325</v>
      </c>
      <c r="CX229" s="4">
        <f>(0.26*0.03+0.13*0.38+0.15*1.12+0.16*1)/CO229</f>
        <v>0.15225296442687744</v>
      </c>
      <c r="CY229" s="2"/>
      <c r="CZ229" s="2"/>
      <c r="DA229" s="2"/>
      <c r="DB229" s="2"/>
      <c r="DC229" s="2"/>
      <c r="DD229" s="2"/>
      <c r="DE229" s="4">
        <f>(36.68*0.03+29.61*0.38+33.24*1.12+41.15*1)/CO229</f>
        <v>35.862055335968371</v>
      </c>
      <c r="DF229" s="4">
        <f>(16.66*0.03+23.87*0.38+23.6*1.12+13.6*1)/CO229</f>
        <v>19.605691699604744</v>
      </c>
      <c r="DG229" s="2"/>
      <c r="DH229" s="2"/>
      <c r="DI229" s="2"/>
      <c r="DJ229" s="2" t="s">
        <v>81</v>
      </c>
      <c r="DK229" s="2" t="s">
        <v>81</v>
      </c>
      <c r="DL229" s="2">
        <f t="shared" si="3"/>
        <v>1.4154156285390715</v>
      </c>
      <c r="DM229" s="2">
        <f t="shared" si="4"/>
        <v>0.16825707814269536</v>
      </c>
      <c r="DN229" s="2" t="s">
        <v>211</v>
      </c>
      <c r="DO229" s="2" t="s">
        <v>3</v>
      </c>
      <c r="DP229" s="2">
        <f t="shared" si="5"/>
        <v>0</v>
      </c>
      <c r="DQ229" s="2">
        <f t="shared" ref="DQ229:DR229" si="3863">K229*$I229+AF229*$AD229+BA229*$AY229</f>
        <v>0</v>
      </c>
      <c r="DR229" s="2">
        <f t="shared" si="3863"/>
        <v>0</v>
      </c>
      <c r="DS229" s="2">
        <f t="shared" ref="DS229:DX229" si="3864">(M229*$I229+AH229*$AD229+BC229*$AY229)/100</f>
        <v>0</v>
      </c>
      <c r="DT229" s="2">
        <f t="shared" si="3864"/>
        <v>0</v>
      </c>
      <c r="DU229" s="2">
        <f t="shared" si="3864"/>
        <v>0</v>
      </c>
      <c r="DV229" s="2">
        <f t="shared" si="3864"/>
        <v>0</v>
      </c>
      <c r="DW229" s="2">
        <f t="shared" si="3864"/>
        <v>1.2498120000000001</v>
      </c>
      <c r="DX229" s="2">
        <f t="shared" si="3864"/>
        <v>0.14857100000000001</v>
      </c>
      <c r="DY229" s="2">
        <f t="shared" ref="DY229:EC229" si="3865">S229*$I229+AN229*$AD229+BI229*$AY229</f>
        <v>0</v>
      </c>
      <c r="DZ229" s="2">
        <f t="shared" si="3865"/>
        <v>0</v>
      </c>
      <c r="EA229" s="2">
        <f t="shared" si="3865"/>
        <v>0</v>
      </c>
      <c r="EB229" s="2">
        <f t="shared" si="3865"/>
        <v>0</v>
      </c>
      <c r="EC229" s="2">
        <f t="shared" si="3865"/>
        <v>0</v>
      </c>
      <c r="ED229" s="2">
        <f t="shared" ref="ED229:EE229" si="3866">(X229*$I229+AS229*$AD229+BN229*$AY229)/100</f>
        <v>0</v>
      </c>
      <c r="EE229" s="2">
        <f t="shared" si="3866"/>
        <v>36.092676000000004</v>
      </c>
      <c r="EF229" s="2"/>
      <c r="EG229" s="2">
        <f t="shared" si="10"/>
        <v>0</v>
      </c>
      <c r="EH229" s="2">
        <f t="shared" si="11"/>
        <v>0</v>
      </c>
      <c r="EI229" s="39">
        <f t="shared" si="12"/>
        <v>0</v>
      </c>
      <c r="EJ229" s="39">
        <f t="shared" ref="EJ229:EK229" si="3867">EJ$1*DQ229/1000000</f>
        <v>0</v>
      </c>
      <c r="EK229" s="39">
        <f t="shared" si="3867"/>
        <v>0</v>
      </c>
      <c r="EL229" s="39">
        <f t="shared" ref="EL229:EQ229" si="3868">EL$1*DS229</f>
        <v>0</v>
      </c>
      <c r="EM229" s="39">
        <f t="shared" si="3868"/>
        <v>0</v>
      </c>
      <c r="EN229" s="39">
        <f t="shared" si="3868"/>
        <v>0</v>
      </c>
      <c r="EO229" s="39">
        <f t="shared" si="3868"/>
        <v>0</v>
      </c>
      <c r="EP229" s="39">
        <f t="shared" si="3868"/>
        <v>16390.034568000003</v>
      </c>
      <c r="EQ229" s="39">
        <f t="shared" si="3868"/>
        <v>10789.155300204</v>
      </c>
      <c r="ER229" s="39">
        <f t="shared" ref="ER229:EV229" si="3869">ER$1*DY229/1000000</f>
        <v>0</v>
      </c>
      <c r="ES229" s="39">
        <f t="shared" si="3869"/>
        <v>0</v>
      </c>
      <c r="ET229" s="39">
        <f t="shared" si="3869"/>
        <v>0</v>
      </c>
      <c r="EU229" s="39">
        <f t="shared" si="3869"/>
        <v>0</v>
      </c>
      <c r="EV229" s="39">
        <f t="shared" si="3869"/>
        <v>0</v>
      </c>
      <c r="EW229" s="39">
        <f t="shared" ref="EW229:EX229" si="3870">EW$1*ED229</f>
        <v>0</v>
      </c>
      <c r="EX229" s="39">
        <f t="shared" si="3870"/>
        <v>3356.6188680000005</v>
      </c>
      <c r="EY229" s="2"/>
      <c r="EZ229" s="39">
        <f t="shared" si="17"/>
        <v>0</v>
      </c>
      <c r="FA229" s="39">
        <f t="shared" si="18"/>
        <v>0</v>
      </c>
      <c r="FB229" s="2">
        <f t="shared" si="19"/>
        <v>0</v>
      </c>
      <c r="FC229" s="2">
        <f t="shared" ref="FC229:FD229" si="3871">BV229*$BT229+CQ229*$CO229</f>
        <v>0</v>
      </c>
      <c r="FD229" s="2">
        <f t="shared" si="3871"/>
        <v>0</v>
      </c>
      <c r="FE229" s="2">
        <f t="shared" ref="FE229:FJ229" si="3872">(BX229*$BT229+CS229*$CO229)/100</f>
        <v>0</v>
      </c>
      <c r="FF229" s="2">
        <f t="shared" si="3872"/>
        <v>0</v>
      </c>
      <c r="FG229" s="2">
        <f t="shared" si="3872"/>
        <v>0</v>
      </c>
      <c r="FH229" s="2">
        <f t="shared" si="3872"/>
        <v>0</v>
      </c>
      <c r="FI229" s="2">
        <f t="shared" si="3872"/>
        <v>0.21441100000000002</v>
      </c>
      <c r="FJ229" s="2">
        <f t="shared" si="3872"/>
        <v>2.1814E-2</v>
      </c>
      <c r="FK229" s="2">
        <f t="shared" ref="FK229:FO229" si="3873">CD229*$BT229+CY229*$CO229</f>
        <v>0</v>
      </c>
      <c r="FL229" s="2">
        <f t="shared" si="3873"/>
        <v>0</v>
      </c>
      <c r="FM229" s="2">
        <f t="shared" si="3873"/>
        <v>0</v>
      </c>
      <c r="FN229" s="2">
        <f t="shared" si="3873"/>
        <v>0</v>
      </c>
      <c r="FO229" s="2">
        <f t="shared" si="3873"/>
        <v>0</v>
      </c>
      <c r="FP229" s="2">
        <f t="shared" ref="FP229:FQ229" si="3874">(CI229*$BT229+DD229*$CO229)/100</f>
        <v>0</v>
      </c>
      <c r="FQ229" s="2">
        <f t="shared" si="3874"/>
        <v>4.7407919999999999</v>
      </c>
      <c r="FR229" s="2"/>
      <c r="FS229" s="2">
        <f t="shared" si="24"/>
        <v>0</v>
      </c>
      <c r="FT229" s="2">
        <f t="shared" si="25"/>
        <v>0</v>
      </c>
      <c r="FU229" s="39">
        <f t="shared" si="26"/>
        <v>0</v>
      </c>
      <c r="FV229" s="39">
        <f t="shared" ref="FV229:FW229" si="3875">FV$1*FC229/1000000</f>
        <v>0</v>
      </c>
      <c r="FW229" s="39">
        <f t="shared" si="3875"/>
        <v>0</v>
      </c>
      <c r="FX229" s="39">
        <f t="shared" ref="FX229:GC229" si="3876">FX$1*FE229</f>
        <v>0</v>
      </c>
      <c r="FY229" s="39">
        <f t="shared" si="3876"/>
        <v>0</v>
      </c>
      <c r="FZ229" s="39">
        <f t="shared" si="3876"/>
        <v>0</v>
      </c>
      <c r="GA229" s="39">
        <f t="shared" si="3876"/>
        <v>0</v>
      </c>
      <c r="GB229" s="39">
        <f t="shared" si="3876"/>
        <v>2811.7858540000002</v>
      </c>
      <c r="GC229" s="39">
        <f t="shared" si="3876"/>
        <v>1584.1222965359998</v>
      </c>
      <c r="GD229" s="39">
        <f t="shared" ref="GD229:GH229" si="3877">GD$1*FK229/1000000</f>
        <v>0</v>
      </c>
      <c r="GE229" s="39">
        <f t="shared" si="3877"/>
        <v>0</v>
      </c>
      <c r="GF229" s="39">
        <f t="shared" si="3877"/>
        <v>0</v>
      </c>
      <c r="GG229" s="39">
        <f t="shared" si="3877"/>
        <v>0</v>
      </c>
      <c r="GH229" s="39">
        <f t="shared" si="3877"/>
        <v>0</v>
      </c>
      <c r="GI229" s="39">
        <f t="shared" ref="GI229:GJ229" si="3878">GI$1*FP229</f>
        <v>0</v>
      </c>
      <c r="GJ229" s="39">
        <f t="shared" si="3878"/>
        <v>440.89365599999996</v>
      </c>
      <c r="GK229" s="2"/>
      <c r="GL229" s="39">
        <f t="shared" si="31"/>
        <v>0</v>
      </c>
      <c r="GM229" s="39">
        <f t="shared" si="32"/>
        <v>0</v>
      </c>
      <c r="GN229" s="2" t="s">
        <v>3</v>
      </c>
      <c r="GO229" s="2">
        <f t="shared" si="33"/>
        <v>88.3</v>
      </c>
      <c r="GP229" s="4">
        <f t="shared" si="34"/>
        <v>1.4154156285390715</v>
      </c>
      <c r="GQ229" s="18">
        <f t="shared" si="35"/>
        <v>1249.8120000000001</v>
      </c>
      <c r="GR229" s="15">
        <f t="shared" si="36"/>
        <v>30535.808736204006</v>
      </c>
      <c r="GS229" s="15">
        <f t="shared" si="37"/>
        <v>345.81889848475657</v>
      </c>
      <c r="GT229" s="2">
        <f t="shared" si="38"/>
        <v>551.01300000000003</v>
      </c>
      <c r="GU229" s="2">
        <f t="shared" si="39"/>
        <v>356.79100000000005</v>
      </c>
      <c r="GV229" s="2">
        <f t="shared" si="40"/>
        <v>342.00800000000004</v>
      </c>
      <c r="GW229" s="2">
        <f t="shared" si="41"/>
        <v>12.75</v>
      </c>
      <c r="GX229" s="4">
        <f t="shared" ref="GX229:GX230" si="3879">(BT229*CB229+CO229*CW229)/GW229</f>
        <v>1.6816549019607845</v>
      </c>
      <c r="GY229" s="15">
        <f t="shared" ref="GY229:GY230" si="3880">1000*GW229*GX229/100</f>
        <v>214.41100000000003</v>
      </c>
      <c r="GZ229" s="15">
        <f t="shared" ref="GZ229:GZ230" si="3881">SUM(FU229:GM229)</f>
        <v>4836.8018065360002</v>
      </c>
      <c r="HA229" s="15">
        <f t="shared" ref="HA229:HA230" si="3882">GZ229/GW229</f>
        <v>379.35700443419609</v>
      </c>
      <c r="HB229" s="2">
        <f t="shared" si="42"/>
        <v>173.25400000000002</v>
      </c>
      <c r="HC229" s="2">
        <f t="shared" si="43"/>
        <v>41.157000000000011</v>
      </c>
      <c r="HD229" s="2" t="s">
        <v>3</v>
      </c>
      <c r="HE229" s="2" t="s">
        <v>37</v>
      </c>
      <c r="HF229" s="2" t="s">
        <v>235</v>
      </c>
      <c r="HG229" s="2"/>
      <c r="HH229" s="2"/>
      <c r="HI229" s="2" t="s">
        <v>81</v>
      </c>
      <c r="HJ229" s="2" t="s">
        <v>3</v>
      </c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  <c r="JE229" s="2"/>
      <c r="JF229" s="2"/>
      <c r="JG229" s="2"/>
      <c r="JH229" s="2" t="s">
        <v>3</v>
      </c>
    </row>
    <row r="230" spans="1:268" ht="15.75" customHeight="1" x14ac:dyDescent="0.2">
      <c r="A230" s="13" t="s">
        <v>946</v>
      </c>
      <c r="B230" s="2" t="s">
        <v>109</v>
      </c>
      <c r="C230" s="2"/>
      <c r="D230" s="2"/>
      <c r="E230" s="2"/>
      <c r="F230" s="2" t="s">
        <v>442</v>
      </c>
      <c r="G230" s="2"/>
      <c r="H230" s="2" t="s">
        <v>242</v>
      </c>
      <c r="I230" s="2">
        <f>0.43+20.57+4.92+14.15</f>
        <v>40.07</v>
      </c>
      <c r="J230" s="2"/>
      <c r="K230" s="2"/>
      <c r="L230" s="2"/>
      <c r="M230" s="2"/>
      <c r="N230" s="2"/>
      <c r="O230" s="2"/>
      <c r="P230" s="2"/>
      <c r="Q230" s="4">
        <f>(1.45*0.43+1.42*20.57+1.43*4.92+1.41*14.15)/I230</f>
        <v>1.418018467681557</v>
      </c>
      <c r="R230" s="4">
        <f>(0.14*0.43+0.14*20.57+0.14*4.92+0.14*14.15)/I230</f>
        <v>0.14000000000000001</v>
      </c>
      <c r="S230" s="2"/>
      <c r="T230" s="2"/>
      <c r="U230" s="2"/>
      <c r="V230" s="2"/>
      <c r="W230" s="2"/>
      <c r="X230" s="2"/>
      <c r="Y230" s="4">
        <f>(38.45*0.43+41.96*20.57+38.71*4.92+43.93*14.15)/I230</f>
        <v>42.218951834289996</v>
      </c>
      <c r="Z230" s="4">
        <f>(14.1*0.43+10.24*20.57+12.48*4.92+8.86*14.15)/I230</f>
        <v>10.06913900673821</v>
      </c>
      <c r="AA230" s="2"/>
      <c r="AB230" s="2"/>
      <c r="AC230" s="2"/>
      <c r="AD230" s="2">
        <f>10.2+11.8+24.57+11.1</f>
        <v>57.67</v>
      </c>
      <c r="AE230" s="2"/>
      <c r="AF230" s="2"/>
      <c r="AG230" s="2"/>
      <c r="AH230" s="2"/>
      <c r="AI230" s="2"/>
      <c r="AJ230" s="2"/>
      <c r="AK230" s="2"/>
      <c r="AL230" s="4">
        <f>(1.4*10.2+1.41*11.8+1.42*24.57+1.42*11.1)/AD230</f>
        <v>1.4144165077163169</v>
      </c>
      <c r="AM230" s="4">
        <f>(0.1*10.2+0.12*11.8+0.07*24.57+0.14*11.1)/AD230</f>
        <v>9.9009883821744402E-2</v>
      </c>
      <c r="AN230" s="2"/>
      <c r="AO230" s="2"/>
      <c r="AP230" s="2"/>
      <c r="AQ230" s="2"/>
      <c r="AR230" s="2"/>
      <c r="AS230" s="2"/>
      <c r="AT230" s="4">
        <f>(36.98*10.2+40.75*11.8+36.16*24.57+43.37*11.1)/AD230</f>
        <v>38.631943818276397</v>
      </c>
      <c r="AU230" s="4">
        <f>(14.93*10.2+11.74*11.8+13.71*24.57+8.66*11.1)/AD230</f>
        <v>12.550697069533554</v>
      </c>
      <c r="AV230" s="2"/>
      <c r="AW230" s="2"/>
      <c r="AX230" s="2"/>
      <c r="AY230" s="2">
        <f>2.71+5.55+21.26+4.04</f>
        <v>33.56</v>
      </c>
      <c r="AZ230" s="2"/>
      <c r="BA230" s="2"/>
      <c r="BB230" s="2"/>
      <c r="BC230" s="2"/>
      <c r="BD230" s="2"/>
      <c r="BE230" s="2"/>
      <c r="BF230" s="2"/>
      <c r="BG230" s="4">
        <f>(1.39*2.71+1.42*5.55+1.37*21.26+1.38*4.04)/AY230</f>
        <v>1.3810876042908224</v>
      </c>
      <c r="BH230" s="4">
        <f>(0.12*2.71+0.14*5.55+0.07*21.26+0.15*4.04)/AY230</f>
        <v>9.524433849821215E-2</v>
      </c>
      <c r="BI230" s="2"/>
      <c r="BJ230" s="2"/>
      <c r="BK230" s="2"/>
      <c r="BL230" s="2"/>
      <c r="BM230" s="2"/>
      <c r="BN230" s="2"/>
      <c r="BO230" s="4">
        <f>(40.65*2.71+32.86*5.55+32.86*21.26+43.71*4.04)/AY230</f>
        <v>34.795187723480332</v>
      </c>
      <c r="BP230" s="4">
        <f>(13.5*2.71+11.76*5.55+19.3*21.26+8.48*4.04)/AY230</f>
        <v>16.282187127532776</v>
      </c>
      <c r="BQ230" s="2"/>
      <c r="BR230" s="2"/>
      <c r="BS230" s="2"/>
      <c r="BT230" s="2">
        <f>4.47+17.9</f>
        <v>22.369999999999997</v>
      </c>
      <c r="BU230" s="2"/>
      <c r="BV230" s="2"/>
      <c r="BW230" s="2"/>
      <c r="BX230" s="2"/>
      <c r="BY230" s="2"/>
      <c r="BZ230" s="2"/>
      <c r="CA230" s="2"/>
      <c r="CB230" s="4">
        <f>(1.39*4.47+1.38*17.9)/BT230</f>
        <v>1.3819982118909253</v>
      </c>
      <c r="CC230" s="4">
        <f>(0.14*4.47+1.4*17.9)/BT230</f>
        <v>1.1482253017434063</v>
      </c>
      <c r="CD230" s="2"/>
      <c r="CE230" s="2"/>
      <c r="CF230" s="2"/>
      <c r="CG230" s="2"/>
      <c r="CH230" s="2"/>
      <c r="CI230" s="2"/>
      <c r="CJ230" s="4">
        <f>(38.7*4.47+42.03*17.9)/BT230</f>
        <v>41.364595440321864</v>
      </c>
      <c r="CK230" s="4">
        <f>(12.48*4.47+10.18*17.9)/BT230</f>
        <v>10.639588734912829</v>
      </c>
      <c r="CL230" s="2"/>
      <c r="CM230" s="2"/>
      <c r="CN230" s="2"/>
      <c r="CO230" s="2">
        <f>22.04+20.09</f>
        <v>42.129999999999995</v>
      </c>
      <c r="CP230" s="2"/>
      <c r="CQ230" s="2"/>
      <c r="CR230" s="2"/>
      <c r="CS230" s="2"/>
      <c r="CT230" s="2"/>
      <c r="CU230" s="2"/>
      <c r="CV230" s="2"/>
      <c r="CW230" s="4">
        <f>(1.38*22.04+1.37*20.09)/CO230</f>
        <v>1.3752314265369097</v>
      </c>
      <c r="CX230" s="4">
        <f>(0.07*22.04+0.12*20.09)/CO230</f>
        <v>9.3842867315452189E-2</v>
      </c>
      <c r="CY230" s="2"/>
      <c r="CZ230" s="2"/>
      <c r="DA230" s="2"/>
      <c r="DB230" s="2"/>
      <c r="DC230" s="2"/>
      <c r="DD230" s="2"/>
      <c r="DE230" s="4">
        <f>(36.15*22.04+40.72*20.09)/CO230</f>
        <v>38.329238072632329</v>
      </c>
      <c r="DF230" s="4">
        <f>(13.71*22.04+11.74*20.09)/CO230</f>
        <v>12.770591027771188</v>
      </c>
      <c r="DG230" s="2"/>
      <c r="DH230" s="2"/>
      <c r="DI230" s="2"/>
      <c r="DJ230" s="2" t="s">
        <v>81</v>
      </c>
      <c r="DK230" s="2" t="s">
        <v>81</v>
      </c>
      <c r="DL230" s="2">
        <f t="shared" si="3"/>
        <v>1.4069969535415079</v>
      </c>
      <c r="DM230" s="2">
        <f t="shared" si="4"/>
        <v>0.11055674028941356</v>
      </c>
      <c r="DN230" s="2" t="s">
        <v>211</v>
      </c>
      <c r="DO230" s="2" t="s">
        <v>3</v>
      </c>
      <c r="DP230" s="2">
        <f t="shared" si="5"/>
        <v>0</v>
      </c>
      <c r="DQ230" s="2">
        <f t="shared" ref="DQ230:DR230" si="3883">K230*$I230+AF230*$AD230+BA230*$AY230</f>
        <v>0</v>
      </c>
      <c r="DR230" s="2">
        <f t="shared" si="3883"/>
        <v>0</v>
      </c>
      <c r="DS230" s="2">
        <f t="shared" ref="DS230:DX230" si="3884">(M230*$I230+AH230*$AD230+BC230*$AY230)/100</f>
        <v>0</v>
      </c>
      <c r="DT230" s="2">
        <f t="shared" si="3884"/>
        <v>0</v>
      </c>
      <c r="DU230" s="2">
        <f t="shared" si="3884"/>
        <v>0</v>
      </c>
      <c r="DV230" s="2">
        <f t="shared" si="3884"/>
        <v>0</v>
      </c>
      <c r="DW230" s="2">
        <f t="shared" si="3884"/>
        <v>1.8473869999999999</v>
      </c>
      <c r="DX230" s="2">
        <f t="shared" si="3884"/>
        <v>0.14516100000000001</v>
      </c>
      <c r="DY230" s="2">
        <f t="shared" ref="DY230:EC230" si="3885">S230*$I230+AN230*$AD230+BI230*$AY230</f>
        <v>0</v>
      </c>
      <c r="DZ230" s="2">
        <f t="shared" si="3885"/>
        <v>0</v>
      </c>
      <c r="EA230" s="2">
        <f t="shared" si="3885"/>
        <v>0</v>
      </c>
      <c r="EB230" s="2">
        <f t="shared" si="3885"/>
        <v>0</v>
      </c>
      <c r="EC230" s="2">
        <f t="shared" si="3885"/>
        <v>0</v>
      </c>
      <c r="ED230" s="2">
        <f t="shared" ref="ED230:EE230" si="3886">(X230*$I230+AS230*$AD230+BN230*$AY230)/100</f>
        <v>0</v>
      </c>
      <c r="EE230" s="2">
        <f t="shared" si="3886"/>
        <v>50.873441</v>
      </c>
      <c r="EF230" s="2"/>
      <c r="EG230" s="2">
        <f t="shared" si="10"/>
        <v>0</v>
      </c>
      <c r="EH230" s="2">
        <f t="shared" si="11"/>
        <v>0</v>
      </c>
      <c r="EI230" s="39">
        <f t="shared" si="12"/>
        <v>0</v>
      </c>
      <c r="EJ230" s="39">
        <f t="shared" ref="EJ230:EK230" si="3887">EJ$1*DQ230/1000000</f>
        <v>0</v>
      </c>
      <c r="EK230" s="39">
        <f t="shared" si="3887"/>
        <v>0</v>
      </c>
      <c r="EL230" s="39">
        <f t="shared" ref="EL230:EQ230" si="3888">EL$1*DS230</f>
        <v>0</v>
      </c>
      <c r="EM230" s="39">
        <f t="shared" si="3888"/>
        <v>0</v>
      </c>
      <c r="EN230" s="39">
        <f t="shared" si="3888"/>
        <v>0</v>
      </c>
      <c r="EO230" s="39">
        <f t="shared" si="3888"/>
        <v>0</v>
      </c>
      <c r="EP230" s="39">
        <f t="shared" si="3888"/>
        <v>24226.633117999998</v>
      </c>
      <c r="EQ230" s="39">
        <f t="shared" si="3888"/>
        <v>10541.522723364</v>
      </c>
      <c r="ER230" s="39">
        <f t="shared" ref="ER230:EV230" si="3889">ER$1*DY230/1000000</f>
        <v>0</v>
      </c>
      <c r="ES230" s="39">
        <f t="shared" si="3889"/>
        <v>0</v>
      </c>
      <c r="ET230" s="39">
        <f t="shared" si="3889"/>
        <v>0</v>
      </c>
      <c r="EU230" s="39">
        <f t="shared" si="3889"/>
        <v>0</v>
      </c>
      <c r="EV230" s="39">
        <f t="shared" si="3889"/>
        <v>0</v>
      </c>
      <c r="EW230" s="39">
        <f t="shared" ref="EW230:EX230" si="3890">EW$1*ED230</f>
        <v>0</v>
      </c>
      <c r="EX230" s="39">
        <f t="shared" si="3890"/>
        <v>4731.2300130000003</v>
      </c>
      <c r="EY230" s="2"/>
      <c r="EZ230" s="39">
        <f t="shared" si="17"/>
        <v>0</v>
      </c>
      <c r="FA230" s="39">
        <f t="shared" si="18"/>
        <v>0</v>
      </c>
      <c r="FB230" s="2">
        <f t="shared" si="19"/>
        <v>0</v>
      </c>
      <c r="FC230" s="2">
        <f t="shared" ref="FC230:FD230" si="3891">BV230*$BT230+CQ230*$CO230</f>
        <v>0</v>
      </c>
      <c r="FD230" s="2">
        <f t="shared" si="3891"/>
        <v>0</v>
      </c>
      <c r="FE230" s="2">
        <f t="shared" ref="FE230:FJ230" si="3892">(BX230*$BT230+CS230*$CO230)/100</f>
        <v>0</v>
      </c>
      <c r="FF230" s="2">
        <f t="shared" si="3892"/>
        <v>0</v>
      </c>
      <c r="FG230" s="2">
        <f t="shared" si="3892"/>
        <v>0</v>
      </c>
      <c r="FH230" s="2">
        <f t="shared" si="3892"/>
        <v>0</v>
      </c>
      <c r="FI230" s="2">
        <f t="shared" si="3892"/>
        <v>0.88853799999999994</v>
      </c>
      <c r="FJ230" s="2">
        <f t="shared" si="3892"/>
        <v>0.29639399999999999</v>
      </c>
      <c r="FK230" s="2">
        <f t="shared" ref="FK230:FO230" si="3893">CD230*$BT230+CY230*$CO230</f>
        <v>0</v>
      </c>
      <c r="FL230" s="2">
        <f t="shared" si="3893"/>
        <v>0</v>
      </c>
      <c r="FM230" s="2">
        <f t="shared" si="3893"/>
        <v>0</v>
      </c>
      <c r="FN230" s="2">
        <f t="shared" si="3893"/>
        <v>0</v>
      </c>
      <c r="FO230" s="2">
        <f t="shared" si="3893"/>
        <v>0</v>
      </c>
      <c r="FP230" s="2">
        <f t="shared" ref="FP230:FQ230" si="3894">(CI230*$BT230+DD230*$CO230)/100</f>
        <v>0</v>
      </c>
      <c r="FQ230" s="2">
        <f t="shared" si="3894"/>
        <v>25.401367999999998</v>
      </c>
      <c r="FR230" s="2"/>
      <c r="FS230" s="2">
        <f t="shared" si="24"/>
        <v>0</v>
      </c>
      <c r="FT230" s="2">
        <f t="shared" si="25"/>
        <v>0</v>
      </c>
      <c r="FU230" s="39">
        <f t="shared" si="26"/>
        <v>0</v>
      </c>
      <c r="FV230" s="39">
        <f t="shared" ref="FV230:FW230" si="3895">FV$1*FC230/1000000</f>
        <v>0</v>
      </c>
      <c r="FW230" s="39">
        <f t="shared" si="3895"/>
        <v>0</v>
      </c>
      <c r="FX230" s="39">
        <f t="shared" ref="FX230:GC230" si="3896">FX$1*FE230</f>
        <v>0</v>
      </c>
      <c r="FY230" s="39">
        <f t="shared" si="3896"/>
        <v>0</v>
      </c>
      <c r="FZ230" s="39">
        <f t="shared" si="3896"/>
        <v>0</v>
      </c>
      <c r="GA230" s="39">
        <f t="shared" si="3896"/>
        <v>0</v>
      </c>
      <c r="GB230" s="39">
        <f t="shared" si="3896"/>
        <v>11652.287332</v>
      </c>
      <c r="GC230" s="39">
        <f t="shared" si="3896"/>
        <v>21523.991196455998</v>
      </c>
      <c r="GD230" s="39">
        <f t="shared" ref="GD230:GH230" si="3897">GD$1*FK230/1000000</f>
        <v>0</v>
      </c>
      <c r="GE230" s="39">
        <f t="shared" si="3897"/>
        <v>0</v>
      </c>
      <c r="GF230" s="39">
        <f t="shared" si="3897"/>
        <v>0</v>
      </c>
      <c r="GG230" s="39">
        <f t="shared" si="3897"/>
        <v>0</v>
      </c>
      <c r="GH230" s="39">
        <f t="shared" si="3897"/>
        <v>0</v>
      </c>
      <c r="GI230" s="39">
        <f t="shared" ref="GI230:GJ230" si="3898">GI$1*FP230</f>
        <v>0</v>
      </c>
      <c r="GJ230" s="39">
        <f t="shared" si="3898"/>
        <v>2362.3272239999997</v>
      </c>
      <c r="GK230" s="2"/>
      <c r="GL230" s="39">
        <f t="shared" si="31"/>
        <v>0</v>
      </c>
      <c r="GM230" s="39">
        <f t="shared" si="32"/>
        <v>0</v>
      </c>
      <c r="GN230" s="2" t="s">
        <v>3</v>
      </c>
      <c r="GO230" s="2">
        <f t="shared" si="33"/>
        <v>131.30000000000001</v>
      </c>
      <c r="GP230" s="4">
        <f t="shared" si="34"/>
        <v>1.4069969535415079</v>
      </c>
      <c r="GQ230" s="18">
        <f t="shared" si="35"/>
        <v>1847.3869999999997</v>
      </c>
      <c r="GR230" s="15">
        <f t="shared" si="36"/>
        <v>39499.385854364002</v>
      </c>
      <c r="GS230" s="15">
        <f t="shared" si="37"/>
        <v>300.83309866233054</v>
      </c>
      <c r="GT230" s="2">
        <f t="shared" si="38"/>
        <v>568.19999999999993</v>
      </c>
      <c r="GU230" s="2">
        <f t="shared" si="39"/>
        <v>815.69400000000007</v>
      </c>
      <c r="GV230" s="2">
        <f t="shared" si="40"/>
        <v>463.49300000000011</v>
      </c>
      <c r="GW230" s="2">
        <f t="shared" si="41"/>
        <v>64.5</v>
      </c>
      <c r="GX230" s="4">
        <f t="shared" si="3879"/>
        <v>1.3775782945736432</v>
      </c>
      <c r="GY230" s="15">
        <f t="shared" si="3880"/>
        <v>888.5379999999999</v>
      </c>
      <c r="GZ230" s="15">
        <f t="shared" si="3881"/>
        <v>35538.605752455995</v>
      </c>
      <c r="HA230" s="15">
        <f t="shared" si="3882"/>
        <v>550.98613569699216</v>
      </c>
      <c r="HB230" s="2">
        <f t="shared" si="42"/>
        <v>309.15299999999996</v>
      </c>
      <c r="HC230" s="2">
        <f t="shared" si="43"/>
        <v>579.38499999999999</v>
      </c>
      <c r="HD230" s="2" t="s">
        <v>3</v>
      </c>
      <c r="HE230" s="2" t="s">
        <v>37</v>
      </c>
      <c r="HF230" s="2" t="s">
        <v>235</v>
      </c>
      <c r="HG230" s="2"/>
      <c r="HH230" s="2"/>
      <c r="HI230" s="2" t="s">
        <v>81</v>
      </c>
      <c r="HJ230" s="2" t="s">
        <v>3</v>
      </c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 t="s">
        <v>3</v>
      </c>
    </row>
    <row r="231" spans="1:268" ht="15.75" customHeight="1" x14ac:dyDescent="0.2">
      <c r="A231" s="13" t="s">
        <v>944</v>
      </c>
      <c r="B231" s="2" t="s">
        <v>120</v>
      </c>
      <c r="C231" s="2"/>
      <c r="D231" s="2"/>
      <c r="E231" s="2"/>
      <c r="F231" s="2" t="s">
        <v>945</v>
      </c>
      <c r="G231" s="2"/>
      <c r="H231" s="2" t="s">
        <v>141</v>
      </c>
      <c r="I231" s="4">
        <v>85.435869999999994</v>
      </c>
      <c r="J231" s="2"/>
      <c r="K231" s="2"/>
      <c r="L231" s="2"/>
      <c r="M231" s="2"/>
      <c r="N231" s="2"/>
      <c r="O231" s="2"/>
      <c r="P231" s="2"/>
      <c r="Q231" s="2">
        <v>1.51</v>
      </c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4">
        <v>182.0712</v>
      </c>
      <c r="AE231" s="2"/>
      <c r="AF231" s="2"/>
      <c r="AG231" s="2"/>
      <c r="AH231" s="2"/>
      <c r="AI231" s="2"/>
      <c r="AJ231" s="2"/>
      <c r="AK231" s="2"/>
      <c r="AL231" s="2">
        <v>1.35</v>
      </c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15">
        <f>83.104+89.78</f>
        <v>172.88400000000001</v>
      </c>
      <c r="AZ231" s="2"/>
      <c r="BA231" s="2"/>
      <c r="BB231" s="2"/>
      <c r="BC231" s="2"/>
      <c r="BD231" s="2"/>
      <c r="BE231" s="2"/>
      <c r="BF231" s="2"/>
      <c r="BG231" s="4">
        <f>(1.26*83.104+0.8*89.78)/AY231</f>
        <v>1.0211184377964413</v>
      </c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>
        <v>0</v>
      </c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>
        <v>0</v>
      </c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 t="s">
        <v>81</v>
      </c>
      <c r="DK231" s="2"/>
      <c r="DL231" s="2">
        <f t="shared" si="3"/>
        <v>1.2519312067340511</v>
      </c>
      <c r="DM231" s="2">
        <f t="shared" si="4"/>
        <v>0</v>
      </c>
      <c r="DN231" s="2" t="s">
        <v>302</v>
      </c>
      <c r="DO231" s="2" t="s">
        <v>3</v>
      </c>
      <c r="DP231" s="2">
        <f t="shared" si="5"/>
        <v>0</v>
      </c>
      <c r="DQ231" s="2">
        <f t="shared" ref="DQ231:DR231" si="3899">K231*$I231+AF231*$AD231+BA231*$AY231</f>
        <v>0</v>
      </c>
      <c r="DR231" s="2">
        <f t="shared" si="3899"/>
        <v>0</v>
      </c>
      <c r="DS231" s="2">
        <f t="shared" ref="DS231:DX231" si="3900">(M231*$I231+AH231*$AD231+BC231*$AY231)/100</f>
        <v>0</v>
      </c>
      <c r="DT231" s="2">
        <f t="shared" si="3900"/>
        <v>0</v>
      </c>
      <c r="DU231" s="2">
        <f t="shared" si="3900"/>
        <v>0</v>
      </c>
      <c r="DV231" s="2">
        <f t="shared" si="3900"/>
        <v>0</v>
      </c>
      <c r="DW231" s="2">
        <f t="shared" si="3900"/>
        <v>5.5133932369999998</v>
      </c>
      <c r="DX231" s="2">
        <f t="shared" si="3900"/>
        <v>0</v>
      </c>
      <c r="DY231" s="2">
        <f t="shared" ref="DY231:EC231" si="3901">S231*$I231+AN231*$AD231+BI231*$AY231</f>
        <v>0</v>
      </c>
      <c r="DZ231" s="2">
        <f t="shared" si="3901"/>
        <v>0</v>
      </c>
      <c r="EA231" s="2">
        <f t="shared" si="3901"/>
        <v>0</v>
      </c>
      <c r="EB231" s="2">
        <f t="shared" si="3901"/>
        <v>0</v>
      </c>
      <c r="EC231" s="2">
        <f t="shared" si="3901"/>
        <v>0</v>
      </c>
      <c r="ED231" s="2">
        <f t="shared" ref="ED231:EE231" si="3902">(X231*$I231+AS231*$AD231+BN231*$AY231)/100</f>
        <v>0</v>
      </c>
      <c r="EE231" s="2">
        <f t="shared" si="3902"/>
        <v>0</v>
      </c>
      <c r="EF231" s="2"/>
      <c r="EG231" s="2">
        <f t="shared" si="10"/>
        <v>0</v>
      </c>
      <c r="EH231" s="2">
        <f t="shared" si="11"/>
        <v>0</v>
      </c>
      <c r="EI231" s="39">
        <f t="shared" si="12"/>
        <v>0</v>
      </c>
      <c r="EJ231" s="39">
        <f t="shared" ref="EJ231:EK231" si="3903">EJ$1*DQ231/1000000</f>
        <v>0</v>
      </c>
      <c r="EK231" s="39">
        <f t="shared" si="3903"/>
        <v>0</v>
      </c>
      <c r="EL231" s="39">
        <f t="shared" ref="EL231:EQ231" si="3904">EL$1*DS231</f>
        <v>0</v>
      </c>
      <c r="EM231" s="39">
        <f t="shared" si="3904"/>
        <v>0</v>
      </c>
      <c r="EN231" s="39">
        <f t="shared" si="3904"/>
        <v>0</v>
      </c>
      <c r="EO231" s="39">
        <f t="shared" si="3904"/>
        <v>0</v>
      </c>
      <c r="EP231" s="39">
        <f t="shared" si="3904"/>
        <v>72302.638910017995</v>
      </c>
      <c r="EQ231" s="39">
        <f t="shared" si="3904"/>
        <v>0</v>
      </c>
      <c r="ER231" s="39">
        <f t="shared" ref="ER231:EV231" si="3905">ER$1*DY231/1000000</f>
        <v>0</v>
      </c>
      <c r="ES231" s="39">
        <f t="shared" si="3905"/>
        <v>0</v>
      </c>
      <c r="ET231" s="39">
        <f t="shared" si="3905"/>
        <v>0</v>
      </c>
      <c r="EU231" s="39">
        <f t="shared" si="3905"/>
        <v>0</v>
      </c>
      <c r="EV231" s="39">
        <f t="shared" si="3905"/>
        <v>0</v>
      </c>
      <c r="EW231" s="39">
        <f t="shared" ref="EW231:EX231" si="3906">EW$1*ED231</f>
        <v>0</v>
      </c>
      <c r="EX231" s="39">
        <f t="shared" si="3906"/>
        <v>0</v>
      </c>
      <c r="EY231" s="2"/>
      <c r="EZ231" s="39">
        <f t="shared" si="17"/>
        <v>0</v>
      </c>
      <c r="FA231" s="39">
        <f t="shared" si="18"/>
        <v>0</v>
      </c>
      <c r="FB231" s="2">
        <f t="shared" si="19"/>
        <v>0</v>
      </c>
      <c r="FC231" s="2">
        <f t="shared" ref="FC231:FD231" si="3907">BV231*$BT231+CQ231*$CO231</f>
        <v>0</v>
      </c>
      <c r="FD231" s="2">
        <f t="shared" si="3907"/>
        <v>0</v>
      </c>
      <c r="FE231" s="2">
        <f t="shared" ref="FE231:FJ231" si="3908">(BX231*$BT231+CS231*$CO231)/100</f>
        <v>0</v>
      </c>
      <c r="FF231" s="2">
        <f t="shared" si="3908"/>
        <v>0</v>
      </c>
      <c r="FG231" s="2">
        <f t="shared" si="3908"/>
        <v>0</v>
      </c>
      <c r="FH231" s="2">
        <f t="shared" si="3908"/>
        <v>0</v>
      </c>
      <c r="FI231" s="2">
        <f t="shared" si="3908"/>
        <v>0</v>
      </c>
      <c r="FJ231" s="2">
        <f t="shared" si="3908"/>
        <v>0</v>
      </c>
      <c r="FK231" s="2">
        <f t="shared" ref="FK231:FO231" si="3909">CD231*$BT231+CY231*$CO231</f>
        <v>0</v>
      </c>
      <c r="FL231" s="2">
        <f t="shared" si="3909"/>
        <v>0</v>
      </c>
      <c r="FM231" s="2">
        <f t="shared" si="3909"/>
        <v>0</v>
      </c>
      <c r="FN231" s="2">
        <f t="shared" si="3909"/>
        <v>0</v>
      </c>
      <c r="FO231" s="2">
        <f t="shared" si="3909"/>
        <v>0</v>
      </c>
      <c r="FP231" s="2">
        <f t="shared" ref="FP231:FQ231" si="3910">(CI231*$BT231+DD231*$CO231)/100</f>
        <v>0</v>
      </c>
      <c r="FQ231" s="2">
        <f t="shared" si="3910"/>
        <v>0</v>
      </c>
      <c r="FR231" s="2"/>
      <c r="FS231" s="2">
        <f t="shared" si="24"/>
        <v>0</v>
      </c>
      <c r="FT231" s="2">
        <f t="shared" si="25"/>
        <v>0</v>
      </c>
      <c r="FU231" s="39">
        <f t="shared" si="26"/>
        <v>0</v>
      </c>
      <c r="FV231" s="39">
        <f t="shared" ref="FV231:FW231" si="3911">FV$1*FC231/1000000</f>
        <v>0</v>
      </c>
      <c r="FW231" s="39">
        <f t="shared" si="3911"/>
        <v>0</v>
      </c>
      <c r="FX231" s="39">
        <f t="shared" ref="FX231:GC231" si="3912">FX$1*FE231</f>
        <v>0</v>
      </c>
      <c r="FY231" s="39">
        <f t="shared" si="3912"/>
        <v>0</v>
      </c>
      <c r="FZ231" s="39">
        <f t="shared" si="3912"/>
        <v>0</v>
      </c>
      <c r="GA231" s="39">
        <f t="shared" si="3912"/>
        <v>0</v>
      </c>
      <c r="GB231" s="39">
        <f t="shared" si="3912"/>
        <v>0</v>
      </c>
      <c r="GC231" s="39">
        <f t="shared" si="3912"/>
        <v>0</v>
      </c>
      <c r="GD231" s="39">
        <f t="shared" ref="GD231:GH231" si="3913">GD$1*FK231/1000000</f>
        <v>0</v>
      </c>
      <c r="GE231" s="39">
        <f t="shared" si="3913"/>
        <v>0</v>
      </c>
      <c r="GF231" s="39">
        <f t="shared" si="3913"/>
        <v>0</v>
      </c>
      <c r="GG231" s="39">
        <f t="shared" si="3913"/>
        <v>0</v>
      </c>
      <c r="GH231" s="39">
        <f t="shared" si="3913"/>
        <v>0</v>
      </c>
      <c r="GI231" s="39">
        <f t="shared" ref="GI231:GJ231" si="3914">GI$1*FP231</f>
        <v>0</v>
      </c>
      <c r="GJ231" s="39">
        <f t="shared" si="3914"/>
        <v>0</v>
      </c>
      <c r="GK231" s="2"/>
      <c r="GL231" s="39">
        <f t="shared" si="31"/>
        <v>0</v>
      </c>
      <c r="GM231" s="39">
        <f t="shared" si="32"/>
        <v>0</v>
      </c>
      <c r="GN231" s="2" t="s">
        <v>3</v>
      </c>
      <c r="GO231" s="15">
        <f t="shared" si="33"/>
        <v>440.39107000000001</v>
      </c>
      <c r="GP231" s="4">
        <f t="shared" si="34"/>
        <v>1.2519312067340511</v>
      </c>
      <c r="GQ231" s="18">
        <f t="shared" si="35"/>
        <v>5513.3932369999993</v>
      </c>
      <c r="GR231" s="15">
        <f t="shared" si="36"/>
        <v>72302.638910017995</v>
      </c>
      <c r="GS231" s="15">
        <f t="shared" si="37"/>
        <v>164.17825845110346</v>
      </c>
      <c r="GT231" s="2">
        <f t="shared" si="38"/>
        <v>1290.081637</v>
      </c>
      <c r="GU231" s="2">
        <f t="shared" si="39"/>
        <v>2457.9612000000002</v>
      </c>
      <c r="GV231" s="2">
        <f t="shared" si="40"/>
        <v>1765.3503999999998</v>
      </c>
      <c r="GW231" s="2">
        <f t="shared" si="41"/>
        <v>0</v>
      </c>
      <c r="GX231" s="2"/>
      <c r="GY231" s="2"/>
      <c r="GZ231" s="2"/>
      <c r="HA231" s="2"/>
      <c r="HB231" s="2">
        <f t="shared" si="42"/>
        <v>0</v>
      </c>
      <c r="HC231" s="2">
        <f t="shared" si="43"/>
        <v>0</v>
      </c>
      <c r="HD231" s="2" t="s">
        <v>3</v>
      </c>
      <c r="HE231" s="2" t="s">
        <v>37</v>
      </c>
      <c r="HF231" s="2" t="s">
        <v>235</v>
      </c>
      <c r="HG231" s="2"/>
      <c r="HH231" s="2"/>
      <c r="HI231" s="2" t="s">
        <v>81</v>
      </c>
      <c r="HJ231" s="2" t="s">
        <v>3</v>
      </c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  <c r="JE231" s="2"/>
      <c r="JF231" s="2"/>
      <c r="JG231" s="2"/>
      <c r="JH231" s="2" t="s">
        <v>3</v>
      </c>
    </row>
    <row r="232" spans="1:268" ht="15.75" customHeight="1" x14ac:dyDescent="0.2">
      <c r="A232" s="13" t="s">
        <v>1009</v>
      </c>
      <c r="B232" s="2" t="s">
        <v>109</v>
      </c>
      <c r="C232" s="2"/>
      <c r="D232" s="2"/>
      <c r="E232" s="2"/>
      <c r="F232" s="2" t="s">
        <v>442</v>
      </c>
      <c r="G232" s="2"/>
      <c r="H232" s="2" t="s">
        <v>242</v>
      </c>
      <c r="I232" s="2">
        <v>3.78</v>
      </c>
      <c r="J232" s="2"/>
      <c r="K232" s="2"/>
      <c r="L232" s="2"/>
      <c r="M232" s="2"/>
      <c r="N232" s="2"/>
      <c r="O232" s="2"/>
      <c r="P232" s="2"/>
      <c r="Q232" s="2">
        <v>1.41</v>
      </c>
      <c r="R232" s="2">
        <v>0.13</v>
      </c>
      <c r="S232" s="2"/>
      <c r="T232" s="2"/>
      <c r="U232" s="2"/>
      <c r="V232" s="2"/>
      <c r="W232" s="2"/>
      <c r="X232" s="2"/>
      <c r="Y232" s="2">
        <v>38.94</v>
      </c>
      <c r="Z232" s="2">
        <v>16.920000000000002</v>
      </c>
      <c r="AA232" s="2"/>
      <c r="AB232" s="2"/>
      <c r="AC232" s="2"/>
      <c r="AD232" s="2">
        <v>5.67</v>
      </c>
      <c r="AE232" s="2"/>
      <c r="AF232" s="2"/>
      <c r="AG232" s="2"/>
      <c r="AH232" s="2"/>
      <c r="AI232" s="2"/>
      <c r="AJ232" s="2"/>
      <c r="AK232" s="2"/>
      <c r="AL232" s="2">
        <v>1.38</v>
      </c>
      <c r="AM232" s="2">
        <v>0.13</v>
      </c>
      <c r="AN232" s="2"/>
      <c r="AO232" s="2"/>
      <c r="AP232" s="2"/>
      <c r="AQ232" s="2"/>
      <c r="AR232" s="2"/>
      <c r="AS232" s="2"/>
      <c r="AT232" s="2">
        <v>38.99</v>
      </c>
      <c r="AU232" s="2">
        <v>16.34</v>
      </c>
      <c r="AV232" s="2"/>
      <c r="AW232" s="2"/>
      <c r="AX232" s="2"/>
      <c r="AY232" s="2">
        <v>8.98</v>
      </c>
      <c r="AZ232" s="2"/>
      <c r="BA232" s="2"/>
      <c r="BB232" s="2"/>
      <c r="BC232" s="2"/>
      <c r="BD232" s="2"/>
      <c r="BE232" s="2"/>
      <c r="BF232" s="2"/>
      <c r="BG232" s="2">
        <v>1.41</v>
      </c>
      <c r="BH232" s="2">
        <v>0.11</v>
      </c>
      <c r="BI232" s="2"/>
      <c r="BJ232" s="2"/>
      <c r="BK232" s="2"/>
      <c r="BL232" s="2"/>
      <c r="BM232" s="2"/>
      <c r="BN232" s="2"/>
      <c r="BO232" s="2">
        <v>29.8</v>
      </c>
      <c r="BP232" s="2">
        <v>18.82</v>
      </c>
      <c r="BQ232" s="2"/>
      <c r="BR232" s="2"/>
      <c r="BS232" s="2"/>
      <c r="BT232" s="2">
        <v>0.76</v>
      </c>
      <c r="BU232" s="2"/>
      <c r="BV232" s="2"/>
      <c r="BW232" s="2"/>
      <c r="BX232" s="2"/>
      <c r="BY232" s="2"/>
      <c r="BZ232" s="2"/>
      <c r="CA232" s="2"/>
      <c r="CB232" s="2">
        <v>1.63</v>
      </c>
      <c r="CC232" s="2">
        <v>0.13</v>
      </c>
      <c r="CD232" s="2"/>
      <c r="CE232" s="2"/>
      <c r="CF232" s="2"/>
      <c r="CG232" s="2"/>
      <c r="CH232" s="2"/>
      <c r="CI232" s="2"/>
      <c r="CJ232" s="2">
        <v>38.590000000000003</v>
      </c>
      <c r="CK232" s="2">
        <v>17.45</v>
      </c>
      <c r="CL232" s="2"/>
      <c r="CM232" s="2"/>
      <c r="CN232" s="2"/>
      <c r="CO232" s="2">
        <v>0.74</v>
      </c>
      <c r="CP232" s="2"/>
      <c r="CQ232" s="2"/>
      <c r="CR232" s="2"/>
      <c r="CS232" s="2"/>
      <c r="CT232" s="2"/>
      <c r="CU232" s="2"/>
      <c r="CV232" s="2"/>
      <c r="CW232" s="2">
        <v>1.59</v>
      </c>
      <c r="CX232" s="2">
        <v>0.16</v>
      </c>
      <c r="CY232" s="2"/>
      <c r="CZ232" s="2"/>
      <c r="DA232" s="2"/>
      <c r="DB232" s="2"/>
      <c r="DC232" s="2"/>
      <c r="DD232" s="2"/>
      <c r="DE232" s="2">
        <v>41.15</v>
      </c>
      <c r="DF232" s="2">
        <v>13.62</v>
      </c>
      <c r="DG232" s="2"/>
      <c r="DH232" s="2"/>
      <c r="DI232" s="2"/>
      <c r="DJ232" s="2" t="s">
        <v>81</v>
      </c>
      <c r="DK232" s="2" t="s">
        <v>81</v>
      </c>
      <c r="DL232" s="2">
        <f t="shared" si="3"/>
        <v>1.4007704829083016</v>
      </c>
      <c r="DM232" s="2">
        <f t="shared" si="4"/>
        <v>0.12025501899077591</v>
      </c>
      <c r="DN232" s="2" t="s">
        <v>211</v>
      </c>
      <c r="DO232" s="2" t="s">
        <v>3</v>
      </c>
      <c r="DP232" s="2">
        <f t="shared" si="5"/>
        <v>0</v>
      </c>
      <c r="DQ232" s="2">
        <f t="shared" ref="DQ232:DR232" si="3915">K232*$I232+AF232*$AD232+BA232*$AY232</f>
        <v>0</v>
      </c>
      <c r="DR232" s="2">
        <f t="shared" si="3915"/>
        <v>0</v>
      </c>
      <c r="DS232" s="2">
        <f t="shared" ref="DS232:DX232" si="3916">(M232*$I232+AH232*$AD232+BC232*$AY232)/100</f>
        <v>0</v>
      </c>
      <c r="DT232" s="2">
        <f t="shared" si="3916"/>
        <v>0</v>
      </c>
      <c r="DU232" s="2">
        <f t="shared" si="3916"/>
        <v>0</v>
      </c>
      <c r="DV232" s="2">
        <f t="shared" si="3916"/>
        <v>0</v>
      </c>
      <c r="DW232" s="2">
        <f t="shared" si="3916"/>
        <v>0.258162</v>
      </c>
      <c r="DX232" s="2">
        <f t="shared" si="3916"/>
        <v>2.2162999999999999E-2</v>
      </c>
      <c r="DY232" s="2">
        <f t="shared" ref="DY232:EC232" si="3917">S232*$I232+AN232*$AD232+BI232*$AY232</f>
        <v>0</v>
      </c>
      <c r="DZ232" s="2">
        <f t="shared" si="3917"/>
        <v>0</v>
      </c>
      <c r="EA232" s="2">
        <f t="shared" si="3917"/>
        <v>0</v>
      </c>
      <c r="EB232" s="2">
        <f t="shared" si="3917"/>
        <v>0</v>
      </c>
      <c r="EC232" s="2">
        <f t="shared" si="3917"/>
        <v>0</v>
      </c>
      <c r="ED232" s="2">
        <f t="shared" ref="ED232:EE232" si="3918">(X232*$I232+AS232*$AD232+BN232*$AY232)/100</f>
        <v>0</v>
      </c>
      <c r="EE232" s="2">
        <f t="shared" si="3918"/>
        <v>6.3587049999999996</v>
      </c>
      <c r="EF232" s="2"/>
      <c r="EG232" s="2">
        <f t="shared" si="10"/>
        <v>0</v>
      </c>
      <c r="EH232" s="2">
        <f t="shared" si="11"/>
        <v>0</v>
      </c>
      <c r="EI232" s="39">
        <f t="shared" si="12"/>
        <v>0</v>
      </c>
      <c r="EJ232" s="39">
        <f t="shared" ref="EJ232:EK232" si="3919">EJ$1*DQ232/1000000</f>
        <v>0</v>
      </c>
      <c r="EK232" s="39">
        <f t="shared" si="3919"/>
        <v>0</v>
      </c>
      <c r="EL232" s="39">
        <f t="shared" ref="EL232:EQ232" si="3920">EL$1*DS232</f>
        <v>0</v>
      </c>
      <c r="EM232" s="39">
        <f t="shared" si="3920"/>
        <v>0</v>
      </c>
      <c r="EN232" s="39">
        <f t="shared" si="3920"/>
        <v>0</v>
      </c>
      <c r="EO232" s="39">
        <f t="shared" si="3920"/>
        <v>0</v>
      </c>
      <c r="EP232" s="39">
        <f t="shared" si="3920"/>
        <v>3385.5364680000002</v>
      </c>
      <c r="EQ232" s="39">
        <f t="shared" si="3920"/>
        <v>1609.4665104119997</v>
      </c>
      <c r="ER232" s="39">
        <f t="shared" ref="ER232:EV232" si="3921">ER$1*DY232/1000000</f>
        <v>0</v>
      </c>
      <c r="ES232" s="39">
        <f t="shared" si="3921"/>
        <v>0</v>
      </c>
      <c r="ET232" s="39">
        <f t="shared" si="3921"/>
        <v>0</v>
      </c>
      <c r="EU232" s="39">
        <f t="shared" si="3921"/>
        <v>0</v>
      </c>
      <c r="EV232" s="39">
        <f t="shared" si="3921"/>
        <v>0</v>
      </c>
      <c r="EW232" s="39">
        <f t="shared" ref="EW232:EX232" si="3922">EW$1*ED232</f>
        <v>0</v>
      </c>
      <c r="EX232" s="39">
        <f t="shared" si="3922"/>
        <v>591.35956499999998</v>
      </c>
      <c r="EY232" s="2"/>
      <c r="EZ232" s="39">
        <f t="shared" si="17"/>
        <v>0</v>
      </c>
      <c r="FA232" s="39">
        <f t="shared" si="18"/>
        <v>0</v>
      </c>
      <c r="FB232" s="2">
        <f t="shared" si="19"/>
        <v>0</v>
      </c>
      <c r="FC232" s="2">
        <f t="shared" ref="FC232:FD232" si="3923">BV232*$BT232+CQ232*$CO232</f>
        <v>0</v>
      </c>
      <c r="FD232" s="2">
        <f t="shared" si="3923"/>
        <v>0</v>
      </c>
      <c r="FE232" s="2">
        <f t="shared" ref="FE232:FJ232" si="3924">(BX232*$BT232+CS232*$CO232)/100</f>
        <v>0</v>
      </c>
      <c r="FF232" s="2">
        <f t="shared" si="3924"/>
        <v>0</v>
      </c>
      <c r="FG232" s="2">
        <f t="shared" si="3924"/>
        <v>0</v>
      </c>
      <c r="FH232" s="2">
        <f t="shared" si="3924"/>
        <v>0</v>
      </c>
      <c r="FI232" s="2">
        <f t="shared" si="3924"/>
        <v>2.4153999999999998E-2</v>
      </c>
      <c r="FJ232" s="2">
        <f t="shared" si="3924"/>
        <v>2.1719999999999999E-3</v>
      </c>
      <c r="FK232" s="2">
        <f t="shared" ref="FK232:FO232" si="3925">CD232*$BT232+CY232*$CO232</f>
        <v>0</v>
      </c>
      <c r="FL232" s="2">
        <f t="shared" si="3925"/>
        <v>0</v>
      </c>
      <c r="FM232" s="2">
        <f t="shared" si="3925"/>
        <v>0</v>
      </c>
      <c r="FN232" s="2">
        <f t="shared" si="3925"/>
        <v>0</v>
      </c>
      <c r="FO232" s="2">
        <f t="shared" si="3925"/>
        <v>0</v>
      </c>
      <c r="FP232" s="2">
        <f t="shared" ref="FP232:FQ232" si="3926">(CI232*$BT232+DD232*$CO232)/100</f>
        <v>0</v>
      </c>
      <c r="FQ232" s="2">
        <f t="shared" si="3926"/>
        <v>0.59779399999999994</v>
      </c>
      <c r="FR232" s="2"/>
      <c r="FS232" s="2">
        <f t="shared" si="24"/>
        <v>0</v>
      </c>
      <c r="FT232" s="2">
        <f t="shared" si="25"/>
        <v>0</v>
      </c>
      <c r="FU232" s="39">
        <f t="shared" si="26"/>
        <v>0</v>
      </c>
      <c r="FV232" s="39">
        <f t="shared" ref="FV232:FW232" si="3927">FV$1*FC232/1000000</f>
        <v>0</v>
      </c>
      <c r="FW232" s="39">
        <f t="shared" si="3927"/>
        <v>0</v>
      </c>
      <c r="FX232" s="39">
        <f t="shared" ref="FX232:GC232" si="3928">FX$1*FE232</f>
        <v>0</v>
      </c>
      <c r="FY232" s="39">
        <f t="shared" si="3928"/>
        <v>0</v>
      </c>
      <c r="FZ232" s="39">
        <f t="shared" si="3928"/>
        <v>0</v>
      </c>
      <c r="GA232" s="39">
        <f t="shared" si="3928"/>
        <v>0</v>
      </c>
      <c r="GB232" s="39">
        <f t="shared" si="3928"/>
        <v>316.75555599999996</v>
      </c>
      <c r="GC232" s="39">
        <f t="shared" si="3928"/>
        <v>157.72960612799997</v>
      </c>
      <c r="GD232" s="39">
        <f t="shared" ref="GD232:GH232" si="3929">GD$1*FK232/1000000</f>
        <v>0</v>
      </c>
      <c r="GE232" s="39">
        <f t="shared" si="3929"/>
        <v>0</v>
      </c>
      <c r="GF232" s="39">
        <f t="shared" si="3929"/>
        <v>0</v>
      </c>
      <c r="GG232" s="39">
        <f t="shared" si="3929"/>
        <v>0</v>
      </c>
      <c r="GH232" s="39">
        <f t="shared" si="3929"/>
        <v>0</v>
      </c>
      <c r="GI232" s="39">
        <f t="shared" ref="GI232:GJ232" si="3930">GI$1*FP232</f>
        <v>0</v>
      </c>
      <c r="GJ232" s="39">
        <f t="shared" si="3930"/>
        <v>55.594841999999993</v>
      </c>
      <c r="GK232" s="2"/>
      <c r="GL232" s="39">
        <f t="shared" si="31"/>
        <v>0</v>
      </c>
      <c r="GM232" s="39">
        <f t="shared" si="32"/>
        <v>0</v>
      </c>
      <c r="GN232" s="2" t="s">
        <v>3</v>
      </c>
      <c r="GO232" s="2">
        <f t="shared" si="33"/>
        <v>18.43</v>
      </c>
      <c r="GP232" s="4">
        <f t="shared" si="34"/>
        <v>1.4007704829083016</v>
      </c>
      <c r="GQ232" s="15">
        <f t="shared" si="35"/>
        <v>258.16200000000003</v>
      </c>
      <c r="GR232" s="15">
        <f t="shared" si="36"/>
        <v>5586.3625434119995</v>
      </c>
      <c r="GS232" s="15">
        <f t="shared" si="37"/>
        <v>303.11245487856752</v>
      </c>
      <c r="GT232" s="2">
        <f t="shared" si="38"/>
        <v>53.297999999999995</v>
      </c>
      <c r="GU232" s="2">
        <f t="shared" si="39"/>
        <v>78.245999999999995</v>
      </c>
      <c r="GV232" s="2">
        <f t="shared" si="40"/>
        <v>126.61799999999999</v>
      </c>
      <c r="GW232" s="2">
        <f t="shared" si="41"/>
        <v>1.5</v>
      </c>
      <c r="GX232" s="4">
        <f t="shared" ref="GX232:GX233" si="3931">(BT232*CB232+CO232*CW232)/GW232</f>
        <v>1.6102666666666667</v>
      </c>
      <c r="GY232" s="15">
        <f t="shared" ref="GY232:GY233" si="3932">1000*GW232*GX232/100</f>
        <v>24.154</v>
      </c>
      <c r="GZ232" s="15">
        <f t="shared" ref="GZ232:GZ233" si="3933">SUM(FU232:GM232)</f>
        <v>530.08000412799993</v>
      </c>
      <c r="HA232" s="15">
        <f t="shared" ref="HA232:HA233" si="3934">GZ232/GW232</f>
        <v>353.3866694186666</v>
      </c>
      <c r="HB232" s="2">
        <f t="shared" si="42"/>
        <v>12.388</v>
      </c>
      <c r="HC232" s="2">
        <f t="shared" si="43"/>
        <v>11.766000000000002</v>
      </c>
      <c r="HD232" s="2" t="s">
        <v>3</v>
      </c>
      <c r="HE232" s="2" t="s">
        <v>37</v>
      </c>
      <c r="HF232" s="2" t="s">
        <v>235</v>
      </c>
      <c r="HG232" s="2"/>
      <c r="HH232" s="2"/>
      <c r="HI232" s="2" t="s">
        <v>81</v>
      </c>
      <c r="HJ232" s="2" t="s">
        <v>3</v>
      </c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 t="s">
        <v>3</v>
      </c>
    </row>
    <row r="233" spans="1:268" ht="15.75" customHeight="1" x14ac:dyDescent="0.2">
      <c r="A233" s="13" t="s">
        <v>1018</v>
      </c>
      <c r="B233" s="2" t="s">
        <v>99</v>
      </c>
      <c r="C233" s="2"/>
      <c r="D233" s="2"/>
      <c r="E233" s="2"/>
      <c r="F233" s="2" t="s">
        <v>442</v>
      </c>
      <c r="G233" s="2"/>
      <c r="H233" s="2" t="s">
        <v>242</v>
      </c>
      <c r="I233" s="2">
        <v>5.56</v>
      </c>
      <c r="J233" s="2"/>
      <c r="K233" s="2"/>
      <c r="L233" s="2"/>
      <c r="M233" s="2"/>
      <c r="N233" s="2"/>
      <c r="O233" s="2"/>
      <c r="P233" s="2"/>
      <c r="Q233" s="2">
        <v>1.45</v>
      </c>
      <c r="R233" s="2">
        <v>0.17</v>
      </c>
      <c r="S233" s="2"/>
      <c r="T233" s="2"/>
      <c r="U233" s="2"/>
      <c r="V233" s="2"/>
      <c r="W233" s="2"/>
      <c r="X233" s="2"/>
      <c r="Y233" s="2">
        <v>43.29</v>
      </c>
      <c r="Z233" s="2">
        <v>9.25</v>
      </c>
      <c r="AA233" s="2"/>
      <c r="AB233" s="2"/>
      <c r="AC233" s="2"/>
      <c r="AD233" s="2">
        <v>19.73</v>
      </c>
      <c r="AE233" s="2"/>
      <c r="AF233" s="2"/>
      <c r="AG233" s="2"/>
      <c r="AH233" s="2"/>
      <c r="AI233" s="2"/>
      <c r="AJ233" s="2"/>
      <c r="AK233" s="2"/>
      <c r="AL233" s="2">
        <v>1.42</v>
      </c>
      <c r="AM233" s="2">
        <v>0.15</v>
      </c>
      <c r="AN233" s="2"/>
      <c r="AO233" s="2"/>
      <c r="AP233" s="2"/>
      <c r="AQ233" s="2"/>
      <c r="AR233" s="2"/>
      <c r="AS233" s="2"/>
      <c r="AT233" s="2">
        <v>42.53</v>
      </c>
      <c r="AU233" s="2">
        <v>10.94</v>
      </c>
      <c r="AV233" s="2"/>
      <c r="AW233" s="2"/>
      <c r="AX233" s="2"/>
      <c r="AY233" s="2">
        <v>103.42</v>
      </c>
      <c r="AZ233" s="2"/>
      <c r="BA233" s="2"/>
      <c r="BB233" s="2"/>
      <c r="BC233" s="2"/>
      <c r="BD233" s="2"/>
      <c r="BE233" s="2"/>
      <c r="BF233" s="2"/>
      <c r="BG233" s="2">
        <v>1.46</v>
      </c>
      <c r="BH233" s="2">
        <v>0.15</v>
      </c>
      <c r="BI233" s="2"/>
      <c r="BJ233" s="2"/>
      <c r="BK233" s="2"/>
      <c r="BL233" s="2"/>
      <c r="BM233" s="2"/>
      <c r="BN233" s="2"/>
      <c r="BO233" s="2">
        <v>43.29</v>
      </c>
      <c r="BP233" s="2">
        <v>9.25</v>
      </c>
      <c r="BQ233" s="2"/>
      <c r="BR233" s="2"/>
      <c r="BS233" s="2"/>
      <c r="BT233" s="2">
        <v>1.37</v>
      </c>
      <c r="BU233" s="2"/>
      <c r="BV233" s="2"/>
      <c r="BW233" s="2"/>
      <c r="BX233" s="2"/>
      <c r="BY233" s="2"/>
      <c r="BZ233" s="2"/>
      <c r="CA233" s="2"/>
      <c r="CB233" s="2">
        <v>1.57</v>
      </c>
      <c r="CC233" s="2">
        <v>0.17</v>
      </c>
      <c r="CD233" s="2"/>
      <c r="CE233" s="2"/>
      <c r="CF233" s="2"/>
      <c r="CG233" s="2"/>
      <c r="CH233" s="2"/>
      <c r="CI233" s="2"/>
      <c r="CJ233" s="2">
        <v>42.27</v>
      </c>
      <c r="CK233" s="2">
        <v>9.6999999999999993</v>
      </c>
      <c r="CL233" s="2"/>
      <c r="CM233" s="2"/>
      <c r="CN233" s="2"/>
      <c r="CO233" s="2">
        <v>4.1399999999999997</v>
      </c>
      <c r="CP233" s="2"/>
      <c r="CQ233" s="2"/>
      <c r="CR233" s="2"/>
      <c r="CS233" s="2"/>
      <c r="CT233" s="2"/>
      <c r="CU233" s="2"/>
      <c r="CV233" s="2"/>
      <c r="CW233" s="2">
        <v>1.55</v>
      </c>
      <c r="CX233" s="2">
        <v>0.17</v>
      </c>
      <c r="CY233" s="2"/>
      <c r="CZ233" s="2"/>
      <c r="DA233" s="2"/>
      <c r="DB233" s="2"/>
      <c r="DC233" s="2"/>
      <c r="DD233" s="2"/>
      <c r="DE233" s="2">
        <v>40.880000000000003</v>
      </c>
      <c r="DF233" s="2">
        <v>11.51</v>
      </c>
      <c r="DG233" s="2"/>
      <c r="DH233" s="2"/>
      <c r="DI233" s="2"/>
      <c r="DJ233" s="2" t="s">
        <v>81</v>
      </c>
      <c r="DK233" s="2" t="s">
        <v>81</v>
      </c>
      <c r="DL233" s="2">
        <f t="shared" si="3"/>
        <v>1.4534364074275501</v>
      </c>
      <c r="DM233" s="2">
        <f t="shared" si="4"/>
        <v>0.15086395773444175</v>
      </c>
      <c r="DN233" s="2" t="s">
        <v>211</v>
      </c>
      <c r="DO233" s="2" t="s">
        <v>3</v>
      </c>
      <c r="DP233" s="2">
        <f t="shared" si="5"/>
        <v>0</v>
      </c>
      <c r="DQ233" s="2">
        <f t="shared" ref="DQ233:DR233" si="3935">K233*$I233+AF233*$AD233+BA233*$AY233</f>
        <v>0</v>
      </c>
      <c r="DR233" s="2">
        <f t="shared" si="3935"/>
        <v>0</v>
      </c>
      <c r="DS233" s="2">
        <f t="shared" ref="DS233:DX233" si="3936">(M233*$I233+AH233*$AD233+BC233*$AY233)/100</f>
        <v>0</v>
      </c>
      <c r="DT233" s="2">
        <f t="shared" si="3936"/>
        <v>0</v>
      </c>
      <c r="DU233" s="2">
        <f t="shared" si="3936"/>
        <v>0</v>
      </c>
      <c r="DV233" s="2">
        <f t="shared" si="3936"/>
        <v>0</v>
      </c>
      <c r="DW233" s="2">
        <f t="shared" si="3936"/>
        <v>1.8707179999999999</v>
      </c>
      <c r="DX233" s="2">
        <f t="shared" si="3936"/>
        <v>0.19417699999999999</v>
      </c>
      <c r="DY233" s="2">
        <f t="shared" ref="DY233:EC233" si="3937">S233*$I233+AN233*$AD233+BI233*$AY233</f>
        <v>0</v>
      </c>
      <c r="DZ233" s="2">
        <f t="shared" si="3937"/>
        <v>0</v>
      </c>
      <c r="EA233" s="2">
        <f t="shared" si="3937"/>
        <v>0</v>
      </c>
      <c r="EB233" s="2">
        <f t="shared" si="3937"/>
        <v>0</v>
      </c>
      <c r="EC233" s="2">
        <f t="shared" si="3937"/>
        <v>0</v>
      </c>
      <c r="ED233" s="2">
        <f t="shared" ref="ED233:EE233" si="3938">(X233*$I233+AS233*$AD233+BN233*$AY233)/100</f>
        <v>0</v>
      </c>
      <c r="EE233" s="2">
        <f t="shared" si="3938"/>
        <v>55.568611000000004</v>
      </c>
      <c r="EF233" s="2"/>
      <c r="EG233" s="2">
        <f t="shared" si="10"/>
        <v>0</v>
      </c>
      <c r="EH233" s="2">
        <f t="shared" si="11"/>
        <v>0</v>
      </c>
      <c r="EI233" s="39">
        <f t="shared" si="12"/>
        <v>0</v>
      </c>
      <c r="EJ233" s="39">
        <f t="shared" ref="EJ233:EK233" si="3939">EJ$1*DQ233/1000000</f>
        <v>0</v>
      </c>
      <c r="EK233" s="39">
        <f t="shared" si="3939"/>
        <v>0</v>
      </c>
      <c r="EL233" s="39">
        <f t="shared" ref="EL233:EQ233" si="3940">EL$1*DS233</f>
        <v>0</v>
      </c>
      <c r="EM233" s="39">
        <f t="shared" si="3940"/>
        <v>0</v>
      </c>
      <c r="EN233" s="39">
        <f t="shared" si="3940"/>
        <v>0</v>
      </c>
      <c r="EO233" s="39">
        <f t="shared" si="3940"/>
        <v>0</v>
      </c>
      <c r="EP233" s="39">
        <f t="shared" si="3940"/>
        <v>24532.595851999999</v>
      </c>
      <c r="EQ233" s="39">
        <f t="shared" si="3940"/>
        <v>14101.041311747997</v>
      </c>
      <c r="ER233" s="39">
        <f t="shared" ref="ER233:EV233" si="3941">ER$1*DY233/1000000</f>
        <v>0</v>
      </c>
      <c r="ES233" s="39">
        <f t="shared" si="3941"/>
        <v>0</v>
      </c>
      <c r="ET233" s="39">
        <f t="shared" si="3941"/>
        <v>0</v>
      </c>
      <c r="EU233" s="39">
        <f t="shared" si="3941"/>
        <v>0</v>
      </c>
      <c r="EV233" s="39">
        <f t="shared" si="3941"/>
        <v>0</v>
      </c>
      <c r="EW233" s="39">
        <f t="shared" ref="EW233:EX233" si="3942">EW$1*ED233</f>
        <v>0</v>
      </c>
      <c r="EX233" s="39">
        <f t="shared" si="3942"/>
        <v>5167.8808230000004</v>
      </c>
      <c r="EY233" s="2"/>
      <c r="EZ233" s="39">
        <f t="shared" si="17"/>
        <v>0</v>
      </c>
      <c r="FA233" s="39">
        <f t="shared" si="18"/>
        <v>0</v>
      </c>
      <c r="FB233" s="2">
        <f t="shared" si="19"/>
        <v>0</v>
      </c>
      <c r="FC233" s="2">
        <f t="shared" ref="FC233:FD233" si="3943">BV233*$BT233+CQ233*$CO233</f>
        <v>0</v>
      </c>
      <c r="FD233" s="2">
        <f t="shared" si="3943"/>
        <v>0</v>
      </c>
      <c r="FE233" s="2">
        <f t="shared" ref="FE233:FJ233" si="3944">(BX233*$BT233+CS233*$CO233)/100</f>
        <v>0</v>
      </c>
      <c r="FF233" s="2">
        <f t="shared" si="3944"/>
        <v>0</v>
      </c>
      <c r="FG233" s="2">
        <f t="shared" si="3944"/>
        <v>0</v>
      </c>
      <c r="FH233" s="2">
        <f t="shared" si="3944"/>
        <v>0</v>
      </c>
      <c r="FI233" s="2">
        <f t="shared" si="3944"/>
        <v>8.5679000000000005E-2</v>
      </c>
      <c r="FJ233" s="2">
        <f t="shared" si="3944"/>
        <v>9.3670000000000003E-3</v>
      </c>
      <c r="FK233" s="2">
        <f t="shared" ref="FK233:FO233" si="3945">CD233*$BT233+CY233*$CO233</f>
        <v>0</v>
      </c>
      <c r="FL233" s="2">
        <f t="shared" si="3945"/>
        <v>0</v>
      </c>
      <c r="FM233" s="2">
        <f t="shared" si="3945"/>
        <v>0</v>
      </c>
      <c r="FN233" s="2">
        <f t="shared" si="3945"/>
        <v>0</v>
      </c>
      <c r="FO233" s="2">
        <f t="shared" si="3945"/>
        <v>0</v>
      </c>
      <c r="FP233" s="2">
        <f t="shared" ref="FP233:FQ233" si="3946">(CI233*$BT233+DD233*$CO233)/100</f>
        <v>0</v>
      </c>
      <c r="FQ233" s="2">
        <f t="shared" si="3946"/>
        <v>2.271531</v>
      </c>
      <c r="FR233" s="2"/>
      <c r="FS233" s="2">
        <f t="shared" si="24"/>
        <v>0</v>
      </c>
      <c r="FT233" s="2">
        <f t="shared" si="25"/>
        <v>0</v>
      </c>
      <c r="FU233" s="39">
        <f t="shared" si="26"/>
        <v>0</v>
      </c>
      <c r="FV233" s="39">
        <f t="shared" ref="FV233:FW233" si="3947">FV$1*FC233/1000000</f>
        <v>0</v>
      </c>
      <c r="FW233" s="39">
        <f t="shared" si="3947"/>
        <v>0</v>
      </c>
      <c r="FX233" s="39">
        <f t="shared" ref="FX233:GC233" si="3948">FX$1*FE233</f>
        <v>0</v>
      </c>
      <c r="FY233" s="39">
        <f t="shared" si="3948"/>
        <v>0</v>
      </c>
      <c r="FZ233" s="39">
        <f t="shared" si="3948"/>
        <v>0</v>
      </c>
      <c r="GA233" s="39">
        <f t="shared" si="3948"/>
        <v>0</v>
      </c>
      <c r="GB233" s="39">
        <f t="shared" si="3948"/>
        <v>1123.5944060000002</v>
      </c>
      <c r="GC233" s="39">
        <f t="shared" si="3948"/>
        <v>680.22708130799992</v>
      </c>
      <c r="GD233" s="39">
        <f t="shared" ref="GD233:GH233" si="3949">GD$1*FK233/1000000</f>
        <v>0</v>
      </c>
      <c r="GE233" s="39">
        <f t="shared" si="3949"/>
        <v>0</v>
      </c>
      <c r="GF233" s="39">
        <f t="shared" si="3949"/>
        <v>0</v>
      </c>
      <c r="GG233" s="39">
        <f t="shared" si="3949"/>
        <v>0</v>
      </c>
      <c r="GH233" s="39">
        <f t="shared" si="3949"/>
        <v>0</v>
      </c>
      <c r="GI233" s="39">
        <f t="shared" ref="GI233:GJ233" si="3950">GI$1*FP233</f>
        <v>0</v>
      </c>
      <c r="GJ233" s="39">
        <f t="shared" si="3950"/>
        <v>211.25238300000001</v>
      </c>
      <c r="GK233" s="2"/>
      <c r="GL233" s="39">
        <f t="shared" si="31"/>
        <v>0</v>
      </c>
      <c r="GM233" s="39">
        <f t="shared" si="32"/>
        <v>0</v>
      </c>
      <c r="GN233" s="2" t="s">
        <v>3</v>
      </c>
      <c r="GO233" s="15">
        <f t="shared" si="33"/>
        <v>128.71</v>
      </c>
      <c r="GP233" s="4">
        <f t="shared" si="34"/>
        <v>1.4534364074275501</v>
      </c>
      <c r="GQ233" s="18">
        <f t="shared" si="35"/>
        <v>1870.7179999999998</v>
      </c>
      <c r="GR233" s="15">
        <f t="shared" si="36"/>
        <v>43801.517986747996</v>
      </c>
      <c r="GS233" s="15">
        <f t="shared" si="37"/>
        <v>340.3116928501903</v>
      </c>
      <c r="GT233" s="2">
        <f t="shared" si="38"/>
        <v>80.61999999999999</v>
      </c>
      <c r="GU233" s="2">
        <f t="shared" si="39"/>
        <v>280.166</v>
      </c>
      <c r="GV233" s="2">
        <f t="shared" si="40"/>
        <v>1509.932</v>
      </c>
      <c r="GW233" s="2">
        <f t="shared" si="41"/>
        <v>5.51</v>
      </c>
      <c r="GX233" s="4">
        <f t="shared" si="3931"/>
        <v>1.5549727767695101</v>
      </c>
      <c r="GY233" s="15">
        <f t="shared" si="3932"/>
        <v>85.679000000000002</v>
      </c>
      <c r="GZ233" s="15">
        <f t="shared" si="3933"/>
        <v>2015.0738703080001</v>
      </c>
      <c r="HA233" s="15">
        <f t="shared" si="3934"/>
        <v>365.71213617205086</v>
      </c>
      <c r="HB233" s="2">
        <f t="shared" si="42"/>
        <v>21.509</v>
      </c>
      <c r="HC233" s="2">
        <f t="shared" si="43"/>
        <v>64.17</v>
      </c>
      <c r="HD233" s="2" t="s">
        <v>3</v>
      </c>
      <c r="HE233" s="2" t="s">
        <v>37</v>
      </c>
      <c r="HF233" s="2" t="s">
        <v>235</v>
      </c>
      <c r="HG233" s="2"/>
      <c r="HH233" s="2"/>
      <c r="HI233" s="2" t="s">
        <v>81</v>
      </c>
      <c r="HJ233" s="2" t="s">
        <v>3</v>
      </c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 t="s">
        <v>3</v>
      </c>
    </row>
    <row r="234" spans="1:268" ht="15.75" customHeight="1" x14ac:dyDescent="0.2">
      <c r="A234" s="13" t="s">
        <v>1290</v>
      </c>
      <c r="B234" s="2" t="s">
        <v>99</v>
      </c>
      <c r="C234" s="2"/>
      <c r="D234" s="2"/>
      <c r="E234" s="2" t="s">
        <v>78</v>
      </c>
      <c r="F234" s="2" t="s">
        <v>1291</v>
      </c>
      <c r="G234" s="2"/>
      <c r="H234" s="2" t="s">
        <v>242</v>
      </c>
      <c r="I234" s="2">
        <f>36.2+99.4</f>
        <v>135.60000000000002</v>
      </c>
      <c r="J234" s="2"/>
      <c r="K234" s="2"/>
      <c r="L234" s="2"/>
      <c r="M234" s="2"/>
      <c r="N234" s="2"/>
      <c r="O234" s="2"/>
      <c r="P234" s="2"/>
      <c r="Q234" s="4">
        <f>(1.26*36.2+1.71*99.4)/I234</f>
        <v>1.5898672566371679</v>
      </c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>
        <f>67.4+166.4</f>
        <v>233.8</v>
      </c>
      <c r="AE234" s="2"/>
      <c r="AF234" s="2"/>
      <c r="AG234" s="2"/>
      <c r="AH234" s="2"/>
      <c r="AI234" s="2"/>
      <c r="AJ234" s="2"/>
      <c r="AK234" s="2"/>
      <c r="AL234" s="4">
        <f>(1.22*67.4+1.53*166.4)/AD234</f>
        <v>1.440633019674936</v>
      </c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>
        <f>52.4+213.2</f>
        <v>265.59999999999997</v>
      </c>
      <c r="AZ234" s="2"/>
      <c r="BA234" s="2"/>
      <c r="BB234" s="2"/>
      <c r="BC234" s="2"/>
      <c r="BD234" s="2"/>
      <c r="BE234" s="2"/>
      <c r="BF234" s="2"/>
      <c r="BG234" s="4">
        <f>(1.21*52.4+1.49*213.2)/AY234</f>
        <v>1.4347590361445786</v>
      </c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>
        <v>0</v>
      </c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>
        <v>0</v>
      </c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 t="s">
        <v>81</v>
      </c>
      <c r="DK234" s="2"/>
      <c r="DL234" s="2">
        <f t="shared" si="3"/>
        <v>1.4700440944881892</v>
      </c>
      <c r="DM234" s="2">
        <f t="shared" si="4"/>
        <v>0</v>
      </c>
      <c r="DN234" s="2" t="s">
        <v>211</v>
      </c>
      <c r="DO234" s="2" t="s">
        <v>3</v>
      </c>
      <c r="DP234" s="2">
        <f t="shared" si="5"/>
        <v>0</v>
      </c>
      <c r="DQ234" s="2">
        <f t="shared" ref="DQ234:DR234" si="3951">K234*$I234+AF234*$AD234+BA234*$AY234</f>
        <v>0</v>
      </c>
      <c r="DR234" s="2">
        <f t="shared" si="3951"/>
        <v>0</v>
      </c>
      <c r="DS234" s="2">
        <f t="shared" ref="DS234:DX234" si="3952">(M234*$I234+AH234*$AD234+BC234*$AY234)/100</f>
        <v>0</v>
      </c>
      <c r="DT234" s="2">
        <f t="shared" si="3952"/>
        <v>0</v>
      </c>
      <c r="DU234" s="2">
        <f t="shared" si="3952"/>
        <v>0</v>
      </c>
      <c r="DV234" s="2">
        <f t="shared" si="3952"/>
        <v>0</v>
      </c>
      <c r="DW234" s="2">
        <f t="shared" si="3952"/>
        <v>9.3347800000000003</v>
      </c>
      <c r="DX234" s="2">
        <f t="shared" si="3952"/>
        <v>0</v>
      </c>
      <c r="DY234" s="2">
        <f t="shared" ref="DY234:EC234" si="3953">S234*$I234+AN234*$AD234+BI234*$AY234</f>
        <v>0</v>
      </c>
      <c r="DZ234" s="2">
        <f t="shared" si="3953"/>
        <v>0</v>
      </c>
      <c r="EA234" s="2">
        <f t="shared" si="3953"/>
        <v>0</v>
      </c>
      <c r="EB234" s="2">
        <f t="shared" si="3953"/>
        <v>0</v>
      </c>
      <c r="EC234" s="2">
        <f t="shared" si="3953"/>
        <v>0</v>
      </c>
      <c r="ED234" s="2">
        <f t="shared" ref="ED234:EE234" si="3954">(X234*$I234+AS234*$AD234+BN234*$AY234)/100</f>
        <v>0</v>
      </c>
      <c r="EE234" s="2">
        <f t="shared" si="3954"/>
        <v>0</v>
      </c>
      <c r="EF234" s="2"/>
      <c r="EG234" s="2">
        <f t="shared" si="10"/>
        <v>0</v>
      </c>
      <c r="EH234" s="2">
        <f t="shared" si="11"/>
        <v>0</v>
      </c>
      <c r="EI234" s="39">
        <f t="shared" si="12"/>
        <v>0</v>
      </c>
      <c r="EJ234" s="39">
        <f t="shared" ref="EJ234:EK234" si="3955">EJ$1*DQ234/1000000</f>
        <v>0</v>
      </c>
      <c r="EK234" s="39">
        <f t="shared" si="3955"/>
        <v>0</v>
      </c>
      <c r="EL234" s="39">
        <f t="shared" ref="EL234:EQ234" si="3956">EL$1*DS234</f>
        <v>0</v>
      </c>
      <c r="EM234" s="39">
        <f t="shared" si="3956"/>
        <v>0</v>
      </c>
      <c r="EN234" s="39">
        <f t="shared" si="3956"/>
        <v>0</v>
      </c>
      <c r="EO234" s="39">
        <f t="shared" si="3956"/>
        <v>0</v>
      </c>
      <c r="EP234" s="39">
        <f t="shared" si="3956"/>
        <v>122416.30492000001</v>
      </c>
      <c r="EQ234" s="39">
        <f t="shared" si="3956"/>
        <v>0</v>
      </c>
      <c r="ER234" s="39">
        <f t="shared" ref="ER234:EV234" si="3957">ER$1*DY234/1000000</f>
        <v>0</v>
      </c>
      <c r="ES234" s="39">
        <f t="shared" si="3957"/>
        <v>0</v>
      </c>
      <c r="ET234" s="39">
        <f t="shared" si="3957"/>
        <v>0</v>
      </c>
      <c r="EU234" s="39">
        <f t="shared" si="3957"/>
        <v>0</v>
      </c>
      <c r="EV234" s="39">
        <f t="shared" si="3957"/>
        <v>0</v>
      </c>
      <c r="EW234" s="39">
        <f t="shared" ref="EW234:EX234" si="3958">EW$1*ED234</f>
        <v>0</v>
      </c>
      <c r="EX234" s="39">
        <f t="shared" si="3958"/>
        <v>0</v>
      </c>
      <c r="EY234" s="2"/>
      <c r="EZ234" s="39">
        <f t="shared" si="17"/>
        <v>0</v>
      </c>
      <c r="FA234" s="39">
        <f t="shared" si="18"/>
        <v>0</v>
      </c>
      <c r="FB234" s="2">
        <f t="shared" si="19"/>
        <v>0</v>
      </c>
      <c r="FC234" s="2">
        <f t="shared" ref="FC234:FD234" si="3959">BV234*$BT234+CQ234*$CO234</f>
        <v>0</v>
      </c>
      <c r="FD234" s="2">
        <f t="shared" si="3959"/>
        <v>0</v>
      </c>
      <c r="FE234" s="2">
        <f t="shared" ref="FE234:FJ234" si="3960">(BX234*$BT234+CS234*$CO234)/100</f>
        <v>0</v>
      </c>
      <c r="FF234" s="2">
        <f t="shared" si="3960"/>
        <v>0</v>
      </c>
      <c r="FG234" s="2">
        <f t="shared" si="3960"/>
        <v>0</v>
      </c>
      <c r="FH234" s="2">
        <f t="shared" si="3960"/>
        <v>0</v>
      </c>
      <c r="FI234" s="2">
        <f t="shared" si="3960"/>
        <v>0</v>
      </c>
      <c r="FJ234" s="2">
        <f t="shared" si="3960"/>
        <v>0</v>
      </c>
      <c r="FK234" s="2">
        <f t="shared" ref="FK234:FO234" si="3961">CD234*$BT234+CY234*$CO234</f>
        <v>0</v>
      </c>
      <c r="FL234" s="2">
        <f t="shared" si="3961"/>
        <v>0</v>
      </c>
      <c r="FM234" s="2">
        <f t="shared" si="3961"/>
        <v>0</v>
      </c>
      <c r="FN234" s="2">
        <f t="shared" si="3961"/>
        <v>0</v>
      </c>
      <c r="FO234" s="2">
        <f t="shared" si="3961"/>
        <v>0</v>
      </c>
      <c r="FP234" s="2">
        <f t="shared" ref="FP234:FQ234" si="3962">(CI234*$BT234+DD234*$CO234)/100</f>
        <v>0</v>
      </c>
      <c r="FQ234" s="2">
        <f t="shared" si="3962"/>
        <v>0</v>
      </c>
      <c r="FR234" s="2"/>
      <c r="FS234" s="2">
        <f t="shared" si="24"/>
        <v>0</v>
      </c>
      <c r="FT234" s="2">
        <f t="shared" si="25"/>
        <v>0</v>
      </c>
      <c r="FU234" s="39">
        <f t="shared" si="26"/>
        <v>0</v>
      </c>
      <c r="FV234" s="39">
        <f t="shared" ref="FV234:FW234" si="3963">FV$1*FC234/1000000</f>
        <v>0</v>
      </c>
      <c r="FW234" s="39">
        <f t="shared" si="3963"/>
        <v>0</v>
      </c>
      <c r="FX234" s="39">
        <f t="shared" ref="FX234:GC234" si="3964">FX$1*FE234</f>
        <v>0</v>
      </c>
      <c r="FY234" s="39">
        <f t="shared" si="3964"/>
        <v>0</v>
      </c>
      <c r="FZ234" s="39">
        <f t="shared" si="3964"/>
        <v>0</v>
      </c>
      <c r="GA234" s="39">
        <f t="shared" si="3964"/>
        <v>0</v>
      </c>
      <c r="GB234" s="39">
        <f t="shared" si="3964"/>
        <v>0</v>
      </c>
      <c r="GC234" s="39">
        <f t="shared" si="3964"/>
        <v>0</v>
      </c>
      <c r="GD234" s="39">
        <f t="shared" ref="GD234:GH234" si="3965">GD$1*FK234/1000000</f>
        <v>0</v>
      </c>
      <c r="GE234" s="39">
        <f t="shared" si="3965"/>
        <v>0</v>
      </c>
      <c r="GF234" s="39">
        <f t="shared" si="3965"/>
        <v>0</v>
      </c>
      <c r="GG234" s="39">
        <f t="shared" si="3965"/>
        <v>0</v>
      </c>
      <c r="GH234" s="39">
        <f t="shared" si="3965"/>
        <v>0</v>
      </c>
      <c r="GI234" s="39">
        <f t="shared" ref="GI234:GJ234" si="3966">GI$1*FP234</f>
        <v>0</v>
      </c>
      <c r="GJ234" s="39">
        <f t="shared" si="3966"/>
        <v>0</v>
      </c>
      <c r="GK234" s="2"/>
      <c r="GL234" s="39">
        <f t="shared" si="31"/>
        <v>0</v>
      </c>
      <c r="GM234" s="39">
        <f t="shared" si="32"/>
        <v>0</v>
      </c>
      <c r="GN234" s="2" t="s">
        <v>3</v>
      </c>
      <c r="GO234" s="2">
        <f t="shared" si="33"/>
        <v>635</v>
      </c>
      <c r="GP234" s="4">
        <f t="shared" si="34"/>
        <v>1.4700440944881892</v>
      </c>
      <c r="GQ234" s="18">
        <f t="shared" si="35"/>
        <v>9334.7800000000007</v>
      </c>
      <c r="GR234" s="15">
        <f t="shared" si="36"/>
        <v>122416.30492000001</v>
      </c>
      <c r="GS234" s="15">
        <f t="shared" si="37"/>
        <v>192.78158255118112</v>
      </c>
      <c r="GT234" s="2">
        <f t="shared" si="38"/>
        <v>2155.86</v>
      </c>
      <c r="GU234" s="2">
        <f t="shared" si="39"/>
        <v>3368.2000000000007</v>
      </c>
      <c r="GV234" s="2">
        <f t="shared" si="40"/>
        <v>3810.72</v>
      </c>
      <c r="GW234" s="2">
        <f t="shared" si="41"/>
        <v>0</v>
      </c>
      <c r="GX234" s="2"/>
      <c r="GY234" s="2"/>
      <c r="GZ234" s="2"/>
      <c r="HA234" s="2"/>
      <c r="HB234" s="2">
        <f t="shared" si="42"/>
        <v>0</v>
      </c>
      <c r="HC234" s="2">
        <f t="shared" si="43"/>
        <v>0</v>
      </c>
      <c r="HD234" s="2" t="s">
        <v>3</v>
      </c>
      <c r="HE234" s="2" t="s">
        <v>37</v>
      </c>
      <c r="HF234" s="2" t="s">
        <v>235</v>
      </c>
      <c r="HG234" s="2"/>
      <c r="HH234" s="2"/>
      <c r="HI234" s="2" t="s">
        <v>81</v>
      </c>
      <c r="HJ234" s="2" t="s">
        <v>3</v>
      </c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 t="s">
        <v>3</v>
      </c>
    </row>
    <row r="235" spans="1:268" ht="15.75" customHeight="1" x14ac:dyDescent="0.2">
      <c r="A235" s="13" t="s">
        <v>524</v>
      </c>
      <c r="B235" s="2" t="s">
        <v>99</v>
      </c>
      <c r="C235" s="2"/>
      <c r="D235" s="2"/>
      <c r="E235" s="2" t="s">
        <v>78</v>
      </c>
      <c r="F235" s="2"/>
      <c r="G235" s="2"/>
      <c r="H235" s="2"/>
      <c r="I235" s="2">
        <f>0.018+0.69</f>
        <v>0.70799999999999996</v>
      </c>
      <c r="J235" s="2"/>
      <c r="K235" s="2"/>
      <c r="L235" s="2"/>
      <c r="M235" s="2"/>
      <c r="N235" s="2"/>
      <c r="O235" s="2"/>
      <c r="P235" s="2"/>
      <c r="Q235" s="15">
        <f>(1.7*0.018+1.8*0.69)/I235</f>
        <v>1.797457627118644</v>
      </c>
      <c r="R235" s="4">
        <f>(0.03*0.018+0.05*0.69)/I235</f>
        <v>4.949152542372881E-2</v>
      </c>
      <c r="S235" s="2"/>
      <c r="T235" s="2"/>
      <c r="U235" s="2"/>
      <c r="V235" s="2"/>
      <c r="W235" s="2"/>
      <c r="X235" s="2"/>
      <c r="Y235" s="15">
        <f>(1.7*0.018+1.8*0.69)/I235</f>
        <v>1.797457627118644</v>
      </c>
      <c r="Z235" s="2"/>
      <c r="AA235" s="2"/>
      <c r="AB235" s="2"/>
      <c r="AC235" s="2"/>
      <c r="AD235" s="2">
        <f>5.5+1.2+0.35+6.4+0.89+0.21</f>
        <v>14.55</v>
      </c>
      <c r="AE235" s="2"/>
      <c r="AF235" s="2"/>
      <c r="AG235" s="2"/>
      <c r="AH235" s="2"/>
      <c r="AI235" s="2"/>
      <c r="AJ235" s="2"/>
      <c r="AK235" s="2"/>
      <c r="AL235" s="15">
        <f>(1.9*5.5+1.8*1.2+1.8*0.35+1.8*6.4+1.9*0.89+1.7*0.21)/AD235</f>
        <v>1.8424742268041236</v>
      </c>
      <c r="AM235" s="4">
        <f>(0.04*5.5+0.05*1.2+0.07*0.35+0.08*6.4+0.09*0.89+0.03*0.21)/AD235</f>
        <v>6.2054982817869413E-2</v>
      </c>
      <c r="AN235" s="2"/>
      <c r="AO235" s="2"/>
      <c r="AP235" s="2"/>
      <c r="AQ235" s="2"/>
      <c r="AR235" s="2"/>
      <c r="AS235" s="2"/>
      <c r="AT235" s="15">
        <f>(15*5.5+6.1*1.2+16*0.35+17*6.4+40*0.89+16*0.21)/AD235</f>
        <v>16.713402061855671</v>
      </c>
      <c r="AU235" s="2"/>
      <c r="AV235" s="2"/>
      <c r="AW235" s="2"/>
      <c r="AX235" s="2"/>
      <c r="AY235" s="2">
        <f>0.3+0.9+17+2.7+0.2+0.6+0.1</f>
        <v>21.8</v>
      </c>
      <c r="AZ235" s="2"/>
      <c r="BA235" s="2"/>
      <c r="BB235" s="2"/>
      <c r="BC235" s="2"/>
      <c r="BD235" s="2"/>
      <c r="BE235" s="2"/>
      <c r="BF235" s="2"/>
      <c r="BG235" s="15">
        <f>(2*0.3+1.9*0.9+1.8*17+1.7*2.7+1.9*0.2+2*0.6+1.7*0.1)/AY235</f>
        <v>1.8004587155963305</v>
      </c>
      <c r="BH235" s="4">
        <f>(0.04*0.3+0.05*0.9+0.05*17+0.08*2.7+0.09*0.2+0.03*0.6+0.04*0.1)/AY235</f>
        <v>5.334862385321102E-2</v>
      </c>
      <c r="BI235" s="2"/>
      <c r="BJ235" s="2"/>
      <c r="BK235" s="2"/>
      <c r="BL235" s="2"/>
      <c r="BM235" s="2"/>
      <c r="BN235" s="2"/>
      <c r="BO235" s="15">
        <f>(17*0.3+12*0.9+17*17+17*2.7+41*0.2+15*0.6+16*0.1)/AY235</f>
        <v>16.954128440366972</v>
      </c>
      <c r="BP235" s="2"/>
      <c r="BQ235" s="2"/>
      <c r="BR235" s="2"/>
      <c r="BS235" s="2"/>
      <c r="BT235" s="2">
        <v>0</v>
      </c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>
        <v>0</v>
      </c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 t="s">
        <v>81</v>
      </c>
      <c r="DK235" s="2" t="s">
        <v>81</v>
      </c>
      <c r="DL235" s="2">
        <f t="shared" si="3"/>
        <v>1.8168978358249233</v>
      </c>
      <c r="DM235" s="2">
        <f t="shared" si="4"/>
        <v>5.6693291596956137E-2</v>
      </c>
      <c r="DN235" s="2" t="s">
        <v>525</v>
      </c>
      <c r="DO235" s="2" t="s">
        <v>3</v>
      </c>
      <c r="DP235" s="2">
        <f t="shared" si="5"/>
        <v>0</v>
      </c>
      <c r="DQ235" s="2">
        <f t="shared" ref="DQ235:DR235" si="3967">K235*$I235+AF235*$AD235+BA235*$AY235</f>
        <v>0</v>
      </c>
      <c r="DR235" s="2">
        <f t="shared" si="3967"/>
        <v>0</v>
      </c>
      <c r="DS235" s="2">
        <f t="shared" ref="DS235:DX235" si="3968">(M235*$I235+AH235*$AD235+BC235*$AY235)/100</f>
        <v>0</v>
      </c>
      <c r="DT235" s="2">
        <f t="shared" si="3968"/>
        <v>0</v>
      </c>
      <c r="DU235" s="2">
        <f t="shared" si="3968"/>
        <v>0</v>
      </c>
      <c r="DV235" s="2">
        <f t="shared" si="3968"/>
        <v>0</v>
      </c>
      <c r="DW235" s="2">
        <f t="shared" si="3968"/>
        <v>0.67330600000000007</v>
      </c>
      <c r="DX235" s="2">
        <f t="shared" si="3968"/>
        <v>2.1009400000000004E-2</v>
      </c>
      <c r="DY235" s="2">
        <f t="shared" ref="DY235:EC235" si="3969">S235*$I235+AN235*$AD235+BI235*$AY235</f>
        <v>0</v>
      </c>
      <c r="DZ235" s="2">
        <f t="shared" si="3969"/>
        <v>0</v>
      </c>
      <c r="EA235" s="2">
        <f t="shared" si="3969"/>
        <v>0</v>
      </c>
      <c r="EB235" s="2">
        <f t="shared" si="3969"/>
        <v>0</v>
      </c>
      <c r="EC235" s="2">
        <f t="shared" si="3969"/>
        <v>0</v>
      </c>
      <c r="ED235" s="2">
        <f t="shared" ref="ED235:EE235" si="3970">(X235*$I235+AS235*$AD235+BN235*$AY235)/100</f>
        <v>0</v>
      </c>
      <c r="EE235" s="2">
        <f t="shared" si="3970"/>
        <v>6.1405260000000013</v>
      </c>
      <c r="EF235" s="2"/>
      <c r="EG235" s="2">
        <f t="shared" si="10"/>
        <v>0</v>
      </c>
      <c r="EH235" s="2">
        <f t="shared" si="11"/>
        <v>0</v>
      </c>
      <c r="EI235" s="39">
        <f t="shared" si="12"/>
        <v>0</v>
      </c>
      <c r="EJ235" s="39">
        <f t="shared" ref="EJ235:EK235" si="3971">EJ$1*DQ235/1000000</f>
        <v>0</v>
      </c>
      <c r="EK235" s="39">
        <f t="shared" si="3971"/>
        <v>0</v>
      </c>
      <c r="EL235" s="39">
        <f t="shared" ref="EL235:EQ235" si="3972">EL$1*DS235</f>
        <v>0</v>
      </c>
      <c r="EM235" s="39">
        <f t="shared" si="3972"/>
        <v>0</v>
      </c>
      <c r="EN235" s="39">
        <f t="shared" si="3972"/>
        <v>0</v>
      </c>
      <c r="EO235" s="39">
        <f t="shared" si="3972"/>
        <v>0</v>
      </c>
      <c r="EP235" s="39">
        <f t="shared" si="3972"/>
        <v>8829.7348840000013</v>
      </c>
      <c r="EQ235" s="39">
        <f t="shared" si="3972"/>
        <v>1525.6926275256001</v>
      </c>
      <c r="ER235" s="39">
        <f t="shared" ref="ER235:EV235" si="3973">ER$1*DY235/1000000</f>
        <v>0</v>
      </c>
      <c r="ES235" s="39">
        <f t="shared" si="3973"/>
        <v>0</v>
      </c>
      <c r="ET235" s="39">
        <f t="shared" si="3973"/>
        <v>0</v>
      </c>
      <c r="EU235" s="39">
        <f t="shared" si="3973"/>
        <v>0</v>
      </c>
      <c r="EV235" s="39">
        <f t="shared" si="3973"/>
        <v>0</v>
      </c>
      <c r="EW235" s="39">
        <f t="shared" ref="EW235:EX235" si="3974">EW$1*ED235</f>
        <v>0</v>
      </c>
      <c r="EX235" s="39">
        <f t="shared" si="3974"/>
        <v>571.06891800000017</v>
      </c>
      <c r="EY235" s="2"/>
      <c r="EZ235" s="39">
        <f t="shared" si="17"/>
        <v>0</v>
      </c>
      <c r="FA235" s="39">
        <f t="shared" si="18"/>
        <v>0</v>
      </c>
      <c r="FB235" s="2">
        <f t="shared" si="19"/>
        <v>0</v>
      </c>
      <c r="FC235" s="2">
        <f t="shared" ref="FC235:FD235" si="3975">BV235*$BT235+CQ235*$CO235</f>
        <v>0</v>
      </c>
      <c r="FD235" s="2">
        <f t="shared" si="3975"/>
        <v>0</v>
      </c>
      <c r="FE235" s="2">
        <f t="shared" ref="FE235:FJ235" si="3976">(BX235*$BT235+CS235*$CO235)/100</f>
        <v>0</v>
      </c>
      <c r="FF235" s="2">
        <f t="shared" si="3976"/>
        <v>0</v>
      </c>
      <c r="FG235" s="2">
        <f t="shared" si="3976"/>
        <v>0</v>
      </c>
      <c r="FH235" s="2">
        <f t="shared" si="3976"/>
        <v>0</v>
      </c>
      <c r="FI235" s="2">
        <f t="shared" si="3976"/>
        <v>0</v>
      </c>
      <c r="FJ235" s="2">
        <f t="shared" si="3976"/>
        <v>0</v>
      </c>
      <c r="FK235" s="2">
        <f t="shared" ref="FK235:FO235" si="3977">CD235*$BT235+CY235*$CO235</f>
        <v>0</v>
      </c>
      <c r="FL235" s="2">
        <f t="shared" si="3977"/>
        <v>0</v>
      </c>
      <c r="FM235" s="2">
        <f t="shared" si="3977"/>
        <v>0</v>
      </c>
      <c r="FN235" s="2">
        <f t="shared" si="3977"/>
        <v>0</v>
      </c>
      <c r="FO235" s="2">
        <f t="shared" si="3977"/>
        <v>0</v>
      </c>
      <c r="FP235" s="2">
        <f t="shared" ref="FP235:FQ235" si="3978">(CI235*$BT235+DD235*$CO235)/100</f>
        <v>0</v>
      </c>
      <c r="FQ235" s="2">
        <f t="shared" si="3978"/>
        <v>0</v>
      </c>
      <c r="FR235" s="2"/>
      <c r="FS235" s="2">
        <f t="shared" si="24"/>
        <v>0</v>
      </c>
      <c r="FT235" s="2">
        <f t="shared" si="25"/>
        <v>0</v>
      </c>
      <c r="FU235" s="39">
        <f t="shared" si="26"/>
        <v>0</v>
      </c>
      <c r="FV235" s="39">
        <f t="shared" ref="FV235:FW235" si="3979">FV$1*FC235/1000000</f>
        <v>0</v>
      </c>
      <c r="FW235" s="39">
        <f t="shared" si="3979"/>
        <v>0</v>
      </c>
      <c r="FX235" s="39">
        <f t="shared" ref="FX235:GC235" si="3980">FX$1*FE235</f>
        <v>0</v>
      </c>
      <c r="FY235" s="39">
        <f t="shared" si="3980"/>
        <v>0</v>
      </c>
      <c r="FZ235" s="39">
        <f t="shared" si="3980"/>
        <v>0</v>
      </c>
      <c r="GA235" s="39">
        <f t="shared" si="3980"/>
        <v>0</v>
      </c>
      <c r="GB235" s="39">
        <f t="shared" si="3980"/>
        <v>0</v>
      </c>
      <c r="GC235" s="39">
        <f t="shared" si="3980"/>
        <v>0</v>
      </c>
      <c r="GD235" s="39">
        <f t="shared" ref="GD235:GH235" si="3981">GD$1*FK235/1000000</f>
        <v>0</v>
      </c>
      <c r="GE235" s="39">
        <f t="shared" si="3981"/>
        <v>0</v>
      </c>
      <c r="GF235" s="39">
        <f t="shared" si="3981"/>
        <v>0</v>
      </c>
      <c r="GG235" s="39">
        <f t="shared" si="3981"/>
        <v>0</v>
      </c>
      <c r="GH235" s="39">
        <f t="shared" si="3981"/>
        <v>0</v>
      </c>
      <c r="GI235" s="39">
        <f t="shared" ref="GI235:GJ235" si="3982">GI$1*FP235</f>
        <v>0</v>
      </c>
      <c r="GJ235" s="39">
        <f t="shared" si="3982"/>
        <v>0</v>
      </c>
      <c r="GK235" s="2"/>
      <c r="GL235" s="39">
        <f t="shared" si="31"/>
        <v>0</v>
      </c>
      <c r="GM235" s="39">
        <f t="shared" si="32"/>
        <v>0</v>
      </c>
      <c r="GN235" s="2" t="s">
        <v>3</v>
      </c>
      <c r="GO235" s="4">
        <f t="shared" si="33"/>
        <v>37.058</v>
      </c>
      <c r="GP235" s="4">
        <f t="shared" si="34"/>
        <v>1.8168978358249233</v>
      </c>
      <c r="GQ235" s="15">
        <f t="shared" si="35"/>
        <v>673.30600000000004</v>
      </c>
      <c r="GR235" s="15">
        <f t="shared" si="36"/>
        <v>10926.496429525603</v>
      </c>
      <c r="GS235" s="15">
        <f t="shared" si="37"/>
        <v>294.84851933524754</v>
      </c>
      <c r="GT235" s="2">
        <f t="shared" si="38"/>
        <v>12.725999999999999</v>
      </c>
      <c r="GU235" s="2">
        <f t="shared" si="39"/>
        <v>268.08</v>
      </c>
      <c r="GV235" s="2">
        <f t="shared" si="40"/>
        <v>392.50000000000006</v>
      </c>
      <c r="GW235" s="2">
        <f t="shared" si="41"/>
        <v>0</v>
      </c>
      <c r="GX235" s="2"/>
      <c r="GY235" s="2"/>
      <c r="GZ235" s="2"/>
      <c r="HA235" s="2"/>
      <c r="HB235" s="2">
        <f t="shared" si="42"/>
        <v>0</v>
      </c>
      <c r="HC235" s="2">
        <f t="shared" si="43"/>
        <v>0</v>
      </c>
      <c r="HD235" s="2" t="s">
        <v>3</v>
      </c>
      <c r="HE235" s="2" t="s">
        <v>37</v>
      </c>
      <c r="HF235" s="2" t="s">
        <v>235</v>
      </c>
      <c r="HG235" s="2"/>
      <c r="HH235" s="2"/>
      <c r="HI235" s="2" t="s">
        <v>81</v>
      </c>
      <c r="HJ235" s="2" t="s">
        <v>3</v>
      </c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  <c r="JE235" s="2"/>
      <c r="JF235" s="2"/>
      <c r="JG235" s="2"/>
      <c r="JH235" s="2" t="s">
        <v>3</v>
      </c>
    </row>
    <row r="236" spans="1:268" ht="15.75" customHeight="1" x14ac:dyDescent="0.2">
      <c r="A236" s="13" t="s">
        <v>831</v>
      </c>
      <c r="B236" s="2" t="s">
        <v>109</v>
      </c>
      <c r="C236" s="2"/>
      <c r="D236" s="2"/>
      <c r="E236" s="2" t="s">
        <v>78</v>
      </c>
      <c r="F236" s="2" t="s">
        <v>786</v>
      </c>
      <c r="G236" s="2"/>
      <c r="H236" s="2" t="s">
        <v>141</v>
      </c>
      <c r="I236" s="2">
        <v>0</v>
      </c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15">
        <f>100*(63.657-39.46734)/63.657</f>
        <v>37.999999999999993</v>
      </c>
      <c r="AD236" s="4">
        <v>39.46734</v>
      </c>
      <c r="AE236" s="2"/>
      <c r="AF236" s="2"/>
      <c r="AG236" s="2"/>
      <c r="AH236" s="2"/>
      <c r="AI236" s="2"/>
      <c r="AJ236" s="2"/>
      <c r="AK236" s="2"/>
      <c r="AL236" s="2">
        <v>0.88</v>
      </c>
      <c r="AM236" s="2"/>
      <c r="AN236" s="2"/>
      <c r="AO236" s="2"/>
      <c r="AP236" s="2"/>
      <c r="AQ236" s="2"/>
      <c r="AR236" s="2"/>
      <c r="AS236" s="2"/>
      <c r="AT236" s="2">
        <v>44.23</v>
      </c>
      <c r="AU236" s="2"/>
      <c r="AV236" s="2"/>
      <c r="AW236" s="2"/>
      <c r="AX236" s="15">
        <f>100*(4.673-2.89726)/4.673</f>
        <v>37.999999999999993</v>
      </c>
      <c r="AY236" s="4">
        <v>2.8972600000000002</v>
      </c>
      <c r="AZ236" s="2"/>
      <c r="BA236" s="2"/>
      <c r="BB236" s="2"/>
      <c r="BC236" s="2"/>
      <c r="BD236" s="2"/>
      <c r="BE236" s="2"/>
      <c r="BF236" s="2"/>
      <c r="BG236" s="4">
        <v>1.3</v>
      </c>
      <c r="BH236" s="2"/>
      <c r="BI236" s="2"/>
      <c r="BJ236" s="2"/>
      <c r="BK236" s="2"/>
      <c r="BL236" s="2"/>
      <c r="BM236" s="2"/>
      <c r="BN236" s="2"/>
      <c r="BO236" s="4">
        <v>12.9</v>
      </c>
      <c r="BP236" s="2"/>
      <c r="BQ236" s="2"/>
      <c r="BR236" s="2"/>
      <c r="BS236" s="2"/>
      <c r="BT236" s="2">
        <v>0</v>
      </c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>
        <v>0</v>
      </c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 t="s">
        <v>81</v>
      </c>
      <c r="DK236" s="2"/>
      <c r="DL236" s="2">
        <f t="shared" si="3"/>
        <v>0.90872325479291682</v>
      </c>
      <c r="DM236" s="2">
        <f t="shared" si="4"/>
        <v>0</v>
      </c>
      <c r="DN236" s="2" t="s">
        <v>787</v>
      </c>
      <c r="DO236" s="2" t="s">
        <v>3</v>
      </c>
      <c r="DP236" s="2">
        <f t="shared" si="5"/>
        <v>0</v>
      </c>
      <c r="DQ236" s="2">
        <f t="shared" ref="DQ236:DR236" si="3983">K236*$I236+AF236*$AD236+BA236*$AY236</f>
        <v>0</v>
      </c>
      <c r="DR236" s="2">
        <f t="shared" si="3983"/>
        <v>0</v>
      </c>
      <c r="DS236" s="2">
        <f t="shared" ref="DS236:DX236" si="3984">(M236*$I236+AH236*$AD236+BC236*$AY236)/100</f>
        <v>0</v>
      </c>
      <c r="DT236" s="2">
        <f t="shared" si="3984"/>
        <v>0</v>
      </c>
      <c r="DU236" s="2">
        <f t="shared" si="3984"/>
        <v>0</v>
      </c>
      <c r="DV236" s="2">
        <f t="shared" si="3984"/>
        <v>0</v>
      </c>
      <c r="DW236" s="2">
        <f t="shared" si="3984"/>
        <v>0.38497697200000003</v>
      </c>
      <c r="DX236" s="2">
        <f t="shared" si="3984"/>
        <v>0</v>
      </c>
      <c r="DY236" s="2">
        <f t="shared" ref="DY236:EC236" si="3985">S236*$I236+AN236*$AD236+BI236*$AY236</f>
        <v>0</v>
      </c>
      <c r="DZ236" s="2">
        <f t="shared" si="3985"/>
        <v>0</v>
      </c>
      <c r="EA236" s="2">
        <f t="shared" si="3985"/>
        <v>0</v>
      </c>
      <c r="EB236" s="2">
        <f t="shared" si="3985"/>
        <v>0</v>
      </c>
      <c r="EC236" s="2">
        <f t="shared" si="3985"/>
        <v>0</v>
      </c>
      <c r="ED236" s="2">
        <f t="shared" ref="ED236:EE236" si="3986">(X236*$I236+AS236*$AD236+BN236*$AY236)/100</f>
        <v>0</v>
      </c>
      <c r="EE236" s="2">
        <f t="shared" si="3986"/>
        <v>17.830151021999999</v>
      </c>
      <c r="EF236" s="2"/>
      <c r="EG236" s="2">
        <f t="shared" si="10"/>
        <v>0</v>
      </c>
      <c r="EH236" s="2">
        <f t="shared" si="11"/>
        <v>0</v>
      </c>
      <c r="EI236" s="39">
        <f t="shared" si="12"/>
        <v>0</v>
      </c>
      <c r="EJ236" s="39">
        <f t="shared" ref="EJ236:EK236" si="3987">EJ$1*DQ236/1000000</f>
        <v>0</v>
      </c>
      <c r="EK236" s="39">
        <f t="shared" si="3987"/>
        <v>0</v>
      </c>
      <c r="EL236" s="39">
        <f t="shared" ref="EL236:EQ236" si="3988">EL$1*DS236</f>
        <v>0</v>
      </c>
      <c r="EM236" s="39">
        <f t="shared" si="3988"/>
        <v>0</v>
      </c>
      <c r="EN236" s="39">
        <f t="shared" si="3988"/>
        <v>0</v>
      </c>
      <c r="EO236" s="39">
        <f t="shared" si="3988"/>
        <v>0</v>
      </c>
      <c r="EP236" s="39">
        <f t="shared" si="3988"/>
        <v>5048.588010808</v>
      </c>
      <c r="EQ236" s="39">
        <f t="shared" si="3988"/>
        <v>0</v>
      </c>
      <c r="ER236" s="39">
        <f t="shared" ref="ER236:EV236" si="3989">ER$1*DY236/1000000</f>
        <v>0</v>
      </c>
      <c r="ES236" s="39">
        <f t="shared" si="3989"/>
        <v>0</v>
      </c>
      <c r="ET236" s="39">
        <f t="shared" si="3989"/>
        <v>0</v>
      </c>
      <c r="EU236" s="39">
        <f t="shared" si="3989"/>
        <v>0</v>
      </c>
      <c r="EV236" s="39">
        <f t="shared" si="3989"/>
        <v>0</v>
      </c>
      <c r="EW236" s="39">
        <f t="shared" ref="EW236:EX236" si="3990">EW$1*ED236</f>
        <v>0</v>
      </c>
      <c r="EX236" s="39">
        <f t="shared" si="3990"/>
        <v>1658.2040450459999</v>
      </c>
      <c r="EY236" s="2"/>
      <c r="EZ236" s="39">
        <f t="shared" si="17"/>
        <v>0</v>
      </c>
      <c r="FA236" s="39">
        <f t="shared" si="18"/>
        <v>0</v>
      </c>
      <c r="FB236" s="2">
        <f t="shared" si="19"/>
        <v>0</v>
      </c>
      <c r="FC236" s="2">
        <f t="shared" ref="FC236:FD236" si="3991">BV236*$BT236+CQ236*$CO236</f>
        <v>0</v>
      </c>
      <c r="FD236" s="2">
        <f t="shared" si="3991"/>
        <v>0</v>
      </c>
      <c r="FE236" s="2">
        <f t="shared" ref="FE236:FJ236" si="3992">(BX236*$BT236+CS236*$CO236)/100</f>
        <v>0</v>
      </c>
      <c r="FF236" s="2">
        <f t="shared" si="3992"/>
        <v>0</v>
      </c>
      <c r="FG236" s="2">
        <f t="shared" si="3992"/>
        <v>0</v>
      </c>
      <c r="FH236" s="2">
        <f t="shared" si="3992"/>
        <v>0</v>
      </c>
      <c r="FI236" s="2">
        <f t="shared" si="3992"/>
        <v>0</v>
      </c>
      <c r="FJ236" s="2">
        <f t="shared" si="3992"/>
        <v>0</v>
      </c>
      <c r="FK236" s="2">
        <f t="shared" ref="FK236:FO236" si="3993">CD236*$BT236+CY236*$CO236</f>
        <v>0</v>
      </c>
      <c r="FL236" s="2">
        <f t="shared" si="3993"/>
        <v>0</v>
      </c>
      <c r="FM236" s="2">
        <f t="shared" si="3993"/>
        <v>0</v>
      </c>
      <c r="FN236" s="2">
        <f t="shared" si="3993"/>
        <v>0</v>
      </c>
      <c r="FO236" s="2">
        <f t="shared" si="3993"/>
        <v>0</v>
      </c>
      <c r="FP236" s="2">
        <f t="shared" ref="FP236:FQ236" si="3994">(CI236*$BT236+DD236*$CO236)/100</f>
        <v>0</v>
      </c>
      <c r="FQ236" s="2">
        <f t="shared" si="3994"/>
        <v>0</v>
      </c>
      <c r="FR236" s="2"/>
      <c r="FS236" s="2">
        <f t="shared" si="24"/>
        <v>0</v>
      </c>
      <c r="FT236" s="2">
        <f t="shared" si="25"/>
        <v>0</v>
      </c>
      <c r="FU236" s="39">
        <f t="shared" si="26"/>
        <v>0</v>
      </c>
      <c r="FV236" s="39">
        <f t="shared" ref="FV236:FW236" si="3995">FV$1*FC236/1000000</f>
        <v>0</v>
      </c>
      <c r="FW236" s="39">
        <f t="shared" si="3995"/>
        <v>0</v>
      </c>
      <c r="FX236" s="39">
        <f t="shared" ref="FX236:GC236" si="3996">FX$1*FE236</f>
        <v>0</v>
      </c>
      <c r="FY236" s="39">
        <f t="shared" si="3996"/>
        <v>0</v>
      </c>
      <c r="FZ236" s="39">
        <f t="shared" si="3996"/>
        <v>0</v>
      </c>
      <c r="GA236" s="39">
        <f t="shared" si="3996"/>
        <v>0</v>
      </c>
      <c r="GB236" s="39">
        <f t="shared" si="3996"/>
        <v>0</v>
      </c>
      <c r="GC236" s="39">
        <f t="shared" si="3996"/>
        <v>0</v>
      </c>
      <c r="GD236" s="39">
        <f t="shared" ref="GD236:GH236" si="3997">GD$1*FK236/1000000</f>
        <v>0</v>
      </c>
      <c r="GE236" s="39">
        <f t="shared" si="3997"/>
        <v>0</v>
      </c>
      <c r="GF236" s="39">
        <f t="shared" si="3997"/>
        <v>0</v>
      </c>
      <c r="GG236" s="39">
        <f t="shared" si="3997"/>
        <v>0</v>
      </c>
      <c r="GH236" s="39">
        <f t="shared" si="3997"/>
        <v>0</v>
      </c>
      <c r="GI236" s="39">
        <f t="shared" ref="GI236:GJ236" si="3998">GI$1*FP236</f>
        <v>0</v>
      </c>
      <c r="GJ236" s="39">
        <f t="shared" si="3998"/>
        <v>0</v>
      </c>
      <c r="GK236" s="2"/>
      <c r="GL236" s="39">
        <f t="shared" si="31"/>
        <v>0</v>
      </c>
      <c r="GM236" s="39">
        <f t="shared" si="32"/>
        <v>0</v>
      </c>
      <c r="GN236" s="2" t="s">
        <v>3</v>
      </c>
      <c r="GO236" s="4">
        <f t="shared" si="33"/>
        <v>42.364600000000003</v>
      </c>
      <c r="GP236" s="4">
        <f t="shared" si="34"/>
        <v>0.90872325479291682</v>
      </c>
      <c r="GQ236" s="15">
        <f t="shared" si="35"/>
        <v>384.9769720000001</v>
      </c>
      <c r="GR236" s="15">
        <f t="shared" si="36"/>
        <v>6706.792055854</v>
      </c>
      <c r="GS236" s="15">
        <f t="shared" si="37"/>
        <v>158.31123286550562</v>
      </c>
      <c r="GT236" s="2">
        <f t="shared" si="38"/>
        <v>0</v>
      </c>
      <c r="GU236" s="2">
        <f t="shared" si="39"/>
        <v>347.312592</v>
      </c>
      <c r="GV236" s="2">
        <f t="shared" si="40"/>
        <v>37.664380000000008</v>
      </c>
      <c r="GW236" s="2">
        <f t="shared" si="41"/>
        <v>0</v>
      </c>
      <c r="GX236" s="2"/>
      <c r="GY236" s="2"/>
      <c r="GZ236" s="2"/>
      <c r="HA236" s="2"/>
      <c r="HB236" s="2">
        <f t="shared" si="42"/>
        <v>0</v>
      </c>
      <c r="HC236" s="2">
        <f t="shared" si="43"/>
        <v>0</v>
      </c>
      <c r="HD236" s="2" t="s">
        <v>3</v>
      </c>
      <c r="HE236" s="2" t="s">
        <v>37</v>
      </c>
      <c r="HF236" s="2" t="s">
        <v>151</v>
      </c>
      <c r="HG236" s="2"/>
      <c r="HH236" s="2"/>
      <c r="HI236" s="2" t="s">
        <v>81</v>
      </c>
      <c r="HJ236" s="2" t="s">
        <v>3</v>
      </c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  <c r="JE236" s="2"/>
      <c r="JF236" s="2"/>
      <c r="JG236" s="2"/>
      <c r="JH236" s="2" t="s">
        <v>3</v>
      </c>
    </row>
    <row r="237" spans="1:268" ht="15.75" customHeight="1" x14ac:dyDescent="0.2">
      <c r="A237" s="13" t="s">
        <v>785</v>
      </c>
      <c r="B237" s="2" t="s">
        <v>109</v>
      </c>
      <c r="C237" s="2"/>
      <c r="D237" s="2"/>
      <c r="E237" s="2" t="s">
        <v>78</v>
      </c>
      <c r="F237" s="2" t="s">
        <v>786</v>
      </c>
      <c r="G237" s="2"/>
      <c r="H237" s="2" t="s">
        <v>141</v>
      </c>
      <c r="I237" s="2">
        <v>2.823</v>
      </c>
      <c r="J237" s="2"/>
      <c r="K237" s="2"/>
      <c r="L237" s="2"/>
      <c r="M237" s="2"/>
      <c r="N237" s="2"/>
      <c r="O237" s="2"/>
      <c r="P237" s="2"/>
      <c r="Q237" s="2">
        <v>1.1299999999999999</v>
      </c>
      <c r="R237" s="2"/>
      <c r="S237" s="2"/>
      <c r="T237" s="2"/>
      <c r="U237" s="2"/>
      <c r="V237" s="2"/>
      <c r="W237" s="2"/>
      <c r="X237" s="2"/>
      <c r="Y237" s="2">
        <v>39.49</v>
      </c>
      <c r="Z237" s="2"/>
      <c r="AA237" s="2"/>
      <c r="AB237" s="2"/>
      <c r="AC237" s="15">
        <f>100*(11.473-7.115)/11.473</f>
        <v>37.984833957988322</v>
      </c>
      <c r="AD237" s="2">
        <v>7.1150000000000002</v>
      </c>
      <c r="AE237" s="2"/>
      <c r="AF237" s="2"/>
      <c r="AG237" s="2"/>
      <c r="AH237" s="2"/>
      <c r="AI237" s="2"/>
      <c r="AJ237" s="2"/>
      <c r="AK237" s="2"/>
      <c r="AL237" s="2">
        <v>1.04</v>
      </c>
      <c r="AM237" s="2"/>
      <c r="AN237" s="2"/>
      <c r="AO237" s="2"/>
      <c r="AP237" s="2"/>
      <c r="AQ237" s="2"/>
      <c r="AR237" s="2"/>
      <c r="AS237" s="2"/>
      <c r="AT237" s="2">
        <v>33.19</v>
      </c>
      <c r="AU237" s="2"/>
      <c r="AV237" s="2"/>
      <c r="AW237" s="2"/>
      <c r="AX237" s="15">
        <f>100*(5.027-3.117)/5.027</f>
        <v>37.994827929182414</v>
      </c>
      <c r="AY237" s="2">
        <v>3.117</v>
      </c>
      <c r="AZ237" s="2"/>
      <c r="BA237" s="2"/>
      <c r="BB237" s="2"/>
      <c r="BC237" s="2"/>
      <c r="BD237" s="2"/>
      <c r="BE237" s="2"/>
      <c r="BF237" s="2"/>
      <c r="BG237" s="2">
        <v>0.95</v>
      </c>
      <c r="BH237" s="2"/>
      <c r="BI237" s="2"/>
      <c r="BJ237" s="2"/>
      <c r="BK237" s="2"/>
      <c r="BL237" s="2"/>
      <c r="BM237" s="2"/>
      <c r="BN237" s="2"/>
      <c r="BO237" s="2">
        <v>37.950000000000003</v>
      </c>
      <c r="BP237" s="2"/>
      <c r="BQ237" s="2"/>
      <c r="BR237" s="2"/>
      <c r="BS237" s="2"/>
      <c r="BT237" s="2">
        <v>0</v>
      </c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>
        <v>0</v>
      </c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 t="s">
        <v>81</v>
      </c>
      <c r="DK237" s="2"/>
      <c r="DL237" s="2">
        <f t="shared" si="3"/>
        <v>1.0379731903485254</v>
      </c>
      <c r="DM237" s="2">
        <f t="shared" si="4"/>
        <v>0</v>
      </c>
      <c r="DN237" s="2" t="s">
        <v>787</v>
      </c>
      <c r="DO237" s="2" t="s">
        <v>3</v>
      </c>
      <c r="DP237" s="2">
        <f t="shared" si="5"/>
        <v>0</v>
      </c>
      <c r="DQ237" s="2">
        <f t="shared" ref="DQ237:DR237" si="3999">K237*$I237+AF237*$AD237+BA237*$AY237</f>
        <v>0</v>
      </c>
      <c r="DR237" s="2">
        <f t="shared" si="3999"/>
        <v>0</v>
      </c>
      <c r="DS237" s="2">
        <f t="shared" ref="DS237:DX237" si="4000">(M237*$I237+AH237*$AD237+BC237*$AY237)/100</f>
        <v>0</v>
      </c>
      <c r="DT237" s="2">
        <f t="shared" si="4000"/>
        <v>0</v>
      </c>
      <c r="DU237" s="2">
        <f t="shared" si="4000"/>
        <v>0</v>
      </c>
      <c r="DV237" s="2">
        <f t="shared" si="4000"/>
        <v>0</v>
      </c>
      <c r="DW237" s="2">
        <f t="shared" si="4000"/>
        <v>0.1355074</v>
      </c>
      <c r="DX237" s="2">
        <f t="shared" si="4000"/>
        <v>0</v>
      </c>
      <c r="DY237" s="2">
        <f t="shared" ref="DY237:EC237" si="4001">S237*$I237+AN237*$AD237+BI237*$AY237</f>
        <v>0</v>
      </c>
      <c r="DZ237" s="2">
        <f t="shared" si="4001"/>
        <v>0</v>
      </c>
      <c r="EA237" s="2">
        <f t="shared" si="4001"/>
        <v>0</v>
      </c>
      <c r="EB237" s="2">
        <f t="shared" si="4001"/>
        <v>0</v>
      </c>
      <c r="EC237" s="2">
        <f t="shared" si="4001"/>
        <v>0</v>
      </c>
      <c r="ED237" s="2">
        <f t="shared" ref="ED237:EE237" si="4002">(X237*$I237+AS237*$AD237+BN237*$AY237)/100</f>
        <v>0</v>
      </c>
      <c r="EE237" s="2">
        <f t="shared" si="4002"/>
        <v>4.6591727000000001</v>
      </c>
      <c r="EF237" s="2"/>
      <c r="EG237" s="2">
        <f t="shared" si="10"/>
        <v>0</v>
      </c>
      <c r="EH237" s="2">
        <f t="shared" si="11"/>
        <v>0</v>
      </c>
      <c r="EI237" s="39">
        <f t="shared" si="12"/>
        <v>0</v>
      </c>
      <c r="EJ237" s="39">
        <f t="shared" ref="EJ237:EK237" si="4003">EJ$1*DQ237/1000000</f>
        <v>0</v>
      </c>
      <c r="EK237" s="39">
        <f t="shared" si="4003"/>
        <v>0</v>
      </c>
      <c r="EL237" s="39">
        <f t="shared" ref="EL237:EQ237" si="4004">EL$1*DS237</f>
        <v>0</v>
      </c>
      <c r="EM237" s="39">
        <f t="shared" si="4004"/>
        <v>0</v>
      </c>
      <c r="EN237" s="39">
        <f t="shared" si="4004"/>
        <v>0</v>
      </c>
      <c r="EO237" s="39">
        <f t="shared" si="4004"/>
        <v>0</v>
      </c>
      <c r="EP237" s="39">
        <f t="shared" si="4004"/>
        <v>1777.0440435999999</v>
      </c>
      <c r="EQ237" s="39">
        <f t="shared" si="4004"/>
        <v>0</v>
      </c>
      <c r="ER237" s="39">
        <f t="shared" ref="ER237:EV237" si="4005">ER$1*DY237/1000000</f>
        <v>0</v>
      </c>
      <c r="ES237" s="39">
        <f t="shared" si="4005"/>
        <v>0</v>
      </c>
      <c r="ET237" s="39">
        <f t="shared" si="4005"/>
        <v>0</v>
      </c>
      <c r="EU237" s="39">
        <f t="shared" si="4005"/>
        <v>0</v>
      </c>
      <c r="EV237" s="39">
        <f t="shared" si="4005"/>
        <v>0</v>
      </c>
      <c r="EW237" s="39">
        <f t="shared" ref="EW237:EX237" si="4006">EW$1*ED237</f>
        <v>0</v>
      </c>
      <c r="EX237" s="39">
        <f t="shared" si="4006"/>
        <v>433.30306109999998</v>
      </c>
      <c r="EY237" s="2"/>
      <c r="EZ237" s="39">
        <f t="shared" si="17"/>
        <v>0</v>
      </c>
      <c r="FA237" s="39">
        <f t="shared" si="18"/>
        <v>0</v>
      </c>
      <c r="FB237" s="2">
        <f t="shared" si="19"/>
        <v>0</v>
      </c>
      <c r="FC237" s="2">
        <f t="shared" ref="FC237:FD237" si="4007">BV237*$BT237+CQ237*$CO237</f>
        <v>0</v>
      </c>
      <c r="FD237" s="2">
        <f t="shared" si="4007"/>
        <v>0</v>
      </c>
      <c r="FE237" s="2">
        <f t="shared" ref="FE237:FJ237" si="4008">(BX237*$BT237+CS237*$CO237)/100</f>
        <v>0</v>
      </c>
      <c r="FF237" s="2">
        <f t="shared" si="4008"/>
        <v>0</v>
      </c>
      <c r="FG237" s="2">
        <f t="shared" si="4008"/>
        <v>0</v>
      </c>
      <c r="FH237" s="2">
        <f t="shared" si="4008"/>
        <v>0</v>
      </c>
      <c r="FI237" s="2">
        <f t="shared" si="4008"/>
        <v>0</v>
      </c>
      <c r="FJ237" s="2">
        <f t="shared" si="4008"/>
        <v>0</v>
      </c>
      <c r="FK237" s="2">
        <f t="shared" ref="FK237:FO237" si="4009">CD237*$BT237+CY237*$CO237</f>
        <v>0</v>
      </c>
      <c r="FL237" s="2">
        <f t="shared" si="4009"/>
        <v>0</v>
      </c>
      <c r="FM237" s="2">
        <f t="shared" si="4009"/>
        <v>0</v>
      </c>
      <c r="FN237" s="2">
        <f t="shared" si="4009"/>
        <v>0</v>
      </c>
      <c r="FO237" s="2">
        <f t="shared" si="4009"/>
        <v>0</v>
      </c>
      <c r="FP237" s="2">
        <f t="shared" ref="FP237:FQ237" si="4010">(CI237*$BT237+DD237*$CO237)/100</f>
        <v>0</v>
      </c>
      <c r="FQ237" s="2">
        <f t="shared" si="4010"/>
        <v>0</v>
      </c>
      <c r="FR237" s="2"/>
      <c r="FS237" s="2">
        <f t="shared" si="24"/>
        <v>0</v>
      </c>
      <c r="FT237" s="2">
        <f t="shared" si="25"/>
        <v>0</v>
      </c>
      <c r="FU237" s="39">
        <f t="shared" si="26"/>
        <v>0</v>
      </c>
      <c r="FV237" s="39">
        <f t="shared" ref="FV237:FW237" si="4011">FV$1*FC237/1000000</f>
        <v>0</v>
      </c>
      <c r="FW237" s="39">
        <f t="shared" si="4011"/>
        <v>0</v>
      </c>
      <c r="FX237" s="39">
        <f t="shared" ref="FX237:GC237" si="4012">FX$1*FE237</f>
        <v>0</v>
      </c>
      <c r="FY237" s="39">
        <f t="shared" si="4012"/>
        <v>0</v>
      </c>
      <c r="FZ237" s="39">
        <f t="shared" si="4012"/>
        <v>0</v>
      </c>
      <c r="GA237" s="39">
        <f t="shared" si="4012"/>
        <v>0</v>
      </c>
      <c r="GB237" s="39">
        <f t="shared" si="4012"/>
        <v>0</v>
      </c>
      <c r="GC237" s="39">
        <f t="shared" si="4012"/>
        <v>0</v>
      </c>
      <c r="GD237" s="39">
        <f t="shared" ref="GD237:GH237" si="4013">GD$1*FK237/1000000</f>
        <v>0</v>
      </c>
      <c r="GE237" s="39">
        <f t="shared" si="4013"/>
        <v>0</v>
      </c>
      <c r="GF237" s="39">
        <f t="shared" si="4013"/>
        <v>0</v>
      </c>
      <c r="GG237" s="39">
        <f t="shared" si="4013"/>
        <v>0</v>
      </c>
      <c r="GH237" s="39">
        <f t="shared" si="4013"/>
        <v>0</v>
      </c>
      <c r="GI237" s="39">
        <f t="shared" ref="GI237:GJ237" si="4014">GI$1*FP237</f>
        <v>0</v>
      </c>
      <c r="GJ237" s="39">
        <f t="shared" si="4014"/>
        <v>0</v>
      </c>
      <c r="GK237" s="2"/>
      <c r="GL237" s="39">
        <f t="shared" si="31"/>
        <v>0</v>
      </c>
      <c r="GM237" s="39">
        <f t="shared" si="32"/>
        <v>0</v>
      </c>
      <c r="GN237" s="2" t="s">
        <v>3</v>
      </c>
      <c r="GO237" s="2">
        <f t="shared" si="33"/>
        <v>13.055</v>
      </c>
      <c r="GP237" s="4">
        <f t="shared" si="34"/>
        <v>1.0379731903485254</v>
      </c>
      <c r="GQ237" s="15">
        <f t="shared" si="35"/>
        <v>135.50739999999999</v>
      </c>
      <c r="GR237" s="15">
        <f t="shared" si="36"/>
        <v>2210.3471046999998</v>
      </c>
      <c r="GS237" s="15">
        <f t="shared" si="37"/>
        <v>169.31038718498658</v>
      </c>
      <c r="GT237" s="2">
        <f t="shared" si="38"/>
        <v>31.899899999999992</v>
      </c>
      <c r="GU237" s="2">
        <f t="shared" si="39"/>
        <v>73.996000000000009</v>
      </c>
      <c r="GV237" s="2">
        <f t="shared" si="40"/>
        <v>29.611499999999999</v>
      </c>
      <c r="GW237" s="2">
        <f t="shared" si="41"/>
        <v>0</v>
      </c>
      <c r="GX237" s="2"/>
      <c r="GY237" s="2"/>
      <c r="GZ237" s="2"/>
      <c r="HA237" s="2"/>
      <c r="HB237" s="2">
        <f t="shared" si="42"/>
        <v>0</v>
      </c>
      <c r="HC237" s="2">
        <f t="shared" si="43"/>
        <v>0</v>
      </c>
      <c r="HD237" s="2" t="s">
        <v>3</v>
      </c>
      <c r="HE237" s="2" t="s">
        <v>37</v>
      </c>
      <c r="HF237" s="2" t="s">
        <v>151</v>
      </c>
      <c r="HG237" s="2"/>
      <c r="HH237" s="2"/>
      <c r="HI237" s="2" t="s">
        <v>81</v>
      </c>
      <c r="HJ237" s="2" t="s">
        <v>3</v>
      </c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  <c r="JE237" s="2"/>
      <c r="JF237" s="2"/>
      <c r="JG237" s="2"/>
      <c r="JH237" s="2" t="s">
        <v>3</v>
      </c>
    </row>
    <row r="238" spans="1:268" ht="15.75" customHeight="1" x14ac:dyDescent="0.2">
      <c r="A238" s="13" t="s">
        <v>738</v>
      </c>
      <c r="B238" s="2" t="s">
        <v>99</v>
      </c>
      <c r="C238" s="2"/>
      <c r="D238" s="2"/>
      <c r="E238" s="2" t="s">
        <v>78</v>
      </c>
      <c r="F238" s="2" t="s">
        <v>215</v>
      </c>
      <c r="G238" s="2"/>
      <c r="H238" s="2" t="s">
        <v>242</v>
      </c>
      <c r="I238" s="2">
        <v>0</v>
      </c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>
        <v>0</v>
      </c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4">
        <v>1.0100076</v>
      </c>
      <c r="AZ238" s="2"/>
      <c r="BA238" s="2"/>
      <c r="BB238" s="2"/>
      <c r="BC238" s="2"/>
      <c r="BD238" s="2"/>
      <c r="BE238" s="2"/>
      <c r="BF238" s="2"/>
      <c r="BG238" s="2">
        <v>0.51</v>
      </c>
      <c r="BH238" s="2">
        <v>0.04</v>
      </c>
      <c r="BI238" s="2"/>
      <c r="BJ238" s="2"/>
      <c r="BK238" s="20"/>
      <c r="BL238" s="20"/>
      <c r="BM238" s="20"/>
      <c r="BN238" s="2"/>
      <c r="BO238" s="2"/>
      <c r="BP238" s="2"/>
      <c r="BQ238" s="2">
        <v>40.200000000000003</v>
      </c>
      <c r="BR238" s="2"/>
      <c r="BS238" s="2"/>
      <c r="BT238" s="2">
        <v>0</v>
      </c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>
        <v>0</v>
      </c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 t="s">
        <v>100</v>
      </c>
      <c r="DK238" s="2" t="s">
        <v>100</v>
      </c>
      <c r="DL238" s="2">
        <f t="shared" si="3"/>
        <v>0.51</v>
      </c>
      <c r="DM238" s="2">
        <f t="shared" si="4"/>
        <v>0.04</v>
      </c>
      <c r="DN238" s="2" t="s">
        <v>739</v>
      </c>
      <c r="DO238" s="2" t="s">
        <v>3</v>
      </c>
      <c r="DP238" s="2">
        <f t="shared" si="5"/>
        <v>0</v>
      </c>
      <c r="DQ238" s="2">
        <f t="shared" ref="DQ238:DR238" si="4015">K238*$I238+AF238*$AD238+BA238*$AY238</f>
        <v>0</v>
      </c>
      <c r="DR238" s="2">
        <f t="shared" si="4015"/>
        <v>0</v>
      </c>
      <c r="DS238" s="2">
        <f t="shared" ref="DS238:DX238" si="4016">(M238*$I238+AH238*$AD238+BC238*$AY238)/100</f>
        <v>0</v>
      </c>
      <c r="DT238" s="2">
        <f t="shared" si="4016"/>
        <v>0</v>
      </c>
      <c r="DU238" s="2">
        <f t="shared" si="4016"/>
        <v>0</v>
      </c>
      <c r="DV238" s="2">
        <f t="shared" si="4016"/>
        <v>0</v>
      </c>
      <c r="DW238" s="2">
        <f t="shared" si="4016"/>
        <v>5.1510387599999997E-3</v>
      </c>
      <c r="DX238" s="2">
        <f t="shared" si="4016"/>
        <v>4.0400304E-4</v>
      </c>
      <c r="DY238" s="2">
        <f t="shared" ref="DY238:EC238" si="4017">S238*$I238+AN238*$AD238+BI238*$AY238</f>
        <v>0</v>
      </c>
      <c r="DZ238" s="2">
        <f t="shared" si="4017"/>
        <v>0</v>
      </c>
      <c r="EA238" s="2">
        <f t="shared" si="4017"/>
        <v>0</v>
      </c>
      <c r="EB238" s="2">
        <f t="shared" si="4017"/>
        <v>0</v>
      </c>
      <c r="EC238" s="2">
        <f t="shared" si="4017"/>
        <v>0</v>
      </c>
      <c r="ED238" s="2">
        <f t="shared" ref="ED238:EE238" si="4018">(X238*$I238+AS238*$AD238+BN238*$AY238)/100</f>
        <v>0</v>
      </c>
      <c r="EE238" s="2">
        <f t="shared" si="4018"/>
        <v>0</v>
      </c>
      <c r="EF238" s="2"/>
      <c r="EG238" s="2">
        <f t="shared" si="10"/>
        <v>40.602305520000002</v>
      </c>
      <c r="EH238" s="2">
        <f t="shared" si="11"/>
        <v>0</v>
      </c>
      <c r="EI238" s="39">
        <f t="shared" si="12"/>
        <v>0</v>
      </c>
      <c r="EJ238" s="39">
        <f t="shared" ref="EJ238:EK238" si="4019">EJ$1*DQ238/1000000</f>
        <v>0</v>
      </c>
      <c r="EK238" s="39">
        <f t="shared" si="4019"/>
        <v>0</v>
      </c>
      <c r="EL238" s="39">
        <f t="shared" ref="EL238:EQ238" si="4020">EL$1*DS238</f>
        <v>0</v>
      </c>
      <c r="EM238" s="39">
        <f t="shared" si="4020"/>
        <v>0</v>
      </c>
      <c r="EN238" s="39">
        <f t="shared" si="4020"/>
        <v>0</v>
      </c>
      <c r="EO238" s="39">
        <f t="shared" si="4020"/>
        <v>0</v>
      </c>
      <c r="EP238" s="39">
        <f t="shared" si="4020"/>
        <v>67.550722298639997</v>
      </c>
      <c r="EQ238" s="39">
        <f t="shared" si="4020"/>
        <v>29.338508459352955</v>
      </c>
      <c r="ER238" s="39">
        <f t="shared" ref="ER238:EV238" si="4021">ER$1*DY238/1000000</f>
        <v>0</v>
      </c>
      <c r="ES238" s="39">
        <f t="shared" si="4021"/>
        <v>0</v>
      </c>
      <c r="ET238" s="39">
        <f t="shared" si="4021"/>
        <v>0</v>
      </c>
      <c r="EU238" s="39">
        <f t="shared" si="4021"/>
        <v>0</v>
      </c>
      <c r="EV238" s="39">
        <f t="shared" si="4021"/>
        <v>0</v>
      </c>
      <c r="EW238" s="39">
        <f t="shared" ref="EW238:EX238" si="4022">EW$1*ED238</f>
        <v>0</v>
      </c>
      <c r="EX238" s="39">
        <f t="shared" si="4022"/>
        <v>0</v>
      </c>
      <c r="EY238" s="2"/>
      <c r="EZ238" s="39">
        <f t="shared" si="17"/>
        <v>14.616829987200001</v>
      </c>
      <c r="FA238" s="39">
        <f t="shared" si="18"/>
        <v>0</v>
      </c>
      <c r="FB238" s="2">
        <f t="shared" si="19"/>
        <v>0</v>
      </c>
      <c r="FC238" s="2">
        <f t="shared" ref="FC238:FD238" si="4023">BV238*$BT238+CQ238*$CO238</f>
        <v>0</v>
      </c>
      <c r="FD238" s="2">
        <f t="shared" si="4023"/>
        <v>0</v>
      </c>
      <c r="FE238" s="2">
        <f t="shared" ref="FE238:FJ238" si="4024">(BX238*$BT238+CS238*$CO238)/100</f>
        <v>0</v>
      </c>
      <c r="FF238" s="2">
        <f t="shared" si="4024"/>
        <v>0</v>
      </c>
      <c r="FG238" s="2">
        <f t="shared" si="4024"/>
        <v>0</v>
      </c>
      <c r="FH238" s="2">
        <f t="shared" si="4024"/>
        <v>0</v>
      </c>
      <c r="FI238" s="2">
        <f t="shared" si="4024"/>
        <v>0</v>
      </c>
      <c r="FJ238" s="2">
        <f t="shared" si="4024"/>
        <v>0</v>
      </c>
      <c r="FK238" s="2">
        <f t="shared" ref="FK238:FO238" si="4025">CD238*$BT238+CY238*$CO238</f>
        <v>0</v>
      </c>
      <c r="FL238" s="2">
        <f t="shared" si="4025"/>
        <v>0</v>
      </c>
      <c r="FM238" s="2">
        <f t="shared" si="4025"/>
        <v>0</v>
      </c>
      <c r="FN238" s="2">
        <f t="shared" si="4025"/>
        <v>0</v>
      </c>
      <c r="FO238" s="2">
        <f t="shared" si="4025"/>
        <v>0</v>
      </c>
      <c r="FP238" s="2">
        <f t="shared" ref="FP238:FQ238" si="4026">(CI238*$BT238+DD238*$CO238)/100</f>
        <v>0</v>
      </c>
      <c r="FQ238" s="2">
        <f t="shared" si="4026"/>
        <v>0</v>
      </c>
      <c r="FR238" s="2"/>
      <c r="FS238" s="2">
        <f t="shared" si="24"/>
        <v>0</v>
      </c>
      <c r="FT238" s="2">
        <f t="shared" si="25"/>
        <v>0</v>
      </c>
      <c r="FU238" s="39">
        <f t="shared" si="26"/>
        <v>0</v>
      </c>
      <c r="FV238" s="39">
        <f t="shared" ref="FV238:FW238" si="4027">FV$1*FC238/1000000</f>
        <v>0</v>
      </c>
      <c r="FW238" s="39">
        <f t="shared" si="4027"/>
        <v>0</v>
      </c>
      <c r="FX238" s="39">
        <f t="shared" ref="FX238:GC238" si="4028">FX$1*FE238</f>
        <v>0</v>
      </c>
      <c r="FY238" s="39">
        <f t="shared" si="4028"/>
        <v>0</v>
      </c>
      <c r="FZ238" s="39">
        <f t="shared" si="4028"/>
        <v>0</v>
      </c>
      <c r="GA238" s="39">
        <f t="shared" si="4028"/>
        <v>0</v>
      </c>
      <c r="GB238" s="39">
        <f t="shared" si="4028"/>
        <v>0</v>
      </c>
      <c r="GC238" s="39">
        <f t="shared" si="4028"/>
        <v>0</v>
      </c>
      <c r="GD238" s="39">
        <f t="shared" ref="GD238:GH238" si="4029">GD$1*FK238/1000000</f>
        <v>0</v>
      </c>
      <c r="GE238" s="39">
        <f t="shared" si="4029"/>
        <v>0</v>
      </c>
      <c r="GF238" s="39">
        <f t="shared" si="4029"/>
        <v>0</v>
      </c>
      <c r="GG238" s="39">
        <f t="shared" si="4029"/>
        <v>0</v>
      </c>
      <c r="GH238" s="39">
        <f t="shared" si="4029"/>
        <v>0</v>
      </c>
      <c r="GI238" s="39">
        <f t="shared" ref="GI238:GJ238" si="4030">GI$1*FP238</f>
        <v>0</v>
      </c>
      <c r="GJ238" s="39">
        <f t="shared" si="4030"/>
        <v>0</v>
      </c>
      <c r="GK238" s="2"/>
      <c r="GL238" s="39">
        <f t="shared" si="31"/>
        <v>0</v>
      </c>
      <c r="GM238" s="39">
        <f t="shared" si="32"/>
        <v>0</v>
      </c>
      <c r="GN238" s="2" t="s">
        <v>3</v>
      </c>
      <c r="GO238" s="19">
        <f t="shared" si="33"/>
        <v>1.0100076</v>
      </c>
      <c r="GP238" s="2">
        <f t="shared" si="34"/>
        <v>0.51</v>
      </c>
      <c r="GQ238" s="15">
        <f t="shared" si="35"/>
        <v>5.1510387600000005</v>
      </c>
      <c r="GR238" s="15">
        <f t="shared" si="36"/>
        <v>111.50606074519295</v>
      </c>
      <c r="GS238" s="15">
        <f t="shared" si="37"/>
        <v>110.40120959999999</v>
      </c>
      <c r="GT238" s="2">
        <f t="shared" si="38"/>
        <v>0</v>
      </c>
      <c r="GU238" s="2">
        <f t="shared" si="39"/>
        <v>0</v>
      </c>
      <c r="GV238" s="2">
        <f t="shared" si="40"/>
        <v>5.1510387600000005</v>
      </c>
      <c r="GW238" s="2">
        <f t="shared" si="41"/>
        <v>0</v>
      </c>
      <c r="GX238" s="2"/>
      <c r="GY238" s="2"/>
      <c r="GZ238" s="2"/>
      <c r="HA238" s="2"/>
      <c r="HB238" s="2">
        <f t="shared" si="42"/>
        <v>0</v>
      </c>
      <c r="HC238" s="2">
        <f t="shared" si="43"/>
        <v>0</v>
      </c>
      <c r="HD238" s="2" t="s">
        <v>3</v>
      </c>
      <c r="HE238" s="2" t="s">
        <v>37</v>
      </c>
      <c r="HF238" s="2" t="s">
        <v>114</v>
      </c>
      <c r="HG238" s="2" t="s">
        <v>114</v>
      </c>
      <c r="HH238" s="2"/>
      <c r="HI238" s="2" t="s">
        <v>100</v>
      </c>
      <c r="HJ238" s="2" t="s">
        <v>3</v>
      </c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  <c r="JE238" s="2"/>
      <c r="JF238" s="2"/>
      <c r="JG238" s="2"/>
      <c r="JH238" s="2" t="s">
        <v>3</v>
      </c>
    </row>
    <row r="239" spans="1:268" ht="15.75" customHeight="1" x14ac:dyDescent="0.2">
      <c r="A239" s="13" t="s">
        <v>1005</v>
      </c>
      <c r="B239" s="2" t="s">
        <v>99</v>
      </c>
      <c r="C239" s="2"/>
      <c r="D239" s="2"/>
      <c r="E239" s="2" t="s">
        <v>78</v>
      </c>
      <c r="F239" s="2" t="s">
        <v>215</v>
      </c>
      <c r="G239" s="2"/>
      <c r="H239" s="2" t="s">
        <v>242</v>
      </c>
      <c r="I239" s="2">
        <v>0</v>
      </c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>
        <v>0</v>
      </c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4">
        <v>1.1209114</v>
      </c>
      <c r="AZ239" s="2"/>
      <c r="BA239" s="2"/>
      <c r="BB239" s="2"/>
      <c r="BC239" s="2"/>
      <c r="BD239" s="2"/>
      <c r="BE239" s="2"/>
      <c r="BF239" s="2"/>
      <c r="BG239" s="2">
        <v>0.33</v>
      </c>
      <c r="BH239" s="2">
        <v>0.04</v>
      </c>
      <c r="BI239" s="2"/>
      <c r="BJ239" s="2"/>
      <c r="BK239" s="20"/>
      <c r="BL239" s="20"/>
      <c r="BM239" s="20"/>
      <c r="BN239" s="2"/>
      <c r="BO239" s="2"/>
      <c r="BP239" s="2"/>
      <c r="BQ239" s="2">
        <v>53.9</v>
      </c>
      <c r="BR239" s="2"/>
      <c r="BS239" s="2"/>
      <c r="BT239" s="2">
        <v>0</v>
      </c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>
        <v>0</v>
      </c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 t="s">
        <v>100</v>
      </c>
      <c r="DK239" s="2" t="s">
        <v>100</v>
      </c>
      <c r="DL239" s="2">
        <f t="shared" si="3"/>
        <v>0.33</v>
      </c>
      <c r="DM239" s="2">
        <f t="shared" si="4"/>
        <v>0.04</v>
      </c>
      <c r="DN239" s="2" t="s">
        <v>739</v>
      </c>
      <c r="DO239" s="2" t="s">
        <v>3</v>
      </c>
      <c r="DP239" s="2">
        <f t="shared" si="5"/>
        <v>0</v>
      </c>
      <c r="DQ239" s="2">
        <f t="shared" ref="DQ239:DR239" si="4031">K239*$I239+AF239*$AD239+BA239*$AY239</f>
        <v>0</v>
      </c>
      <c r="DR239" s="2">
        <f t="shared" si="4031"/>
        <v>0</v>
      </c>
      <c r="DS239" s="2">
        <f t="shared" ref="DS239:DX239" si="4032">(M239*$I239+AH239*$AD239+BC239*$AY239)/100</f>
        <v>0</v>
      </c>
      <c r="DT239" s="2">
        <f t="shared" si="4032"/>
        <v>0</v>
      </c>
      <c r="DU239" s="2">
        <f t="shared" si="4032"/>
        <v>0</v>
      </c>
      <c r="DV239" s="2">
        <f t="shared" si="4032"/>
        <v>0</v>
      </c>
      <c r="DW239" s="2">
        <f t="shared" si="4032"/>
        <v>3.6990076199999999E-3</v>
      </c>
      <c r="DX239" s="2">
        <f t="shared" si="4032"/>
        <v>4.4836456000000002E-4</v>
      </c>
      <c r="DY239" s="2">
        <f t="shared" ref="DY239:EC239" si="4033">S239*$I239+AN239*$AD239+BI239*$AY239</f>
        <v>0</v>
      </c>
      <c r="DZ239" s="2">
        <f t="shared" si="4033"/>
        <v>0</v>
      </c>
      <c r="EA239" s="2">
        <f t="shared" si="4033"/>
        <v>0</v>
      </c>
      <c r="EB239" s="2">
        <f t="shared" si="4033"/>
        <v>0</v>
      </c>
      <c r="EC239" s="2">
        <f t="shared" si="4033"/>
        <v>0</v>
      </c>
      <c r="ED239" s="2">
        <f t="shared" ref="ED239:EE239" si="4034">(X239*$I239+AS239*$AD239+BN239*$AY239)/100</f>
        <v>0</v>
      </c>
      <c r="EE239" s="2">
        <f t="shared" si="4034"/>
        <v>0</v>
      </c>
      <c r="EF239" s="2"/>
      <c r="EG239" s="2">
        <f t="shared" si="10"/>
        <v>60.417124459999997</v>
      </c>
      <c r="EH239" s="2">
        <f t="shared" si="11"/>
        <v>0</v>
      </c>
      <c r="EI239" s="39">
        <f t="shared" si="12"/>
        <v>0</v>
      </c>
      <c r="EJ239" s="39">
        <f t="shared" ref="EJ239:EK239" si="4035">EJ$1*DQ239/1000000</f>
        <v>0</v>
      </c>
      <c r="EK239" s="39">
        <f t="shared" si="4035"/>
        <v>0</v>
      </c>
      <c r="EL239" s="39">
        <f t="shared" ref="EL239:EQ239" si="4036">EL$1*DS239</f>
        <v>0</v>
      </c>
      <c r="EM239" s="39">
        <f t="shared" si="4036"/>
        <v>0</v>
      </c>
      <c r="EN239" s="39">
        <f t="shared" si="4036"/>
        <v>0</v>
      </c>
      <c r="EO239" s="39">
        <f t="shared" si="4036"/>
        <v>0</v>
      </c>
      <c r="EP239" s="39">
        <f t="shared" si="4036"/>
        <v>48.508785928679998</v>
      </c>
      <c r="EQ239" s="39">
        <f t="shared" si="4036"/>
        <v>32.560020925669434</v>
      </c>
      <c r="ER239" s="39">
        <f t="shared" ref="ER239:EV239" si="4037">ER$1*DY239/1000000</f>
        <v>0</v>
      </c>
      <c r="ES239" s="39">
        <f t="shared" si="4037"/>
        <v>0</v>
      </c>
      <c r="ET239" s="39">
        <f t="shared" si="4037"/>
        <v>0</v>
      </c>
      <c r="EU239" s="39">
        <f t="shared" si="4037"/>
        <v>0</v>
      </c>
      <c r="EV239" s="39">
        <f t="shared" si="4037"/>
        <v>0</v>
      </c>
      <c r="EW239" s="39">
        <f t="shared" ref="EW239:EX239" si="4038">EW$1*ED239</f>
        <v>0</v>
      </c>
      <c r="EX239" s="39">
        <f t="shared" si="4038"/>
        <v>0</v>
      </c>
      <c r="EY239" s="2"/>
      <c r="EZ239" s="39">
        <f t="shared" si="17"/>
        <v>21.750164805599997</v>
      </c>
      <c r="FA239" s="39">
        <f t="shared" si="18"/>
        <v>0</v>
      </c>
      <c r="FB239" s="2">
        <f t="shared" si="19"/>
        <v>0</v>
      </c>
      <c r="FC239" s="2">
        <f t="shared" ref="FC239:FD239" si="4039">BV239*$BT239+CQ239*$CO239</f>
        <v>0</v>
      </c>
      <c r="FD239" s="2">
        <f t="shared" si="4039"/>
        <v>0</v>
      </c>
      <c r="FE239" s="2">
        <f t="shared" ref="FE239:FJ239" si="4040">(BX239*$BT239+CS239*$CO239)/100</f>
        <v>0</v>
      </c>
      <c r="FF239" s="2">
        <f t="shared" si="4040"/>
        <v>0</v>
      </c>
      <c r="FG239" s="2">
        <f t="shared" si="4040"/>
        <v>0</v>
      </c>
      <c r="FH239" s="2">
        <f t="shared" si="4040"/>
        <v>0</v>
      </c>
      <c r="FI239" s="2">
        <f t="shared" si="4040"/>
        <v>0</v>
      </c>
      <c r="FJ239" s="2">
        <f t="shared" si="4040"/>
        <v>0</v>
      </c>
      <c r="FK239" s="2">
        <f t="shared" ref="FK239:FO239" si="4041">CD239*$BT239+CY239*$CO239</f>
        <v>0</v>
      </c>
      <c r="FL239" s="2">
        <f t="shared" si="4041"/>
        <v>0</v>
      </c>
      <c r="FM239" s="2">
        <f t="shared" si="4041"/>
        <v>0</v>
      </c>
      <c r="FN239" s="2">
        <f t="shared" si="4041"/>
        <v>0</v>
      </c>
      <c r="FO239" s="2">
        <f t="shared" si="4041"/>
        <v>0</v>
      </c>
      <c r="FP239" s="2">
        <f t="shared" ref="FP239:FQ239" si="4042">(CI239*$BT239+DD239*$CO239)/100</f>
        <v>0</v>
      </c>
      <c r="FQ239" s="2">
        <f t="shared" si="4042"/>
        <v>0</v>
      </c>
      <c r="FR239" s="2"/>
      <c r="FS239" s="2">
        <f t="shared" si="24"/>
        <v>0</v>
      </c>
      <c r="FT239" s="2">
        <f t="shared" si="25"/>
        <v>0</v>
      </c>
      <c r="FU239" s="39">
        <f t="shared" si="26"/>
        <v>0</v>
      </c>
      <c r="FV239" s="39">
        <f t="shared" ref="FV239:FW239" si="4043">FV$1*FC239/1000000</f>
        <v>0</v>
      </c>
      <c r="FW239" s="39">
        <f t="shared" si="4043"/>
        <v>0</v>
      </c>
      <c r="FX239" s="39">
        <f t="shared" ref="FX239:GC239" si="4044">FX$1*FE239</f>
        <v>0</v>
      </c>
      <c r="FY239" s="39">
        <f t="shared" si="4044"/>
        <v>0</v>
      </c>
      <c r="FZ239" s="39">
        <f t="shared" si="4044"/>
        <v>0</v>
      </c>
      <c r="GA239" s="39">
        <f t="shared" si="4044"/>
        <v>0</v>
      </c>
      <c r="GB239" s="39">
        <f t="shared" si="4044"/>
        <v>0</v>
      </c>
      <c r="GC239" s="39">
        <f t="shared" si="4044"/>
        <v>0</v>
      </c>
      <c r="GD239" s="39">
        <f t="shared" ref="GD239:GH239" si="4045">GD$1*FK239/1000000</f>
        <v>0</v>
      </c>
      <c r="GE239" s="39">
        <f t="shared" si="4045"/>
        <v>0</v>
      </c>
      <c r="GF239" s="39">
        <f t="shared" si="4045"/>
        <v>0</v>
      </c>
      <c r="GG239" s="39">
        <f t="shared" si="4045"/>
        <v>0</v>
      </c>
      <c r="GH239" s="39">
        <f t="shared" si="4045"/>
        <v>0</v>
      </c>
      <c r="GI239" s="39">
        <f t="shared" ref="GI239:GJ239" si="4046">GI$1*FP239</f>
        <v>0</v>
      </c>
      <c r="GJ239" s="39">
        <f t="shared" si="4046"/>
        <v>0</v>
      </c>
      <c r="GK239" s="2"/>
      <c r="GL239" s="39">
        <f t="shared" si="31"/>
        <v>0</v>
      </c>
      <c r="GM239" s="39">
        <f t="shared" si="32"/>
        <v>0</v>
      </c>
      <c r="GN239" s="2" t="s">
        <v>3</v>
      </c>
      <c r="GO239" s="19">
        <f t="shared" si="33"/>
        <v>1.1209114</v>
      </c>
      <c r="GP239" s="2">
        <f t="shared" si="34"/>
        <v>0.33</v>
      </c>
      <c r="GQ239" s="15">
        <f t="shared" si="35"/>
        <v>3.6990076199999997</v>
      </c>
      <c r="GR239" s="15">
        <f t="shared" si="36"/>
        <v>102.81897165994943</v>
      </c>
      <c r="GS239" s="15">
        <f t="shared" si="37"/>
        <v>91.728009599999993</v>
      </c>
      <c r="GT239" s="2">
        <f t="shared" si="38"/>
        <v>0</v>
      </c>
      <c r="GU239" s="2">
        <f t="shared" si="39"/>
        <v>0</v>
      </c>
      <c r="GV239" s="2">
        <f t="shared" si="40"/>
        <v>3.6990076199999997</v>
      </c>
      <c r="GW239" s="2">
        <f t="shared" si="41"/>
        <v>0</v>
      </c>
      <c r="GX239" s="2"/>
      <c r="GY239" s="2"/>
      <c r="GZ239" s="2"/>
      <c r="HA239" s="2"/>
      <c r="HB239" s="2">
        <f t="shared" si="42"/>
        <v>0</v>
      </c>
      <c r="HC239" s="2">
        <f t="shared" si="43"/>
        <v>0</v>
      </c>
      <c r="HD239" s="2" t="s">
        <v>3</v>
      </c>
      <c r="HE239" s="2" t="s">
        <v>37</v>
      </c>
      <c r="HF239" s="2" t="s">
        <v>114</v>
      </c>
      <c r="HG239" s="2" t="s">
        <v>114</v>
      </c>
      <c r="HH239" s="2"/>
      <c r="HI239" s="2" t="s">
        <v>100</v>
      </c>
      <c r="HJ239" s="2" t="s">
        <v>3</v>
      </c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  <c r="JE239" s="2"/>
      <c r="JF239" s="2"/>
      <c r="JG239" s="2"/>
      <c r="JH239" s="2" t="s">
        <v>3</v>
      </c>
    </row>
    <row r="240" spans="1:268" ht="15.75" customHeight="1" x14ac:dyDescent="0.2">
      <c r="A240" s="13" t="s">
        <v>1175</v>
      </c>
      <c r="B240" s="2" t="s">
        <v>99</v>
      </c>
      <c r="C240" s="2"/>
      <c r="D240" s="2"/>
      <c r="E240" s="2" t="s">
        <v>78</v>
      </c>
      <c r="F240" s="2" t="s">
        <v>215</v>
      </c>
      <c r="G240" s="2"/>
      <c r="H240" s="2" t="s">
        <v>242</v>
      </c>
      <c r="I240" s="2">
        <v>0</v>
      </c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>
        <v>0</v>
      </c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4">
        <v>1.3181643999999999</v>
      </c>
      <c r="AZ240" s="2"/>
      <c r="BA240" s="2"/>
      <c r="BB240" s="2"/>
      <c r="BC240" s="2"/>
      <c r="BD240" s="2"/>
      <c r="BE240" s="2"/>
      <c r="BF240" s="2"/>
      <c r="BG240" s="2">
        <v>0.44</v>
      </c>
      <c r="BH240" s="2">
        <v>0.08</v>
      </c>
      <c r="BI240" s="2"/>
      <c r="BJ240" s="2"/>
      <c r="BK240" s="20"/>
      <c r="BL240" s="20"/>
      <c r="BM240" s="20"/>
      <c r="BN240" s="2"/>
      <c r="BO240" s="2"/>
      <c r="BP240" s="2"/>
      <c r="BQ240" s="2">
        <v>47.5</v>
      </c>
      <c r="BR240" s="2"/>
      <c r="BS240" s="2"/>
      <c r="BT240" s="2">
        <v>0</v>
      </c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>
        <v>0</v>
      </c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 t="s">
        <v>100</v>
      </c>
      <c r="DK240" s="2" t="s">
        <v>100</v>
      </c>
      <c r="DL240" s="2">
        <f t="shared" si="3"/>
        <v>0.44000000000000006</v>
      </c>
      <c r="DM240" s="2">
        <f t="shared" si="4"/>
        <v>0.08</v>
      </c>
      <c r="DN240" s="2" t="s">
        <v>739</v>
      </c>
      <c r="DO240" s="2" t="s">
        <v>3</v>
      </c>
      <c r="DP240" s="2">
        <f t="shared" si="5"/>
        <v>0</v>
      </c>
      <c r="DQ240" s="2">
        <f t="shared" ref="DQ240:DR240" si="4047">K240*$I240+AF240*$AD240+BA240*$AY240</f>
        <v>0</v>
      </c>
      <c r="DR240" s="2">
        <f t="shared" si="4047"/>
        <v>0</v>
      </c>
      <c r="DS240" s="2">
        <f t="shared" ref="DS240:DX240" si="4048">(M240*$I240+AH240*$AD240+BC240*$AY240)/100</f>
        <v>0</v>
      </c>
      <c r="DT240" s="2">
        <f t="shared" si="4048"/>
        <v>0</v>
      </c>
      <c r="DU240" s="2">
        <f t="shared" si="4048"/>
        <v>0</v>
      </c>
      <c r="DV240" s="2">
        <f t="shared" si="4048"/>
        <v>0</v>
      </c>
      <c r="DW240" s="2">
        <f t="shared" si="4048"/>
        <v>5.7999233599999997E-3</v>
      </c>
      <c r="DX240" s="2">
        <f t="shared" si="4048"/>
        <v>1.0545315199999999E-3</v>
      </c>
      <c r="DY240" s="2">
        <f t="shared" ref="DY240:EC240" si="4049">S240*$I240+AN240*$AD240+BI240*$AY240</f>
        <v>0</v>
      </c>
      <c r="DZ240" s="2">
        <f t="shared" si="4049"/>
        <v>0</v>
      </c>
      <c r="EA240" s="2">
        <f t="shared" si="4049"/>
        <v>0</v>
      </c>
      <c r="EB240" s="2">
        <f t="shared" si="4049"/>
        <v>0</v>
      </c>
      <c r="EC240" s="2">
        <f t="shared" si="4049"/>
        <v>0</v>
      </c>
      <c r="ED240" s="2">
        <f t="shared" ref="ED240:EE240" si="4050">(X240*$I240+AS240*$AD240+BN240*$AY240)/100</f>
        <v>0</v>
      </c>
      <c r="EE240" s="2">
        <f t="shared" si="4050"/>
        <v>0</v>
      </c>
      <c r="EF240" s="2"/>
      <c r="EG240" s="2">
        <f t="shared" si="10"/>
        <v>62.612808999999999</v>
      </c>
      <c r="EH240" s="2">
        <f t="shared" si="11"/>
        <v>0</v>
      </c>
      <c r="EI240" s="39">
        <f t="shared" si="12"/>
        <v>0</v>
      </c>
      <c r="EJ240" s="39">
        <f t="shared" ref="EJ240:EK240" si="4051">EJ$1*DQ240/1000000</f>
        <v>0</v>
      </c>
      <c r="EK240" s="39">
        <f t="shared" si="4051"/>
        <v>0</v>
      </c>
      <c r="EL240" s="39">
        <f t="shared" ref="EL240:EQ240" si="4052">EL$1*DS240</f>
        <v>0</v>
      </c>
      <c r="EM240" s="39">
        <f t="shared" si="4052"/>
        <v>0</v>
      </c>
      <c r="EN240" s="39">
        <f t="shared" si="4052"/>
        <v>0</v>
      </c>
      <c r="EO240" s="39">
        <f t="shared" si="4052"/>
        <v>0</v>
      </c>
      <c r="EP240" s="39">
        <f t="shared" si="4052"/>
        <v>76.060194943040003</v>
      </c>
      <c r="EQ240" s="39">
        <f t="shared" si="4052"/>
        <v>76.57957702539646</v>
      </c>
      <c r="ER240" s="39">
        <f t="shared" ref="ER240:EV240" si="4053">ER$1*DY240/1000000</f>
        <v>0</v>
      </c>
      <c r="ES240" s="39">
        <f t="shared" si="4053"/>
        <v>0</v>
      </c>
      <c r="ET240" s="39">
        <f t="shared" si="4053"/>
        <v>0</v>
      </c>
      <c r="EU240" s="39">
        <f t="shared" si="4053"/>
        <v>0</v>
      </c>
      <c r="EV240" s="39">
        <f t="shared" si="4053"/>
        <v>0</v>
      </c>
      <c r="EW240" s="39">
        <f t="shared" ref="EW240:EX240" si="4054">EW$1*ED240</f>
        <v>0</v>
      </c>
      <c r="EX240" s="39">
        <f t="shared" si="4054"/>
        <v>0</v>
      </c>
      <c r="EY240" s="2"/>
      <c r="EZ240" s="39">
        <f t="shared" si="17"/>
        <v>22.540611239999997</v>
      </c>
      <c r="FA240" s="39">
        <f t="shared" si="18"/>
        <v>0</v>
      </c>
      <c r="FB240" s="2">
        <f t="shared" si="19"/>
        <v>0</v>
      </c>
      <c r="FC240" s="2">
        <f t="shared" ref="FC240:FD240" si="4055">BV240*$BT240+CQ240*$CO240</f>
        <v>0</v>
      </c>
      <c r="FD240" s="2">
        <f t="shared" si="4055"/>
        <v>0</v>
      </c>
      <c r="FE240" s="2">
        <f t="shared" ref="FE240:FJ240" si="4056">(BX240*$BT240+CS240*$CO240)/100</f>
        <v>0</v>
      </c>
      <c r="FF240" s="2">
        <f t="shared" si="4056"/>
        <v>0</v>
      </c>
      <c r="FG240" s="2">
        <f t="shared" si="4056"/>
        <v>0</v>
      </c>
      <c r="FH240" s="2">
        <f t="shared" si="4056"/>
        <v>0</v>
      </c>
      <c r="FI240" s="2">
        <f t="shared" si="4056"/>
        <v>0</v>
      </c>
      <c r="FJ240" s="2">
        <f t="shared" si="4056"/>
        <v>0</v>
      </c>
      <c r="FK240" s="2">
        <f t="shared" ref="FK240:FO240" si="4057">CD240*$BT240+CY240*$CO240</f>
        <v>0</v>
      </c>
      <c r="FL240" s="2">
        <f t="shared" si="4057"/>
        <v>0</v>
      </c>
      <c r="FM240" s="2">
        <f t="shared" si="4057"/>
        <v>0</v>
      </c>
      <c r="FN240" s="2">
        <f t="shared" si="4057"/>
        <v>0</v>
      </c>
      <c r="FO240" s="2">
        <f t="shared" si="4057"/>
        <v>0</v>
      </c>
      <c r="FP240" s="2">
        <f t="shared" ref="FP240:FQ240" si="4058">(CI240*$BT240+DD240*$CO240)/100</f>
        <v>0</v>
      </c>
      <c r="FQ240" s="2">
        <f t="shared" si="4058"/>
        <v>0</v>
      </c>
      <c r="FR240" s="2"/>
      <c r="FS240" s="2">
        <f t="shared" si="24"/>
        <v>0</v>
      </c>
      <c r="FT240" s="2">
        <f t="shared" si="25"/>
        <v>0</v>
      </c>
      <c r="FU240" s="39">
        <f t="shared" si="26"/>
        <v>0</v>
      </c>
      <c r="FV240" s="39">
        <f t="shared" ref="FV240:FW240" si="4059">FV$1*FC240/1000000</f>
        <v>0</v>
      </c>
      <c r="FW240" s="39">
        <f t="shared" si="4059"/>
        <v>0</v>
      </c>
      <c r="FX240" s="39">
        <f t="shared" ref="FX240:GC240" si="4060">FX$1*FE240</f>
        <v>0</v>
      </c>
      <c r="FY240" s="39">
        <f t="shared" si="4060"/>
        <v>0</v>
      </c>
      <c r="FZ240" s="39">
        <f t="shared" si="4060"/>
        <v>0</v>
      </c>
      <c r="GA240" s="39">
        <f t="shared" si="4060"/>
        <v>0</v>
      </c>
      <c r="GB240" s="39">
        <f t="shared" si="4060"/>
        <v>0</v>
      </c>
      <c r="GC240" s="39">
        <f t="shared" si="4060"/>
        <v>0</v>
      </c>
      <c r="GD240" s="39">
        <f t="shared" ref="GD240:GH240" si="4061">GD$1*FK240/1000000</f>
        <v>0</v>
      </c>
      <c r="GE240" s="39">
        <f t="shared" si="4061"/>
        <v>0</v>
      </c>
      <c r="GF240" s="39">
        <f t="shared" si="4061"/>
        <v>0</v>
      </c>
      <c r="GG240" s="39">
        <f t="shared" si="4061"/>
        <v>0</v>
      </c>
      <c r="GH240" s="39">
        <f t="shared" si="4061"/>
        <v>0</v>
      </c>
      <c r="GI240" s="39">
        <f t="shared" ref="GI240:GJ240" si="4062">GI$1*FP240</f>
        <v>0</v>
      </c>
      <c r="GJ240" s="39">
        <f t="shared" si="4062"/>
        <v>0</v>
      </c>
      <c r="GK240" s="2"/>
      <c r="GL240" s="39">
        <f t="shared" si="31"/>
        <v>0</v>
      </c>
      <c r="GM240" s="39">
        <f t="shared" si="32"/>
        <v>0</v>
      </c>
      <c r="GN240" s="2" t="s">
        <v>3</v>
      </c>
      <c r="GO240" s="19">
        <f t="shared" si="33"/>
        <v>1.3181643999999999</v>
      </c>
      <c r="GP240" s="2">
        <f t="shared" si="34"/>
        <v>0.44000000000000006</v>
      </c>
      <c r="GQ240" s="15">
        <f t="shared" si="35"/>
        <v>5.7999233600000002</v>
      </c>
      <c r="GR240" s="15">
        <f t="shared" si="36"/>
        <v>175.18038320843647</v>
      </c>
      <c r="GS240" s="15">
        <f t="shared" si="37"/>
        <v>132.89721919999999</v>
      </c>
      <c r="GT240" s="2">
        <f t="shared" si="38"/>
        <v>0</v>
      </c>
      <c r="GU240" s="2">
        <f t="shared" si="39"/>
        <v>0</v>
      </c>
      <c r="GV240" s="2">
        <f t="shared" si="40"/>
        <v>5.7999233600000002</v>
      </c>
      <c r="GW240" s="2">
        <f t="shared" si="41"/>
        <v>0</v>
      </c>
      <c r="GX240" s="2"/>
      <c r="GY240" s="2"/>
      <c r="GZ240" s="2"/>
      <c r="HA240" s="2"/>
      <c r="HB240" s="2">
        <f t="shared" si="42"/>
        <v>0</v>
      </c>
      <c r="HC240" s="2">
        <f t="shared" si="43"/>
        <v>0</v>
      </c>
      <c r="HD240" s="2" t="s">
        <v>3</v>
      </c>
      <c r="HE240" s="2" t="s">
        <v>37</v>
      </c>
      <c r="HF240" s="2" t="s">
        <v>114</v>
      </c>
      <c r="HG240" s="2" t="s">
        <v>114</v>
      </c>
      <c r="HH240" s="2"/>
      <c r="HI240" s="2" t="s">
        <v>100</v>
      </c>
      <c r="HJ240" s="2" t="s">
        <v>3</v>
      </c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 t="s">
        <v>3</v>
      </c>
    </row>
    <row r="241" spans="1:268" ht="15.75" customHeight="1" x14ac:dyDescent="0.2">
      <c r="A241" s="13" t="s">
        <v>1004</v>
      </c>
      <c r="B241" s="2" t="s">
        <v>99</v>
      </c>
      <c r="C241" s="2"/>
      <c r="D241" s="2"/>
      <c r="E241" s="2"/>
      <c r="F241" s="2" t="s">
        <v>307</v>
      </c>
      <c r="G241" s="2"/>
      <c r="H241" s="2"/>
      <c r="I241" s="2">
        <v>0</v>
      </c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>
        <v>0</v>
      </c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>
        <v>400</v>
      </c>
      <c r="AZ241" s="2"/>
      <c r="BA241" s="2"/>
      <c r="BB241" s="2"/>
      <c r="BC241" s="2"/>
      <c r="BD241" s="2"/>
      <c r="BE241" s="2"/>
      <c r="BF241" s="2"/>
      <c r="BG241" s="2">
        <v>1.1000000000000001</v>
      </c>
      <c r="BH241" s="2">
        <v>0.14000000000000001</v>
      </c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>
        <v>0</v>
      </c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>
        <v>0</v>
      </c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 t="s">
        <v>100</v>
      </c>
      <c r="DK241" s="2" t="s">
        <v>100</v>
      </c>
      <c r="DL241" s="2">
        <f t="shared" si="3"/>
        <v>1.1000000000000001</v>
      </c>
      <c r="DM241" s="2">
        <f t="shared" si="4"/>
        <v>0.14000000000000001</v>
      </c>
      <c r="DN241" s="2" t="s">
        <v>113</v>
      </c>
      <c r="DO241" s="2" t="s">
        <v>3</v>
      </c>
      <c r="DP241" s="2">
        <f t="shared" si="5"/>
        <v>0</v>
      </c>
      <c r="DQ241" s="2">
        <f t="shared" ref="DQ241:DR241" si="4063">K241*$I241+AF241*$AD241+BA241*$AY241</f>
        <v>0</v>
      </c>
      <c r="DR241" s="2">
        <f t="shared" si="4063"/>
        <v>0</v>
      </c>
      <c r="DS241" s="2">
        <f t="shared" ref="DS241:DX241" si="4064">(M241*$I241+AH241*$AD241+BC241*$AY241)/100</f>
        <v>0</v>
      </c>
      <c r="DT241" s="2">
        <f t="shared" si="4064"/>
        <v>0</v>
      </c>
      <c r="DU241" s="2">
        <f t="shared" si="4064"/>
        <v>0</v>
      </c>
      <c r="DV241" s="2">
        <f t="shared" si="4064"/>
        <v>0</v>
      </c>
      <c r="DW241" s="2">
        <f t="shared" si="4064"/>
        <v>4.4000000000000004</v>
      </c>
      <c r="DX241" s="2">
        <f t="shared" si="4064"/>
        <v>0.56000000000000005</v>
      </c>
      <c r="DY241" s="2">
        <f t="shared" ref="DY241:EC241" si="4065">S241*$I241+AN241*$AD241+BI241*$AY241</f>
        <v>0</v>
      </c>
      <c r="DZ241" s="2">
        <f t="shared" si="4065"/>
        <v>0</v>
      </c>
      <c r="EA241" s="2">
        <f t="shared" si="4065"/>
        <v>0</v>
      </c>
      <c r="EB241" s="2">
        <f t="shared" si="4065"/>
        <v>0</v>
      </c>
      <c r="EC241" s="2">
        <f t="shared" si="4065"/>
        <v>0</v>
      </c>
      <c r="ED241" s="2">
        <f t="shared" ref="ED241:EE241" si="4066">(X241*$I241+AS241*$AD241+BN241*$AY241)/100</f>
        <v>0</v>
      </c>
      <c r="EE241" s="2">
        <f t="shared" si="4066"/>
        <v>0</v>
      </c>
      <c r="EF241" s="2"/>
      <c r="EG241" s="2">
        <f t="shared" si="10"/>
        <v>0</v>
      </c>
      <c r="EH241" s="2">
        <f t="shared" si="11"/>
        <v>0</v>
      </c>
      <c r="EI241" s="39">
        <f t="shared" si="12"/>
        <v>0</v>
      </c>
      <c r="EJ241" s="39">
        <f t="shared" ref="EJ241:EK241" si="4067">EJ$1*DQ241/1000000</f>
        <v>0</v>
      </c>
      <c r="EK241" s="39">
        <f t="shared" si="4067"/>
        <v>0</v>
      </c>
      <c r="EL241" s="39">
        <f t="shared" ref="EL241:EQ241" si="4068">EL$1*DS241</f>
        <v>0</v>
      </c>
      <c r="EM241" s="39">
        <f t="shared" si="4068"/>
        <v>0</v>
      </c>
      <c r="EN241" s="39">
        <f t="shared" si="4068"/>
        <v>0</v>
      </c>
      <c r="EO241" s="39">
        <f t="shared" si="4068"/>
        <v>0</v>
      </c>
      <c r="EP241" s="39">
        <f t="shared" si="4068"/>
        <v>57701.600000000006</v>
      </c>
      <c r="EQ241" s="39">
        <f t="shared" si="4068"/>
        <v>40666.933440000001</v>
      </c>
      <c r="ER241" s="39">
        <f t="shared" ref="ER241:EV241" si="4069">ER$1*DY241/1000000</f>
        <v>0</v>
      </c>
      <c r="ES241" s="39">
        <f t="shared" si="4069"/>
        <v>0</v>
      </c>
      <c r="ET241" s="39">
        <f t="shared" si="4069"/>
        <v>0</v>
      </c>
      <c r="EU241" s="39">
        <f t="shared" si="4069"/>
        <v>0</v>
      </c>
      <c r="EV241" s="39">
        <f t="shared" si="4069"/>
        <v>0</v>
      </c>
      <c r="EW241" s="39">
        <f t="shared" ref="EW241:EX241" si="4070">EW$1*ED241</f>
        <v>0</v>
      </c>
      <c r="EX241" s="39">
        <f t="shared" si="4070"/>
        <v>0</v>
      </c>
      <c r="EY241" s="2"/>
      <c r="EZ241" s="39">
        <f t="shared" si="17"/>
        <v>0</v>
      </c>
      <c r="FA241" s="39">
        <f t="shared" si="18"/>
        <v>0</v>
      </c>
      <c r="FB241" s="2">
        <f t="shared" si="19"/>
        <v>0</v>
      </c>
      <c r="FC241" s="2">
        <f t="shared" ref="FC241:FD241" si="4071">BV241*$BT241+CQ241*$CO241</f>
        <v>0</v>
      </c>
      <c r="FD241" s="2">
        <f t="shared" si="4071"/>
        <v>0</v>
      </c>
      <c r="FE241" s="2">
        <f t="shared" ref="FE241:FJ241" si="4072">(BX241*$BT241+CS241*$CO241)/100</f>
        <v>0</v>
      </c>
      <c r="FF241" s="2">
        <f t="shared" si="4072"/>
        <v>0</v>
      </c>
      <c r="FG241" s="2">
        <f t="shared" si="4072"/>
        <v>0</v>
      </c>
      <c r="FH241" s="2">
        <f t="shared" si="4072"/>
        <v>0</v>
      </c>
      <c r="FI241" s="2">
        <f t="shared" si="4072"/>
        <v>0</v>
      </c>
      <c r="FJ241" s="2">
        <f t="shared" si="4072"/>
        <v>0</v>
      </c>
      <c r="FK241" s="2">
        <f t="shared" ref="FK241:FO241" si="4073">CD241*$BT241+CY241*$CO241</f>
        <v>0</v>
      </c>
      <c r="FL241" s="2">
        <f t="shared" si="4073"/>
        <v>0</v>
      </c>
      <c r="FM241" s="2">
        <f t="shared" si="4073"/>
        <v>0</v>
      </c>
      <c r="FN241" s="2">
        <f t="shared" si="4073"/>
        <v>0</v>
      </c>
      <c r="FO241" s="2">
        <f t="shared" si="4073"/>
        <v>0</v>
      </c>
      <c r="FP241" s="2">
        <f t="shared" ref="FP241:FQ241" si="4074">(CI241*$BT241+DD241*$CO241)/100</f>
        <v>0</v>
      </c>
      <c r="FQ241" s="2">
        <f t="shared" si="4074"/>
        <v>0</v>
      </c>
      <c r="FR241" s="2"/>
      <c r="FS241" s="2">
        <f t="shared" si="24"/>
        <v>0</v>
      </c>
      <c r="FT241" s="2">
        <f t="shared" si="25"/>
        <v>0</v>
      </c>
      <c r="FU241" s="39">
        <f t="shared" si="26"/>
        <v>0</v>
      </c>
      <c r="FV241" s="39">
        <f t="shared" ref="FV241:FW241" si="4075">FV$1*FC241/1000000</f>
        <v>0</v>
      </c>
      <c r="FW241" s="39">
        <f t="shared" si="4075"/>
        <v>0</v>
      </c>
      <c r="FX241" s="39">
        <f t="shared" ref="FX241:GC241" si="4076">FX$1*FE241</f>
        <v>0</v>
      </c>
      <c r="FY241" s="39">
        <f t="shared" si="4076"/>
        <v>0</v>
      </c>
      <c r="FZ241" s="39">
        <f t="shared" si="4076"/>
        <v>0</v>
      </c>
      <c r="GA241" s="39">
        <f t="shared" si="4076"/>
        <v>0</v>
      </c>
      <c r="GB241" s="39">
        <f t="shared" si="4076"/>
        <v>0</v>
      </c>
      <c r="GC241" s="39">
        <f t="shared" si="4076"/>
        <v>0</v>
      </c>
      <c r="GD241" s="39">
        <f t="shared" ref="GD241:GH241" si="4077">GD$1*FK241/1000000</f>
        <v>0</v>
      </c>
      <c r="GE241" s="39">
        <f t="shared" si="4077"/>
        <v>0</v>
      </c>
      <c r="GF241" s="39">
        <f t="shared" si="4077"/>
        <v>0</v>
      </c>
      <c r="GG241" s="39">
        <f t="shared" si="4077"/>
        <v>0</v>
      </c>
      <c r="GH241" s="39">
        <f t="shared" si="4077"/>
        <v>0</v>
      </c>
      <c r="GI241" s="39">
        <f t="shared" ref="GI241:GJ241" si="4078">GI$1*FP241</f>
        <v>0</v>
      </c>
      <c r="GJ241" s="39">
        <f t="shared" si="4078"/>
        <v>0</v>
      </c>
      <c r="GK241" s="2"/>
      <c r="GL241" s="39">
        <f t="shared" si="31"/>
        <v>0</v>
      </c>
      <c r="GM241" s="39">
        <f t="shared" si="32"/>
        <v>0</v>
      </c>
      <c r="GN241" s="2" t="s">
        <v>3</v>
      </c>
      <c r="GO241" s="2">
        <f t="shared" si="33"/>
        <v>400</v>
      </c>
      <c r="GP241" s="2">
        <f t="shared" si="34"/>
        <v>1.1000000000000001</v>
      </c>
      <c r="GQ241" s="18">
        <f t="shared" si="35"/>
        <v>4400.0000000000009</v>
      </c>
      <c r="GR241" s="15">
        <f t="shared" si="36"/>
        <v>98368.533439999999</v>
      </c>
      <c r="GS241" s="15">
        <f t="shared" si="37"/>
        <v>245.9213336</v>
      </c>
      <c r="GT241" s="2">
        <f t="shared" si="38"/>
        <v>0</v>
      </c>
      <c r="GU241" s="2">
        <f t="shared" si="39"/>
        <v>0</v>
      </c>
      <c r="GV241" s="2">
        <f t="shared" si="40"/>
        <v>4400.0000000000009</v>
      </c>
      <c r="GW241" s="2">
        <f t="shared" si="41"/>
        <v>0</v>
      </c>
      <c r="GX241" s="2"/>
      <c r="GY241" s="2"/>
      <c r="GZ241" s="2"/>
      <c r="HA241" s="2"/>
      <c r="HB241" s="2">
        <f t="shared" si="42"/>
        <v>0</v>
      </c>
      <c r="HC241" s="2">
        <f t="shared" si="43"/>
        <v>0</v>
      </c>
      <c r="HD241" s="2" t="s">
        <v>3</v>
      </c>
      <c r="HE241" s="2" t="s">
        <v>37</v>
      </c>
      <c r="HF241" s="2" t="s">
        <v>114</v>
      </c>
      <c r="HG241" s="2" t="s">
        <v>114</v>
      </c>
      <c r="HH241" s="2"/>
      <c r="HI241" s="2" t="s">
        <v>100</v>
      </c>
      <c r="HJ241" s="2" t="s">
        <v>3</v>
      </c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  <c r="JE241" s="2"/>
      <c r="JF241" s="2"/>
      <c r="JG241" s="2"/>
      <c r="JH241" s="2" t="s">
        <v>3</v>
      </c>
    </row>
    <row r="242" spans="1:268" ht="15.75" customHeight="1" x14ac:dyDescent="0.2">
      <c r="A242" s="13" t="s">
        <v>1090</v>
      </c>
      <c r="B242" s="2" t="s">
        <v>99</v>
      </c>
      <c r="C242" s="2"/>
      <c r="D242" s="2"/>
      <c r="E242" s="2"/>
      <c r="F242" s="2" t="s">
        <v>307</v>
      </c>
      <c r="G242" s="2"/>
      <c r="H242" s="2"/>
      <c r="I242" s="2">
        <v>0</v>
      </c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>
        <v>0</v>
      </c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>
        <v>234</v>
      </c>
      <c r="AZ242" s="2"/>
      <c r="BA242" s="2"/>
      <c r="BB242" s="2"/>
      <c r="BC242" s="2"/>
      <c r="BD242" s="2"/>
      <c r="BE242" s="2"/>
      <c r="BF242" s="2"/>
      <c r="BG242" s="2">
        <v>1.3</v>
      </c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>
        <v>0</v>
      </c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>
        <v>0</v>
      </c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 t="s">
        <v>100</v>
      </c>
      <c r="DK242" s="2"/>
      <c r="DL242" s="2">
        <f t="shared" si="3"/>
        <v>1.3</v>
      </c>
      <c r="DM242" s="2">
        <f t="shared" si="4"/>
        <v>0</v>
      </c>
      <c r="DN242" s="2" t="s">
        <v>113</v>
      </c>
      <c r="DO242" s="2" t="s">
        <v>3</v>
      </c>
      <c r="DP242" s="2">
        <f t="shared" si="5"/>
        <v>0</v>
      </c>
      <c r="DQ242" s="2">
        <f t="shared" ref="DQ242:DR242" si="4079">K242*$I242+AF242*$AD242+BA242*$AY242</f>
        <v>0</v>
      </c>
      <c r="DR242" s="2">
        <f t="shared" si="4079"/>
        <v>0</v>
      </c>
      <c r="DS242" s="2">
        <f t="shared" ref="DS242:DX242" si="4080">(M242*$I242+AH242*$AD242+BC242*$AY242)/100</f>
        <v>0</v>
      </c>
      <c r="DT242" s="2">
        <f t="shared" si="4080"/>
        <v>0</v>
      </c>
      <c r="DU242" s="2">
        <f t="shared" si="4080"/>
        <v>0</v>
      </c>
      <c r="DV242" s="2">
        <f t="shared" si="4080"/>
        <v>0</v>
      </c>
      <c r="DW242" s="2">
        <f t="shared" si="4080"/>
        <v>3.0419999999999998</v>
      </c>
      <c r="DX242" s="2">
        <f t="shared" si="4080"/>
        <v>0</v>
      </c>
      <c r="DY242" s="2">
        <f t="shared" ref="DY242:EC242" si="4081">S242*$I242+AN242*$AD242+BI242*$AY242</f>
        <v>0</v>
      </c>
      <c r="DZ242" s="2">
        <f t="shared" si="4081"/>
        <v>0</v>
      </c>
      <c r="EA242" s="2">
        <f t="shared" si="4081"/>
        <v>0</v>
      </c>
      <c r="EB242" s="2">
        <f t="shared" si="4081"/>
        <v>0</v>
      </c>
      <c r="EC242" s="2">
        <f t="shared" si="4081"/>
        <v>0</v>
      </c>
      <c r="ED242" s="2">
        <f t="shared" ref="ED242:EE242" si="4082">(X242*$I242+AS242*$AD242+BN242*$AY242)/100</f>
        <v>0</v>
      </c>
      <c r="EE242" s="2">
        <f t="shared" si="4082"/>
        <v>0</v>
      </c>
      <c r="EF242" s="2"/>
      <c r="EG242" s="2">
        <f t="shared" si="10"/>
        <v>0</v>
      </c>
      <c r="EH242" s="2">
        <f t="shared" si="11"/>
        <v>0</v>
      </c>
      <c r="EI242" s="39">
        <f t="shared" si="12"/>
        <v>0</v>
      </c>
      <c r="EJ242" s="39">
        <f t="shared" ref="EJ242:EK242" si="4083">EJ$1*DQ242/1000000</f>
        <v>0</v>
      </c>
      <c r="EK242" s="39">
        <f t="shared" si="4083"/>
        <v>0</v>
      </c>
      <c r="EL242" s="39">
        <f t="shared" ref="EL242:EQ242" si="4084">EL$1*DS242</f>
        <v>0</v>
      </c>
      <c r="EM242" s="39">
        <f t="shared" si="4084"/>
        <v>0</v>
      </c>
      <c r="EN242" s="39">
        <f t="shared" si="4084"/>
        <v>0</v>
      </c>
      <c r="EO242" s="39">
        <f t="shared" si="4084"/>
        <v>0</v>
      </c>
      <c r="EP242" s="39">
        <f t="shared" si="4084"/>
        <v>39892.788</v>
      </c>
      <c r="EQ242" s="39">
        <f t="shared" si="4084"/>
        <v>0</v>
      </c>
      <c r="ER242" s="39">
        <f t="shared" ref="ER242:EV242" si="4085">ER$1*DY242/1000000</f>
        <v>0</v>
      </c>
      <c r="ES242" s="39">
        <f t="shared" si="4085"/>
        <v>0</v>
      </c>
      <c r="ET242" s="39">
        <f t="shared" si="4085"/>
        <v>0</v>
      </c>
      <c r="EU242" s="39">
        <f t="shared" si="4085"/>
        <v>0</v>
      </c>
      <c r="EV242" s="39">
        <f t="shared" si="4085"/>
        <v>0</v>
      </c>
      <c r="EW242" s="39">
        <f t="shared" ref="EW242:EX242" si="4086">EW$1*ED242</f>
        <v>0</v>
      </c>
      <c r="EX242" s="39">
        <f t="shared" si="4086"/>
        <v>0</v>
      </c>
      <c r="EY242" s="2"/>
      <c r="EZ242" s="39">
        <f t="shared" si="17"/>
        <v>0</v>
      </c>
      <c r="FA242" s="39">
        <f t="shared" si="18"/>
        <v>0</v>
      </c>
      <c r="FB242" s="2">
        <f t="shared" si="19"/>
        <v>0</v>
      </c>
      <c r="FC242" s="2">
        <f t="shared" ref="FC242:FD242" si="4087">BV242*$BT242+CQ242*$CO242</f>
        <v>0</v>
      </c>
      <c r="FD242" s="2">
        <f t="shared" si="4087"/>
        <v>0</v>
      </c>
      <c r="FE242" s="2">
        <f t="shared" ref="FE242:FJ242" si="4088">(BX242*$BT242+CS242*$CO242)/100</f>
        <v>0</v>
      </c>
      <c r="FF242" s="2">
        <f t="shared" si="4088"/>
        <v>0</v>
      </c>
      <c r="FG242" s="2">
        <f t="shared" si="4088"/>
        <v>0</v>
      </c>
      <c r="FH242" s="2">
        <f t="shared" si="4088"/>
        <v>0</v>
      </c>
      <c r="FI242" s="2">
        <f t="shared" si="4088"/>
        <v>0</v>
      </c>
      <c r="FJ242" s="2">
        <f t="shared" si="4088"/>
        <v>0</v>
      </c>
      <c r="FK242" s="2">
        <f t="shared" ref="FK242:FO242" si="4089">CD242*$BT242+CY242*$CO242</f>
        <v>0</v>
      </c>
      <c r="FL242" s="2">
        <f t="shared" si="4089"/>
        <v>0</v>
      </c>
      <c r="FM242" s="2">
        <f t="shared" si="4089"/>
        <v>0</v>
      </c>
      <c r="FN242" s="2">
        <f t="shared" si="4089"/>
        <v>0</v>
      </c>
      <c r="FO242" s="2">
        <f t="shared" si="4089"/>
        <v>0</v>
      </c>
      <c r="FP242" s="2">
        <f t="shared" ref="FP242:FQ242" si="4090">(CI242*$BT242+DD242*$CO242)/100</f>
        <v>0</v>
      </c>
      <c r="FQ242" s="2">
        <f t="shared" si="4090"/>
        <v>0</v>
      </c>
      <c r="FR242" s="2"/>
      <c r="FS242" s="2">
        <f t="shared" si="24"/>
        <v>0</v>
      </c>
      <c r="FT242" s="2">
        <f t="shared" si="25"/>
        <v>0</v>
      </c>
      <c r="FU242" s="39">
        <f t="shared" si="26"/>
        <v>0</v>
      </c>
      <c r="FV242" s="39">
        <f t="shared" ref="FV242:FW242" si="4091">FV$1*FC242/1000000</f>
        <v>0</v>
      </c>
      <c r="FW242" s="39">
        <f t="shared" si="4091"/>
        <v>0</v>
      </c>
      <c r="FX242" s="39">
        <f t="shared" ref="FX242:GC242" si="4092">FX$1*FE242</f>
        <v>0</v>
      </c>
      <c r="FY242" s="39">
        <f t="shared" si="4092"/>
        <v>0</v>
      </c>
      <c r="FZ242" s="39">
        <f t="shared" si="4092"/>
        <v>0</v>
      </c>
      <c r="GA242" s="39">
        <f t="shared" si="4092"/>
        <v>0</v>
      </c>
      <c r="GB242" s="39">
        <f t="shared" si="4092"/>
        <v>0</v>
      </c>
      <c r="GC242" s="39">
        <f t="shared" si="4092"/>
        <v>0</v>
      </c>
      <c r="GD242" s="39">
        <f t="shared" ref="GD242:GH242" si="4093">GD$1*FK242/1000000</f>
        <v>0</v>
      </c>
      <c r="GE242" s="39">
        <f t="shared" si="4093"/>
        <v>0</v>
      </c>
      <c r="GF242" s="39">
        <f t="shared" si="4093"/>
        <v>0</v>
      </c>
      <c r="GG242" s="39">
        <f t="shared" si="4093"/>
        <v>0</v>
      </c>
      <c r="GH242" s="39">
        <f t="shared" si="4093"/>
        <v>0</v>
      </c>
      <c r="GI242" s="39">
        <f t="shared" ref="GI242:GJ242" si="4094">GI$1*FP242</f>
        <v>0</v>
      </c>
      <c r="GJ242" s="39">
        <f t="shared" si="4094"/>
        <v>0</v>
      </c>
      <c r="GK242" s="2"/>
      <c r="GL242" s="39">
        <f t="shared" si="31"/>
        <v>0</v>
      </c>
      <c r="GM242" s="39">
        <f t="shared" si="32"/>
        <v>0</v>
      </c>
      <c r="GN242" s="2" t="s">
        <v>3</v>
      </c>
      <c r="GO242" s="2">
        <f t="shared" si="33"/>
        <v>234</v>
      </c>
      <c r="GP242" s="2">
        <f t="shared" si="34"/>
        <v>1.3</v>
      </c>
      <c r="GQ242" s="18">
        <f t="shared" si="35"/>
        <v>3042</v>
      </c>
      <c r="GR242" s="15">
        <f t="shared" si="36"/>
        <v>39892.788</v>
      </c>
      <c r="GS242" s="15">
        <f t="shared" si="37"/>
        <v>170.482</v>
      </c>
      <c r="GT242" s="2">
        <f t="shared" si="38"/>
        <v>0</v>
      </c>
      <c r="GU242" s="2">
        <f t="shared" si="39"/>
        <v>0</v>
      </c>
      <c r="GV242" s="2">
        <f t="shared" si="40"/>
        <v>3042</v>
      </c>
      <c r="GW242" s="2">
        <f t="shared" si="41"/>
        <v>0</v>
      </c>
      <c r="GX242" s="2"/>
      <c r="GY242" s="2"/>
      <c r="GZ242" s="2"/>
      <c r="HA242" s="2"/>
      <c r="HB242" s="2">
        <f t="shared" si="42"/>
        <v>0</v>
      </c>
      <c r="HC242" s="2">
        <f t="shared" si="43"/>
        <v>0</v>
      </c>
      <c r="HD242" s="2" t="s">
        <v>3</v>
      </c>
      <c r="HE242" s="2" t="s">
        <v>37</v>
      </c>
      <c r="HF242" s="2" t="s">
        <v>114</v>
      </c>
      <c r="HG242" s="2" t="s">
        <v>114</v>
      </c>
      <c r="HH242" s="2"/>
      <c r="HI242" s="2" t="s">
        <v>100</v>
      </c>
      <c r="HJ242" s="2" t="s">
        <v>3</v>
      </c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 t="s">
        <v>3</v>
      </c>
    </row>
    <row r="243" spans="1:268" ht="15.75" customHeight="1" x14ac:dyDescent="0.2">
      <c r="A243" s="13" t="s">
        <v>108</v>
      </c>
      <c r="B243" s="2" t="s">
        <v>109</v>
      </c>
      <c r="C243" s="2"/>
      <c r="D243" s="2"/>
      <c r="E243" s="2"/>
      <c r="F243" s="2" t="s">
        <v>110</v>
      </c>
      <c r="G243" s="2"/>
      <c r="H243" s="2" t="s">
        <v>111</v>
      </c>
      <c r="I243" s="2">
        <v>0</v>
      </c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>
        <v>0</v>
      </c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>
        <f>66.2-13*0.7</f>
        <v>57.1</v>
      </c>
      <c r="AZ243" s="2"/>
      <c r="BA243" s="2"/>
      <c r="BB243" s="2"/>
      <c r="BC243" s="2"/>
      <c r="BD243" s="2"/>
      <c r="BE243" s="2"/>
      <c r="BF243" s="2"/>
      <c r="BG243" s="2" t="s">
        <v>112</v>
      </c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>
        <v>0</v>
      </c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>
        <v>0</v>
      </c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 t="s">
        <v>100</v>
      </c>
      <c r="DK243" s="2"/>
      <c r="DL243" s="2">
        <f t="shared" si="3"/>
        <v>0.76999999999999991</v>
      </c>
      <c r="DM243" s="2">
        <f t="shared" si="4"/>
        <v>0</v>
      </c>
      <c r="DN243" s="2" t="s">
        <v>113</v>
      </c>
      <c r="DO243" s="2" t="s">
        <v>3</v>
      </c>
      <c r="DP243" s="2">
        <f t="shared" si="5"/>
        <v>0</v>
      </c>
      <c r="DQ243" s="2">
        <f t="shared" ref="DQ243:DR243" si="4095">K243*$I243+AF243*$AD243+BA243*$AY243</f>
        <v>0</v>
      </c>
      <c r="DR243" s="2">
        <f t="shared" si="4095"/>
        <v>0</v>
      </c>
      <c r="DS243" s="2">
        <f t="shared" ref="DS243:DX243" si="4096">(M243*$I243+AH243*$AD243+BC243*$AY243)/100</f>
        <v>0</v>
      </c>
      <c r="DT243" s="2">
        <f t="shared" si="4096"/>
        <v>0</v>
      </c>
      <c r="DU243" s="2">
        <f t="shared" si="4096"/>
        <v>0</v>
      </c>
      <c r="DV243" s="2">
        <f t="shared" si="4096"/>
        <v>0</v>
      </c>
      <c r="DW243" s="2">
        <f t="shared" si="4096"/>
        <v>0.43967000000000001</v>
      </c>
      <c r="DX243" s="2">
        <f t="shared" si="4096"/>
        <v>0</v>
      </c>
      <c r="DY243" s="2">
        <f t="shared" ref="DY243:EC243" si="4097">S243*$I243+AN243*$AD243+BI243*$AY243</f>
        <v>0</v>
      </c>
      <c r="DZ243" s="2">
        <f t="shared" si="4097"/>
        <v>0</v>
      </c>
      <c r="EA243" s="2">
        <f t="shared" si="4097"/>
        <v>0</v>
      </c>
      <c r="EB243" s="2">
        <f t="shared" si="4097"/>
        <v>0</v>
      </c>
      <c r="EC243" s="2">
        <f t="shared" si="4097"/>
        <v>0</v>
      </c>
      <c r="ED243" s="2">
        <f t="shared" ref="ED243:EE243" si="4098">(X243*$I243+AS243*$AD243+BN243*$AY243)/100</f>
        <v>0</v>
      </c>
      <c r="EE243" s="2">
        <f t="shared" si="4098"/>
        <v>0</v>
      </c>
      <c r="EF243" s="2"/>
      <c r="EG243" s="2">
        <f t="shared" si="10"/>
        <v>0</v>
      </c>
      <c r="EH243" s="2">
        <f t="shared" si="11"/>
        <v>0</v>
      </c>
      <c r="EI243" s="39">
        <f t="shared" si="12"/>
        <v>0</v>
      </c>
      <c r="EJ243" s="39">
        <f t="shared" ref="EJ243:EK243" si="4099">EJ$1*DQ243/1000000</f>
        <v>0</v>
      </c>
      <c r="EK243" s="39">
        <f t="shared" si="4099"/>
        <v>0</v>
      </c>
      <c r="EL243" s="39">
        <f t="shared" ref="EL243:EQ243" si="4100">EL$1*DS243</f>
        <v>0</v>
      </c>
      <c r="EM243" s="39">
        <f t="shared" si="4100"/>
        <v>0</v>
      </c>
      <c r="EN243" s="39">
        <f t="shared" si="4100"/>
        <v>0</v>
      </c>
      <c r="EO243" s="39">
        <f t="shared" si="4100"/>
        <v>0</v>
      </c>
      <c r="EP243" s="39">
        <f t="shared" si="4100"/>
        <v>5765.8323799999998</v>
      </c>
      <c r="EQ243" s="39">
        <f t="shared" si="4100"/>
        <v>0</v>
      </c>
      <c r="ER243" s="39">
        <f t="shared" ref="ER243:EV243" si="4101">ER$1*DY243/1000000</f>
        <v>0</v>
      </c>
      <c r="ES243" s="39">
        <f t="shared" si="4101"/>
        <v>0</v>
      </c>
      <c r="ET243" s="39">
        <f t="shared" si="4101"/>
        <v>0</v>
      </c>
      <c r="EU243" s="39">
        <f t="shared" si="4101"/>
        <v>0</v>
      </c>
      <c r="EV243" s="39">
        <f t="shared" si="4101"/>
        <v>0</v>
      </c>
      <c r="EW243" s="39">
        <f t="shared" ref="EW243:EX243" si="4102">EW$1*ED243</f>
        <v>0</v>
      </c>
      <c r="EX243" s="39">
        <f t="shared" si="4102"/>
        <v>0</v>
      </c>
      <c r="EY243" s="2"/>
      <c r="EZ243" s="39">
        <f t="shared" si="17"/>
        <v>0</v>
      </c>
      <c r="FA243" s="39">
        <f t="shared" si="18"/>
        <v>0</v>
      </c>
      <c r="FB243" s="2">
        <f t="shared" si="19"/>
        <v>0</v>
      </c>
      <c r="FC243" s="2">
        <f t="shared" ref="FC243:FD243" si="4103">BV243*$BT243+CQ243*$CO243</f>
        <v>0</v>
      </c>
      <c r="FD243" s="2">
        <f t="shared" si="4103"/>
        <v>0</v>
      </c>
      <c r="FE243" s="2">
        <f t="shared" ref="FE243:FJ243" si="4104">(BX243*$BT243+CS243*$CO243)/100</f>
        <v>0</v>
      </c>
      <c r="FF243" s="2">
        <f t="shared" si="4104"/>
        <v>0</v>
      </c>
      <c r="FG243" s="2">
        <f t="shared" si="4104"/>
        <v>0</v>
      </c>
      <c r="FH243" s="2">
        <f t="shared" si="4104"/>
        <v>0</v>
      </c>
      <c r="FI243" s="2">
        <f t="shared" si="4104"/>
        <v>0</v>
      </c>
      <c r="FJ243" s="2">
        <f t="shared" si="4104"/>
        <v>0</v>
      </c>
      <c r="FK243" s="2">
        <f t="shared" ref="FK243:FO243" si="4105">CD243*$BT243+CY243*$CO243</f>
        <v>0</v>
      </c>
      <c r="FL243" s="2">
        <f t="shared" si="4105"/>
        <v>0</v>
      </c>
      <c r="FM243" s="2">
        <f t="shared" si="4105"/>
        <v>0</v>
      </c>
      <c r="FN243" s="2">
        <f t="shared" si="4105"/>
        <v>0</v>
      </c>
      <c r="FO243" s="2">
        <f t="shared" si="4105"/>
        <v>0</v>
      </c>
      <c r="FP243" s="2">
        <f t="shared" ref="FP243:FQ243" si="4106">(CI243*$BT243+DD243*$CO243)/100</f>
        <v>0</v>
      </c>
      <c r="FQ243" s="2">
        <f t="shared" si="4106"/>
        <v>0</v>
      </c>
      <c r="FR243" s="2"/>
      <c r="FS243" s="2">
        <f t="shared" si="24"/>
        <v>0</v>
      </c>
      <c r="FT243" s="2">
        <f t="shared" si="25"/>
        <v>0</v>
      </c>
      <c r="FU243" s="39">
        <f t="shared" si="26"/>
        <v>0</v>
      </c>
      <c r="FV243" s="39">
        <f t="shared" ref="FV243:FW243" si="4107">FV$1*FC243/1000000</f>
        <v>0</v>
      </c>
      <c r="FW243" s="39">
        <f t="shared" si="4107"/>
        <v>0</v>
      </c>
      <c r="FX243" s="39">
        <f t="shared" ref="FX243:GC243" si="4108">FX$1*FE243</f>
        <v>0</v>
      </c>
      <c r="FY243" s="39">
        <f t="shared" si="4108"/>
        <v>0</v>
      </c>
      <c r="FZ243" s="39">
        <f t="shared" si="4108"/>
        <v>0</v>
      </c>
      <c r="GA243" s="39">
        <f t="shared" si="4108"/>
        <v>0</v>
      </c>
      <c r="GB243" s="39">
        <f t="shared" si="4108"/>
        <v>0</v>
      </c>
      <c r="GC243" s="39">
        <f t="shared" si="4108"/>
        <v>0</v>
      </c>
      <c r="GD243" s="39">
        <f t="shared" ref="GD243:GH243" si="4109">GD$1*FK243/1000000</f>
        <v>0</v>
      </c>
      <c r="GE243" s="39">
        <f t="shared" si="4109"/>
        <v>0</v>
      </c>
      <c r="GF243" s="39">
        <f t="shared" si="4109"/>
        <v>0</v>
      </c>
      <c r="GG243" s="39">
        <f t="shared" si="4109"/>
        <v>0</v>
      </c>
      <c r="GH243" s="39">
        <f t="shared" si="4109"/>
        <v>0</v>
      </c>
      <c r="GI243" s="39">
        <f t="shared" ref="GI243:GJ243" si="4110">GI$1*FP243</f>
        <v>0</v>
      </c>
      <c r="GJ243" s="39">
        <f t="shared" si="4110"/>
        <v>0</v>
      </c>
      <c r="GK243" s="2"/>
      <c r="GL243" s="39">
        <f t="shared" si="31"/>
        <v>0</v>
      </c>
      <c r="GM243" s="39">
        <f t="shared" si="32"/>
        <v>0</v>
      </c>
      <c r="GN243" s="2" t="s">
        <v>3</v>
      </c>
      <c r="GO243" s="2">
        <f t="shared" si="33"/>
        <v>57.1</v>
      </c>
      <c r="GP243" s="2">
        <f t="shared" si="34"/>
        <v>0.76999999999999991</v>
      </c>
      <c r="GQ243" s="15">
        <f t="shared" si="35"/>
        <v>439.6699999999999</v>
      </c>
      <c r="GR243" s="15">
        <f t="shared" si="36"/>
        <v>5765.8323799999998</v>
      </c>
      <c r="GS243" s="15">
        <f t="shared" si="37"/>
        <v>100.97779999999999</v>
      </c>
      <c r="GT243" s="2">
        <f t="shared" si="38"/>
        <v>0</v>
      </c>
      <c r="GU243" s="2">
        <f t="shared" si="39"/>
        <v>0</v>
      </c>
      <c r="GV243" s="2">
        <f t="shared" si="40"/>
        <v>439.67</v>
      </c>
      <c r="GW243" s="2">
        <f t="shared" si="41"/>
        <v>0</v>
      </c>
      <c r="GX243" s="2"/>
      <c r="GY243" s="2"/>
      <c r="GZ243" s="2"/>
      <c r="HA243" s="2"/>
      <c r="HB243" s="2">
        <f t="shared" si="42"/>
        <v>0</v>
      </c>
      <c r="HC243" s="2">
        <f t="shared" si="43"/>
        <v>0</v>
      </c>
      <c r="HD243" s="2" t="s">
        <v>3</v>
      </c>
      <c r="HE243" s="2" t="s">
        <v>37</v>
      </c>
      <c r="HF243" s="2" t="s">
        <v>114</v>
      </c>
      <c r="HG243" s="2" t="s">
        <v>114</v>
      </c>
      <c r="HH243" s="2"/>
      <c r="HI243" s="2" t="s">
        <v>100</v>
      </c>
      <c r="HJ243" s="2" t="s">
        <v>3</v>
      </c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  <c r="JE243" s="2"/>
      <c r="JF243" s="2"/>
      <c r="JG243" s="2"/>
      <c r="JH243" s="2" t="s">
        <v>3</v>
      </c>
    </row>
    <row r="244" spans="1:268" ht="15.75" customHeight="1" x14ac:dyDescent="0.2">
      <c r="A244" s="13" t="s">
        <v>455</v>
      </c>
      <c r="B244" s="2" t="s">
        <v>109</v>
      </c>
      <c r="C244" s="2"/>
      <c r="D244" s="2"/>
      <c r="E244" s="2"/>
      <c r="F244" s="2" t="s">
        <v>110</v>
      </c>
      <c r="G244" s="2"/>
      <c r="H244" s="2" t="s">
        <v>111</v>
      </c>
      <c r="I244" s="2">
        <v>0</v>
      </c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>
        <v>0</v>
      </c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15">
        <f>228.3-13*1.35</f>
        <v>210.75</v>
      </c>
      <c r="AZ244" s="2"/>
      <c r="BA244" s="2"/>
      <c r="BB244" s="2"/>
      <c r="BC244" s="2"/>
      <c r="BD244" s="2"/>
      <c r="BE244" s="2"/>
      <c r="BF244" s="2"/>
      <c r="BG244" s="2" t="s">
        <v>456</v>
      </c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>
        <v>0</v>
      </c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>
        <v>0</v>
      </c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 t="s">
        <v>100</v>
      </c>
      <c r="DK244" s="2"/>
      <c r="DL244" s="2">
        <f t="shared" si="3"/>
        <v>0.83</v>
      </c>
      <c r="DM244" s="2">
        <f t="shared" si="4"/>
        <v>0</v>
      </c>
      <c r="DN244" s="2" t="s">
        <v>113</v>
      </c>
      <c r="DO244" s="2" t="s">
        <v>3</v>
      </c>
      <c r="DP244" s="2">
        <f t="shared" si="5"/>
        <v>0</v>
      </c>
      <c r="DQ244" s="2">
        <f t="shared" ref="DQ244:DR244" si="4111">K244*$I244+AF244*$AD244+BA244*$AY244</f>
        <v>0</v>
      </c>
      <c r="DR244" s="2">
        <f t="shared" si="4111"/>
        <v>0</v>
      </c>
      <c r="DS244" s="2">
        <f t="shared" ref="DS244:DX244" si="4112">(M244*$I244+AH244*$AD244+BC244*$AY244)/100</f>
        <v>0</v>
      </c>
      <c r="DT244" s="2">
        <f t="shared" si="4112"/>
        <v>0</v>
      </c>
      <c r="DU244" s="2">
        <f t="shared" si="4112"/>
        <v>0</v>
      </c>
      <c r="DV244" s="2">
        <f t="shared" si="4112"/>
        <v>0</v>
      </c>
      <c r="DW244" s="2">
        <f t="shared" si="4112"/>
        <v>1.7492249999999998</v>
      </c>
      <c r="DX244" s="2">
        <f t="shared" si="4112"/>
        <v>0</v>
      </c>
      <c r="DY244" s="2">
        <f t="shared" ref="DY244:EC244" si="4113">S244*$I244+AN244*$AD244+BI244*$AY244</f>
        <v>0</v>
      </c>
      <c r="DZ244" s="2">
        <f t="shared" si="4113"/>
        <v>0</v>
      </c>
      <c r="EA244" s="2">
        <f t="shared" si="4113"/>
        <v>0</v>
      </c>
      <c r="EB244" s="2">
        <f t="shared" si="4113"/>
        <v>0</v>
      </c>
      <c r="EC244" s="2">
        <f t="shared" si="4113"/>
        <v>0</v>
      </c>
      <c r="ED244" s="2">
        <f t="shared" ref="ED244:EE244" si="4114">(X244*$I244+AS244*$AD244+BN244*$AY244)/100</f>
        <v>0</v>
      </c>
      <c r="EE244" s="2">
        <f t="shared" si="4114"/>
        <v>0</v>
      </c>
      <c r="EF244" s="2"/>
      <c r="EG244" s="2">
        <f t="shared" si="10"/>
        <v>0</v>
      </c>
      <c r="EH244" s="2">
        <f t="shared" si="11"/>
        <v>0</v>
      </c>
      <c r="EI244" s="39">
        <f t="shared" si="12"/>
        <v>0</v>
      </c>
      <c r="EJ244" s="39">
        <f t="shared" ref="EJ244:EK244" si="4115">EJ$1*DQ244/1000000</f>
        <v>0</v>
      </c>
      <c r="EK244" s="39">
        <f t="shared" si="4115"/>
        <v>0</v>
      </c>
      <c r="EL244" s="39">
        <f t="shared" ref="EL244:EQ244" si="4116">EL$1*DS244</f>
        <v>0</v>
      </c>
      <c r="EM244" s="39">
        <f t="shared" si="4116"/>
        <v>0</v>
      </c>
      <c r="EN244" s="39">
        <f t="shared" si="4116"/>
        <v>0</v>
      </c>
      <c r="EO244" s="39">
        <f t="shared" si="4116"/>
        <v>0</v>
      </c>
      <c r="EP244" s="39">
        <f t="shared" si="4116"/>
        <v>22939.336649999997</v>
      </c>
      <c r="EQ244" s="39">
        <f t="shared" si="4116"/>
        <v>0</v>
      </c>
      <c r="ER244" s="39">
        <f t="shared" ref="ER244:EV244" si="4117">ER$1*DY244/1000000</f>
        <v>0</v>
      </c>
      <c r="ES244" s="39">
        <f t="shared" si="4117"/>
        <v>0</v>
      </c>
      <c r="ET244" s="39">
        <f t="shared" si="4117"/>
        <v>0</v>
      </c>
      <c r="EU244" s="39">
        <f t="shared" si="4117"/>
        <v>0</v>
      </c>
      <c r="EV244" s="39">
        <f t="shared" si="4117"/>
        <v>0</v>
      </c>
      <c r="EW244" s="39">
        <f t="shared" ref="EW244:EX244" si="4118">EW$1*ED244</f>
        <v>0</v>
      </c>
      <c r="EX244" s="39">
        <f t="shared" si="4118"/>
        <v>0</v>
      </c>
      <c r="EY244" s="2"/>
      <c r="EZ244" s="39">
        <f t="shared" si="17"/>
        <v>0</v>
      </c>
      <c r="FA244" s="39">
        <f t="shared" si="18"/>
        <v>0</v>
      </c>
      <c r="FB244" s="2">
        <f t="shared" si="19"/>
        <v>0</v>
      </c>
      <c r="FC244" s="2">
        <f t="shared" ref="FC244:FD244" si="4119">BV244*$BT244+CQ244*$CO244</f>
        <v>0</v>
      </c>
      <c r="FD244" s="2">
        <f t="shared" si="4119"/>
        <v>0</v>
      </c>
      <c r="FE244" s="2">
        <f t="shared" ref="FE244:FJ244" si="4120">(BX244*$BT244+CS244*$CO244)/100</f>
        <v>0</v>
      </c>
      <c r="FF244" s="2">
        <f t="shared" si="4120"/>
        <v>0</v>
      </c>
      <c r="FG244" s="2">
        <f t="shared" si="4120"/>
        <v>0</v>
      </c>
      <c r="FH244" s="2">
        <f t="shared" si="4120"/>
        <v>0</v>
      </c>
      <c r="FI244" s="2">
        <f t="shared" si="4120"/>
        <v>0</v>
      </c>
      <c r="FJ244" s="2">
        <f t="shared" si="4120"/>
        <v>0</v>
      </c>
      <c r="FK244" s="2">
        <f t="shared" ref="FK244:FO244" si="4121">CD244*$BT244+CY244*$CO244</f>
        <v>0</v>
      </c>
      <c r="FL244" s="2">
        <f t="shared" si="4121"/>
        <v>0</v>
      </c>
      <c r="FM244" s="2">
        <f t="shared" si="4121"/>
        <v>0</v>
      </c>
      <c r="FN244" s="2">
        <f t="shared" si="4121"/>
        <v>0</v>
      </c>
      <c r="FO244" s="2">
        <f t="shared" si="4121"/>
        <v>0</v>
      </c>
      <c r="FP244" s="2">
        <f t="shared" ref="FP244:FQ244" si="4122">(CI244*$BT244+DD244*$CO244)/100</f>
        <v>0</v>
      </c>
      <c r="FQ244" s="2">
        <f t="shared" si="4122"/>
        <v>0</v>
      </c>
      <c r="FR244" s="2"/>
      <c r="FS244" s="2">
        <f t="shared" si="24"/>
        <v>0</v>
      </c>
      <c r="FT244" s="2">
        <f t="shared" si="25"/>
        <v>0</v>
      </c>
      <c r="FU244" s="39">
        <f t="shared" si="26"/>
        <v>0</v>
      </c>
      <c r="FV244" s="39">
        <f t="shared" ref="FV244:FW244" si="4123">FV$1*FC244/1000000</f>
        <v>0</v>
      </c>
      <c r="FW244" s="39">
        <f t="shared" si="4123"/>
        <v>0</v>
      </c>
      <c r="FX244" s="39">
        <f t="shared" ref="FX244:GC244" si="4124">FX$1*FE244</f>
        <v>0</v>
      </c>
      <c r="FY244" s="39">
        <f t="shared" si="4124"/>
        <v>0</v>
      </c>
      <c r="FZ244" s="39">
        <f t="shared" si="4124"/>
        <v>0</v>
      </c>
      <c r="GA244" s="39">
        <f t="shared" si="4124"/>
        <v>0</v>
      </c>
      <c r="GB244" s="39">
        <f t="shared" si="4124"/>
        <v>0</v>
      </c>
      <c r="GC244" s="39">
        <f t="shared" si="4124"/>
        <v>0</v>
      </c>
      <c r="GD244" s="39">
        <f t="shared" ref="GD244:GH244" si="4125">GD$1*FK244/1000000</f>
        <v>0</v>
      </c>
      <c r="GE244" s="39">
        <f t="shared" si="4125"/>
        <v>0</v>
      </c>
      <c r="GF244" s="39">
        <f t="shared" si="4125"/>
        <v>0</v>
      </c>
      <c r="GG244" s="39">
        <f t="shared" si="4125"/>
        <v>0</v>
      </c>
      <c r="GH244" s="39">
        <f t="shared" si="4125"/>
        <v>0</v>
      </c>
      <c r="GI244" s="39">
        <f t="shared" ref="GI244:GJ244" si="4126">GI$1*FP244</f>
        <v>0</v>
      </c>
      <c r="GJ244" s="39">
        <f t="shared" si="4126"/>
        <v>0</v>
      </c>
      <c r="GK244" s="2"/>
      <c r="GL244" s="39">
        <f t="shared" si="31"/>
        <v>0</v>
      </c>
      <c r="GM244" s="39">
        <f t="shared" si="32"/>
        <v>0</v>
      </c>
      <c r="GN244" s="2" t="s">
        <v>3</v>
      </c>
      <c r="GO244" s="15">
        <f t="shared" si="33"/>
        <v>210.75</v>
      </c>
      <c r="GP244" s="2">
        <f t="shared" si="34"/>
        <v>0.83</v>
      </c>
      <c r="GQ244" s="18">
        <f t="shared" si="35"/>
        <v>1749.2249999999999</v>
      </c>
      <c r="GR244" s="15">
        <f t="shared" si="36"/>
        <v>22939.336649999997</v>
      </c>
      <c r="GS244" s="15">
        <f t="shared" si="37"/>
        <v>108.84619999999998</v>
      </c>
      <c r="GT244" s="2">
        <f t="shared" si="38"/>
        <v>0</v>
      </c>
      <c r="GU244" s="2">
        <f t="shared" si="39"/>
        <v>0</v>
      </c>
      <c r="GV244" s="2">
        <f t="shared" si="40"/>
        <v>1749.2249999999997</v>
      </c>
      <c r="GW244" s="2">
        <f t="shared" si="41"/>
        <v>0</v>
      </c>
      <c r="GX244" s="2"/>
      <c r="GY244" s="2"/>
      <c r="GZ244" s="2"/>
      <c r="HA244" s="2"/>
      <c r="HB244" s="2">
        <f t="shared" si="42"/>
        <v>0</v>
      </c>
      <c r="HC244" s="2">
        <f t="shared" si="43"/>
        <v>0</v>
      </c>
      <c r="HD244" s="2" t="s">
        <v>3</v>
      </c>
      <c r="HE244" s="2" t="s">
        <v>37</v>
      </c>
      <c r="HF244" s="2" t="s">
        <v>114</v>
      </c>
      <c r="HG244" s="2" t="s">
        <v>114</v>
      </c>
      <c r="HH244" s="2"/>
      <c r="HI244" s="2" t="s">
        <v>100</v>
      </c>
      <c r="HJ244" s="2" t="s">
        <v>3</v>
      </c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 t="s">
        <v>3</v>
      </c>
    </row>
    <row r="245" spans="1:268" ht="15.75" customHeight="1" x14ac:dyDescent="0.2">
      <c r="A245" s="13" t="s">
        <v>618</v>
      </c>
      <c r="B245" s="2" t="s">
        <v>99</v>
      </c>
      <c r="C245" s="2"/>
      <c r="D245" s="2"/>
      <c r="E245" s="2"/>
      <c r="F245" s="2" t="s">
        <v>232</v>
      </c>
      <c r="G245" s="2"/>
      <c r="H245" s="2"/>
      <c r="I245" s="2">
        <v>0</v>
      </c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>
        <v>0</v>
      </c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>
        <v>40.880000000000003</v>
      </c>
      <c r="AZ245" s="2"/>
      <c r="BA245" s="2"/>
      <c r="BB245" s="2"/>
      <c r="BC245" s="2"/>
      <c r="BD245" s="2"/>
      <c r="BE245" s="2"/>
      <c r="BF245" s="2"/>
      <c r="BG245" s="2" t="s">
        <v>619</v>
      </c>
      <c r="BH245" s="2" t="s">
        <v>620</v>
      </c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>
        <v>0</v>
      </c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>
        <v>0</v>
      </c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 t="s">
        <v>100</v>
      </c>
      <c r="DK245" s="2" t="s">
        <v>100</v>
      </c>
      <c r="DL245" s="2">
        <f t="shared" si="3"/>
        <v>0.79999999999999993</v>
      </c>
      <c r="DM245" s="2">
        <f t="shared" si="4"/>
        <v>0.08</v>
      </c>
      <c r="DN245" s="2" t="s">
        <v>113</v>
      </c>
      <c r="DO245" s="2" t="s">
        <v>3</v>
      </c>
      <c r="DP245" s="2">
        <f t="shared" si="5"/>
        <v>0</v>
      </c>
      <c r="DQ245" s="2">
        <f t="shared" ref="DQ245:DR245" si="4127">K245*$I245+AF245*$AD245+BA245*$AY245</f>
        <v>0</v>
      </c>
      <c r="DR245" s="2">
        <f t="shared" si="4127"/>
        <v>0</v>
      </c>
      <c r="DS245" s="2">
        <f t="shared" ref="DS245:DX245" si="4128">(M245*$I245+AH245*$AD245+BC245*$AY245)/100</f>
        <v>0</v>
      </c>
      <c r="DT245" s="2">
        <f t="shared" si="4128"/>
        <v>0</v>
      </c>
      <c r="DU245" s="2">
        <f t="shared" si="4128"/>
        <v>0</v>
      </c>
      <c r="DV245" s="2">
        <f t="shared" si="4128"/>
        <v>0</v>
      </c>
      <c r="DW245" s="2">
        <f t="shared" si="4128"/>
        <v>0.32704</v>
      </c>
      <c r="DX245" s="2">
        <f t="shared" si="4128"/>
        <v>3.2704000000000004E-2</v>
      </c>
      <c r="DY245" s="2">
        <f t="shared" ref="DY245:EC245" si="4129">S245*$I245+AN245*$AD245+BI245*$AY245</f>
        <v>0</v>
      </c>
      <c r="DZ245" s="2">
        <f t="shared" si="4129"/>
        <v>0</v>
      </c>
      <c r="EA245" s="2">
        <f t="shared" si="4129"/>
        <v>0</v>
      </c>
      <c r="EB245" s="2">
        <f t="shared" si="4129"/>
        <v>0</v>
      </c>
      <c r="EC245" s="2">
        <f t="shared" si="4129"/>
        <v>0</v>
      </c>
      <c r="ED245" s="2">
        <f t="shared" ref="ED245:EE245" si="4130">(X245*$I245+AS245*$AD245+BN245*$AY245)/100</f>
        <v>0</v>
      </c>
      <c r="EE245" s="2">
        <f t="shared" si="4130"/>
        <v>0</v>
      </c>
      <c r="EF245" s="2"/>
      <c r="EG245" s="2">
        <f t="shared" si="10"/>
        <v>0</v>
      </c>
      <c r="EH245" s="2">
        <f t="shared" si="11"/>
        <v>0</v>
      </c>
      <c r="EI245" s="39">
        <f t="shared" si="12"/>
        <v>0</v>
      </c>
      <c r="EJ245" s="39">
        <f t="shared" ref="EJ245:EK245" si="4131">EJ$1*DQ245/1000000</f>
        <v>0</v>
      </c>
      <c r="EK245" s="39">
        <f t="shared" si="4131"/>
        <v>0</v>
      </c>
      <c r="EL245" s="39">
        <f t="shared" ref="EL245:EQ245" si="4132">EL$1*DS245</f>
        <v>0</v>
      </c>
      <c r="EM245" s="39">
        <f t="shared" si="4132"/>
        <v>0</v>
      </c>
      <c r="EN245" s="39">
        <f t="shared" si="4132"/>
        <v>0</v>
      </c>
      <c r="EO245" s="39">
        <f t="shared" si="4132"/>
        <v>0</v>
      </c>
      <c r="EP245" s="39">
        <f t="shared" si="4132"/>
        <v>4288.8025600000001</v>
      </c>
      <c r="EQ245" s="39">
        <f t="shared" si="4132"/>
        <v>2374.9489128959999</v>
      </c>
      <c r="ER245" s="39">
        <f t="shared" ref="ER245:EV245" si="4133">ER$1*DY245/1000000</f>
        <v>0</v>
      </c>
      <c r="ES245" s="39">
        <f t="shared" si="4133"/>
        <v>0</v>
      </c>
      <c r="ET245" s="39">
        <f t="shared" si="4133"/>
        <v>0</v>
      </c>
      <c r="EU245" s="39">
        <f t="shared" si="4133"/>
        <v>0</v>
      </c>
      <c r="EV245" s="39">
        <f t="shared" si="4133"/>
        <v>0</v>
      </c>
      <c r="EW245" s="39">
        <f t="shared" ref="EW245:EX245" si="4134">EW$1*ED245</f>
        <v>0</v>
      </c>
      <c r="EX245" s="39">
        <f t="shared" si="4134"/>
        <v>0</v>
      </c>
      <c r="EY245" s="2"/>
      <c r="EZ245" s="39">
        <f t="shared" si="17"/>
        <v>0</v>
      </c>
      <c r="FA245" s="39">
        <f t="shared" si="18"/>
        <v>0</v>
      </c>
      <c r="FB245" s="2">
        <f t="shared" si="19"/>
        <v>0</v>
      </c>
      <c r="FC245" s="2">
        <f t="shared" ref="FC245:FD245" si="4135">BV245*$BT245+CQ245*$CO245</f>
        <v>0</v>
      </c>
      <c r="FD245" s="2">
        <f t="shared" si="4135"/>
        <v>0</v>
      </c>
      <c r="FE245" s="2">
        <f t="shared" ref="FE245:FJ245" si="4136">(BX245*$BT245+CS245*$CO245)/100</f>
        <v>0</v>
      </c>
      <c r="FF245" s="2">
        <f t="shared" si="4136"/>
        <v>0</v>
      </c>
      <c r="FG245" s="2">
        <f t="shared" si="4136"/>
        <v>0</v>
      </c>
      <c r="FH245" s="2">
        <f t="shared" si="4136"/>
        <v>0</v>
      </c>
      <c r="FI245" s="2">
        <f t="shared" si="4136"/>
        <v>0</v>
      </c>
      <c r="FJ245" s="2">
        <f t="shared" si="4136"/>
        <v>0</v>
      </c>
      <c r="FK245" s="2">
        <f t="shared" ref="FK245:FO245" si="4137">CD245*$BT245+CY245*$CO245</f>
        <v>0</v>
      </c>
      <c r="FL245" s="2">
        <f t="shared" si="4137"/>
        <v>0</v>
      </c>
      <c r="FM245" s="2">
        <f t="shared" si="4137"/>
        <v>0</v>
      </c>
      <c r="FN245" s="2">
        <f t="shared" si="4137"/>
        <v>0</v>
      </c>
      <c r="FO245" s="2">
        <f t="shared" si="4137"/>
        <v>0</v>
      </c>
      <c r="FP245" s="2">
        <f t="shared" ref="FP245:FQ245" si="4138">(CI245*$BT245+DD245*$CO245)/100</f>
        <v>0</v>
      </c>
      <c r="FQ245" s="2">
        <f t="shared" si="4138"/>
        <v>0</v>
      </c>
      <c r="FR245" s="2"/>
      <c r="FS245" s="2">
        <f t="shared" si="24"/>
        <v>0</v>
      </c>
      <c r="FT245" s="2">
        <f t="shared" si="25"/>
        <v>0</v>
      </c>
      <c r="FU245" s="39">
        <f t="shared" si="26"/>
        <v>0</v>
      </c>
      <c r="FV245" s="39">
        <f t="shared" ref="FV245:FW245" si="4139">FV$1*FC245/1000000</f>
        <v>0</v>
      </c>
      <c r="FW245" s="39">
        <f t="shared" si="4139"/>
        <v>0</v>
      </c>
      <c r="FX245" s="39">
        <f t="shared" ref="FX245:GC245" si="4140">FX$1*FE245</f>
        <v>0</v>
      </c>
      <c r="FY245" s="39">
        <f t="shared" si="4140"/>
        <v>0</v>
      </c>
      <c r="FZ245" s="39">
        <f t="shared" si="4140"/>
        <v>0</v>
      </c>
      <c r="GA245" s="39">
        <f t="shared" si="4140"/>
        <v>0</v>
      </c>
      <c r="GB245" s="39">
        <f t="shared" si="4140"/>
        <v>0</v>
      </c>
      <c r="GC245" s="39">
        <f t="shared" si="4140"/>
        <v>0</v>
      </c>
      <c r="GD245" s="39">
        <f t="shared" ref="GD245:GH245" si="4141">GD$1*FK245/1000000</f>
        <v>0</v>
      </c>
      <c r="GE245" s="39">
        <f t="shared" si="4141"/>
        <v>0</v>
      </c>
      <c r="GF245" s="39">
        <f t="shared" si="4141"/>
        <v>0</v>
      </c>
      <c r="GG245" s="39">
        <f t="shared" si="4141"/>
        <v>0</v>
      </c>
      <c r="GH245" s="39">
        <f t="shared" si="4141"/>
        <v>0</v>
      </c>
      <c r="GI245" s="39">
        <f t="shared" ref="GI245:GJ245" si="4142">GI$1*FP245</f>
        <v>0</v>
      </c>
      <c r="GJ245" s="39">
        <f t="shared" si="4142"/>
        <v>0</v>
      </c>
      <c r="GK245" s="2"/>
      <c r="GL245" s="39">
        <f t="shared" si="31"/>
        <v>0</v>
      </c>
      <c r="GM245" s="39">
        <f t="shared" si="32"/>
        <v>0</v>
      </c>
      <c r="GN245" s="2" t="s">
        <v>3</v>
      </c>
      <c r="GO245" s="2">
        <f t="shared" si="33"/>
        <v>40.880000000000003</v>
      </c>
      <c r="GP245" s="2">
        <f t="shared" si="34"/>
        <v>0.79999999999999993</v>
      </c>
      <c r="GQ245" s="15">
        <f t="shared" si="35"/>
        <v>327.03999999999996</v>
      </c>
      <c r="GR245" s="15">
        <f t="shared" si="36"/>
        <v>6663.7514728959995</v>
      </c>
      <c r="GS245" s="15">
        <f t="shared" si="37"/>
        <v>163.00761919999997</v>
      </c>
      <c r="GT245" s="2">
        <f t="shared" si="38"/>
        <v>0</v>
      </c>
      <c r="GU245" s="2">
        <f t="shared" si="39"/>
        <v>0</v>
      </c>
      <c r="GV245" s="2">
        <f t="shared" si="40"/>
        <v>327.04000000000002</v>
      </c>
      <c r="GW245" s="2">
        <f t="shared" si="41"/>
        <v>0</v>
      </c>
      <c r="GX245" s="2"/>
      <c r="GY245" s="2"/>
      <c r="GZ245" s="2"/>
      <c r="HA245" s="2"/>
      <c r="HB245" s="2">
        <f t="shared" si="42"/>
        <v>0</v>
      </c>
      <c r="HC245" s="2">
        <f t="shared" si="43"/>
        <v>0</v>
      </c>
      <c r="HD245" s="2" t="s">
        <v>3</v>
      </c>
      <c r="HE245" s="2" t="s">
        <v>37</v>
      </c>
      <c r="HF245" s="2" t="s">
        <v>114</v>
      </c>
      <c r="HG245" s="2" t="s">
        <v>114</v>
      </c>
      <c r="HH245" s="2"/>
      <c r="HI245" s="2" t="s">
        <v>100</v>
      </c>
      <c r="HJ245" s="2" t="s">
        <v>3</v>
      </c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/>
      <c r="JF245" s="2"/>
      <c r="JG245" s="2"/>
      <c r="JH245" s="2" t="s">
        <v>3</v>
      </c>
    </row>
    <row r="246" spans="1:268" ht="15.75" customHeight="1" x14ac:dyDescent="0.2">
      <c r="A246" s="13" t="s">
        <v>548</v>
      </c>
      <c r="B246" s="2" t="s">
        <v>99</v>
      </c>
      <c r="C246" s="2"/>
      <c r="D246" s="2"/>
      <c r="E246" s="2"/>
      <c r="F246" s="2" t="s">
        <v>79</v>
      </c>
      <c r="G246" s="2"/>
      <c r="H246" s="2"/>
      <c r="I246" s="2">
        <v>0</v>
      </c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>
        <v>0</v>
      </c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>
        <v>150</v>
      </c>
      <c r="AZ246" s="2"/>
      <c r="BA246" s="2"/>
      <c r="BB246" s="2"/>
      <c r="BC246" s="2"/>
      <c r="BD246" s="2"/>
      <c r="BE246" s="2"/>
      <c r="BF246" s="2"/>
      <c r="BG246" s="2">
        <v>0.7</v>
      </c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>
        <v>0</v>
      </c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>
        <v>0</v>
      </c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 t="s">
        <v>100</v>
      </c>
      <c r="DK246" s="2"/>
      <c r="DL246" s="2">
        <f t="shared" si="3"/>
        <v>0.7</v>
      </c>
      <c r="DM246" s="2">
        <f t="shared" si="4"/>
        <v>0</v>
      </c>
      <c r="DN246" s="2" t="s">
        <v>485</v>
      </c>
      <c r="DO246" s="2" t="s">
        <v>3</v>
      </c>
      <c r="DP246" s="2">
        <f t="shared" si="5"/>
        <v>0</v>
      </c>
      <c r="DQ246" s="2">
        <f t="shared" ref="DQ246:DR246" si="4143">K246*$I246+AF246*$AD246+BA246*$AY246</f>
        <v>0</v>
      </c>
      <c r="DR246" s="2">
        <f t="shared" si="4143"/>
        <v>0</v>
      </c>
      <c r="DS246" s="2">
        <f t="shared" ref="DS246:DX246" si="4144">(M246*$I246+AH246*$AD246+BC246*$AY246)/100</f>
        <v>0</v>
      </c>
      <c r="DT246" s="2">
        <f t="shared" si="4144"/>
        <v>0</v>
      </c>
      <c r="DU246" s="2">
        <f t="shared" si="4144"/>
        <v>0</v>
      </c>
      <c r="DV246" s="2">
        <f t="shared" si="4144"/>
        <v>0</v>
      </c>
      <c r="DW246" s="2">
        <f t="shared" si="4144"/>
        <v>1.05</v>
      </c>
      <c r="DX246" s="2">
        <f t="shared" si="4144"/>
        <v>0</v>
      </c>
      <c r="DY246" s="2">
        <f t="shared" ref="DY246:EC246" si="4145">S246*$I246+AN246*$AD246+BI246*$AY246</f>
        <v>0</v>
      </c>
      <c r="DZ246" s="2">
        <f t="shared" si="4145"/>
        <v>0</v>
      </c>
      <c r="EA246" s="2">
        <f t="shared" si="4145"/>
        <v>0</v>
      </c>
      <c r="EB246" s="2">
        <f t="shared" si="4145"/>
        <v>0</v>
      </c>
      <c r="EC246" s="2">
        <f t="shared" si="4145"/>
        <v>0</v>
      </c>
      <c r="ED246" s="2">
        <f t="shared" ref="ED246:EE246" si="4146">(X246*$I246+AS246*$AD246+BN246*$AY246)/100</f>
        <v>0</v>
      </c>
      <c r="EE246" s="2">
        <f t="shared" si="4146"/>
        <v>0</v>
      </c>
      <c r="EF246" s="2"/>
      <c r="EG246" s="2">
        <f t="shared" si="10"/>
        <v>0</v>
      </c>
      <c r="EH246" s="2">
        <f t="shared" si="11"/>
        <v>0</v>
      </c>
      <c r="EI246" s="39">
        <f t="shared" si="12"/>
        <v>0</v>
      </c>
      <c r="EJ246" s="39">
        <f t="shared" ref="EJ246:EK246" si="4147">EJ$1*DQ246/1000000</f>
        <v>0</v>
      </c>
      <c r="EK246" s="39">
        <f t="shared" si="4147"/>
        <v>0</v>
      </c>
      <c r="EL246" s="39">
        <f t="shared" ref="EL246:EQ246" si="4148">EL$1*DS246</f>
        <v>0</v>
      </c>
      <c r="EM246" s="39">
        <f t="shared" si="4148"/>
        <v>0</v>
      </c>
      <c r="EN246" s="39">
        <f t="shared" si="4148"/>
        <v>0</v>
      </c>
      <c r="EO246" s="39">
        <f t="shared" si="4148"/>
        <v>0</v>
      </c>
      <c r="EP246" s="39">
        <f t="shared" si="4148"/>
        <v>13769.7</v>
      </c>
      <c r="EQ246" s="39">
        <f t="shared" si="4148"/>
        <v>0</v>
      </c>
      <c r="ER246" s="39">
        <f t="shared" ref="ER246:EV246" si="4149">ER$1*DY246/1000000</f>
        <v>0</v>
      </c>
      <c r="ES246" s="39">
        <f t="shared" si="4149"/>
        <v>0</v>
      </c>
      <c r="ET246" s="39">
        <f t="shared" si="4149"/>
        <v>0</v>
      </c>
      <c r="EU246" s="39">
        <f t="shared" si="4149"/>
        <v>0</v>
      </c>
      <c r="EV246" s="39">
        <f t="shared" si="4149"/>
        <v>0</v>
      </c>
      <c r="EW246" s="39">
        <f t="shared" ref="EW246:EX246" si="4150">EW$1*ED246</f>
        <v>0</v>
      </c>
      <c r="EX246" s="39">
        <f t="shared" si="4150"/>
        <v>0</v>
      </c>
      <c r="EY246" s="2"/>
      <c r="EZ246" s="39">
        <f t="shared" si="17"/>
        <v>0</v>
      </c>
      <c r="FA246" s="39">
        <f t="shared" si="18"/>
        <v>0</v>
      </c>
      <c r="FB246" s="2">
        <f t="shared" si="19"/>
        <v>0</v>
      </c>
      <c r="FC246" s="2">
        <f t="shared" ref="FC246:FD246" si="4151">BV246*$BT246+CQ246*$CO246</f>
        <v>0</v>
      </c>
      <c r="FD246" s="2">
        <f t="shared" si="4151"/>
        <v>0</v>
      </c>
      <c r="FE246" s="2">
        <f t="shared" ref="FE246:FJ246" si="4152">(BX246*$BT246+CS246*$CO246)/100</f>
        <v>0</v>
      </c>
      <c r="FF246" s="2">
        <f t="shared" si="4152"/>
        <v>0</v>
      </c>
      <c r="FG246" s="2">
        <f t="shared" si="4152"/>
        <v>0</v>
      </c>
      <c r="FH246" s="2">
        <f t="shared" si="4152"/>
        <v>0</v>
      </c>
      <c r="FI246" s="2">
        <f t="shared" si="4152"/>
        <v>0</v>
      </c>
      <c r="FJ246" s="2">
        <f t="shared" si="4152"/>
        <v>0</v>
      </c>
      <c r="FK246" s="2">
        <f t="shared" ref="FK246:FO246" si="4153">CD246*$BT246+CY246*$CO246</f>
        <v>0</v>
      </c>
      <c r="FL246" s="2">
        <f t="shared" si="4153"/>
        <v>0</v>
      </c>
      <c r="FM246" s="2">
        <f t="shared" si="4153"/>
        <v>0</v>
      </c>
      <c r="FN246" s="2">
        <f t="shared" si="4153"/>
        <v>0</v>
      </c>
      <c r="FO246" s="2">
        <f t="shared" si="4153"/>
        <v>0</v>
      </c>
      <c r="FP246" s="2">
        <f t="shared" ref="FP246:FQ246" si="4154">(CI246*$BT246+DD246*$CO246)/100</f>
        <v>0</v>
      </c>
      <c r="FQ246" s="2">
        <f t="shared" si="4154"/>
        <v>0</v>
      </c>
      <c r="FR246" s="2"/>
      <c r="FS246" s="2">
        <f t="shared" si="24"/>
        <v>0</v>
      </c>
      <c r="FT246" s="2">
        <f t="shared" si="25"/>
        <v>0</v>
      </c>
      <c r="FU246" s="39">
        <f t="shared" si="26"/>
        <v>0</v>
      </c>
      <c r="FV246" s="39">
        <f t="shared" ref="FV246:FW246" si="4155">FV$1*FC246/1000000</f>
        <v>0</v>
      </c>
      <c r="FW246" s="39">
        <f t="shared" si="4155"/>
        <v>0</v>
      </c>
      <c r="FX246" s="39">
        <f t="shared" ref="FX246:GC246" si="4156">FX$1*FE246</f>
        <v>0</v>
      </c>
      <c r="FY246" s="39">
        <f t="shared" si="4156"/>
        <v>0</v>
      </c>
      <c r="FZ246" s="39">
        <f t="shared" si="4156"/>
        <v>0</v>
      </c>
      <c r="GA246" s="39">
        <f t="shared" si="4156"/>
        <v>0</v>
      </c>
      <c r="GB246" s="39">
        <f t="shared" si="4156"/>
        <v>0</v>
      </c>
      <c r="GC246" s="39">
        <f t="shared" si="4156"/>
        <v>0</v>
      </c>
      <c r="GD246" s="39">
        <f t="shared" ref="GD246:GH246" si="4157">GD$1*FK246/1000000</f>
        <v>0</v>
      </c>
      <c r="GE246" s="39">
        <f t="shared" si="4157"/>
        <v>0</v>
      </c>
      <c r="GF246" s="39">
        <f t="shared" si="4157"/>
        <v>0</v>
      </c>
      <c r="GG246" s="39">
        <f t="shared" si="4157"/>
        <v>0</v>
      </c>
      <c r="GH246" s="39">
        <f t="shared" si="4157"/>
        <v>0</v>
      </c>
      <c r="GI246" s="39">
        <f t="shared" ref="GI246:GJ246" si="4158">GI$1*FP246</f>
        <v>0</v>
      </c>
      <c r="GJ246" s="39">
        <f t="shared" si="4158"/>
        <v>0</v>
      </c>
      <c r="GK246" s="2"/>
      <c r="GL246" s="39">
        <f t="shared" si="31"/>
        <v>0</v>
      </c>
      <c r="GM246" s="39">
        <f t="shared" si="32"/>
        <v>0</v>
      </c>
      <c r="GN246" s="2" t="s">
        <v>3</v>
      </c>
      <c r="GO246" s="2">
        <f t="shared" si="33"/>
        <v>150</v>
      </c>
      <c r="GP246" s="2">
        <f t="shared" si="34"/>
        <v>0.7</v>
      </c>
      <c r="GQ246" s="18">
        <f t="shared" si="35"/>
        <v>1050</v>
      </c>
      <c r="GR246" s="15">
        <f t="shared" si="36"/>
        <v>13769.7</v>
      </c>
      <c r="GS246" s="15">
        <f t="shared" si="37"/>
        <v>91.798000000000002</v>
      </c>
      <c r="GT246" s="2">
        <f t="shared" si="38"/>
        <v>0</v>
      </c>
      <c r="GU246" s="2">
        <f t="shared" si="39"/>
        <v>0</v>
      </c>
      <c r="GV246" s="2">
        <f t="shared" si="40"/>
        <v>1050</v>
      </c>
      <c r="GW246" s="2">
        <f t="shared" si="41"/>
        <v>0</v>
      </c>
      <c r="GX246" s="2"/>
      <c r="GY246" s="2"/>
      <c r="GZ246" s="2"/>
      <c r="HA246" s="2"/>
      <c r="HB246" s="2">
        <f t="shared" si="42"/>
        <v>0</v>
      </c>
      <c r="HC246" s="2">
        <f t="shared" si="43"/>
        <v>0</v>
      </c>
      <c r="HD246" s="2" t="s">
        <v>3</v>
      </c>
      <c r="HE246" s="2" t="s">
        <v>37</v>
      </c>
      <c r="HF246" s="2" t="s">
        <v>114</v>
      </c>
      <c r="HG246" s="2" t="s">
        <v>114</v>
      </c>
      <c r="HH246" s="2"/>
      <c r="HI246" s="2" t="s">
        <v>100</v>
      </c>
      <c r="HJ246" s="2" t="s">
        <v>3</v>
      </c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  <c r="JE246" s="2"/>
      <c r="JF246" s="2"/>
      <c r="JG246" s="2"/>
      <c r="JH246" s="2" t="s">
        <v>3</v>
      </c>
    </row>
    <row r="247" spans="1:268" ht="15.75" customHeight="1" x14ac:dyDescent="0.2">
      <c r="A247" s="13" t="s">
        <v>1328</v>
      </c>
      <c r="B247" s="2" t="s">
        <v>99</v>
      </c>
      <c r="C247" s="2"/>
      <c r="D247" s="2"/>
      <c r="E247" s="2" t="s">
        <v>78</v>
      </c>
      <c r="F247" s="2" t="s">
        <v>79</v>
      </c>
      <c r="G247" s="2"/>
      <c r="H247" s="2" t="s">
        <v>141</v>
      </c>
      <c r="I247" s="2">
        <v>0</v>
      </c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>
        <v>0</v>
      </c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>
        <v>23</v>
      </c>
      <c r="AZ247" s="2"/>
      <c r="BA247" s="2"/>
      <c r="BB247" s="2"/>
      <c r="BC247" s="2"/>
      <c r="BD247" s="2"/>
      <c r="BE247" s="2"/>
      <c r="BF247" s="2"/>
      <c r="BG247" s="2">
        <v>1.75</v>
      </c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>
        <v>0</v>
      </c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>
        <v>0</v>
      </c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 t="s">
        <v>100</v>
      </c>
      <c r="DK247" s="2"/>
      <c r="DL247" s="2">
        <f t="shared" si="3"/>
        <v>1.75</v>
      </c>
      <c r="DM247" s="2">
        <f t="shared" si="4"/>
        <v>0</v>
      </c>
      <c r="DN247" s="2" t="s">
        <v>317</v>
      </c>
      <c r="DO247" s="2" t="s">
        <v>3</v>
      </c>
      <c r="DP247" s="2">
        <f t="shared" si="5"/>
        <v>0</v>
      </c>
      <c r="DQ247" s="2">
        <f t="shared" ref="DQ247:DR247" si="4159">K247*$I247+AF247*$AD247+BA247*$AY247</f>
        <v>0</v>
      </c>
      <c r="DR247" s="2">
        <f t="shared" si="4159"/>
        <v>0</v>
      </c>
      <c r="DS247" s="2">
        <f t="shared" ref="DS247:DX247" si="4160">(M247*$I247+AH247*$AD247+BC247*$AY247)/100</f>
        <v>0</v>
      </c>
      <c r="DT247" s="2">
        <f t="shared" si="4160"/>
        <v>0</v>
      </c>
      <c r="DU247" s="2">
        <f t="shared" si="4160"/>
        <v>0</v>
      </c>
      <c r="DV247" s="2">
        <f t="shared" si="4160"/>
        <v>0</v>
      </c>
      <c r="DW247" s="2">
        <f t="shared" si="4160"/>
        <v>0.40250000000000002</v>
      </c>
      <c r="DX247" s="2">
        <f t="shared" si="4160"/>
        <v>0</v>
      </c>
      <c r="DY247" s="2">
        <f t="shared" ref="DY247:EC247" si="4161">S247*$I247+AN247*$AD247+BI247*$AY247</f>
        <v>0</v>
      </c>
      <c r="DZ247" s="2">
        <f t="shared" si="4161"/>
        <v>0</v>
      </c>
      <c r="EA247" s="2">
        <f t="shared" si="4161"/>
        <v>0</v>
      </c>
      <c r="EB247" s="2">
        <f t="shared" si="4161"/>
        <v>0</v>
      </c>
      <c r="EC247" s="2">
        <f t="shared" si="4161"/>
        <v>0</v>
      </c>
      <c r="ED247" s="2">
        <f t="shared" ref="ED247:EE247" si="4162">(X247*$I247+AS247*$AD247+BN247*$AY247)/100</f>
        <v>0</v>
      </c>
      <c r="EE247" s="2">
        <f t="shared" si="4162"/>
        <v>0</v>
      </c>
      <c r="EF247" s="2"/>
      <c r="EG247" s="2">
        <f t="shared" si="10"/>
        <v>0</v>
      </c>
      <c r="EH247" s="2">
        <f t="shared" si="11"/>
        <v>0</v>
      </c>
      <c r="EI247" s="39">
        <f t="shared" si="12"/>
        <v>0</v>
      </c>
      <c r="EJ247" s="39">
        <f t="shared" ref="EJ247:EK247" si="4163">EJ$1*DQ247/1000000</f>
        <v>0</v>
      </c>
      <c r="EK247" s="39">
        <f t="shared" si="4163"/>
        <v>0</v>
      </c>
      <c r="EL247" s="39">
        <f t="shared" ref="EL247:EQ247" si="4164">EL$1*DS247</f>
        <v>0</v>
      </c>
      <c r="EM247" s="39">
        <f t="shared" si="4164"/>
        <v>0</v>
      </c>
      <c r="EN247" s="39">
        <f t="shared" si="4164"/>
        <v>0</v>
      </c>
      <c r="EO247" s="39">
        <f t="shared" si="4164"/>
        <v>0</v>
      </c>
      <c r="EP247" s="39">
        <f t="shared" si="4164"/>
        <v>5278.3850000000002</v>
      </c>
      <c r="EQ247" s="39">
        <f t="shared" si="4164"/>
        <v>0</v>
      </c>
      <c r="ER247" s="39">
        <f t="shared" ref="ER247:EV247" si="4165">ER$1*DY247/1000000</f>
        <v>0</v>
      </c>
      <c r="ES247" s="39">
        <f t="shared" si="4165"/>
        <v>0</v>
      </c>
      <c r="ET247" s="39">
        <f t="shared" si="4165"/>
        <v>0</v>
      </c>
      <c r="EU247" s="39">
        <f t="shared" si="4165"/>
        <v>0</v>
      </c>
      <c r="EV247" s="39">
        <f t="shared" si="4165"/>
        <v>0</v>
      </c>
      <c r="EW247" s="39">
        <f t="shared" ref="EW247:EX247" si="4166">EW$1*ED247</f>
        <v>0</v>
      </c>
      <c r="EX247" s="39">
        <f t="shared" si="4166"/>
        <v>0</v>
      </c>
      <c r="EY247" s="2"/>
      <c r="EZ247" s="39">
        <f t="shared" si="17"/>
        <v>0</v>
      </c>
      <c r="FA247" s="39">
        <f t="shared" si="18"/>
        <v>0</v>
      </c>
      <c r="FB247" s="2">
        <f t="shared" si="19"/>
        <v>0</v>
      </c>
      <c r="FC247" s="2">
        <f t="shared" ref="FC247:FD247" si="4167">BV247*$BT247+CQ247*$CO247</f>
        <v>0</v>
      </c>
      <c r="FD247" s="2">
        <f t="shared" si="4167"/>
        <v>0</v>
      </c>
      <c r="FE247" s="2">
        <f t="shared" ref="FE247:FJ247" si="4168">(BX247*$BT247+CS247*$CO247)/100</f>
        <v>0</v>
      </c>
      <c r="FF247" s="2">
        <f t="shared" si="4168"/>
        <v>0</v>
      </c>
      <c r="FG247" s="2">
        <f t="shared" si="4168"/>
        <v>0</v>
      </c>
      <c r="FH247" s="2">
        <f t="shared" si="4168"/>
        <v>0</v>
      </c>
      <c r="FI247" s="2">
        <f t="shared" si="4168"/>
        <v>0</v>
      </c>
      <c r="FJ247" s="2">
        <f t="shared" si="4168"/>
        <v>0</v>
      </c>
      <c r="FK247" s="2">
        <f t="shared" ref="FK247:FO247" si="4169">CD247*$BT247+CY247*$CO247</f>
        <v>0</v>
      </c>
      <c r="FL247" s="2">
        <f t="shared" si="4169"/>
        <v>0</v>
      </c>
      <c r="FM247" s="2">
        <f t="shared" si="4169"/>
        <v>0</v>
      </c>
      <c r="FN247" s="2">
        <f t="shared" si="4169"/>
        <v>0</v>
      </c>
      <c r="FO247" s="2">
        <f t="shared" si="4169"/>
        <v>0</v>
      </c>
      <c r="FP247" s="2">
        <f t="shared" ref="FP247:FQ247" si="4170">(CI247*$BT247+DD247*$CO247)/100</f>
        <v>0</v>
      </c>
      <c r="FQ247" s="2">
        <f t="shared" si="4170"/>
        <v>0</v>
      </c>
      <c r="FR247" s="2"/>
      <c r="FS247" s="2">
        <f t="shared" si="24"/>
        <v>0</v>
      </c>
      <c r="FT247" s="2">
        <f t="shared" si="25"/>
        <v>0</v>
      </c>
      <c r="FU247" s="39">
        <f t="shared" si="26"/>
        <v>0</v>
      </c>
      <c r="FV247" s="39">
        <f t="shared" ref="FV247:FW247" si="4171">FV$1*FC247/1000000</f>
        <v>0</v>
      </c>
      <c r="FW247" s="39">
        <f t="shared" si="4171"/>
        <v>0</v>
      </c>
      <c r="FX247" s="39">
        <f t="shared" ref="FX247:GC247" si="4172">FX$1*FE247</f>
        <v>0</v>
      </c>
      <c r="FY247" s="39">
        <f t="shared" si="4172"/>
        <v>0</v>
      </c>
      <c r="FZ247" s="39">
        <f t="shared" si="4172"/>
        <v>0</v>
      </c>
      <c r="GA247" s="39">
        <f t="shared" si="4172"/>
        <v>0</v>
      </c>
      <c r="GB247" s="39">
        <f t="shared" si="4172"/>
        <v>0</v>
      </c>
      <c r="GC247" s="39">
        <f t="shared" si="4172"/>
        <v>0</v>
      </c>
      <c r="GD247" s="39">
        <f t="shared" ref="GD247:GH247" si="4173">GD$1*FK247/1000000</f>
        <v>0</v>
      </c>
      <c r="GE247" s="39">
        <f t="shared" si="4173"/>
        <v>0</v>
      </c>
      <c r="GF247" s="39">
        <f t="shared" si="4173"/>
        <v>0</v>
      </c>
      <c r="GG247" s="39">
        <f t="shared" si="4173"/>
        <v>0</v>
      </c>
      <c r="GH247" s="39">
        <f t="shared" si="4173"/>
        <v>0</v>
      </c>
      <c r="GI247" s="39">
        <f t="shared" ref="GI247:GJ247" si="4174">GI$1*FP247</f>
        <v>0</v>
      </c>
      <c r="GJ247" s="39">
        <f t="shared" si="4174"/>
        <v>0</v>
      </c>
      <c r="GK247" s="2"/>
      <c r="GL247" s="39">
        <f t="shared" si="31"/>
        <v>0</v>
      </c>
      <c r="GM247" s="39">
        <f t="shared" si="32"/>
        <v>0</v>
      </c>
      <c r="GN247" s="2" t="s">
        <v>3</v>
      </c>
      <c r="GO247" s="2">
        <f t="shared" si="33"/>
        <v>23</v>
      </c>
      <c r="GP247" s="4">
        <f t="shared" si="34"/>
        <v>1.75</v>
      </c>
      <c r="GQ247" s="15">
        <f t="shared" si="35"/>
        <v>402.5</v>
      </c>
      <c r="GR247" s="15">
        <f t="shared" si="36"/>
        <v>5278.3850000000002</v>
      </c>
      <c r="GS247" s="15">
        <f t="shared" si="37"/>
        <v>229.495</v>
      </c>
      <c r="GT247" s="2">
        <f t="shared" si="38"/>
        <v>0</v>
      </c>
      <c r="GU247" s="2">
        <f t="shared" si="39"/>
        <v>0</v>
      </c>
      <c r="GV247" s="2">
        <f t="shared" si="40"/>
        <v>402.5</v>
      </c>
      <c r="GW247" s="2">
        <f t="shared" si="41"/>
        <v>0</v>
      </c>
      <c r="GX247" s="2"/>
      <c r="GY247" s="2"/>
      <c r="GZ247" s="2"/>
      <c r="HA247" s="2"/>
      <c r="HB247" s="2">
        <f t="shared" si="42"/>
        <v>0</v>
      </c>
      <c r="HC247" s="2">
        <f t="shared" si="43"/>
        <v>0</v>
      </c>
      <c r="HD247" s="2" t="s">
        <v>3</v>
      </c>
      <c r="HE247" s="2" t="s">
        <v>37</v>
      </c>
      <c r="HF247" s="2" t="s">
        <v>114</v>
      </c>
      <c r="HG247" s="2" t="s">
        <v>114</v>
      </c>
      <c r="HH247" s="2"/>
      <c r="HI247" s="2" t="s">
        <v>100</v>
      </c>
      <c r="HJ247" s="2" t="s">
        <v>3</v>
      </c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  <c r="JE247" s="2"/>
      <c r="JF247" s="2"/>
      <c r="JG247" s="2"/>
      <c r="JH247" s="2" t="s">
        <v>3</v>
      </c>
    </row>
    <row r="248" spans="1:268" ht="15.75" customHeight="1" x14ac:dyDescent="0.2">
      <c r="A248" s="13" t="s">
        <v>776</v>
      </c>
      <c r="B248" s="2" t="s">
        <v>139</v>
      </c>
      <c r="C248" s="2"/>
      <c r="D248" s="2"/>
      <c r="E248" s="2" t="s">
        <v>78</v>
      </c>
      <c r="F248" s="2" t="s">
        <v>304</v>
      </c>
      <c r="G248" s="2"/>
      <c r="H248" s="2" t="s">
        <v>141</v>
      </c>
      <c r="I248" s="2">
        <v>0</v>
      </c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>
        <v>0</v>
      </c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>
        <v>34.31</v>
      </c>
      <c r="AZ248" s="2"/>
      <c r="BA248" s="2"/>
      <c r="BB248" s="2"/>
      <c r="BC248" s="2"/>
      <c r="BD248" s="2"/>
      <c r="BE248" s="2"/>
      <c r="BF248" s="2"/>
      <c r="BG248" s="2">
        <v>1.1100000000000001</v>
      </c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>
        <v>0</v>
      </c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>
        <v>0</v>
      </c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 t="s">
        <v>100</v>
      </c>
      <c r="DK248" s="2"/>
      <c r="DL248" s="2">
        <f t="shared" si="3"/>
        <v>1.1100000000000001</v>
      </c>
      <c r="DM248" s="2">
        <f t="shared" si="4"/>
        <v>0</v>
      </c>
      <c r="DN248" s="2" t="s">
        <v>113</v>
      </c>
      <c r="DO248" s="2" t="s">
        <v>3</v>
      </c>
      <c r="DP248" s="2">
        <f t="shared" si="5"/>
        <v>0</v>
      </c>
      <c r="DQ248" s="2">
        <f t="shared" ref="DQ248:DR248" si="4175">K248*$I248+AF248*$AD248+BA248*$AY248</f>
        <v>0</v>
      </c>
      <c r="DR248" s="2">
        <f t="shared" si="4175"/>
        <v>0</v>
      </c>
      <c r="DS248" s="2">
        <f t="shared" ref="DS248:DX248" si="4176">(M248*$I248+AH248*$AD248+BC248*$AY248)/100</f>
        <v>0</v>
      </c>
      <c r="DT248" s="2">
        <f t="shared" si="4176"/>
        <v>0</v>
      </c>
      <c r="DU248" s="2">
        <f t="shared" si="4176"/>
        <v>0</v>
      </c>
      <c r="DV248" s="2">
        <f t="shared" si="4176"/>
        <v>0</v>
      </c>
      <c r="DW248" s="2">
        <f t="shared" si="4176"/>
        <v>0.38084100000000004</v>
      </c>
      <c r="DX248" s="2">
        <f t="shared" si="4176"/>
        <v>0</v>
      </c>
      <c r="DY248" s="2">
        <f t="shared" ref="DY248:EC248" si="4177">S248*$I248+AN248*$AD248+BI248*$AY248</f>
        <v>0</v>
      </c>
      <c r="DZ248" s="2">
        <f t="shared" si="4177"/>
        <v>0</v>
      </c>
      <c r="EA248" s="2">
        <f t="shared" si="4177"/>
        <v>0</v>
      </c>
      <c r="EB248" s="2">
        <f t="shared" si="4177"/>
        <v>0</v>
      </c>
      <c r="EC248" s="2">
        <f t="shared" si="4177"/>
        <v>0</v>
      </c>
      <c r="ED248" s="2">
        <f t="shared" ref="ED248:EE248" si="4178">(X248*$I248+AS248*$AD248+BN248*$AY248)/100</f>
        <v>0</v>
      </c>
      <c r="EE248" s="2">
        <f t="shared" si="4178"/>
        <v>0</v>
      </c>
      <c r="EF248" s="2"/>
      <c r="EG248" s="2">
        <f t="shared" si="10"/>
        <v>0</v>
      </c>
      <c r="EH248" s="2">
        <f t="shared" si="11"/>
        <v>0</v>
      </c>
      <c r="EI248" s="39">
        <f t="shared" si="12"/>
        <v>0</v>
      </c>
      <c r="EJ248" s="39">
        <f t="shared" ref="EJ248:EK248" si="4179">EJ$1*DQ248/1000000</f>
        <v>0</v>
      </c>
      <c r="EK248" s="39">
        <f t="shared" si="4179"/>
        <v>0</v>
      </c>
      <c r="EL248" s="39">
        <f t="shared" ref="EL248:EQ248" si="4180">EL$1*DS248</f>
        <v>0</v>
      </c>
      <c r="EM248" s="39">
        <f t="shared" si="4180"/>
        <v>0</v>
      </c>
      <c r="EN248" s="39">
        <f t="shared" si="4180"/>
        <v>0</v>
      </c>
      <c r="EO248" s="39">
        <f t="shared" si="4180"/>
        <v>0</v>
      </c>
      <c r="EP248" s="39">
        <f t="shared" si="4180"/>
        <v>4994.3488740000003</v>
      </c>
      <c r="EQ248" s="39">
        <f t="shared" si="4180"/>
        <v>0</v>
      </c>
      <c r="ER248" s="39">
        <f t="shared" ref="ER248:EV248" si="4181">ER$1*DY248/1000000</f>
        <v>0</v>
      </c>
      <c r="ES248" s="39">
        <f t="shared" si="4181"/>
        <v>0</v>
      </c>
      <c r="ET248" s="39">
        <f t="shared" si="4181"/>
        <v>0</v>
      </c>
      <c r="EU248" s="39">
        <f t="shared" si="4181"/>
        <v>0</v>
      </c>
      <c r="EV248" s="39">
        <f t="shared" si="4181"/>
        <v>0</v>
      </c>
      <c r="EW248" s="39">
        <f t="shared" ref="EW248:EX248" si="4182">EW$1*ED248</f>
        <v>0</v>
      </c>
      <c r="EX248" s="39">
        <f t="shared" si="4182"/>
        <v>0</v>
      </c>
      <c r="EY248" s="2"/>
      <c r="EZ248" s="39">
        <f t="shared" si="17"/>
        <v>0</v>
      </c>
      <c r="FA248" s="39">
        <f t="shared" si="18"/>
        <v>0</v>
      </c>
      <c r="FB248" s="2">
        <f t="shared" si="19"/>
        <v>0</v>
      </c>
      <c r="FC248" s="2">
        <f t="shared" ref="FC248:FD248" si="4183">BV248*$BT248+CQ248*$CO248</f>
        <v>0</v>
      </c>
      <c r="FD248" s="2">
        <f t="shared" si="4183"/>
        <v>0</v>
      </c>
      <c r="FE248" s="2">
        <f t="shared" ref="FE248:FJ248" si="4184">(BX248*$BT248+CS248*$CO248)/100</f>
        <v>0</v>
      </c>
      <c r="FF248" s="2">
        <f t="shared" si="4184"/>
        <v>0</v>
      </c>
      <c r="FG248" s="2">
        <f t="shared" si="4184"/>
        <v>0</v>
      </c>
      <c r="FH248" s="2">
        <f t="shared" si="4184"/>
        <v>0</v>
      </c>
      <c r="FI248" s="2">
        <f t="shared" si="4184"/>
        <v>0</v>
      </c>
      <c r="FJ248" s="2">
        <f t="shared" si="4184"/>
        <v>0</v>
      </c>
      <c r="FK248" s="2">
        <f t="shared" ref="FK248:FO248" si="4185">CD248*$BT248+CY248*$CO248</f>
        <v>0</v>
      </c>
      <c r="FL248" s="2">
        <f t="shared" si="4185"/>
        <v>0</v>
      </c>
      <c r="FM248" s="2">
        <f t="shared" si="4185"/>
        <v>0</v>
      </c>
      <c r="FN248" s="2">
        <f t="shared" si="4185"/>
        <v>0</v>
      </c>
      <c r="FO248" s="2">
        <f t="shared" si="4185"/>
        <v>0</v>
      </c>
      <c r="FP248" s="2">
        <f t="shared" ref="FP248:FQ248" si="4186">(CI248*$BT248+DD248*$CO248)/100</f>
        <v>0</v>
      </c>
      <c r="FQ248" s="2">
        <f t="shared" si="4186"/>
        <v>0</v>
      </c>
      <c r="FR248" s="2"/>
      <c r="FS248" s="2">
        <f t="shared" si="24"/>
        <v>0</v>
      </c>
      <c r="FT248" s="2">
        <f t="shared" si="25"/>
        <v>0</v>
      </c>
      <c r="FU248" s="39">
        <f t="shared" si="26"/>
        <v>0</v>
      </c>
      <c r="FV248" s="39">
        <f t="shared" ref="FV248:FW248" si="4187">FV$1*FC248/1000000</f>
        <v>0</v>
      </c>
      <c r="FW248" s="39">
        <f t="shared" si="4187"/>
        <v>0</v>
      </c>
      <c r="FX248" s="39">
        <f t="shared" ref="FX248:GC248" si="4188">FX$1*FE248</f>
        <v>0</v>
      </c>
      <c r="FY248" s="39">
        <f t="shared" si="4188"/>
        <v>0</v>
      </c>
      <c r="FZ248" s="39">
        <f t="shared" si="4188"/>
        <v>0</v>
      </c>
      <c r="GA248" s="39">
        <f t="shared" si="4188"/>
        <v>0</v>
      </c>
      <c r="GB248" s="39">
        <f t="shared" si="4188"/>
        <v>0</v>
      </c>
      <c r="GC248" s="39">
        <f t="shared" si="4188"/>
        <v>0</v>
      </c>
      <c r="GD248" s="39">
        <f t="shared" ref="GD248:GH248" si="4189">GD$1*FK248/1000000</f>
        <v>0</v>
      </c>
      <c r="GE248" s="39">
        <f t="shared" si="4189"/>
        <v>0</v>
      </c>
      <c r="GF248" s="39">
        <f t="shared" si="4189"/>
        <v>0</v>
      </c>
      <c r="GG248" s="39">
        <f t="shared" si="4189"/>
        <v>0</v>
      </c>
      <c r="GH248" s="39">
        <f t="shared" si="4189"/>
        <v>0</v>
      </c>
      <c r="GI248" s="39">
        <f t="shared" ref="GI248:GJ248" si="4190">GI$1*FP248</f>
        <v>0</v>
      </c>
      <c r="GJ248" s="39">
        <f t="shared" si="4190"/>
        <v>0</v>
      </c>
      <c r="GK248" s="2"/>
      <c r="GL248" s="39">
        <f t="shared" si="31"/>
        <v>0</v>
      </c>
      <c r="GM248" s="39">
        <f t="shared" si="32"/>
        <v>0</v>
      </c>
      <c r="GN248" s="2" t="s">
        <v>3</v>
      </c>
      <c r="GO248" s="2">
        <f t="shared" si="33"/>
        <v>34.31</v>
      </c>
      <c r="GP248" s="4">
        <f t="shared" si="34"/>
        <v>1.1100000000000001</v>
      </c>
      <c r="GQ248" s="15">
        <f t="shared" si="35"/>
        <v>380.84100000000007</v>
      </c>
      <c r="GR248" s="15">
        <f t="shared" si="36"/>
        <v>4994.3488740000003</v>
      </c>
      <c r="GS248" s="15">
        <f t="shared" si="37"/>
        <v>145.56540000000001</v>
      </c>
      <c r="GT248" s="2">
        <f t="shared" si="38"/>
        <v>0</v>
      </c>
      <c r="GU248" s="2">
        <f t="shared" si="39"/>
        <v>0</v>
      </c>
      <c r="GV248" s="2">
        <f t="shared" si="40"/>
        <v>380.84100000000007</v>
      </c>
      <c r="GW248" s="2">
        <f t="shared" si="41"/>
        <v>0</v>
      </c>
      <c r="GX248" s="2"/>
      <c r="GY248" s="2"/>
      <c r="GZ248" s="2"/>
      <c r="HA248" s="2"/>
      <c r="HB248" s="2">
        <f t="shared" si="42"/>
        <v>0</v>
      </c>
      <c r="HC248" s="2">
        <f t="shared" si="43"/>
        <v>0</v>
      </c>
      <c r="HD248" s="2" t="s">
        <v>3</v>
      </c>
      <c r="HE248" s="2" t="s">
        <v>37</v>
      </c>
      <c r="HF248" s="2" t="s">
        <v>114</v>
      </c>
      <c r="HG248" s="2" t="s">
        <v>114</v>
      </c>
      <c r="HH248" s="2"/>
      <c r="HI248" s="2" t="s">
        <v>100</v>
      </c>
      <c r="HJ248" s="2" t="s">
        <v>3</v>
      </c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  <c r="JE248" s="2"/>
      <c r="JF248" s="2"/>
      <c r="JG248" s="2"/>
      <c r="JH248" s="2" t="s">
        <v>3</v>
      </c>
    </row>
    <row r="249" spans="1:268" ht="15.75" customHeight="1" x14ac:dyDescent="0.2">
      <c r="A249" s="13" t="s">
        <v>780</v>
      </c>
      <c r="B249" s="2" t="s">
        <v>99</v>
      </c>
      <c r="C249" s="2"/>
      <c r="D249" s="2"/>
      <c r="E249" s="2"/>
      <c r="F249" s="2" t="s">
        <v>79</v>
      </c>
      <c r="G249" s="2"/>
      <c r="H249" s="2" t="s">
        <v>781</v>
      </c>
      <c r="I249" s="2">
        <v>0</v>
      </c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>
        <v>0</v>
      </c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>
        <v>33.200000000000003</v>
      </c>
      <c r="AZ249" s="2"/>
      <c r="BA249" s="2"/>
      <c r="BB249" s="2"/>
      <c r="BC249" s="2"/>
      <c r="BD249" s="2"/>
      <c r="BE249" s="2"/>
      <c r="BF249" s="2"/>
      <c r="BG249" s="2">
        <v>1.1299999999999999</v>
      </c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>
        <v>0</v>
      </c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>
        <v>0</v>
      </c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 t="s">
        <v>100</v>
      </c>
      <c r="DK249" s="2"/>
      <c r="DL249" s="2">
        <f t="shared" si="3"/>
        <v>1.1299999999999999</v>
      </c>
      <c r="DM249" s="2">
        <f t="shared" si="4"/>
        <v>0</v>
      </c>
      <c r="DN249" s="2" t="s">
        <v>501</v>
      </c>
      <c r="DO249" s="2" t="s">
        <v>3</v>
      </c>
      <c r="DP249" s="2">
        <f t="shared" si="5"/>
        <v>0</v>
      </c>
      <c r="DQ249" s="2">
        <f t="shared" ref="DQ249:DR249" si="4191">K249*$I249+AF249*$AD249+BA249*$AY249</f>
        <v>0</v>
      </c>
      <c r="DR249" s="2">
        <f t="shared" si="4191"/>
        <v>0</v>
      </c>
      <c r="DS249" s="2">
        <f t="shared" ref="DS249:DX249" si="4192">(M249*$I249+AH249*$AD249+BC249*$AY249)/100</f>
        <v>0</v>
      </c>
      <c r="DT249" s="2">
        <f t="shared" si="4192"/>
        <v>0</v>
      </c>
      <c r="DU249" s="2">
        <f t="shared" si="4192"/>
        <v>0</v>
      </c>
      <c r="DV249" s="2">
        <f t="shared" si="4192"/>
        <v>0</v>
      </c>
      <c r="DW249" s="2">
        <f t="shared" si="4192"/>
        <v>0.37515999999999999</v>
      </c>
      <c r="DX249" s="2">
        <f t="shared" si="4192"/>
        <v>0</v>
      </c>
      <c r="DY249" s="2">
        <f t="shared" ref="DY249:EC249" si="4193">S249*$I249+AN249*$AD249+BI249*$AY249</f>
        <v>0</v>
      </c>
      <c r="DZ249" s="2">
        <f t="shared" si="4193"/>
        <v>0</v>
      </c>
      <c r="EA249" s="2">
        <f t="shared" si="4193"/>
        <v>0</v>
      </c>
      <c r="EB249" s="2">
        <f t="shared" si="4193"/>
        <v>0</v>
      </c>
      <c r="EC249" s="2">
        <f t="shared" si="4193"/>
        <v>0</v>
      </c>
      <c r="ED249" s="2">
        <f t="shared" ref="ED249:EE249" si="4194">(X249*$I249+AS249*$AD249+BN249*$AY249)/100</f>
        <v>0</v>
      </c>
      <c r="EE249" s="2">
        <f t="shared" si="4194"/>
        <v>0</v>
      </c>
      <c r="EF249" s="2"/>
      <c r="EG249" s="2">
        <f t="shared" si="10"/>
        <v>0</v>
      </c>
      <c r="EH249" s="2">
        <f t="shared" si="11"/>
        <v>0</v>
      </c>
      <c r="EI249" s="39">
        <f t="shared" si="12"/>
        <v>0</v>
      </c>
      <c r="EJ249" s="39">
        <f t="shared" ref="EJ249:EK249" si="4195">EJ$1*DQ249/1000000</f>
        <v>0</v>
      </c>
      <c r="EK249" s="39">
        <f t="shared" si="4195"/>
        <v>0</v>
      </c>
      <c r="EL249" s="39">
        <f t="shared" ref="EL249:EQ249" si="4196">EL$1*DS249</f>
        <v>0</v>
      </c>
      <c r="EM249" s="39">
        <f t="shared" si="4196"/>
        <v>0</v>
      </c>
      <c r="EN249" s="39">
        <f t="shared" si="4196"/>
        <v>0</v>
      </c>
      <c r="EO249" s="39">
        <f t="shared" si="4196"/>
        <v>0</v>
      </c>
      <c r="EP249" s="39">
        <f t="shared" si="4196"/>
        <v>4919.8482400000003</v>
      </c>
      <c r="EQ249" s="39">
        <f t="shared" si="4196"/>
        <v>0</v>
      </c>
      <c r="ER249" s="39">
        <f t="shared" ref="ER249:EV249" si="4197">ER$1*DY249/1000000</f>
        <v>0</v>
      </c>
      <c r="ES249" s="39">
        <f t="shared" si="4197"/>
        <v>0</v>
      </c>
      <c r="ET249" s="39">
        <f t="shared" si="4197"/>
        <v>0</v>
      </c>
      <c r="EU249" s="39">
        <f t="shared" si="4197"/>
        <v>0</v>
      </c>
      <c r="EV249" s="39">
        <f t="shared" si="4197"/>
        <v>0</v>
      </c>
      <c r="EW249" s="39">
        <f t="shared" ref="EW249:EX249" si="4198">EW$1*ED249</f>
        <v>0</v>
      </c>
      <c r="EX249" s="39">
        <f t="shared" si="4198"/>
        <v>0</v>
      </c>
      <c r="EY249" s="2"/>
      <c r="EZ249" s="39">
        <f t="shared" si="17"/>
        <v>0</v>
      </c>
      <c r="FA249" s="39">
        <f t="shared" si="18"/>
        <v>0</v>
      </c>
      <c r="FB249" s="2">
        <f t="shared" si="19"/>
        <v>0</v>
      </c>
      <c r="FC249" s="2">
        <f t="shared" ref="FC249:FD249" si="4199">BV249*$BT249+CQ249*$CO249</f>
        <v>0</v>
      </c>
      <c r="FD249" s="2">
        <f t="shared" si="4199"/>
        <v>0</v>
      </c>
      <c r="FE249" s="2">
        <f t="shared" ref="FE249:FJ249" si="4200">(BX249*$BT249+CS249*$CO249)/100</f>
        <v>0</v>
      </c>
      <c r="FF249" s="2">
        <f t="shared" si="4200"/>
        <v>0</v>
      </c>
      <c r="FG249" s="2">
        <f t="shared" si="4200"/>
        <v>0</v>
      </c>
      <c r="FH249" s="2">
        <f t="shared" si="4200"/>
        <v>0</v>
      </c>
      <c r="FI249" s="2">
        <f t="shared" si="4200"/>
        <v>0</v>
      </c>
      <c r="FJ249" s="2">
        <f t="shared" si="4200"/>
        <v>0</v>
      </c>
      <c r="FK249" s="2">
        <f t="shared" ref="FK249:FO249" si="4201">CD249*$BT249+CY249*$CO249</f>
        <v>0</v>
      </c>
      <c r="FL249" s="2">
        <f t="shared" si="4201"/>
        <v>0</v>
      </c>
      <c r="FM249" s="2">
        <f t="shared" si="4201"/>
        <v>0</v>
      </c>
      <c r="FN249" s="2">
        <f t="shared" si="4201"/>
        <v>0</v>
      </c>
      <c r="FO249" s="2">
        <f t="shared" si="4201"/>
        <v>0</v>
      </c>
      <c r="FP249" s="2">
        <f t="shared" ref="FP249:FQ249" si="4202">(CI249*$BT249+DD249*$CO249)/100</f>
        <v>0</v>
      </c>
      <c r="FQ249" s="2">
        <f t="shared" si="4202"/>
        <v>0</v>
      </c>
      <c r="FR249" s="2"/>
      <c r="FS249" s="2">
        <f t="shared" si="24"/>
        <v>0</v>
      </c>
      <c r="FT249" s="2">
        <f t="shared" si="25"/>
        <v>0</v>
      </c>
      <c r="FU249" s="39">
        <f t="shared" si="26"/>
        <v>0</v>
      </c>
      <c r="FV249" s="39">
        <f t="shared" ref="FV249:FW249" si="4203">FV$1*FC249/1000000</f>
        <v>0</v>
      </c>
      <c r="FW249" s="39">
        <f t="shared" si="4203"/>
        <v>0</v>
      </c>
      <c r="FX249" s="39">
        <f t="shared" ref="FX249:GC249" si="4204">FX$1*FE249</f>
        <v>0</v>
      </c>
      <c r="FY249" s="39">
        <f t="shared" si="4204"/>
        <v>0</v>
      </c>
      <c r="FZ249" s="39">
        <f t="shared" si="4204"/>
        <v>0</v>
      </c>
      <c r="GA249" s="39">
        <f t="shared" si="4204"/>
        <v>0</v>
      </c>
      <c r="GB249" s="39">
        <f t="shared" si="4204"/>
        <v>0</v>
      </c>
      <c r="GC249" s="39">
        <f t="shared" si="4204"/>
        <v>0</v>
      </c>
      <c r="GD249" s="39">
        <f t="shared" ref="GD249:GH249" si="4205">GD$1*FK249/1000000</f>
        <v>0</v>
      </c>
      <c r="GE249" s="39">
        <f t="shared" si="4205"/>
        <v>0</v>
      </c>
      <c r="GF249" s="39">
        <f t="shared" si="4205"/>
        <v>0</v>
      </c>
      <c r="GG249" s="39">
        <f t="shared" si="4205"/>
        <v>0</v>
      </c>
      <c r="GH249" s="39">
        <f t="shared" si="4205"/>
        <v>0</v>
      </c>
      <c r="GI249" s="39">
        <f t="shared" ref="GI249:GJ249" si="4206">GI$1*FP249</f>
        <v>0</v>
      </c>
      <c r="GJ249" s="39">
        <f t="shared" si="4206"/>
        <v>0</v>
      </c>
      <c r="GK249" s="2"/>
      <c r="GL249" s="39">
        <f t="shared" si="31"/>
        <v>0</v>
      </c>
      <c r="GM249" s="39">
        <f t="shared" si="32"/>
        <v>0</v>
      </c>
      <c r="GN249" s="2" t="s">
        <v>3</v>
      </c>
      <c r="GO249" s="2">
        <f t="shared" si="33"/>
        <v>33.200000000000003</v>
      </c>
      <c r="GP249" s="2">
        <f t="shared" si="34"/>
        <v>1.1299999999999999</v>
      </c>
      <c r="GQ249" s="15">
        <f t="shared" si="35"/>
        <v>375.16</v>
      </c>
      <c r="GR249" s="15">
        <f t="shared" si="36"/>
        <v>4919.8482400000003</v>
      </c>
      <c r="GS249" s="15">
        <f t="shared" si="37"/>
        <v>148.18819999999999</v>
      </c>
      <c r="GT249" s="2">
        <f t="shared" si="38"/>
        <v>0</v>
      </c>
      <c r="GU249" s="2">
        <f t="shared" si="39"/>
        <v>0</v>
      </c>
      <c r="GV249" s="2">
        <f t="shared" si="40"/>
        <v>375.16</v>
      </c>
      <c r="GW249" s="2">
        <f t="shared" si="41"/>
        <v>0</v>
      </c>
      <c r="GX249" s="2"/>
      <c r="GY249" s="2"/>
      <c r="GZ249" s="2"/>
      <c r="HA249" s="2"/>
      <c r="HB249" s="2">
        <f t="shared" si="42"/>
        <v>0</v>
      </c>
      <c r="HC249" s="2">
        <f t="shared" si="43"/>
        <v>0</v>
      </c>
      <c r="HD249" s="2" t="s">
        <v>3</v>
      </c>
      <c r="HE249" s="2" t="s">
        <v>37</v>
      </c>
      <c r="HF249" s="2" t="s">
        <v>114</v>
      </c>
      <c r="HG249" s="2" t="s">
        <v>114</v>
      </c>
      <c r="HH249" s="2"/>
      <c r="HI249" s="2" t="s">
        <v>100</v>
      </c>
      <c r="HJ249" s="2" t="s">
        <v>3</v>
      </c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  <c r="JE249" s="2"/>
      <c r="JF249" s="2"/>
      <c r="JG249" s="2"/>
      <c r="JH249" s="2" t="s">
        <v>3</v>
      </c>
    </row>
    <row r="250" spans="1:268" ht="15.75" customHeight="1" x14ac:dyDescent="0.2">
      <c r="A250" s="13" t="s">
        <v>777</v>
      </c>
      <c r="B250" s="2" t="s">
        <v>109</v>
      </c>
      <c r="C250" s="2"/>
      <c r="D250" s="2"/>
      <c r="E250" s="2"/>
      <c r="F250" s="2" t="s">
        <v>778</v>
      </c>
      <c r="G250" s="2"/>
      <c r="H250" s="2" t="s">
        <v>80</v>
      </c>
      <c r="I250" s="2">
        <v>0</v>
      </c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>
        <v>0</v>
      </c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>
        <v>70</v>
      </c>
      <c r="AZ250" s="2"/>
      <c r="BA250" s="2"/>
      <c r="BB250" s="2"/>
      <c r="BC250" s="2"/>
      <c r="BD250" s="2"/>
      <c r="BE250" s="2"/>
      <c r="BF250" s="2"/>
      <c r="BG250" s="2">
        <v>1</v>
      </c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>
        <v>0</v>
      </c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>
        <v>0</v>
      </c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 t="s">
        <v>100</v>
      </c>
      <c r="DK250" s="2"/>
      <c r="DL250" s="2">
        <f t="shared" si="3"/>
        <v>1</v>
      </c>
      <c r="DM250" s="2">
        <f t="shared" si="4"/>
        <v>0</v>
      </c>
      <c r="DN250" s="2" t="s">
        <v>779</v>
      </c>
      <c r="DO250" s="2" t="s">
        <v>3</v>
      </c>
      <c r="DP250" s="2">
        <f t="shared" si="5"/>
        <v>0</v>
      </c>
      <c r="DQ250" s="2">
        <f t="shared" ref="DQ250:DR250" si="4207">K250*$I250+AF250*$AD250+BA250*$AY250</f>
        <v>0</v>
      </c>
      <c r="DR250" s="2">
        <f t="shared" si="4207"/>
        <v>0</v>
      </c>
      <c r="DS250" s="2">
        <f t="shared" ref="DS250:DX250" si="4208">(M250*$I250+AH250*$AD250+BC250*$AY250)/100</f>
        <v>0</v>
      </c>
      <c r="DT250" s="2">
        <f t="shared" si="4208"/>
        <v>0</v>
      </c>
      <c r="DU250" s="2">
        <f t="shared" si="4208"/>
        <v>0</v>
      </c>
      <c r="DV250" s="2">
        <f t="shared" si="4208"/>
        <v>0</v>
      </c>
      <c r="DW250" s="2">
        <f t="shared" si="4208"/>
        <v>0.7</v>
      </c>
      <c r="DX250" s="2">
        <f t="shared" si="4208"/>
        <v>0</v>
      </c>
      <c r="DY250" s="2">
        <f t="shared" ref="DY250:EC250" si="4209">S250*$I250+AN250*$AD250+BI250*$AY250</f>
        <v>0</v>
      </c>
      <c r="DZ250" s="2">
        <f t="shared" si="4209"/>
        <v>0</v>
      </c>
      <c r="EA250" s="2">
        <f t="shared" si="4209"/>
        <v>0</v>
      </c>
      <c r="EB250" s="2">
        <f t="shared" si="4209"/>
        <v>0</v>
      </c>
      <c r="EC250" s="2">
        <f t="shared" si="4209"/>
        <v>0</v>
      </c>
      <c r="ED250" s="2">
        <f t="shared" ref="ED250:EE250" si="4210">(X250*$I250+AS250*$AD250+BN250*$AY250)/100</f>
        <v>0</v>
      </c>
      <c r="EE250" s="2">
        <f t="shared" si="4210"/>
        <v>0</v>
      </c>
      <c r="EF250" s="2"/>
      <c r="EG250" s="2">
        <f t="shared" si="10"/>
        <v>0</v>
      </c>
      <c r="EH250" s="2">
        <f t="shared" si="11"/>
        <v>0</v>
      </c>
      <c r="EI250" s="39">
        <f t="shared" si="12"/>
        <v>0</v>
      </c>
      <c r="EJ250" s="39">
        <f t="shared" ref="EJ250:EK250" si="4211">EJ$1*DQ250/1000000</f>
        <v>0</v>
      </c>
      <c r="EK250" s="39">
        <f t="shared" si="4211"/>
        <v>0</v>
      </c>
      <c r="EL250" s="39">
        <f t="shared" ref="EL250:EQ250" si="4212">EL$1*DS250</f>
        <v>0</v>
      </c>
      <c r="EM250" s="39">
        <f t="shared" si="4212"/>
        <v>0</v>
      </c>
      <c r="EN250" s="39">
        <f t="shared" si="4212"/>
        <v>0</v>
      </c>
      <c r="EO250" s="39">
        <f t="shared" si="4212"/>
        <v>0</v>
      </c>
      <c r="EP250" s="39">
        <f t="shared" si="4212"/>
        <v>9179.7999999999993</v>
      </c>
      <c r="EQ250" s="39">
        <f t="shared" si="4212"/>
        <v>0</v>
      </c>
      <c r="ER250" s="39">
        <f t="shared" ref="ER250:EV250" si="4213">ER$1*DY250/1000000</f>
        <v>0</v>
      </c>
      <c r="ES250" s="39">
        <f t="shared" si="4213"/>
        <v>0</v>
      </c>
      <c r="ET250" s="39">
        <f t="shared" si="4213"/>
        <v>0</v>
      </c>
      <c r="EU250" s="39">
        <f t="shared" si="4213"/>
        <v>0</v>
      </c>
      <c r="EV250" s="39">
        <f t="shared" si="4213"/>
        <v>0</v>
      </c>
      <c r="EW250" s="39">
        <f t="shared" ref="EW250:EX250" si="4214">EW$1*ED250</f>
        <v>0</v>
      </c>
      <c r="EX250" s="39">
        <f t="shared" si="4214"/>
        <v>0</v>
      </c>
      <c r="EY250" s="2"/>
      <c r="EZ250" s="39">
        <f t="shared" si="17"/>
        <v>0</v>
      </c>
      <c r="FA250" s="39">
        <f t="shared" si="18"/>
        <v>0</v>
      </c>
      <c r="FB250" s="2">
        <f t="shared" si="19"/>
        <v>0</v>
      </c>
      <c r="FC250" s="2">
        <f t="shared" ref="FC250:FD250" si="4215">BV250*$BT250+CQ250*$CO250</f>
        <v>0</v>
      </c>
      <c r="FD250" s="2">
        <f t="shared" si="4215"/>
        <v>0</v>
      </c>
      <c r="FE250" s="2">
        <f t="shared" ref="FE250:FJ250" si="4216">(BX250*$BT250+CS250*$CO250)/100</f>
        <v>0</v>
      </c>
      <c r="FF250" s="2">
        <f t="shared" si="4216"/>
        <v>0</v>
      </c>
      <c r="FG250" s="2">
        <f t="shared" si="4216"/>
        <v>0</v>
      </c>
      <c r="FH250" s="2">
        <f t="shared" si="4216"/>
        <v>0</v>
      </c>
      <c r="FI250" s="2">
        <f t="shared" si="4216"/>
        <v>0</v>
      </c>
      <c r="FJ250" s="2">
        <f t="shared" si="4216"/>
        <v>0</v>
      </c>
      <c r="FK250" s="2">
        <f t="shared" ref="FK250:FO250" si="4217">CD250*$BT250+CY250*$CO250</f>
        <v>0</v>
      </c>
      <c r="FL250" s="2">
        <f t="shared" si="4217"/>
        <v>0</v>
      </c>
      <c r="FM250" s="2">
        <f t="shared" si="4217"/>
        <v>0</v>
      </c>
      <c r="FN250" s="2">
        <f t="shared" si="4217"/>
        <v>0</v>
      </c>
      <c r="FO250" s="2">
        <f t="shared" si="4217"/>
        <v>0</v>
      </c>
      <c r="FP250" s="2">
        <f t="shared" ref="FP250:FQ250" si="4218">(CI250*$BT250+DD250*$CO250)/100</f>
        <v>0</v>
      </c>
      <c r="FQ250" s="2">
        <f t="shared" si="4218"/>
        <v>0</v>
      </c>
      <c r="FR250" s="2"/>
      <c r="FS250" s="2">
        <f t="shared" si="24"/>
        <v>0</v>
      </c>
      <c r="FT250" s="2">
        <f t="shared" si="25"/>
        <v>0</v>
      </c>
      <c r="FU250" s="39">
        <f t="shared" si="26"/>
        <v>0</v>
      </c>
      <c r="FV250" s="39">
        <f t="shared" ref="FV250:FW250" si="4219">FV$1*FC250/1000000</f>
        <v>0</v>
      </c>
      <c r="FW250" s="39">
        <f t="shared" si="4219"/>
        <v>0</v>
      </c>
      <c r="FX250" s="39">
        <f t="shared" ref="FX250:GC250" si="4220">FX$1*FE250</f>
        <v>0</v>
      </c>
      <c r="FY250" s="39">
        <f t="shared" si="4220"/>
        <v>0</v>
      </c>
      <c r="FZ250" s="39">
        <f t="shared" si="4220"/>
        <v>0</v>
      </c>
      <c r="GA250" s="39">
        <f t="shared" si="4220"/>
        <v>0</v>
      </c>
      <c r="GB250" s="39">
        <f t="shared" si="4220"/>
        <v>0</v>
      </c>
      <c r="GC250" s="39">
        <f t="shared" si="4220"/>
        <v>0</v>
      </c>
      <c r="GD250" s="39">
        <f t="shared" ref="GD250:GH250" si="4221">GD$1*FK250/1000000</f>
        <v>0</v>
      </c>
      <c r="GE250" s="39">
        <f t="shared" si="4221"/>
        <v>0</v>
      </c>
      <c r="GF250" s="39">
        <f t="shared" si="4221"/>
        <v>0</v>
      </c>
      <c r="GG250" s="39">
        <f t="shared" si="4221"/>
        <v>0</v>
      </c>
      <c r="GH250" s="39">
        <f t="shared" si="4221"/>
        <v>0</v>
      </c>
      <c r="GI250" s="39">
        <f t="shared" ref="GI250:GJ250" si="4222">GI$1*FP250</f>
        <v>0</v>
      </c>
      <c r="GJ250" s="39">
        <f t="shared" si="4222"/>
        <v>0</v>
      </c>
      <c r="GK250" s="2"/>
      <c r="GL250" s="39">
        <f t="shared" si="31"/>
        <v>0</v>
      </c>
      <c r="GM250" s="39">
        <f t="shared" si="32"/>
        <v>0</v>
      </c>
      <c r="GN250" s="2" t="s">
        <v>3</v>
      </c>
      <c r="GO250" s="2">
        <f t="shared" si="33"/>
        <v>70</v>
      </c>
      <c r="GP250" s="2">
        <f t="shared" si="34"/>
        <v>1</v>
      </c>
      <c r="GQ250" s="15">
        <f t="shared" si="35"/>
        <v>700</v>
      </c>
      <c r="GR250" s="15">
        <f t="shared" si="36"/>
        <v>9179.7999999999993</v>
      </c>
      <c r="GS250" s="15">
        <f t="shared" si="37"/>
        <v>131.13999999999999</v>
      </c>
      <c r="GT250" s="2">
        <f t="shared" si="38"/>
        <v>0</v>
      </c>
      <c r="GU250" s="2">
        <f t="shared" si="39"/>
        <v>0</v>
      </c>
      <c r="GV250" s="2">
        <f t="shared" si="40"/>
        <v>700</v>
      </c>
      <c r="GW250" s="2">
        <f t="shared" si="41"/>
        <v>0</v>
      </c>
      <c r="GX250" s="2"/>
      <c r="GY250" s="2"/>
      <c r="GZ250" s="2"/>
      <c r="HA250" s="2"/>
      <c r="HB250" s="2">
        <f t="shared" si="42"/>
        <v>0</v>
      </c>
      <c r="HC250" s="2">
        <f t="shared" si="43"/>
        <v>0</v>
      </c>
      <c r="HD250" s="2" t="s">
        <v>3</v>
      </c>
      <c r="HE250" s="2" t="s">
        <v>37</v>
      </c>
      <c r="HF250" s="2" t="s">
        <v>114</v>
      </c>
      <c r="HG250" s="2" t="s">
        <v>114</v>
      </c>
      <c r="HH250" s="2"/>
      <c r="HI250" s="2" t="s">
        <v>100</v>
      </c>
      <c r="HJ250" s="2" t="s">
        <v>3</v>
      </c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  <c r="JE250" s="2"/>
      <c r="JF250" s="2"/>
      <c r="JG250" s="2"/>
      <c r="JH250" s="2" t="s">
        <v>3</v>
      </c>
    </row>
    <row r="251" spans="1:268" ht="15.75" customHeight="1" x14ac:dyDescent="0.2">
      <c r="A251" s="13" t="s">
        <v>1208</v>
      </c>
      <c r="B251" s="2" t="s">
        <v>99</v>
      </c>
      <c r="C251" s="2"/>
      <c r="D251" s="2"/>
      <c r="E251" s="2"/>
      <c r="F251" s="2" t="s">
        <v>307</v>
      </c>
      <c r="G251" s="2"/>
      <c r="H251" s="2"/>
      <c r="I251" s="2">
        <v>0</v>
      </c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>
        <v>0</v>
      </c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>
        <v>22.6</v>
      </c>
      <c r="AZ251" s="2"/>
      <c r="BA251" s="2"/>
      <c r="BB251" s="2"/>
      <c r="BC251" s="2"/>
      <c r="BD251" s="2"/>
      <c r="BE251" s="2"/>
      <c r="BF251" s="2"/>
      <c r="BG251" s="2">
        <v>1.27</v>
      </c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>
        <v>0</v>
      </c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>
        <v>0</v>
      </c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 t="s">
        <v>100</v>
      </c>
      <c r="DK251" s="2"/>
      <c r="DL251" s="2">
        <f t="shared" si="3"/>
        <v>1.27</v>
      </c>
      <c r="DM251" s="2">
        <f t="shared" si="4"/>
        <v>0</v>
      </c>
      <c r="DN251" s="2" t="s">
        <v>113</v>
      </c>
      <c r="DO251" s="2" t="s">
        <v>3</v>
      </c>
      <c r="DP251" s="2">
        <f t="shared" si="5"/>
        <v>0</v>
      </c>
      <c r="DQ251" s="2">
        <f t="shared" ref="DQ251:DR251" si="4223">K251*$I251+AF251*$AD251+BA251*$AY251</f>
        <v>0</v>
      </c>
      <c r="DR251" s="2">
        <f t="shared" si="4223"/>
        <v>0</v>
      </c>
      <c r="DS251" s="2">
        <f t="shared" ref="DS251:DX251" si="4224">(M251*$I251+AH251*$AD251+BC251*$AY251)/100</f>
        <v>0</v>
      </c>
      <c r="DT251" s="2">
        <f t="shared" si="4224"/>
        <v>0</v>
      </c>
      <c r="DU251" s="2">
        <f t="shared" si="4224"/>
        <v>0</v>
      </c>
      <c r="DV251" s="2">
        <f t="shared" si="4224"/>
        <v>0</v>
      </c>
      <c r="DW251" s="2">
        <f t="shared" si="4224"/>
        <v>0.28702</v>
      </c>
      <c r="DX251" s="2">
        <f t="shared" si="4224"/>
        <v>0</v>
      </c>
      <c r="DY251" s="2">
        <f t="shared" ref="DY251:EC251" si="4225">S251*$I251+AN251*$AD251+BI251*$AY251</f>
        <v>0</v>
      </c>
      <c r="DZ251" s="2">
        <f t="shared" si="4225"/>
        <v>0</v>
      </c>
      <c r="EA251" s="2">
        <f t="shared" si="4225"/>
        <v>0</v>
      </c>
      <c r="EB251" s="2">
        <f t="shared" si="4225"/>
        <v>0</v>
      </c>
      <c r="EC251" s="2">
        <f t="shared" si="4225"/>
        <v>0</v>
      </c>
      <c r="ED251" s="2">
        <f t="shared" ref="ED251:EE251" si="4226">(X251*$I251+AS251*$AD251+BN251*$AY251)/100</f>
        <v>0</v>
      </c>
      <c r="EE251" s="2">
        <f t="shared" si="4226"/>
        <v>0</v>
      </c>
      <c r="EF251" s="2"/>
      <c r="EG251" s="2">
        <f t="shared" si="10"/>
        <v>0</v>
      </c>
      <c r="EH251" s="2">
        <f t="shared" si="11"/>
        <v>0</v>
      </c>
      <c r="EI251" s="39">
        <f t="shared" si="12"/>
        <v>0</v>
      </c>
      <c r="EJ251" s="39">
        <f t="shared" ref="EJ251:EK251" si="4227">EJ$1*DQ251/1000000</f>
        <v>0</v>
      </c>
      <c r="EK251" s="39">
        <f t="shared" si="4227"/>
        <v>0</v>
      </c>
      <c r="EL251" s="39">
        <f t="shared" ref="EL251:EQ251" si="4228">EL$1*DS251</f>
        <v>0</v>
      </c>
      <c r="EM251" s="39">
        <f t="shared" si="4228"/>
        <v>0</v>
      </c>
      <c r="EN251" s="39">
        <f t="shared" si="4228"/>
        <v>0</v>
      </c>
      <c r="EO251" s="39">
        <f t="shared" si="4228"/>
        <v>0</v>
      </c>
      <c r="EP251" s="39">
        <f t="shared" si="4228"/>
        <v>3763.9802799999998</v>
      </c>
      <c r="EQ251" s="39">
        <f t="shared" si="4228"/>
        <v>0</v>
      </c>
      <c r="ER251" s="39">
        <f t="shared" ref="ER251:EV251" si="4229">ER$1*DY251/1000000</f>
        <v>0</v>
      </c>
      <c r="ES251" s="39">
        <f t="shared" si="4229"/>
        <v>0</v>
      </c>
      <c r="ET251" s="39">
        <f t="shared" si="4229"/>
        <v>0</v>
      </c>
      <c r="EU251" s="39">
        <f t="shared" si="4229"/>
        <v>0</v>
      </c>
      <c r="EV251" s="39">
        <f t="shared" si="4229"/>
        <v>0</v>
      </c>
      <c r="EW251" s="39">
        <f t="shared" ref="EW251:EX251" si="4230">EW$1*ED251</f>
        <v>0</v>
      </c>
      <c r="EX251" s="39">
        <f t="shared" si="4230"/>
        <v>0</v>
      </c>
      <c r="EY251" s="2"/>
      <c r="EZ251" s="39">
        <f t="shared" si="17"/>
        <v>0</v>
      </c>
      <c r="FA251" s="39">
        <f t="shared" si="18"/>
        <v>0</v>
      </c>
      <c r="FB251" s="2">
        <f t="shared" si="19"/>
        <v>0</v>
      </c>
      <c r="FC251" s="2">
        <f t="shared" ref="FC251:FD251" si="4231">BV251*$BT251+CQ251*$CO251</f>
        <v>0</v>
      </c>
      <c r="FD251" s="2">
        <f t="shared" si="4231"/>
        <v>0</v>
      </c>
      <c r="FE251" s="2">
        <f t="shared" ref="FE251:FJ251" si="4232">(BX251*$BT251+CS251*$CO251)/100</f>
        <v>0</v>
      </c>
      <c r="FF251" s="2">
        <f t="shared" si="4232"/>
        <v>0</v>
      </c>
      <c r="FG251" s="2">
        <f t="shared" si="4232"/>
        <v>0</v>
      </c>
      <c r="FH251" s="2">
        <f t="shared" si="4232"/>
        <v>0</v>
      </c>
      <c r="FI251" s="2">
        <f t="shared" si="4232"/>
        <v>0</v>
      </c>
      <c r="FJ251" s="2">
        <f t="shared" si="4232"/>
        <v>0</v>
      </c>
      <c r="FK251" s="2">
        <f t="shared" ref="FK251:FO251" si="4233">CD251*$BT251+CY251*$CO251</f>
        <v>0</v>
      </c>
      <c r="FL251" s="2">
        <f t="shared" si="4233"/>
        <v>0</v>
      </c>
      <c r="FM251" s="2">
        <f t="shared" si="4233"/>
        <v>0</v>
      </c>
      <c r="FN251" s="2">
        <f t="shared" si="4233"/>
        <v>0</v>
      </c>
      <c r="FO251" s="2">
        <f t="shared" si="4233"/>
        <v>0</v>
      </c>
      <c r="FP251" s="2">
        <f t="shared" ref="FP251:FQ251" si="4234">(CI251*$BT251+DD251*$CO251)/100</f>
        <v>0</v>
      </c>
      <c r="FQ251" s="2">
        <f t="shared" si="4234"/>
        <v>0</v>
      </c>
      <c r="FR251" s="2"/>
      <c r="FS251" s="2">
        <f t="shared" si="24"/>
        <v>0</v>
      </c>
      <c r="FT251" s="2">
        <f t="shared" si="25"/>
        <v>0</v>
      </c>
      <c r="FU251" s="39">
        <f t="shared" si="26"/>
        <v>0</v>
      </c>
      <c r="FV251" s="39">
        <f t="shared" ref="FV251:FW251" si="4235">FV$1*FC251/1000000</f>
        <v>0</v>
      </c>
      <c r="FW251" s="39">
        <f t="shared" si="4235"/>
        <v>0</v>
      </c>
      <c r="FX251" s="39">
        <f t="shared" ref="FX251:GC251" si="4236">FX$1*FE251</f>
        <v>0</v>
      </c>
      <c r="FY251" s="39">
        <f t="shared" si="4236"/>
        <v>0</v>
      </c>
      <c r="FZ251" s="39">
        <f t="shared" si="4236"/>
        <v>0</v>
      </c>
      <c r="GA251" s="39">
        <f t="shared" si="4236"/>
        <v>0</v>
      </c>
      <c r="GB251" s="39">
        <f t="shared" si="4236"/>
        <v>0</v>
      </c>
      <c r="GC251" s="39">
        <f t="shared" si="4236"/>
        <v>0</v>
      </c>
      <c r="GD251" s="39">
        <f t="shared" ref="GD251:GH251" si="4237">GD$1*FK251/1000000</f>
        <v>0</v>
      </c>
      <c r="GE251" s="39">
        <f t="shared" si="4237"/>
        <v>0</v>
      </c>
      <c r="GF251" s="39">
        <f t="shared" si="4237"/>
        <v>0</v>
      </c>
      <c r="GG251" s="39">
        <f t="shared" si="4237"/>
        <v>0</v>
      </c>
      <c r="GH251" s="39">
        <f t="shared" si="4237"/>
        <v>0</v>
      </c>
      <c r="GI251" s="39">
        <f t="shared" ref="GI251:GJ251" si="4238">GI$1*FP251</f>
        <v>0</v>
      </c>
      <c r="GJ251" s="39">
        <f t="shared" si="4238"/>
        <v>0</v>
      </c>
      <c r="GK251" s="2"/>
      <c r="GL251" s="39">
        <f t="shared" si="31"/>
        <v>0</v>
      </c>
      <c r="GM251" s="39">
        <f t="shared" si="32"/>
        <v>0</v>
      </c>
      <c r="GN251" s="2" t="s">
        <v>3</v>
      </c>
      <c r="GO251" s="2">
        <f t="shared" si="33"/>
        <v>22.6</v>
      </c>
      <c r="GP251" s="2">
        <f t="shared" si="34"/>
        <v>1.27</v>
      </c>
      <c r="GQ251" s="15">
        <f t="shared" si="35"/>
        <v>287.02</v>
      </c>
      <c r="GR251" s="15">
        <f t="shared" si="36"/>
        <v>3763.9802799999998</v>
      </c>
      <c r="GS251" s="15">
        <f t="shared" si="37"/>
        <v>166.54779999999997</v>
      </c>
      <c r="GT251" s="2">
        <f t="shared" si="38"/>
        <v>0</v>
      </c>
      <c r="GU251" s="2">
        <f t="shared" si="39"/>
        <v>0</v>
      </c>
      <c r="GV251" s="2">
        <f t="shared" si="40"/>
        <v>287.02</v>
      </c>
      <c r="GW251" s="2">
        <f t="shared" si="41"/>
        <v>0</v>
      </c>
      <c r="GX251" s="2"/>
      <c r="GY251" s="2"/>
      <c r="GZ251" s="2"/>
      <c r="HA251" s="2"/>
      <c r="HB251" s="2">
        <f t="shared" si="42"/>
        <v>0</v>
      </c>
      <c r="HC251" s="2">
        <f t="shared" si="43"/>
        <v>0</v>
      </c>
      <c r="HD251" s="2" t="s">
        <v>3</v>
      </c>
      <c r="HE251" s="2" t="s">
        <v>37</v>
      </c>
      <c r="HF251" s="2" t="s">
        <v>114</v>
      </c>
      <c r="HG251" s="2" t="s">
        <v>114</v>
      </c>
      <c r="HH251" s="2"/>
      <c r="HI251" s="2" t="s">
        <v>100</v>
      </c>
      <c r="HJ251" s="2" t="s">
        <v>3</v>
      </c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  <c r="JE251" s="2"/>
      <c r="JF251" s="2"/>
      <c r="JG251" s="2"/>
      <c r="JH251" s="2" t="s">
        <v>3</v>
      </c>
    </row>
    <row r="252" spans="1:268" ht="15.75" customHeight="1" x14ac:dyDescent="0.2">
      <c r="A252" s="13" t="s">
        <v>1150</v>
      </c>
      <c r="B252" s="2" t="s">
        <v>99</v>
      </c>
      <c r="C252" s="2"/>
      <c r="D252" s="2"/>
      <c r="E252" s="2"/>
      <c r="F252" s="2" t="s">
        <v>232</v>
      </c>
      <c r="G252" s="2"/>
      <c r="H252" s="2"/>
      <c r="I252" s="2">
        <v>0</v>
      </c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>
        <v>0</v>
      </c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>
        <v>27</v>
      </c>
      <c r="AZ252" s="2"/>
      <c r="BA252" s="2"/>
      <c r="BB252" s="2"/>
      <c r="BC252" s="2"/>
      <c r="BD252" s="2"/>
      <c r="BE252" s="2"/>
      <c r="BF252" s="2"/>
      <c r="BG252" s="15">
        <v>1</v>
      </c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>
        <v>0</v>
      </c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>
        <v>0</v>
      </c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 t="s">
        <v>100</v>
      </c>
      <c r="DK252" s="2"/>
      <c r="DL252" s="2">
        <f t="shared" si="3"/>
        <v>1</v>
      </c>
      <c r="DM252" s="2">
        <f t="shared" si="4"/>
        <v>0</v>
      </c>
      <c r="DN252" s="2" t="s">
        <v>113</v>
      </c>
      <c r="DO252" s="2" t="s">
        <v>3</v>
      </c>
      <c r="DP252" s="2">
        <f t="shared" si="5"/>
        <v>0</v>
      </c>
      <c r="DQ252" s="2">
        <f t="shared" ref="DQ252:DR252" si="4239">K252*$I252+AF252*$AD252+BA252*$AY252</f>
        <v>0</v>
      </c>
      <c r="DR252" s="2">
        <f t="shared" si="4239"/>
        <v>0</v>
      </c>
      <c r="DS252" s="2">
        <f t="shared" ref="DS252:DX252" si="4240">(M252*$I252+AH252*$AD252+BC252*$AY252)/100</f>
        <v>0</v>
      </c>
      <c r="DT252" s="2">
        <f t="shared" si="4240"/>
        <v>0</v>
      </c>
      <c r="DU252" s="2">
        <f t="shared" si="4240"/>
        <v>0</v>
      </c>
      <c r="DV252" s="2">
        <f t="shared" si="4240"/>
        <v>0</v>
      </c>
      <c r="DW252" s="2">
        <f t="shared" si="4240"/>
        <v>0.27</v>
      </c>
      <c r="DX252" s="2">
        <f t="shared" si="4240"/>
        <v>0</v>
      </c>
      <c r="DY252" s="2">
        <f t="shared" ref="DY252:EC252" si="4241">S252*$I252+AN252*$AD252+BI252*$AY252</f>
        <v>0</v>
      </c>
      <c r="DZ252" s="2">
        <f t="shared" si="4241"/>
        <v>0</v>
      </c>
      <c r="EA252" s="2">
        <f t="shared" si="4241"/>
        <v>0</v>
      </c>
      <c r="EB252" s="2">
        <f t="shared" si="4241"/>
        <v>0</v>
      </c>
      <c r="EC252" s="2">
        <f t="shared" si="4241"/>
        <v>0</v>
      </c>
      <c r="ED252" s="2">
        <f t="shared" ref="ED252:EE252" si="4242">(X252*$I252+AS252*$AD252+BN252*$AY252)/100</f>
        <v>0</v>
      </c>
      <c r="EE252" s="2">
        <f t="shared" si="4242"/>
        <v>0</v>
      </c>
      <c r="EF252" s="2"/>
      <c r="EG252" s="2">
        <f t="shared" si="10"/>
        <v>0</v>
      </c>
      <c r="EH252" s="2">
        <f t="shared" si="11"/>
        <v>0</v>
      </c>
      <c r="EI252" s="39">
        <f t="shared" si="12"/>
        <v>0</v>
      </c>
      <c r="EJ252" s="39">
        <f t="shared" ref="EJ252:EK252" si="4243">EJ$1*DQ252/1000000</f>
        <v>0</v>
      </c>
      <c r="EK252" s="39">
        <f t="shared" si="4243"/>
        <v>0</v>
      </c>
      <c r="EL252" s="39">
        <f t="shared" ref="EL252:EQ252" si="4244">EL$1*DS252</f>
        <v>0</v>
      </c>
      <c r="EM252" s="39">
        <f t="shared" si="4244"/>
        <v>0</v>
      </c>
      <c r="EN252" s="39">
        <f t="shared" si="4244"/>
        <v>0</v>
      </c>
      <c r="EO252" s="39">
        <f t="shared" si="4244"/>
        <v>0</v>
      </c>
      <c r="EP252" s="39">
        <f t="shared" si="4244"/>
        <v>3540.78</v>
      </c>
      <c r="EQ252" s="39">
        <f t="shared" si="4244"/>
        <v>0</v>
      </c>
      <c r="ER252" s="39">
        <f t="shared" ref="ER252:EV252" si="4245">ER$1*DY252/1000000</f>
        <v>0</v>
      </c>
      <c r="ES252" s="39">
        <f t="shared" si="4245"/>
        <v>0</v>
      </c>
      <c r="ET252" s="39">
        <f t="shared" si="4245"/>
        <v>0</v>
      </c>
      <c r="EU252" s="39">
        <f t="shared" si="4245"/>
        <v>0</v>
      </c>
      <c r="EV252" s="39">
        <f t="shared" si="4245"/>
        <v>0</v>
      </c>
      <c r="EW252" s="39">
        <f t="shared" ref="EW252:EX252" si="4246">EW$1*ED252</f>
        <v>0</v>
      </c>
      <c r="EX252" s="39">
        <f t="shared" si="4246"/>
        <v>0</v>
      </c>
      <c r="EY252" s="2"/>
      <c r="EZ252" s="39">
        <f t="shared" si="17"/>
        <v>0</v>
      </c>
      <c r="FA252" s="39">
        <f t="shared" si="18"/>
        <v>0</v>
      </c>
      <c r="FB252" s="2">
        <f t="shared" si="19"/>
        <v>0</v>
      </c>
      <c r="FC252" s="2">
        <f t="shared" ref="FC252:FD252" si="4247">BV252*$BT252+CQ252*$CO252</f>
        <v>0</v>
      </c>
      <c r="FD252" s="2">
        <f t="shared" si="4247"/>
        <v>0</v>
      </c>
      <c r="FE252" s="2">
        <f t="shared" ref="FE252:FJ252" si="4248">(BX252*$BT252+CS252*$CO252)/100</f>
        <v>0</v>
      </c>
      <c r="FF252" s="2">
        <f t="shared" si="4248"/>
        <v>0</v>
      </c>
      <c r="FG252" s="2">
        <f t="shared" si="4248"/>
        <v>0</v>
      </c>
      <c r="FH252" s="2">
        <f t="shared" si="4248"/>
        <v>0</v>
      </c>
      <c r="FI252" s="2">
        <f t="shared" si="4248"/>
        <v>0</v>
      </c>
      <c r="FJ252" s="2">
        <f t="shared" si="4248"/>
        <v>0</v>
      </c>
      <c r="FK252" s="2">
        <f t="shared" ref="FK252:FO252" si="4249">CD252*$BT252+CY252*$CO252</f>
        <v>0</v>
      </c>
      <c r="FL252" s="2">
        <f t="shared" si="4249"/>
        <v>0</v>
      </c>
      <c r="FM252" s="2">
        <f t="shared" si="4249"/>
        <v>0</v>
      </c>
      <c r="FN252" s="2">
        <f t="shared" si="4249"/>
        <v>0</v>
      </c>
      <c r="FO252" s="2">
        <f t="shared" si="4249"/>
        <v>0</v>
      </c>
      <c r="FP252" s="2">
        <f t="shared" ref="FP252:FQ252" si="4250">(CI252*$BT252+DD252*$CO252)/100</f>
        <v>0</v>
      </c>
      <c r="FQ252" s="2">
        <f t="shared" si="4250"/>
        <v>0</v>
      </c>
      <c r="FR252" s="2"/>
      <c r="FS252" s="2">
        <f t="shared" si="24"/>
        <v>0</v>
      </c>
      <c r="FT252" s="2">
        <f t="shared" si="25"/>
        <v>0</v>
      </c>
      <c r="FU252" s="39">
        <f t="shared" si="26"/>
        <v>0</v>
      </c>
      <c r="FV252" s="39">
        <f t="shared" ref="FV252:FW252" si="4251">FV$1*FC252/1000000</f>
        <v>0</v>
      </c>
      <c r="FW252" s="39">
        <f t="shared" si="4251"/>
        <v>0</v>
      </c>
      <c r="FX252" s="39">
        <f t="shared" ref="FX252:GC252" si="4252">FX$1*FE252</f>
        <v>0</v>
      </c>
      <c r="FY252" s="39">
        <f t="shared" si="4252"/>
        <v>0</v>
      </c>
      <c r="FZ252" s="39">
        <f t="shared" si="4252"/>
        <v>0</v>
      </c>
      <c r="GA252" s="39">
        <f t="shared" si="4252"/>
        <v>0</v>
      </c>
      <c r="GB252" s="39">
        <f t="shared" si="4252"/>
        <v>0</v>
      </c>
      <c r="GC252" s="39">
        <f t="shared" si="4252"/>
        <v>0</v>
      </c>
      <c r="GD252" s="39">
        <f t="shared" ref="GD252:GH252" si="4253">GD$1*FK252/1000000</f>
        <v>0</v>
      </c>
      <c r="GE252" s="39">
        <f t="shared" si="4253"/>
        <v>0</v>
      </c>
      <c r="GF252" s="39">
        <f t="shared" si="4253"/>
        <v>0</v>
      </c>
      <c r="GG252" s="39">
        <f t="shared" si="4253"/>
        <v>0</v>
      </c>
      <c r="GH252" s="39">
        <f t="shared" si="4253"/>
        <v>0</v>
      </c>
      <c r="GI252" s="39">
        <f t="shared" ref="GI252:GJ252" si="4254">GI$1*FP252</f>
        <v>0</v>
      </c>
      <c r="GJ252" s="39">
        <f t="shared" si="4254"/>
        <v>0</v>
      </c>
      <c r="GK252" s="2"/>
      <c r="GL252" s="39">
        <f t="shared" si="31"/>
        <v>0</v>
      </c>
      <c r="GM252" s="39">
        <f t="shared" si="32"/>
        <v>0</v>
      </c>
      <c r="GN252" s="2" t="s">
        <v>3</v>
      </c>
      <c r="GO252" s="2">
        <f t="shared" si="33"/>
        <v>27</v>
      </c>
      <c r="GP252" s="2">
        <f t="shared" si="34"/>
        <v>1</v>
      </c>
      <c r="GQ252" s="15">
        <f t="shared" si="35"/>
        <v>270</v>
      </c>
      <c r="GR252" s="15">
        <f t="shared" si="36"/>
        <v>3540.78</v>
      </c>
      <c r="GS252" s="15">
        <f t="shared" si="37"/>
        <v>131.14000000000001</v>
      </c>
      <c r="GT252" s="2">
        <f t="shared" si="38"/>
        <v>0</v>
      </c>
      <c r="GU252" s="2">
        <f t="shared" si="39"/>
        <v>0</v>
      </c>
      <c r="GV252" s="2">
        <f t="shared" si="40"/>
        <v>270</v>
      </c>
      <c r="GW252" s="2">
        <f t="shared" si="41"/>
        <v>0</v>
      </c>
      <c r="GX252" s="2"/>
      <c r="GY252" s="2"/>
      <c r="GZ252" s="2"/>
      <c r="HA252" s="2"/>
      <c r="HB252" s="2">
        <f t="shared" si="42"/>
        <v>0</v>
      </c>
      <c r="HC252" s="2">
        <f t="shared" si="43"/>
        <v>0</v>
      </c>
      <c r="HD252" s="2" t="s">
        <v>3</v>
      </c>
      <c r="HE252" s="2" t="s">
        <v>37</v>
      </c>
      <c r="HF252" s="2" t="s">
        <v>114</v>
      </c>
      <c r="HG252" s="2" t="s">
        <v>114</v>
      </c>
      <c r="HH252" s="2"/>
      <c r="HI252" s="2" t="s">
        <v>100</v>
      </c>
      <c r="HJ252" s="2" t="s">
        <v>3</v>
      </c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  <c r="JE252" s="2"/>
      <c r="JF252" s="2"/>
      <c r="JG252" s="2"/>
      <c r="JH252" s="2" t="s">
        <v>3</v>
      </c>
    </row>
    <row r="253" spans="1:268" ht="15.75" customHeight="1" x14ac:dyDescent="0.2">
      <c r="A253" s="13" t="s">
        <v>621</v>
      </c>
      <c r="B253" s="2" t="s">
        <v>99</v>
      </c>
      <c r="C253" s="2"/>
      <c r="D253" s="2"/>
      <c r="E253" s="2"/>
      <c r="F253" s="2" t="s">
        <v>79</v>
      </c>
      <c r="G253" s="2"/>
      <c r="H253" s="2"/>
      <c r="I253" s="2">
        <v>0</v>
      </c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>
        <v>0</v>
      </c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>
        <v>55.1</v>
      </c>
      <c r="AZ253" s="2"/>
      <c r="BA253" s="2"/>
      <c r="BB253" s="2"/>
      <c r="BC253" s="2"/>
      <c r="BD253" s="2"/>
      <c r="BE253" s="2"/>
      <c r="BF253" s="2"/>
      <c r="BG253" s="2">
        <v>0.96</v>
      </c>
      <c r="BH253" s="2">
        <v>0.05</v>
      </c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>
        <v>0</v>
      </c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>
        <v>0</v>
      </c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 t="s">
        <v>100</v>
      </c>
      <c r="DK253" s="2" t="s">
        <v>100</v>
      </c>
      <c r="DL253" s="2">
        <f t="shared" si="3"/>
        <v>0.96</v>
      </c>
      <c r="DM253" s="2">
        <f t="shared" si="4"/>
        <v>0.05</v>
      </c>
      <c r="DN253" s="2" t="s">
        <v>622</v>
      </c>
      <c r="DO253" s="2" t="s">
        <v>3</v>
      </c>
      <c r="DP253" s="2">
        <f t="shared" si="5"/>
        <v>0</v>
      </c>
      <c r="DQ253" s="2">
        <f t="shared" ref="DQ253:DR253" si="4255">K253*$I253+AF253*$AD253+BA253*$AY253</f>
        <v>0</v>
      </c>
      <c r="DR253" s="2">
        <f t="shared" si="4255"/>
        <v>0</v>
      </c>
      <c r="DS253" s="2">
        <f t="shared" ref="DS253:DX253" si="4256">(M253*$I253+AH253*$AD253+BC253*$AY253)/100</f>
        <v>0</v>
      </c>
      <c r="DT253" s="2">
        <f t="shared" si="4256"/>
        <v>0</v>
      </c>
      <c r="DU253" s="2">
        <f t="shared" si="4256"/>
        <v>0</v>
      </c>
      <c r="DV253" s="2">
        <f t="shared" si="4256"/>
        <v>0</v>
      </c>
      <c r="DW253" s="2">
        <f t="shared" si="4256"/>
        <v>0.52895999999999999</v>
      </c>
      <c r="DX253" s="2">
        <f t="shared" si="4256"/>
        <v>2.7550000000000005E-2</v>
      </c>
      <c r="DY253" s="2">
        <f t="shared" ref="DY253:EC253" si="4257">S253*$I253+AN253*$AD253+BI253*$AY253</f>
        <v>0</v>
      </c>
      <c r="DZ253" s="2">
        <f t="shared" si="4257"/>
        <v>0</v>
      </c>
      <c r="EA253" s="2">
        <f t="shared" si="4257"/>
        <v>0</v>
      </c>
      <c r="EB253" s="2">
        <f t="shared" si="4257"/>
        <v>0</v>
      </c>
      <c r="EC253" s="2">
        <f t="shared" si="4257"/>
        <v>0</v>
      </c>
      <c r="ED253" s="2">
        <f t="shared" ref="ED253:EE253" si="4258">(X253*$I253+AS253*$AD253+BN253*$AY253)/100</f>
        <v>0</v>
      </c>
      <c r="EE253" s="2">
        <f t="shared" si="4258"/>
        <v>0</v>
      </c>
      <c r="EF253" s="2"/>
      <c r="EG253" s="2">
        <f t="shared" si="10"/>
        <v>0</v>
      </c>
      <c r="EH253" s="2">
        <f t="shared" si="11"/>
        <v>0</v>
      </c>
      <c r="EI253" s="39">
        <f t="shared" si="12"/>
        <v>0</v>
      </c>
      <c r="EJ253" s="39">
        <f t="shared" ref="EJ253:EK253" si="4259">EJ$1*DQ253/1000000</f>
        <v>0</v>
      </c>
      <c r="EK253" s="39">
        <f t="shared" si="4259"/>
        <v>0</v>
      </c>
      <c r="EL253" s="39">
        <f t="shared" ref="EL253:EQ253" si="4260">EL$1*DS253</f>
        <v>0</v>
      </c>
      <c r="EM253" s="39">
        <f t="shared" si="4260"/>
        <v>0</v>
      </c>
      <c r="EN253" s="39">
        <f t="shared" si="4260"/>
        <v>0</v>
      </c>
      <c r="EO253" s="39">
        <f t="shared" si="4260"/>
        <v>0</v>
      </c>
      <c r="EP253" s="39">
        <f t="shared" si="4260"/>
        <v>6936.7814399999997</v>
      </c>
      <c r="EQ253" s="39">
        <f t="shared" si="4260"/>
        <v>2000.6678862000001</v>
      </c>
      <c r="ER253" s="39">
        <f t="shared" ref="ER253:EV253" si="4261">ER$1*DY253/1000000</f>
        <v>0</v>
      </c>
      <c r="ES253" s="39">
        <f t="shared" si="4261"/>
        <v>0</v>
      </c>
      <c r="ET253" s="39">
        <f t="shared" si="4261"/>
        <v>0</v>
      </c>
      <c r="EU253" s="39">
        <f t="shared" si="4261"/>
        <v>0</v>
      </c>
      <c r="EV253" s="39">
        <f t="shared" si="4261"/>
        <v>0</v>
      </c>
      <c r="EW253" s="39">
        <f t="shared" ref="EW253:EX253" si="4262">EW$1*ED253</f>
        <v>0</v>
      </c>
      <c r="EX253" s="39">
        <f t="shared" si="4262"/>
        <v>0</v>
      </c>
      <c r="EY253" s="2"/>
      <c r="EZ253" s="39">
        <f t="shared" si="17"/>
        <v>0</v>
      </c>
      <c r="FA253" s="39">
        <f t="shared" si="18"/>
        <v>0</v>
      </c>
      <c r="FB253" s="2">
        <f t="shared" si="19"/>
        <v>0</v>
      </c>
      <c r="FC253" s="2">
        <f t="shared" ref="FC253:FD253" si="4263">BV253*$BT253+CQ253*$CO253</f>
        <v>0</v>
      </c>
      <c r="FD253" s="2">
        <f t="shared" si="4263"/>
        <v>0</v>
      </c>
      <c r="FE253" s="2">
        <f t="shared" ref="FE253:FJ253" si="4264">(BX253*$BT253+CS253*$CO253)/100</f>
        <v>0</v>
      </c>
      <c r="FF253" s="2">
        <f t="shared" si="4264"/>
        <v>0</v>
      </c>
      <c r="FG253" s="2">
        <f t="shared" si="4264"/>
        <v>0</v>
      </c>
      <c r="FH253" s="2">
        <f t="shared" si="4264"/>
        <v>0</v>
      </c>
      <c r="FI253" s="2">
        <f t="shared" si="4264"/>
        <v>0</v>
      </c>
      <c r="FJ253" s="2">
        <f t="shared" si="4264"/>
        <v>0</v>
      </c>
      <c r="FK253" s="2">
        <f t="shared" ref="FK253:FO253" si="4265">CD253*$BT253+CY253*$CO253</f>
        <v>0</v>
      </c>
      <c r="FL253" s="2">
        <f t="shared" si="4265"/>
        <v>0</v>
      </c>
      <c r="FM253" s="2">
        <f t="shared" si="4265"/>
        <v>0</v>
      </c>
      <c r="FN253" s="2">
        <f t="shared" si="4265"/>
        <v>0</v>
      </c>
      <c r="FO253" s="2">
        <f t="shared" si="4265"/>
        <v>0</v>
      </c>
      <c r="FP253" s="2">
        <f t="shared" ref="FP253:FQ253" si="4266">(CI253*$BT253+DD253*$CO253)/100</f>
        <v>0</v>
      </c>
      <c r="FQ253" s="2">
        <f t="shared" si="4266"/>
        <v>0</v>
      </c>
      <c r="FR253" s="2"/>
      <c r="FS253" s="2">
        <f t="shared" si="24"/>
        <v>0</v>
      </c>
      <c r="FT253" s="2">
        <f t="shared" si="25"/>
        <v>0</v>
      </c>
      <c r="FU253" s="39">
        <f t="shared" si="26"/>
        <v>0</v>
      </c>
      <c r="FV253" s="39">
        <f t="shared" ref="FV253:FW253" si="4267">FV$1*FC253/1000000</f>
        <v>0</v>
      </c>
      <c r="FW253" s="39">
        <f t="shared" si="4267"/>
        <v>0</v>
      </c>
      <c r="FX253" s="39">
        <f t="shared" ref="FX253:GC253" si="4268">FX$1*FE253</f>
        <v>0</v>
      </c>
      <c r="FY253" s="39">
        <f t="shared" si="4268"/>
        <v>0</v>
      </c>
      <c r="FZ253" s="39">
        <f t="shared" si="4268"/>
        <v>0</v>
      </c>
      <c r="GA253" s="39">
        <f t="shared" si="4268"/>
        <v>0</v>
      </c>
      <c r="GB253" s="39">
        <f t="shared" si="4268"/>
        <v>0</v>
      </c>
      <c r="GC253" s="39">
        <f t="shared" si="4268"/>
        <v>0</v>
      </c>
      <c r="GD253" s="39">
        <f t="shared" ref="GD253:GH253" si="4269">GD$1*FK253/1000000</f>
        <v>0</v>
      </c>
      <c r="GE253" s="39">
        <f t="shared" si="4269"/>
        <v>0</v>
      </c>
      <c r="GF253" s="39">
        <f t="shared" si="4269"/>
        <v>0</v>
      </c>
      <c r="GG253" s="39">
        <f t="shared" si="4269"/>
        <v>0</v>
      </c>
      <c r="GH253" s="39">
        <f t="shared" si="4269"/>
        <v>0</v>
      </c>
      <c r="GI253" s="39">
        <f t="shared" ref="GI253:GJ253" si="4270">GI$1*FP253</f>
        <v>0</v>
      </c>
      <c r="GJ253" s="39">
        <f t="shared" si="4270"/>
        <v>0</v>
      </c>
      <c r="GK253" s="2"/>
      <c r="GL253" s="39">
        <f t="shared" si="31"/>
        <v>0</v>
      </c>
      <c r="GM253" s="39">
        <f t="shared" si="32"/>
        <v>0</v>
      </c>
      <c r="GN253" s="2" t="s">
        <v>3</v>
      </c>
      <c r="GO253" s="2">
        <f t="shared" si="33"/>
        <v>55.1</v>
      </c>
      <c r="GP253" s="2">
        <f t="shared" si="34"/>
        <v>0.96</v>
      </c>
      <c r="GQ253" s="15">
        <f t="shared" si="35"/>
        <v>528.96</v>
      </c>
      <c r="GR253" s="15">
        <f t="shared" si="36"/>
        <v>8937.4493261999996</v>
      </c>
      <c r="GS253" s="15">
        <f t="shared" si="37"/>
        <v>162.204162</v>
      </c>
      <c r="GT253" s="2">
        <f t="shared" si="38"/>
        <v>0</v>
      </c>
      <c r="GU253" s="2">
        <f t="shared" si="39"/>
        <v>0</v>
      </c>
      <c r="GV253" s="2">
        <f t="shared" si="40"/>
        <v>528.96</v>
      </c>
      <c r="GW253" s="2">
        <f t="shared" si="41"/>
        <v>0</v>
      </c>
      <c r="GX253" s="2"/>
      <c r="GY253" s="2"/>
      <c r="GZ253" s="2"/>
      <c r="HA253" s="2"/>
      <c r="HB253" s="2">
        <f t="shared" si="42"/>
        <v>0</v>
      </c>
      <c r="HC253" s="2">
        <f t="shared" si="43"/>
        <v>0</v>
      </c>
      <c r="HD253" s="2" t="s">
        <v>3</v>
      </c>
      <c r="HE253" s="2" t="s">
        <v>37</v>
      </c>
      <c r="HF253" s="2" t="s">
        <v>114</v>
      </c>
      <c r="HG253" s="2" t="s">
        <v>114</v>
      </c>
      <c r="HH253" s="2"/>
      <c r="HI253" s="2" t="s">
        <v>100</v>
      </c>
      <c r="HJ253" s="2" t="s">
        <v>3</v>
      </c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  <c r="JA253" s="2"/>
      <c r="JB253" s="2"/>
      <c r="JC253" s="2"/>
      <c r="JD253" s="2"/>
      <c r="JE253" s="2"/>
      <c r="JF253" s="2"/>
      <c r="JG253" s="2"/>
      <c r="JH253" s="2" t="s">
        <v>3</v>
      </c>
    </row>
    <row r="254" spans="1:268" ht="15.75" customHeight="1" x14ac:dyDescent="0.2">
      <c r="A254" s="13" t="s">
        <v>499</v>
      </c>
      <c r="B254" s="2" t="s">
        <v>99</v>
      </c>
      <c r="C254" s="2"/>
      <c r="D254" s="2"/>
      <c r="E254" s="2" t="s">
        <v>78</v>
      </c>
      <c r="F254" s="2" t="s">
        <v>79</v>
      </c>
      <c r="G254" s="2"/>
      <c r="H254" s="2" t="s">
        <v>500</v>
      </c>
      <c r="I254" s="2">
        <v>0</v>
      </c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>
        <v>0</v>
      </c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19">
        <v>7.7690999999999996E-2</v>
      </c>
      <c r="AZ254" s="2"/>
      <c r="BA254" s="2"/>
      <c r="BB254" s="2"/>
      <c r="BC254" s="2"/>
      <c r="BD254" s="2"/>
      <c r="BE254" s="2"/>
      <c r="BF254" s="2"/>
      <c r="BG254" s="2">
        <v>0.3</v>
      </c>
      <c r="BH254" s="2">
        <v>0.44600000000000001</v>
      </c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>
        <v>0</v>
      </c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>
        <v>0</v>
      </c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 t="s">
        <v>100</v>
      </c>
      <c r="DK254" s="2" t="s">
        <v>100</v>
      </c>
      <c r="DL254" s="2">
        <f t="shared" si="3"/>
        <v>0.3</v>
      </c>
      <c r="DM254" s="2">
        <f t="shared" si="4"/>
        <v>0.44600000000000001</v>
      </c>
      <c r="DN254" s="2" t="s">
        <v>501</v>
      </c>
      <c r="DO254" s="2" t="s">
        <v>3</v>
      </c>
      <c r="DP254" s="2">
        <f t="shared" si="5"/>
        <v>0</v>
      </c>
      <c r="DQ254" s="2">
        <f t="shared" ref="DQ254:DR254" si="4271">K254*$I254+AF254*$AD254+BA254*$AY254</f>
        <v>0</v>
      </c>
      <c r="DR254" s="2">
        <f t="shared" si="4271"/>
        <v>0</v>
      </c>
      <c r="DS254" s="2">
        <f t="shared" ref="DS254:DX254" si="4272">(M254*$I254+AH254*$AD254+BC254*$AY254)/100</f>
        <v>0</v>
      </c>
      <c r="DT254" s="2">
        <f t="shared" si="4272"/>
        <v>0</v>
      </c>
      <c r="DU254" s="2">
        <f t="shared" si="4272"/>
        <v>0</v>
      </c>
      <c r="DV254" s="2">
        <f t="shared" si="4272"/>
        <v>0</v>
      </c>
      <c r="DW254" s="2">
        <f t="shared" si="4272"/>
        <v>2.3307299999999998E-4</v>
      </c>
      <c r="DX254" s="2">
        <f t="shared" si="4272"/>
        <v>3.4650186000000001E-4</v>
      </c>
      <c r="DY254" s="2">
        <f t="shared" ref="DY254:EC254" si="4273">S254*$I254+AN254*$AD254+BI254*$AY254</f>
        <v>0</v>
      </c>
      <c r="DZ254" s="2">
        <f t="shared" si="4273"/>
        <v>0</v>
      </c>
      <c r="EA254" s="2">
        <f t="shared" si="4273"/>
        <v>0</v>
      </c>
      <c r="EB254" s="2">
        <f t="shared" si="4273"/>
        <v>0</v>
      </c>
      <c r="EC254" s="2">
        <f t="shared" si="4273"/>
        <v>0</v>
      </c>
      <c r="ED254" s="2">
        <f t="shared" ref="ED254:EE254" si="4274">(X254*$I254+AS254*$AD254+BN254*$AY254)/100</f>
        <v>0</v>
      </c>
      <c r="EE254" s="2">
        <f t="shared" si="4274"/>
        <v>0</v>
      </c>
      <c r="EF254" s="2"/>
      <c r="EG254" s="2">
        <f t="shared" si="10"/>
        <v>0</v>
      </c>
      <c r="EH254" s="2">
        <f t="shared" si="11"/>
        <v>0</v>
      </c>
      <c r="EI254" s="39">
        <f t="shared" si="12"/>
        <v>0</v>
      </c>
      <c r="EJ254" s="39">
        <f t="shared" ref="EJ254:EK254" si="4275">EJ$1*DQ254/1000000</f>
        <v>0</v>
      </c>
      <c r="EK254" s="39">
        <f t="shared" si="4275"/>
        <v>0</v>
      </c>
      <c r="EL254" s="39">
        <f t="shared" ref="EL254:EQ254" si="4276">EL$1*DS254</f>
        <v>0</v>
      </c>
      <c r="EM254" s="39">
        <f t="shared" si="4276"/>
        <v>0</v>
      </c>
      <c r="EN254" s="39">
        <f t="shared" si="4276"/>
        <v>0</v>
      </c>
      <c r="EO254" s="39">
        <f t="shared" si="4276"/>
        <v>0</v>
      </c>
      <c r="EP254" s="39">
        <f t="shared" si="4276"/>
        <v>3.0565193219999998</v>
      </c>
      <c r="EQ254" s="39">
        <f t="shared" si="4276"/>
        <v>25.162800138314637</v>
      </c>
      <c r="ER254" s="39">
        <f t="shared" ref="ER254:EV254" si="4277">ER$1*DY254/1000000</f>
        <v>0</v>
      </c>
      <c r="ES254" s="39">
        <f t="shared" si="4277"/>
        <v>0</v>
      </c>
      <c r="ET254" s="39">
        <f t="shared" si="4277"/>
        <v>0</v>
      </c>
      <c r="EU254" s="39">
        <f t="shared" si="4277"/>
        <v>0</v>
      </c>
      <c r="EV254" s="39">
        <f t="shared" si="4277"/>
        <v>0</v>
      </c>
      <c r="EW254" s="39">
        <f t="shared" ref="EW254:EX254" si="4278">EW$1*ED254</f>
        <v>0</v>
      </c>
      <c r="EX254" s="39">
        <f t="shared" si="4278"/>
        <v>0</v>
      </c>
      <c r="EY254" s="2"/>
      <c r="EZ254" s="39">
        <f t="shared" si="17"/>
        <v>0</v>
      </c>
      <c r="FA254" s="39">
        <f t="shared" si="18"/>
        <v>0</v>
      </c>
      <c r="FB254" s="2">
        <f t="shared" si="19"/>
        <v>0</v>
      </c>
      <c r="FC254" s="2">
        <f t="shared" ref="FC254:FD254" si="4279">BV254*$BT254+CQ254*$CO254</f>
        <v>0</v>
      </c>
      <c r="FD254" s="2">
        <f t="shared" si="4279"/>
        <v>0</v>
      </c>
      <c r="FE254" s="2">
        <f t="shared" ref="FE254:FJ254" si="4280">(BX254*$BT254+CS254*$CO254)/100</f>
        <v>0</v>
      </c>
      <c r="FF254" s="2">
        <f t="shared" si="4280"/>
        <v>0</v>
      </c>
      <c r="FG254" s="2">
        <f t="shared" si="4280"/>
        <v>0</v>
      </c>
      <c r="FH254" s="2">
        <f t="shared" si="4280"/>
        <v>0</v>
      </c>
      <c r="FI254" s="2">
        <f t="shared" si="4280"/>
        <v>0</v>
      </c>
      <c r="FJ254" s="2">
        <f t="shared" si="4280"/>
        <v>0</v>
      </c>
      <c r="FK254" s="2">
        <f t="shared" ref="FK254:FO254" si="4281">CD254*$BT254+CY254*$CO254</f>
        <v>0</v>
      </c>
      <c r="FL254" s="2">
        <f t="shared" si="4281"/>
        <v>0</v>
      </c>
      <c r="FM254" s="2">
        <f t="shared" si="4281"/>
        <v>0</v>
      </c>
      <c r="FN254" s="2">
        <f t="shared" si="4281"/>
        <v>0</v>
      </c>
      <c r="FO254" s="2">
        <f t="shared" si="4281"/>
        <v>0</v>
      </c>
      <c r="FP254" s="2">
        <f t="shared" ref="FP254:FQ254" si="4282">(CI254*$BT254+DD254*$CO254)/100</f>
        <v>0</v>
      </c>
      <c r="FQ254" s="2">
        <f t="shared" si="4282"/>
        <v>0</v>
      </c>
      <c r="FR254" s="2"/>
      <c r="FS254" s="2">
        <f t="shared" si="24"/>
        <v>0</v>
      </c>
      <c r="FT254" s="2">
        <f t="shared" si="25"/>
        <v>0</v>
      </c>
      <c r="FU254" s="39">
        <f t="shared" si="26"/>
        <v>0</v>
      </c>
      <c r="FV254" s="39">
        <f t="shared" ref="FV254:FW254" si="4283">FV$1*FC254/1000000</f>
        <v>0</v>
      </c>
      <c r="FW254" s="39">
        <f t="shared" si="4283"/>
        <v>0</v>
      </c>
      <c r="FX254" s="39">
        <f t="shared" ref="FX254:GC254" si="4284">FX$1*FE254</f>
        <v>0</v>
      </c>
      <c r="FY254" s="39">
        <f t="shared" si="4284"/>
        <v>0</v>
      </c>
      <c r="FZ254" s="39">
        <f t="shared" si="4284"/>
        <v>0</v>
      </c>
      <c r="GA254" s="39">
        <f t="shared" si="4284"/>
        <v>0</v>
      </c>
      <c r="GB254" s="39">
        <f t="shared" si="4284"/>
        <v>0</v>
      </c>
      <c r="GC254" s="39">
        <f t="shared" si="4284"/>
        <v>0</v>
      </c>
      <c r="GD254" s="39">
        <f t="shared" ref="GD254:GH254" si="4285">GD$1*FK254/1000000</f>
        <v>0</v>
      </c>
      <c r="GE254" s="39">
        <f t="shared" si="4285"/>
        <v>0</v>
      </c>
      <c r="GF254" s="39">
        <f t="shared" si="4285"/>
        <v>0</v>
      </c>
      <c r="GG254" s="39">
        <f t="shared" si="4285"/>
        <v>0</v>
      </c>
      <c r="GH254" s="39">
        <f t="shared" si="4285"/>
        <v>0</v>
      </c>
      <c r="GI254" s="39">
        <f t="shared" ref="GI254:GJ254" si="4286">GI$1*FP254</f>
        <v>0</v>
      </c>
      <c r="GJ254" s="39">
        <f t="shared" si="4286"/>
        <v>0</v>
      </c>
      <c r="GK254" s="2"/>
      <c r="GL254" s="39">
        <f t="shared" si="31"/>
        <v>0</v>
      </c>
      <c r="GM254" s="39">
        <f t="shared" si="32"/>
        <v>0</v>
      </c>
      <c r="GN254" s="2" t="s">
        <v>3</v>
      </c>
      <c r="GO254" s="19">
        <f t="shared" si="33"/>
        <v>7.7690999999999996E-2</v>
      </c>
      <c r="GP254" s="2">
        <f t="shared" si="34"/>
        <v>0.3</v>
      </c>
      <c r="GQ254" s="15">
        <f t="shared" si="35"/>
        <v>0.233073</v>
      </c>
      <c r="GR254" s="15">
        <f t="shared" si="36"/>
        <v>28.219319460314637</v>
      </c>
      <c r="GS254" s="15">
        <f t="shared" si="37"/>
        <v>363.22507703999997</v>
      </c>
      <c r="GT254" s="2">
        <f t="shared" si="38"/>
        <v>0</v>
      </c>
      <c r="GU254" s="2">
        <f t="shared" si="39"/>
        <v>0</v>
      </c>
      <c r="GV254" s="2">
        <f t="shared" si="40"/>
        <v>0.23307299999999997</v>
      </c>
      <c r="GW254" s="2">
        <f t="shared" si="41"/>
        <v>0</v>
      </c>
      <c r="GX254" s="2"/>
      <c r="GY254" s="2"/>
      <c r="GZ254" s="2"/>
      <c r="HA254" s="2"/>
      <c r="HB254" s="2">
        <f t="shared" si="42"/>
        <v>0</v>
      </c>
      <c r="HC254" s="2">
        <f t="shared" si="43"/>
        <v>0</v>
      </c>
      <c r="HD254" s="2" t="s">
        <v>3</v>
      </c>
      <c r="HE254" s="2" t="s">
        <v>37</v>
      </c>
      <c r="HF254" s="2" t="s">
        <v>114</v>
      </c>
      <c r="HG254" s="2"/>
      <c r="HH254" s="2"/>
      <c r="HI254" s="2" t="s">
        <v>100</v>
      </c>
      <c r="HJ254" s="2" t="s">
        <v>3</v>
      </c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  <c r="JE254" s="2"/>
      <c r="JF254" s="2"/>
      <c r="JG254" s="2"/>
      <c r="JH254" s="2" t="s">
        <v>3</v>
      </c>
    </row>
    <row r="255" spans="1:268" ht="15.75" customHeight="1" x14ac:dyDescent="0.2">
      <c r="A255" s="13" t="s">
        <v>910</v>
      </c>
      <c r="B255" s="2" t="s">
        <v>99</v>
      </c>
      <c r="C255" s="2"/>
      <c r="D255" s="2"/>
      <c r="E255" s="2"/>
      <c r="F255" s="2" t="s">
        <v>307</v>
      </c>
      <c r="G255" s="2"/>
      <c r="H255" s="2"/>
      <c r="I255" s="2">
        <v>0</v>
      </c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>
        <v>0</v>
      </c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>
        <v>200</v>
      </c>
      <c r="AZ255" s="2"/>
      <c r="BA255" s="2"/>
      <c r="BB255" s="2"/>
      <c r="BC255" s="2"/>
      <c r="BD255" s="2"/>
      <c r="BE255" s="2"/>
      <c r="BF255" s="2"/>
      <c r="BG255" s="15">
        <v>1</v>
      </c>
      <c r="BH255" s="2">
        <v>0.1</v>
      </c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>
        <v>0</v>
      </c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>
        <v>0</v>
      </c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 t="s">
        <v>100</v>
      </c>
      <c r="DK255" s="2" t="s">
        <v>100</v>
      </c>
      <c r="DL255" s="2">
        <f t="shared" si="3"/>
        <v>1</v>
      </c>
      <c r="DM255" s="2">
        <f t="shared" si="4"/>
        <v>0.1</v>
      </c>
      <c r="DN255" s="2" t="s">
        <v>113</v>
      </c>
      <c r="DO255" s="2" t="s">
        <v>3</v>
      </c>
      <c r="DP255" s="2">
        <f t="shared" si="5"/>
        <v>0</v>
      </c>
      <c r="DQ255" s="2">
        <f t="shared" ref="DQ255:DR255" si="4287">K255*$I255+AF255*$AD255+BA255*$AY255</f>
        <v>0</v>
      </c>
      <c r="DR255" s="2">
        <f t="shared" si="4287"/>
        <v>0</v>
      </c>
      <c r="DS255" s="2">
        <f t="shared" ref="DS255:DX255" si="4288">(M255*$I255+AH255*$AD255+BC255*$AY255)/100</f>
        <v>0</v>
      </c>
      <c r="DT255" s="2">
        <f t="shared" si="4288"/>
        <v>0</v>
      </c>
      <c r="DU255" s="2">
        <f t="shared" si="4288"/>
        <v>0</v>
      </c>
      <c r="DV255" s="2">
        <f t="shared" si="4288"/>
        <v>0</v>
      </c>
      <c r="DW255" s="2">
        <f t="shared" si="4288"/>
        <v>2</v>
      </c>
      <c r="DX255" s="2">
        <f t="shared" si="4288"/>
        <v>0.2</v>
      </c>
      <c r="DY255" s="2">
        <f t="shared" ref="DY255:EC255" si="4289">S255*$I255+AN255*$AD255+BI255*$AY255</f>
        <v>0</v>
      </c>
      <c r="DZ255" s="2">
        <f t="shared" si="4289"/>
        <v>0</v>
      </c>
      <c r="EA255" s="2">
        <f t="shared" si="4289"/>
        <v>0</v>
      </c>
      <c r="EB255" s="2">
        <f t="shared" si="4289"/>
        <v>0</v>
      </c>
      <c r="EC255" s="2">
        <f t="shared" si="4289"/>
        <v>0</v>
      </c>
      <c r="ED255" s="2">
        <f t="shared" ref="ED255:EE255" si="4290">(X255*$I255+AS255*$AD255+BN255*$AY255)/100</f>
        <v>0</v>
      </c>
      <c r="EE255" s="2">
        <f t="shared" si="4290"/>
        <v>0</v>
      </c>
      <c r="EF255" s="2"/>
      <c r="EG255" s="2">
        <f t="shared" si="10"/>
        <v>0</v>
      </c>
      <c r="EH255" s="2">
        <f t="shared" si="11"/>
        <v>0</v>
      </c>
      <c r="EI255" s="39">
        <f t="shared" si="12"/>
        <v>0</v>
      </c>
      <c r="EJ255" s="39">
        <f t="shared" ref="EJ255:EK255" si="4291">EJ$1*DQ255/1000000</f>
        <v>0</v>
      </c>
      <c r="EK255" s="39">
        <f t="shared" si="4291"/>
        <v>0</v>
      </c>
      <c r="EL255" s="39">
        <f t="shared" ref="EL255:EQ255" si="4292">EL$1*DS255</f>
        <v>0</v>
      </c>
      <c r="EM255" s="39">
        <f t="shared" si="4292"/>
        <v>0</v>
      </c>
      <c r="EN255" s="39">
        <f t="shared" si="4292"/>
        <v>0</v>
      </c>
      <c r="EO255" s="39">
        <f t="shared" si="4292"/>
        <v>0</v>
      </c>
      <c r="EP255" s="39">
        <f t="shared" si="4292"/>
        <v>26228</v>
      </c>
      <c r="EQ255" s="39">
        <f t="shared" si="4292"/>
        <v>14523.904799999998</v>
      </c>
      <c r="ER255" s="39">
        <f t="shared" ref="ER255:EV255" si="4293">ER$1*DY255/1000000</f>
        <v>0</v>
      </c>
      <c r="ES255" s="39">
        <f t="shared" si="4293"/>
        <v>0</v>
      </c>
      <c r="ET255" s="39">
        <f t="shared" si="4293"/>
        <v>0</v>
      </c>
      <c r="EU255" s="39">
        <f t="shared" si="4293"/>
        <v>0</v>
      </c>
      <c r="EV255" s="39">
        <f t="shared" si="4293"/>
        <v>0</v>
      </c>
      <c r="EW255" s="39">
        <f t="shared" ref="EW255:EX255" si="4294">EW$1*ED255</f>
        <v>0</v>
      </c>
      <c r="EX255" s="39">
        <f t="shared" si="4294"/>
        <v>0</v>
      </c>
      <c r="EY255" s="2"/>
      <c r="EZ255" s="39">
        <f t="shared" si="17"/>
        <v>0</v>
      </c>
      <c r="FA255" s="39">
        <f t="shared" si="18"/>
        <v>0</v>
      </c>
      <c r="FB255" s="2">
        <f t="shared" si="19"/>
        <v>0</v>
      </c>
      <c r="FC255" s="2">
        <f t="shared" ref="FC255:FD255" si="4295">BV255*$BT255+CQ255*$CO255</f>
        <v>0</v>
      </c>
      <c r="FD255" s="2">
        <f t="shared" si="4295"/>
        <v>0</v>
      </c>
      <c r="FE255" s="2">
        <f t="shared" ref="FE255:FJ255" si="4296">(BX255*$BT255+CS255*$CO255)/100</f>
        <v>0</v>
      </c>
      <c r="FF255" s="2">
        <f t="shared" si="4296"/>
        <v>0</v>
      </c>
      <c r="FG255" s="2">
        <f t="shared" si="4296"/>
        <v>0</v>
      </c>
      <c r="FH255" s="2">
        <f t="shared" si="4296"/>
        <v>0</v>
      </c>
      <c r="FI255" s="2">
        <f t="shared" si="4296"/>
        <v>0</v>
      </c>
      <c r="FJ255" s="2">
        <f t="shared" si="4296"/>
        <v>0</v>
      </c>
      <c r="FK255" s="2">
        <f t="shared" ref="FK255:FO255" si="4297">CD255*$BT255+CY255*$CO255</f>
        <v>0</v>
      </c>
      <c r="FL255" s="2">
        <f t="shared" si="4297"/>
        <v>0</v>
      </c>
      <c r="FM255" s="2">
        <f t="shared" si="4297"/>
        <v>0</v>
      </c>
      <c r="FN255" s="2">
        <f t="shared" si="4297"/>
        <v>0</v>
      </c>
      <c r="FO255" s="2">
        <f t="shared" si="4297"/>
        <v>0</v>
      </c>
      <c r="FP255" s="2">
        <f t="shared" ref="FP255:FQ255" si="4298">(CI255*$BT255+DD255*$CO255)/100</f>
        <v>0</v>
      </c>
      <c r="FQ255" s="2">
        <f t="shared" si="4298"/>
        <v>0</v>
      </c>
      <c r="FR255" s="2"/>
      <c r="FS255" s="2">
        <f t="shared" si="24"/>
        <v>0</v>
      </c>
      <c r="FT255" s="2">
        <f t="shared" si="25"/>
        <v>0</v>
      </c>
      <c r="FU255" s="39">
        <f t="shared" si="26"/>
        <v>0</v>
      </c>
      <c r="FV255" s="39">
        <f t="shared" ref="FV255:FW255" si="4299">FV$1*FC255/1000000</f>
        <v>0</v>
      </c>
      <c r="FW255" s="39">
        <f t="shared" si="4299"/>
        <v>0</v>
      </c>
      <c r="FX255" s="39">
        <f t="shared" ref="FX255:GC255" si="4300">FX$1*FE255</f>
        <v>0</v>
      </c>
      <c r="FY255" s="39">
        <f t="shared" si="4300"/>
        <v>0</v>
      </c>
      <c r="FZ255" s="39">
        <f t="shared" si="4300"/>
        <v>0</v>
      </c>
      <c r="GA255" s="39">
        <f t="shared" si="4300"/>
        <v>0</v>
      </c>
      <c r="GB255" s="39">
        <f t="shared" si="4300"/>
        <v>0</v>
      </c>
      <c r="GC255" s="39">
        <f t="shared" si="4300"/>
        <v>0</v>
      </c>
      <c r="GD255" s="39">
        <f t="shared" ref="GD255:GH255" si="4301">GD$1*FK255/1000000</f>
        <v>0</v>
      </c>
      <c r="GE255" s="39">
        <f t="shared" si="4301"/>
        <v>0</v>
      </c>
      <c r="GF255" s="39">
        <f t="shared" si="4301"/>
        <v>0</v>
      </c>
      <c r="GG255" s="39">
        <f t="shared" si="4301"/>
        <v>0</v>
      </c>
      <c r="GH255" s="39">
        <f t="shared" si="4301"/>
        <v>0</v>
      </c>
      <c r="GI255" s="39">
        <f t="shared" ref="GI255:GJ255" si="4302">GI$1*FP255</f>
        <v>0</v>
      </c>
      <c r="GJ255" s="39">
        <f t="shared" si="4302"/>
        <v>0</v>
      </c>
      <c r="GK255" s="2"/>
      <c r="GL255" s="39">
        <f t="shared" si="31"/>
        <v>0</v>
      </c>
      <c r="GM255" s="39">
        <f t="shared" si="32"/>
        <v>0</v>
      </c>
      <c r="GN255" s="2" t="s">
        <v>3</v>
      </c>
      <c r="GO255" s="2">
        <f t="shared" si="33"/>
        <v>200</v>
      </c>
      <c r="GP255" s="2">
        <f t="shared" si="34"/>
        <v>1</v>
      </c>
      <c r="GQ255" s="18">
        <f t="shared" si="35"/>
        <v>2000</v>
      </c>
      <c r="GR255" s="15">
        <f t="shared" si="36"/>
        <v>40751.904799999997</v>
      </c>
      <c r="GS255" s="15">
        <f t="shared" si="37"/>
        <v>203.75952399999997</v>
      </c>
      <c r="GT255" s="2">
        <f t="shared" si="38"/>
        <v>0</v>
      </c>
      <c r="GU255" s="2">
        <f t="shared" si="39"/>
        <v>0</v>
      </c>
      <c r="GV255" s="2">
        <f t="shared" si="40"/>
        <v>2000</v>
      </c>
      <c r="GW255" s="2">
        <f t="shared" si="41"/>
        <v>0</v>
      </c>
      <c r="GX255" s="2"/>
      <c r="GY255" s="2"/>
      <c r="GZ255" s="2"/>
      <c r="HA255" s="2"/>
      <c r="HB255" s="2">
        <f t="shared" si="42"/>
        <v>0</v>
      </c>
      <c r="HC255" s="2">
        <f t="shared" si="43"/>
        <v>0</v>
      </c>
      <c r="HD255" s="2" t="s">
        <v>3</v>
      </c>
      <c r="HE255" s="2" t="s">
        <v>37</v>
      </c>
      <c r="HF255" s="2" t="s">
        <v>83</v>
      </c>
      <c r="HG255" s="2" t="s">
        <v>83</v>
      </c>
      <c r="HH255" s="2"/>
      <c r="HI255" s="2" t="s">
        <v>100</v>
      </c>
      <c r="HJ255" s="2" t="s">
        <v>3</v>
      </c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/>
      <c r="JE255" s="2"/>
      <c r="JF255" s="2"/>
      <c r="JG255" s="2"/>
      <c r="JH255" s="2" t="s">
        <v>3</v>
      </c>
    </row>
    <row r="256" spans="1:268" ht="15.75" customHeight="1" x14ac:dyDescent="0.2">
      <c r="A256" s="13" t="s">
        <v>1244</v>
      </c>
      <c r="B256" s="2" t="s">
        <v>99</v>
      </c>
      <c r="C256" s="2"/>
      <c r="D256" s="2"/>
      <c r="E256" s="2"/>
      <c r="F256" s="2" t="s">
        <v>79</v>
      </c>
      <c r="G256" s="2"/>
      <c r="H256" s="2"/>
      <c r="I256" s="2">
        <v>0</v>
      </c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>
        <v>0</v>
      </c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>
        <f>1.2/0.4</f>
        <v>2.9999999999999996</v>
      </c>
      <c r="AZ256" s="2"/>
      <c r="BA256" s="2"/>
      <c r="BB256" s="2"/>
      <c r="BC256" s="2"/>
      <c r="BD256" s="2"/>
      <c r="BE256" s="2"/>
      <c r="BF256" s="2"/>
      <c r="BG256" s="2">
        <v>1</v>
      </c>
      <c r="BH256" s="2">
        <v>0.1</v>
      </c>
      <c r="BI256" s="2"/>
      <c r="BJ256" s="2"/>
      <c r="BK256" s="2"/>
      <c r="BL256" s="2"/>
      <c r="BM256" s="2"/>
      <c r="BN256" s="2">
        <v>3.5</v>
      </c>
      <c r="BO256" s="2">
        <v>40</v>
      </c>
      <c r="BP256" s="2"/>
      <c r="BQ256" s="2"/>
      <c r="BR256" s="2"/>
      <c r="BS256" s="2"/>
      <c r="BT256" s="2">
        <v>0</v>
      </c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>
        <v>0</v>
      </c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 t="s">
        <v>100</v>
      </c>
      <c r="DK256" s="2" t="s">
        <v>100</v>
      </c>
      <c r="DL256" s="2">
        <f t="shared" si="3"/>
        <v>1</v>
      </c>
      <c r="DM256" s="2">
        <f t="shared" si="4"/>
        <v>0.1</v>
      </c>
      <c r="DN256" s="2" t="s">
        <v>187</v>
      </c>
      <c r="DO256" s="2" t="s">
        <v>3</v>
      </c>
      <c r="DP256" s="2">
        <f t="shared" si="5"/>
        <v>0</v>
      </c>
      <c r="DQ256" s="2">
        <f t="shared" ref="DQ256:DR256" si="4303">K256*$I256+AF256*$AD256+BA256*$AY256</f>
        <v>0</v>
      </c>
      <c r="DR256" s="2">
        <f t="shared" si="4303"/>
        <v>0</v>
      </c>
      <c r="DS256" s="2">
        <f t="shared" ref="DS256:DX256" si="4304">(M256*$I256+AH256*$AD256+BC256*$AY256)/100</f>
        <v>0</v>
      </c>
      <c r="DT256" s="2">
        <f t="shared" si="4304"/>
        <v>0</v>
      </c>
      <c r="DU256" s="2">
        <f t="shared" si="4304"/>
        <v>0</v>
      </c>
      <c r="DV256" s="2">
        <f t="shared" si="4304"/>
        <v>0</v>
      </c>
      <c r="DW256" s="2">
        <f t="shared" si="4304"/>
        <v>2.9999999999999995E-2</v>
      </c>
      <c r="DX256" s="2">
        <f t="shared" si="4304"/>
        <v>3.0000000000000001E-3</v>
      </c>
      <c r="DY256" s="2">
        <f t="shared" ref="DY256:EC256" si="4305">S256*$I256+AN256*$AD256+BI256*$AY256</f>
        <v>0</v>
      </c>
      <c r="DZ256" s="2">
        <f t="shared" si="4305"/>
        <v>0</v>
      </c>
      <c r="EA256" s="2">
        <f t="shared" si="4305"/>
        <v>0</v>
      </c>
      <c r="EB256" s="2">
        <f t="shared" si="4305"/>
        <v>0</v>
      </c>
      <c r="EC256" s="2">
        <f t="shared" si="4305"/>
        <v>0</v>
      </c>
      <c r="ED256" s="2">
        <f t="shared" ref="ED256:EE256" si="4306">(X256*$I256+AS256*$AD256+BN256*$AY256)/100</f>
        <v>0.10499999999999998</v>
      </c>
      <c r="EE256" s="2">
        <f t="shared" si="4306"/>
        <v>1.2</v>
      </c>
      <c r="EF256" s="2"/>
      <c r="EG256" s="2">
        <f t="shared" si="10"/>
        <v>0</v>
      </c>
      <c r="EH256" s="2">
        <f t="shared" si="11"/>
        <v>0</v>
      </c>
      <c r="EI256" s="39">
        <f t="shared" si="12"/>
        <v>0</v>
      </c>
      <c r="EJ256" s="39">
        <f t="shared" ref="EJ256:EK256" si="4307">EJ$1*DQ256/1000000</f>
        <v>0</v>
      </c>
      <c r="EK256" s="39">
        <f t="shared" si="4307"/>
        <v>0</v>
      </c>
      <c r="EL256" s="39">
        <f t="shared" ref="EL256:EQ256" si="4308">EL$1*DS256</f>
        <v>0</v>
      </c>
      <c r="EM256" s="39">
        <f t="shared" si="4308"/>
        <v>0</v>
      </c>
      <c r="EN256" s="39">
        <f t="shared" si="4308"/>
        <v>0</v>
      </c>
      <c r="EO256" s="39">
        <f t="shared" si="4308"/>
        <v>0</v>
      </c>
      <c r="EP256" s="39">
        <f t="shared" si="4308"/>
        <v>393.41999999999996</v>
      </c>
      <c r="EQ256" s="39">
        <f t="shared" si="4308"/>
        <v>217.85857199999998</v>
      </c>
      <c r="ER256" s="39">
        <f t="shared" ref="ER256:EV256" si="4309">ER$1*DY256/1000000</f>
        <v>0</v>
      </c>
      <c r="ES256" s="39">
        <f t="shared" si="4309"/>
        <v>0</v>
      </c>
      <c r="ET256" s="39">
        <f t="shared" si="4309"/>
        <v>0</v>
      </c>
      <c r="EU256" s="39">
        <f t="shared" si="4309"/>
        <v>0</v>
      </c>
      <c r="EV256" s="39">
        <f t="shared" si="4309"/>
        <v>0</v>
      </c>
      <c r="EW256" s="39">
        <f t="shared" ref="EW256:EX256" si="4310">EW$1*ED256</f>
        <v>29.294999999999995</v>
      </c>
      <c r="EX256" s="39">
        <f t="shared" si="4310"/>
        <v>111.6</v>
      </c>
      <c r="EY256" s="2"/>
      <c r="EZ256" s="39">
        <f t="shared" si="17"/>
        <v>0</v>
      </c>
      <c r="FA256" s="39">
        <f t="shared" si="18"/>
        <v>0</v>
      </c>
      <c r="FB256" s="2">
        <f t="shared" si="19"/>
        <v>0</v>
      </c>
      <c r="FC256" s="2">
        <f t="shared" ref="FC256:FD256" si="4311">BV256*$BT256+CQ256*$CO256</f>
        <v>0</v>
      </c>
      <c r="FD256" s="2">
        <f t="shared" si="4311"/>
        <v>0</v>
      </c>
      <c r="FE256" s="2">
        <f t="shared" ref="FE256:FJ256" si="4312">(BX256*$BT256+CS256*$CO256)/100</f>
        <v>0</v>
      </c>
      <c r="FF256" s="2">
        <f t="shared" si="4312"/>
        <v>0</v>
      </c>
      <c r="FG256" s="2">
        <f t="shared" si="4312"/>
        <v>0</v>
      </c>
      <c r="FH256" s="2">
        <f t="shared" si="4312"/>
        <v>0</v>
      </c>
      <c r="FI256" s="2">
        <f t="shared" si="4312"/>
        <v>0</v>
      </c>
      <c r="FJ256" s="2">
        <f t="shared" si="4312"/>
        <v>0</v>
      </c>
      <c r="FK256" s="2">
        <f t="shared" ref="FK256:FO256" si="4313">CD256*$BT256+CY256*$CO256</f>
        <v>0</v>
      </c>
      <c r="FL256" s="2">
        <f t="shared" si="4313"/>
        <v>0</v>
      </c>
      <c r="FM256" s="2">
        <f t="shared" si="4313"/>
        <v>0</v>
      </c>
      <c r="FN256" s="2">
        <f t="shared" si="4313"/>
        <v>0</v>
      </c>
      <c r="FO256" s="2">
        <f t="shared" si="4313"/>
        <v>0</v>
      </c>
      <c r="FP256" s="2">
        <f t="shared" ref="FP256:FQ256" si="4314">(CI256*$BT256+DD256*$CO256)/100</f>
        <v>0</v>
      </c>
      <c r="FQ256" s="2">
        <f t="shared" si="4314"/>
        <v>0</v>
      </c>
      <c r="FR256" s="2"/>
      <c r="FS256" s="2">
        <f t="shared" si="24"/>
        <v>0</v>
      </c>
      <c r="FT256" s="2">
        <f t="shared" si="25"/>
        <v>0</v>
      </c>
      <c r="FU256" s="39">
        <f t="shared" si="26"/>
        <v>0</v>
      </c>
      <c r="FV256" s="39">
        <f t="shared" ref="FV256:FW256" si="4315">FV$1*FC256/1000000</f>
        <v>0</v>
      </c>
      <c r="FW256" s="39">
        <f t="shared" si="4315"/>
        <v>0</v>
      </c>
      <c r="FX256" s="39">
        <f t="shared" ref="FX256:GC256" si="4316">FX$1*FE256</f>
        <v>0</v>
      </c>
      <c r="FY256" s="39">
        <f t="shared" si="4316"/>
        <v>0</v>
      </c>
      <c r="FZ256" s="39">
        <f t="shared" si="4316"/>
        <v>0</v>
      </c>
      <c r="GA256" s="39">
        <f t="shared" si="4316"/>
        <v>0</v>
      </c>
      <c r="GB256" s="39">
        <f t="shared" si="4316"/>
        <v>0</v>
      </c>
      <c r="GC256" s="39">
        <f t="shared" si="4316"/>
        <v>0</v>
      </c>
      <c r="GD256" s="39">
        <f t="shared" ref="GD256:GH256" si="4317">GD$1*FK256/1000000</f>
        <v>0</v>
      </c>
      <c r="GE256" s="39">
        <f t="shared" si="4317"/>
        <v>0</v>
      </c>
      <c r="GF256" s="39">
        <f t="shared" si="4317"/>
        <v>0</v>
      </c>
      <c r="GG256" s="39">
        <f t="shared" si="4317"/>
        <v>0</v>
      </c>
      <c r="GH256" s="39">
        <f t="shared" si="4317"/>
        <v>0</v>
      </c>
      <c r="GI256" s="39">
        <f t="shared" ref="GI256:GJ256" si="4318">GI$1*FP256</f>
        <v>0</v>
      </c>
      <c r="GJ256" s="39">
        <f t="shared" si="4318"/>
        <v>0</v>
      </c>
      <c r="GK256" s="2"/>
      <c r="GL256" s="39">
        <f t="shared" si="31"/>
        <v>0</v>
      </c>
      <c r="GM256" s="39">
        <f t="shared" si="32"/>
        <v>0</v>
      </c>
      <c r="GN256" s="2" t="s">
        <v>3</v>
      </c>
      <c r="GO256" s="2">
        <f t="shared" si="33"/>
        <v>2.9999999999999996</v>
      </c>
      <c r="GP256" s="2">
        <f t="shared" si="34"/>
        <v>1</v>
      </c>
      <c r="GQ256" s="15">
        <f t="shared" si="35"/>
        <v>29.999999999999996</v>
      </c>
      <c r="GR256" s="15">
        <f t="shared" si="36"/>
        <v>752.17357199999992</v>
      </c>
      <c r="GS256" s="15">
        <f t="shared" si="37"/>
        <v>250.724524</v>
      </c>
      <c r="GT256" s="2">
        <f t="shared" si="38"/>
        <v>0</v>
      </c>
      <c r="GU256" s="2">
        <f t="shared" si="39"/>
        <v>0</v>
      </c>
      <c r="GV256" s="2">
        <f t="shared" si="40"/>
        <v>29.999999999999996</v>
      </c>
      <c r="GW256" s="2">
        <f t="shared" si="41"/>
        <v>0</v>
      </c>
      <c r="GX256" s="2"/>
      <c r="GY256" s="2"/>
      <c r="GZ256" s="2"/>
      <c r="HA256" s="2"/>
      <c r="HB256" s="2">
        <f t="shared" si="42"/>
        <v>0</v>
      </c>
      <c r="HC256" s="2">
        <f t="shared" si="43"/>
        <v>0</v>
      </c>
      <c r="HD256" s="2" t="s">
        <v>3</v>
      </c>
      <c r="HE256" s="2" t="s">
        <v>37</v>
      </c>
      <c r="HF256" s="2" t="s">
        <v>373</v>
      </c>
      <c r="HG256" s="2" t="s">
        <v>373</v>
      </c>
      <c r="HH256" s="2"/>
      <c r="HI256" s="2" t="s">
        <v>100</v>
      </c>
      <c r="HJ256" s="2" t="s">
        <v>3</v>
      </c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 t="s">
        <v>3</v>
      </c>
    </row>
    <row r="257" spans="1:268" ht="15.75" customHeight="1" x14ac:dyDescent="0.2">
      <c r="A257" s="13" t="s">
        <v>939</v>
      </c>
      <c r="B257" s="2" t="s">
        <v>139</v>
      </c>
      <c r="C257" s="2"/>
      <c r="D257" s="2"/>
      <c r="E257" s="2" t="s">
        <v>78</v>
      </c>
      <c r="F257" s="2" t="s">
        <v>940</v>
      </c>
      <c r="G257" s="2"/>
      <c r="H257" s="2" t="s">
        <v>941</v>
      </c>
      <c r="I257" s="2">
        <v>0</v>
      </c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>
        <v>0</v>
      </c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>
        <v>144.69999999999999</v>
      </c>
      <c r="AZ257" s="2"/>
      <c r="BA257" s="2"/>
      <c r="BB257" s="2"/>
      <c r="BC257" s="2"/>
      <c r="BD257" s="2"/>
      <c r="BE257" s="2"/>
      <c r="BF257" s="2"/>
      <c r="BG257" s="2">
        <v>1.1000000000000001</v>
      </c>
      <c r="BH257" s="2">
        <v>0.11</v>
      </c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>
        <v>0</v>
      </c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>
        <v>0</v>
      </c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 t="s">
        <v>100</v>
      </c>
      <c r="DK257" s="2" t="s">
        <v>100</v>
      </c>
      <c r="DL257" s="2">
        <f t="shared" si="3"/>
        <v>1.1000000000000001</v>
      </c>
      <c r="DM257" s="2">
        <f t="shared" si="4"/>
        <v>0.11</v>
      </c>
      <c r="DN257" s="2" t="s">
        <v>942</v>
      </c>
      <c r="DO257" s="2" t="s">
        <v>3</v>
      </c>
      <c r="DP257" s="2">
        <f t="shared" si="5"/>
        <v>0</v>
      </c>
      <c r="DQ257" s="2">
        <f t="shared" ref="DQ257:DR257" si="4319">K257*$I257+AF257*$AD257+BA257*$AY257</f>
        <v>0</v>
      </c>
      <c r="DR257" s="2">
        <f t="shared" si="4319"/>
        <v>0</v>
      </c>
      <c r="DS257" s="2">
        <f t="shared" ref="DS257:DX257" si="4320">(M257*$I257+AH257*$AD257+BC257*$AY257)/100</f>
        <v>0</v>
      </c>
      <c r="DT257" s="2">
        <f t="shared" si="4320"/>
        <v>0</v>
      </c>
      <c r="DU257" s="2">
        <f t="shared" si="4320"/>
        <v>0</v>
      </c>
      <c r="DV257" s="2">
        <f t="shared" si="4320"/>
        <v>0</v>
      </c>
      <c r="DW257" s="2">
        <f t="shared" si="4320"/>
        <v>1.5916999999999999</v>
      </c>
      <c r="DX257" s="2">
        <f t="shared" si="4320"/>
        <v>0.15916999999999998</v>
      </c>
      <c r="DY257" s="2">
        <f t="shared" ref="DY257:EC257" si="4321">S257*$I257+AN257*$AD257+BI257*$AY257</f>
        <v>0</v>
      </c>
      <c r="DZ257" s="2">
        <f t="shared" si="4321"/>
        <v>0</v>
      </c>
      <c r="EA257" s="2">
        <f t="shared" si="4321"/>
        <v>0</v>
      </c>
      <c r="EB257" s="2">
        <f t="shared" si="4321"/>
        <v>0</v>
      </c>
      <c r="EC257" s="2">
        <f t="shared" si="4321"/>
        <v>0</v>
      </c>
      <c r="ED257" s="2">
        <f t="shared" ref="ED257:EE257" si="4322">(X257*$I257+AS257*$AD257+BN257*$AY257)/100</f>
        <v>0</v>
      </c>
      <c r="EE257" s="2">
        <f t="shared" si="4322"/>
        <v>0</v>
      </c>
      <c r="EF257" s="2"/>
      <c r="EG257" s="2">
        <f t="shared" si="10"/>
        <v>0</v>
      </c>
      <c r="EH257" s="2">
        <f t="shared" si="11"/>
        <v>0</v>
      </c>
      <c r="EI257" s="39">
        <f t="shared" si="12"/>
        <v>0</v>
      </c>
      <c r="EJ257" s="39">
        <f t="shared" ref="EJ257:EK257" si="4323">EJ$1*DQ257/1000000</f>
        <v>0</v>
      </c>
      <c r="EK257" s="39">
        <f t="shared" si="4323"/>
        <v>0</v>
      </c>
      <c r="EL257" s="39">
        <f t="shared" ref="EL257:EQ257" si="4324">EL$1*DS257</f>
        <v>0</v>
      </c>
      <c r="EM257" s="39">
        <f t="shared" si="4324"/>
        <v>0</v>
      </c>
      <c r="EN257" s="39">
        <f t="shared" si="4324"/>
        <v>0</v>
      </c>
      <c r="EO257" s="39">
        <f t="shared" si="4324"/>
        <v>0</v>
      </c>
      <c r="EP257" s="39">
        <f t="shared" si="4324"/>
        <v>20873.553799999998</v>
      </c>
      <c r="EQ257" s="39">
        <f t="shared" si="4324"/>
        <v>11558.849635079996</v>
      </c>
      <c r="ER257" s="39">
        <f t="shared" ref="ER257:EV257" si="4325">ER$1*DY257/1000000</f>
        <v>0</v>
      </c>
      <c r="ES257" s="39">
        <f t="shared" si="4325"/>
        <v>0</v>
      </c>
      <c r="ET257" s="39">
        <f t="shared" si="4325"/>
        <v>0</v>
      </c>
      <c r="EU257" s="39">
        <f t="shared" si="4325"/>
        <v>0</v>
      </c>
      <c r="EV257" s="39">
        <f t="shared" si="4325"/>
        <v>0</v>
      </c>
      <c r="EW257" s="39">
        <f t="shared" ref="EW257:EX257" si="4326">EW$1*ED257</f>
        <v>0</v>
      </c>
      <c r="EX257" s="39">
        <f t="shared" si="4326"/>
        <v>0</v>
      </c>
      <c r="EY257" s="2"/>
      <c r="EZ257" s="39">
        <f t="shared" si="17"/>
        <v>0</v>
      </c>
      <c r="FA257" s="39">
        <f t="shared" si="18"/>
        <v>0</v>
      </c>
      <c r="FB257" s="2">
        <f t="shared" si="19"/>
        <v>0</v>
      </c>
      <c r="FC257" s="2">
        <f t="shared" ref="FC257:FD257" si="4327">BV257*$BT257+CQ257*$CO257</f>
        <v>0</v>
      </c>
      <c r="FD257" s="2">
        <f t="shared" si="4327"/>
        <v>0</v>
      </c>
      <c r="FE257" s="2">
        <f t="shared" ref="FE257:FJ257" si="4328">(BX257*$BT257+CS257*$CO257)/100</f>
        <v>0</v>
      </c>
      <c r="FF257" s="2">
        <f t="shared" si="4328"/>
        <v>0</v>
      </c>
      <c r="FG257" s="2">
        <f t="shared" si="4328"/>
        <v>0</v>
      </c>
      <c r="FH257" s="2">
        <f t="shared" si="4328"/>
        <v>0</v>
      </c>
      <c r="FI257" s="2">
        <f t="shared" si="4328"/>
        <v>0</v>
      </c>
      <c r="FJ257" s="2">
        <f t="shared" si="4328"/>
        <v>0</v>
      </c>
      <c r="FK257" s="2">
        <f t="shared" ref="FK257:FO257" si="4329">CD257*$BT257+CY257*$CO257</f>
        <v>0</v>
      </c>
      <c r="FL257" s="2">
        <f t="shared" si="4329"/>
        <v>0</v>
      </c>
      <c r="FM257" s="2">
        <f t="shared" si="4329"/>
        <v>0</v>
      </c>
      <c r="FN257" s="2">
        <f t="shared" si="4329"/>
        <v>0</v>
      </c>
      <c r="FO257" s="2">
        <f t="shared" si="4329"/>
        <v>0</v>
      </c>
      <c r="FP257" s="2">
        <f t="shared" ref="FP257:FQ257" si="4330">(CI257*$BT257+DD257*$CO257)/100</f>
        <v>0</v>
      </c>
      <c r="FQ257" s="2">
        <f t="shared" si="4330"/>
        <v>0</v>
      </c>
      <c r="FR257" s="2"/>
      <c r="FS257" s="2">
        <f t="shared" si="24"/>
        <v>0</v>
      </c>
      <c r="FT257" s="2">
        <f t="shared" si="25"/>
        <v>0</v>
      </c>
      <c r="FU257" s="39">
        <f t="shared" si="26"/>
        <v>0</v>
      </c>
      <c r="FV257" s="39">
        <f t="shared" ref="FV257:FW257" si="4331">FV$1*FC257/1000000</f>
        <v>0</v>
      </c>
      <c r="FW257" s="39">
        <f t="shared" si="4331"/>
        <v>0</v>
      </c>
      <c r="FX257" s="39">
        <f t="shared" ref="FX257:GC257" si="4332">FX$1*FE257</f>
        <v>0</v>
      </c>
      <c r="FY257" s="39">
        <f t="shared" si="4332"/>
        <v>0</v>
      </c>
      <c r="FZ257" s="39">
        <f t="shared" si="4332"/>
        <v>0</v>
      </c>
      <c r="GA257" s="39">
        <f t="shared" si="4332"/>
        <v>0</v>
      </c>
      <c r="GB257" s="39">
        <f t="shared" si="4332"/>
        <v>0</v>
      </c>
      <c r="GC257" s="39">
        <f t="shared" si="4332"/>
        <v>0</v>
      </c>
      <c r="GD257" s="39">
        <f t="shared" ref="GD257:GH257" si="4333">GD$1*FK257/1000000</f>
        <v>0</v>
      </c>
      <c r="GE257" s="39">
        <f t="shared" si="4333"/>
        <v>0</v>
      </c>
      <c r="GF257" s="39">
        <f t="shared" si="4333"/>
        <v>0</v>
      </c>
      <c r="GG257" s="39">
        <f t="shared" si="4333"/>
        <v>0</v>
      </c>
      <c r="GH257" s="39">
        <f t="shared" si="4333"/>
        <v>0</v>
      </c>
      <c r="GI257" s="39">
        <f t="shared" ref="GI257:GJ257" si="4334">GI$1*FP257</f>
        <v>0</v>
      </c>
      <c r="GJ257" s="39">
        <f t="shared" si="4334"/>
        <v>0</v>
      </c>
      <c r="GK257" s="2"/>
      <c r="GL257" s="39">
        <f t="shared" si="31"/>
        <v>0</v>
      </c>
      <c r="GM257" s="39">
        <f t="shared" si="32"/>
        <v>0</v>
      </c>
      <c r="GN257" s="2" t="s">
        <v>3</v>
      </c>
      <c r="GO257" s="2">
        <f t="shared" si="33"/>
        <v>144.69999999999999</v>
      </c>
      <c r="GP257" s="4">
        <f t="shared" si="34"/>
        <v>1.1000000000000001</v>
      </c>
      <c r="GQ257" s="18">
        <f t="shared" si="35"/>
        <v>1591.7</v>
      </c>
      <c r="GR257" s="15">
        <f t="shared" si="36"/>
        <v>32432.403435079992</v>
      </c>
      <c r="GS257" s="15">
        <f t="shared" si="37"/>
        <v>224.13547639999996</v>
      </c>
      <c r="GT257" s="2">
        <f t="shared" si="38"/>
        <v>0</v>
      </c>
      <c r="GU257" s="2">
        <f t="shared" si="39"/>
        <v>0</v>
      </c>
      <c r="GV257" s="2">
        <f t="shared" si="40"/>
        <v>1591.7</v>
      </c>
      <c r="GW257" s="2">
        <f t="shared" si="41"/>
        <v>0</v>
      </c>
      <c r="GX257" s="2"/>
      <c r="GY257" s="2"/>
      <c r="GZ257" s="2"/>
      <c r="HA257" s="2"/>
      <c r="HB257" s="2">
        <f t="shared" si="42"/>
        <v>0</v>
      </c>
      <c r="HC257" s="2">
        <f t="shared" si="43"/>
        <v>0</v>
      </c>
      <c r="HD257" s="2" t="s">
        <v>3</v>
      </c>
      <c r="HE257" s="2" t="s">
        <v>37</v>
      </c>
      <c r="HF257" s="2" t="s">
        <v>83</v>
      </c>
      <c r="HG257" s="2" t="s">
        <v>83</v>
      </c>
      <c r="HH257" s="2"/>
      <c r="HI257" s="2" t="s">
        <v>100</v>
      </c>
      <c r="HJ257" s="2" t="s">
        <v>3</v>
      </c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  <c r="JA257" s="2"/>
      <c r="JB257" s="2"/>
      <c r="JC257" s="2"/>
      <c r="JD257" s="2"/>
      <c r="JE257" s="2"/>
      <c r="JF257" s="2"/>
      <c r="JG257" s="2"/>
      <c r="JH257" s="2" t="s">
        <v>3</v>
      </c>
    </row>
    <row r="258" spans="1:268" ht="15.75" customHeight="1" x14ac:dyDescent="0.2">
      <c r="A258" s="13" t="s">
        <v>1023</v>
      </c>
      <c r="B258" s="2" t="s">
        <v>99</v>
      </c>
      <c r="C258" s="2"/>
      <c r="D258" s="2"/>
      <c r="E258" s="2"/>
      <c r="F258" s="2" t="s">
        <v>307</v>
      </c>
      <c r="G258" s="2"/>
      <c r="H258" s="2"/>
      <c r="I258" s="2">
        <v>0</v>
      </c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>
        <v>0</v>
      </c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>
        <v>310</v>
      </c>
      <c r="AZ258" s="2"/>
      <c r="BA258" s="2"/>
      <c r="BB258" s="2"/>
      <c r="BC258" s="2"/>
      <c r="BD258" s="2"/>
      <c r="BE258" s="2"/>
      <c r="BF258" s="2"/>
      <c r="BG258" s="2">
        <v>1.3</v>
      </c>
      <c r="BH258" s="2">
        <v>0.11</v>
      </c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>
        <v>0</v>
      </c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>
        <v>0</v>
      </c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 t="s">
        <v>100</v>
      </c>
      <c r="DK258" s="2" t="s">
        <v>100</v>
      </c>
      <c r="DL258" s="2">
        <f t="shared" si="3"/>
        <v>1.3</v>
      </c>
      <c r="DM258" s="2">
        <f t="shared" si="4"/>
        <v>0.11</v>
      </c>
      <c r="DN258" s="2" t="s">
        <v>113</v>
      </c>
      <c r="DO258" s="2" t="s">
        <v>3</v>
      </c>
      <c r="DP258" s="2">
        <f t="shared" si="5"/>
        <v>0</v>
      </c>
      <c r="DQ258" s="2">
        <f t="shared" ref="DQ258:DR258" si="4335">K258*$I258+AF258*$AD258+BA258*$AY258</f>
        <v>0</v>
      </c>
      <c r="DR258" s="2">
        <f t="shared" si="4335"/>
        <v>0</v>
      </c>
      <c r="DS258" s="2">
        <f t="shared" ref="DS258:DX258" si="4336">(M258*$I258+AH258*$AD258+BC258*$AY258)/100</f>
        <v>0</v>
      </c>
      <c r="DT258" s="2">
        <f t="shared" si="4336"/>
        <v>0</v>
      </c>
      <c r="DU258" s="2">
        <f t="shared" si="4336"/>
        <v>0</v>
      </c>
      <c r="DV258" s="2">
        <f t="shared" si="4336"/>
        <v>0</v>
      </c>
      <c r="DW258" s="2">
        <f t="shared" si="4336"/>
        <v>4.03</v>
      </c>
      <c r="DX258" s="2">
        <f t="shared" si="4336"/>
        <v>0.34100000000000003</v>
      </c>
      <c r="DY258" s="2">
        <f t="shared" ref="DY258:EC258" si="4337">S258*$I258+AN258*$AD258+BI258*$AY258</f>
        <v>0</v>
      </c>
      <c r="DZ258" s="2">
        <f t="shared" si="4337"/>
        <v>0</v>
      </c>
      <c r="EA258" s="2">
        <f t="shared" si="4337"/>
        <v>0</v>
      </c>
      <c r="EB258" s="2">
        <f t="shared" si="4337"/>
        <v>0</v>
      </c>
      <c r="EC258" s="2">
        <f t="shared" si="4337"/>
        <v>0</v>
      </c>
      <c r="ED258" s="2">
        <f t="shared" ref="ED258:EE258" si="4338">(X258*$I258+AS258*$AD258+BN258*$AY258)/100</f>
        <v>0</v>
      </c>
      <c r="EE258" s="2">
        <f t="shared" si="4338"/>
        <v>0</v>
      </c>
      <c r="EF258" s="2"/>
      <c r="EG258" s="2">
        <f t="shared" si="10"/>
        <v>0</v>
      </c>
      <c r="EH258" s="2">
        <f t="shared" si="11"/>
        <v>0</v>
      </c>
      <c r="EI258" s="39">
        <f t="shared" si="12"/>
        <v>0</v>
      </c>
      <c r="EJ258" s="39">
        <f t="shared" ref="EJ258:EK258" si="4339">EJ$1*DQ258/1000000</f>
        <v>0</v>
      </c>
      <c r="EK258" s="39">
        <f t="shared" si="4339"/>
        <v>0</v>
      </c>
      <c r="EL258" s="39">
        <f t="shared" ref="EL258:EQ258" si="4340">EL$1*DS258</f>
        <v>0</v>
      </c>
      <c r="EM258" s="39">
        <f t="shared" si="4340"/>
        <v>0</v>
      </c>
      <c r="EN258" s="39">
        <f t="shared" si="4340"/>
        <v>0</v>
      </c>
      <c r="EO258" s="39">
        <f t="shared" si="4340"/>
        <v>0</v>
      </c>
      <c r="EP258" s="39">
        <f t="shared" si="4340"/>
        <v>52849.420000000006</v>
      </c>
      <c r="EQ258" s="39">
        <f t="shared" si="4340"/>
        <v>24763.257684</v>
      </c>
      <c r="ER258" s="39">
        <f t="shared" ref="ER258:EV258" si="4341">ER$1*DY258/1000000</f>
        <v>0</v>
      </c>
      <c r="ES258" s="39">
        <f t="shared" si="4341"/>
        <v>0</v>
      </c>
      <c r="ET258" s="39">
        <f t="shared" si="4341"/>
        <v>0</v>
      </c>
      <c r="EU258" s="39">
        <f t="shared" si="4341"/>
        <v>0</v>
      </c>
      <c r="EV258" s="39">
        <f t="shared" si="4341"/>
        <v>0</v>
      </c>
      <c r="EW258" s="39">
        <f t="shared" ref="EW258:EX258" si="4342">EW$1*ED258</f>
        <v>0</v>
      </c>
      <c r="EX258" s="39">
        <f t="shared" si="4342"/>
        <v>0</v>
      </c>
      <c r="EY258" s="2"/>
      <c r="EZ258" s="39">
        <f t="shared" si="17"/>
        <v>0</v>
      </c>
      <c r="FA258" s="39">
        <f t="shared" si="18"/>
        <v>0</v>
      </c>
      <c r="FB258" s="2">
        <f t="shared" si="19"/>
        <v>0</v>
      </c>
      <c r="FC258" s="2">
        <f t="shared" ref="FC258:FD258" si="4343">BV258*$BT258+CQ258*$CO258</f>
        <v>0</v>
      </c>
      <c r="FD258" s="2">
        <f t="shared" si="4343"/>
        <v>0</v>
      </c>
      <c r="FE258" s="2">
        <f t="shared" ref="FE258:FJ258" si="4344">(BX258*$BT258+CS258*$CO258)/100</f>
        <v>0</v>
      </c>
      <c r="FF258" s="2">
        <f t="shared" si="4344"/>
        <v>0</v>
      </c>
      <c r="FG258" s="2">
        <f t="shared" si="4344"/>
        <v>0</v>
      </c>
      <c r="FH258" s="2">
        <f t="shared" si="4344"/>
        <v>0</v>
      </c>
      <c r="FI258" s="2">
        <f t="shared" si="4344"/>
        <v>0</v>
      </c>
      <c r="FJ258" s="2">
        <f t="shared" si="4344"/>
        <v>0</v>
      </c>
      <c r="FK258" s="2">
        <f t="shared" ref="FK258:FO258" si="4345">CD258*$BT258+CY258*$CO258</f>
        <v>0</v>
      </c>
      <c r="FL258" s="2">
        <f t="shared" si="4345"/>
        <v>0</v>
      </c>
      <c r="FM258" s="2">
        <f t="shared" si="4345"/>
        <v>0</v>
      </c>
      <c r="FN258" s="2">
        <f t="shared" si="4345"/>
        <v>0</v>
      </c>
      <c r="FO258" s="2">
        <f t="shared" si="4345"/>
        <v>0</v>
      </c>
      <c r="FP258" s="2">
        <f t="shared" ref="FP258:FQ258" si="4346">(CI258*$BT258+DD258*$CO258)/100</f>
        <v>0</v>
      </c>
      <c r="FQ258" s="2">
        <f t="shared" si="4346"/>
        <v>0</v>
      </c>
      <c r="FR258" s="2"/>
      <c r="FS258" s="2">
        <f t="shared" si="24"/>
        <v>0</v>
      </c>
      <c r="FT258" s="2">
        <f t="shared" si="25"/>
        <v>0</v>
      </c>
      <c r="FU258" s="39">
        <f t="shared" si="26"/>
        <v>0</v>
      </c>
      <c r="FV258" s="39">
        <f t="shared" ref="FV258:FW258" si="4347">FV$1*FC258/1000000</f>
        <v>0</v>
      </c>
      <c r="FW258" s="39">
        <f t="shared" si="4347"/>
        <v>0</v>
      </c>
      <c r="FX258" s="39">
        <f t="shared" ref="FX258:GC258" si="4348">FX$1*FE258</f>
        <v>0</v>
      </c>
      <c r="FY258" s="39">
        <f t="shared" si="4348"/>
        <v>0</v>
      </c>
      <c r="FZ258" s="39">
        <f t="shared" si="4348"/>
        <v>0</v>
      </c>
      <c r="GA258" s="39">
        <f t="shared" si="4348"/>
        <v>0</v>
      </c>
      <c r="GB258" s="39">
        <f t="shared" si="4348"/>
        <v>0</v>
      </c>
      <c r="GC258" s="39">
        <f t="shared" si="4348"/>
        <v>0</v>
      </c>
      <c r="GD258" s="39">
        <f t="shared" ref="GD258:GH258" si="4349">GD$1*FK258/1000000</f>
        <v>0</v>
      </c>
      <c r="GE258" s="39">
        <f t="shared" si="4349"/>
        <v>0</v>
      </c>
      <c r="GF258" s="39">
        <f t="shared" si="4349"/>
        <v>0</v>
      </c>
      <c r="GG258" s="39">
        <f t="shared" si="4349"/>
        <v>0</v>
      </c>
      <c r="GH258" s="39">
        <f t="shared" si="4349"/>
        <v>0</v>
      </c>
      <c r="GI258" s="39">
        <f t="shared" ref="GI258:GJ258" si="4350">GI$1*FP258</f>
        <v>0</v>
      </c>
      <c r="GJ258" s="39">
        <f t="shared" si="4350"/>
        <v>0</v>
      </c>
      <c r="GK258" s="2"/>
      <c r="GL258" s="39">
        <f t="shared" si="31"/>
        <v>0</v>
      </c>
      <c r="GM258" s="39">
        <f t="shared" si="32"/>
        <v>0</v>
      </c>
      <c r="GN258" s="2" t="s">
        <v>3</v>
      </c>
      <c r="GO258" s="2">
        <f t="shared" si="33"/>
        <v>310</v>
      </c>
      <c r="GP258" s="2">
        <f t="shared" si="34"/>
        <v>1.3</v>
      </c>
      <c r="GQ258" s="18">
        <f t="shared" si="35"/>
        <v>4030</v>
      </c>
      <c r="GR258" s="15">
        <f t="shared" si="36"/>
        <v>77612.677684000009</v>
      </c>
      <c r="GS258" s="15">
        <f t="shared" si="37"/>
        <v>250.36347640000002</v>
      </c>
      <c r="GT258" s="2">
        <f t="shared" si="38"/>
        <v>0</v>
      </c>
      <c r="GU258" s="2">
        <f t="shared" si="39"/>
        <v>0</v>
      </c>
      <c r="GV258" s="2">
        <f t="shared" si="40"/>
        <v>4030</v>
      </c>
      <c r="GW258" s="2">
        <f t="shared" si="41"/>
        <v>0</v>
      </c>
      <c r="GX258" s="2"/>
      <c r="GY258" s="2"/>
      <c r="GZ258" s="2"/>
      <c r="HA258" s="2"/>
      <c r="HB258" s="2">
        <f t="shared" si="42"/>
        <v>0</v>
      </c>
      <c r="HC258" s="2">
        <f t="shared" si="43"/>
        <v>0</v>
      </c>
      <c r="HD258" s="2" t="s">
        <v>3</v>
      </c>
      <c r="HE258" s="2" t="s">
        <v>37</v>
      </c>
      <c r="HF258" s="2" t="s">
        <v>235</v>
      </c>
      <c r="HG258" s="2" t="s">
        <v>235</v>
      </c>
      <c r="HH258" s="2"/>
      <c r="HI258" s="2" t="s">
        <v>100</v>
      </c>
      <c r="HJ258" s="2" t="s">
        <v>3</v>
      </c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  <c r="JA258" s="2"/>
      <c r="JB258" s="2"/>
      <c r="JC258" s="2"/>
      <c r="JD258" s="2"/>
      <c r="JE258" s="2"/>
      <c r="JF258" s="2"/>
      <c r="JG258" s="2"/>
      <c r="JH258" s="2" t="s">
        <v>3</v>
      </c>
    </row>
    <row r="259" spans="1:268" ht="15.75" customHeight="1" x14ac:dyDescent="0.2">
      <c r="A259" s="13" t="s">
        <v>306</v>
      </c>
      <c r="B259" s="2" t="s">
        <v>99</v>
      </c>
      <c r="C259" s="2"/>
      <c r="D259" s="2"/>
      <c r="E259" s="2"/>
      <c r="F259" s="2" t="s">
        <v>307</v>
      </c>
      <c r="G259" s="2"/>
      <c r="H259" s="2"/>
      <c r="I259" s="2">
        <v>0</v>
      </c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>
        <v>0</v>
      </c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>
        <v>44.8</v>
      </c>
      <c r="AZ259" s="2"/>
      <c r="BA259" s="2"/>
      <c r="BB259" s="2"/>
      <c r="BC259" s="2"/>
      <c r="BD259" s="2"/>
      <c r="BE259" s="2"/>
      <c r="BF259" s="2"/>
      <c r="BG259" s="2">
        <v>1.1100000000000001</v>
      </c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>
        <v>0</v>
      </c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>
        <v>0</v>
      </c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 t="s">
        <v>100</v>
      </c>
      <c r="DK259" s="2"/>
      <c r="DL259" s="2">
        <f t="shared" si="3"/>
        <v>1.1100000000000001</v>
      </c>
      <c r="DM259" s="2">
        <f t="shared" si="4"/>
        <v>0</v>
      </c>
      <c r="DN259" s="2" t="s">
        <v>113</v>
      </c>
      <c r="DO259" s="2" t="s">
        <v>3</v>
      </c>
      <c r="DP259" s="2">
        <f t="shared" si="5"/>
        <v>0</v>
      </c>
      <c r="DQ259" s="2">
        <f t="shared" ref="DQ259:DR259" si="4351">K259*$I259+AF259*$AD259+BA259*$AY259</f>
        <v>0</v>
      </c>
      <c r="DR259" s="2">
        <f t="shared" si="4351"/>
        <v>0</v>
      </c>
      <c r="DS259" s="2">
        <f t="shared" ref="DS259:DX259" si="4352">(M259*$I259+AH259*$AD259+BC259*$AY259)/100</f>
        <v>0</v>
      </c>
      <c r="DT259" s="2">
        <f t="shared" si="4352"/>
        <v>0</v>
      </c>
      <c r="DU259" s="2">
        <f t="shared" si="4352"/>
        <v>0</v>
      </c>
      <c r="DV259" s="2">
        <f t="shared" si="4352"/>
        <v>0</v>
      </c>
      <c r="DW259" s="2">
        <f t="shared" si="4352"/>
        <v>0.49728</v>
      </c>
      <c r="DX259" s="2">
        <f t="shared" si="4352"/>
        <v>0</v>
      </c>
      <c r="DY259" s="2">
        <f t="shared" ref="DY259:EC259" si="4353">S259*$I259+AN259*$AD259+BI259*$AY259</f>
        <v>0</v>
      </c>
      <c r="DZ259" s="2">
        <f t="shared" si="4353"/>
        <v>0</v>
      </c>
      <c r="EA259" s="2">
        <f t="shared" si="4353"/>
        <v>0</v>
      </c>
      <c r="EB259" s="2">
        <f t="shared" si="4353"/>
        <v>0</v>
      </c>
      <c r="EC259" s="2">
        <f t="shared" si="4353"/>
        <v>0</v>
      </c>
      <c r="ED259" s="2">
        <f t="shared" ref="ED259:EE259" si="4354">(X259*$I259+AS259*$AD259+BN259*$AY259)/100</f>
        <v>0</v>
      </c>
      <c r="EE259" s="2">
        <f t="shared" si="4354"/>
        <v>0</v>
      </c>
      <c r="EF259" s="2"/>
      <c r="EG259" s="2">
        <f t="shared" si="10"/>
        <v>0</v>
      </c>
      <c r="EH259" s="2">
        <f t="shared" si="11"/>
        <v>0</v>
      </c>
      <c r="EI259" s="39">
        <f t="shared" si="12"/>
        <v>0</v>
      </c>
      <c r="EJ259" s="39">
        <f t="shared" ref="EJ259:EK259" si="4355">EJ$1*DQ259/1000000</f>
        <v>0</v>
      </c>
      <c r="EK259" s="39">
        <f t="shared" si="4355"/>
        <v>0</v>
      </c>
      <c r="EL259" s="39">
        <f t="shared" ref="EL259:EQ259" si="4356">EL$1*DS259</f>
        <v>0</v>
      </c>
      <c r="EM259" s="39">
        <f t="shared" si="4356"/>
        <v>0</v>
      </c>
      <c r="EN259" s="39">
        <f t="shared" si="4356"/>
        <v>0</v>
      </c>
      <c r="EO259" s="39">
        <f t="shared" si="4356"/>
        <v>0</v>
      </c>
      <c r="EP259" s="39">
        <f t="shared" si="4356"/>
        <v>6521.3299200000001</v>
      </c>
      <c r="EQ259" s="39">
        <f t="shared" si="4356"/>
        <v>0</v>
      </c>
      <c r="ER259" s="39">
        <f t="shared" ref="ER259:EV259" si="4357">ER$1*DY259/1000000</f>
        <v>0</v>
      </c>
      <c r="ES259" s="39">
        <f t="shared" si="4357"/>
        <v>0</v>
      </c>
      <c r="ET259" s="39">
        <f t="shared" si="4357"/>
        <v>0</v>
      </c>
      <c r="EU259" s="39">
        <f t="shared" si="4357"/>
        <v>0</v>
      </c>
      <c r="EV259" s="39">
        <f t="shared" si="4357"/>
        <v>0</v>
      </c>
      <c r="EW259" s="39">
        <f t="shared" ref="EW259:EX259" si="4358">EW$1*ED259</f>
        <v>0</v>
      </c>
      <c r="EX259" s="39">
        <f t="shared" si="4358"/>
        <v>0</v>
      </c>
      <c r="EY259" s="2"/>
      <c r="EZ259" s="39">
        <f t="shared" si="17"/>
        <v>0</v>
      </c>
      <c r="FA259" s="39">
        <f t="shared" si="18"/>
        <v>0</v>
      </c>
      <c r="FB259" s="2">
        <f t="shared" si="19"/>
        <v>0</v>
      </c>
      <c r="FC259" s="2">
        <f t="shared" ref="FC259:FD259" si="4359">BV259*$BT259+CQ259*$CO259</f>
        <v>0</v>
      </c>
      <c r="FD259" s="2">
        <f t="shared" si="4359"/>
        <v>0</v>
      </c>
      <c r="FE259" s="2">
        <f t="shared" ref="FE259:FJ259" si="4360">(BX259*$BT259+CS259*$CO259)/100</f>
        <v>0</v>
      </c>
      <c r="FF259" s="2">
        <f t="shared" si="4360"/>
        <v>0</v>
      </c>
      <c r="FG259" s="2">
        <f t="shared" si="4360"/>
        <v>0</v>
      </c>
      <c r="FH259" s="2">
        <f t="shared" si="4360"/>
        <v>0</v>
      </c>
      <c r="FI259" s="2">
        <f t="shared" si="4360"/>
        <v>0</v>
      </c>
      <c r="FJ259" s="2">
        <f t="shared" si="4360"/>
        <v>0</v>
      </c>
      <c r="FK259" s="2">
        <f t="shared" ref="FK259:FO259" si="4361">CD259*$BT259+CY259*$CO259</f>
        <v>0</v>
      </c>
      <c r="FL259" s="2">
        <f t="shared" si="4361"/>
        <v>0</v>
      </c>
      <c r="FM259" s="2">
        <f t="shared" si="4361"/>
        <v>0</v>
      </c>
      <c r="FN259" s="2">
        <f t="shared" si="4361"/>
        <v>0</v>
      </c>
      <c r="FO259" s="2">
        <f t="shared" si="4361"/>
        <v>0</v>
      </c>
      <c r="FP259" s="2">
        <f t="shared" ref="FP259:FQ259" si="4362">(CI259*$BT259+DD259*$CO259)/100</f>
        <v>0</v>
      </c>
      <c r="FQ259" s="2">
        <f t="shared" si="4362"/>
        <v>0</v>
      </c>
      <c r="FR259" s="2"/>
      <c r="FS259" s="2">
        <f t="shared" si="24"/>
        <v>0</v>
      </c>
      <c r="FT259" s="2">
        <f t="shared" si="25"/>
        <v>0</v>
      </c>
      <c r="FU259" s="39">
        <f t="shared" si="26"/>
        <v>0</v>
      </c>
      <c r="FV259" s="39">
        <f t="shared" ref="FV259:FW259" si="4363">FV$1*FC259/1000000</f>
        <v>0</v>
      </c>
      <c r="FW259" s="39">
        <f t="shared" si="4363"/>
        <v>0</v>
      </c>
      <c r="FX259" s="39">
        <f t="shared" ref="FX259:GC259" si="4364">FX$1*FE259</f>
        <v>0</v>
      </c>
      <c r="FY259" s="39">
        <f t="shared" si="4364"/>
        <v>0</v>
      </c>
      <c r="FZ259" s="39">
        <f t="shared" si="4364"/>
        <v>0</v>
      </c>
      <c r="GA259" s="39">
        <f t="shared" si="4364"/>
        <v>0</v>
      </c>
      <c r="GB259" s="39">
        <f t="shared" si="4364"/>
        <v>0</v>
      </c>
      <c r="GC259" s="39">
        <f t="shared" si="4364"/>
        <v>0</v>
      </c>
      <c r="GD259" s="39">
        <f t="shared" ref="GD259:GH259" si="4365">GD$1*FK259/1000000</f>
        <v>0</v>
      </c>
      <c r="GE259" s="39">
        <f t="shared" si="4365"/>
        <v>0</v>
      </c>
      <c r="GF259" s="39">
        <f t="shared" si="4365"/>
        <v>0</v>
      </c>
      <c r="GG259" s="39">
        <f t="shared" si="4365"/>
        <v>0</v>
      </c>
      <c r="GH259" s="39">
        <f t="shared" si="4365"/>
        <v>0</v>
      </c>
      <c r="GI259" s="39">
        <f t="shared" ref="GI259:GJ259" si="4366">GI$1*FP259</f>
        <v>0</v>
      </c>
      <c r="GJ259" s="39">
        <f t="shared" si="4366"/>
        <v>0</v>
      </c>
      <c r="GK259" s="2"/>
      <c r="GL259" s="39">
        <f t="shared" si="31"/>
        <v>0</v>
      </c>
      <c r="GM259" s="39">
        <f t="shared" si="32"/>
        <v>0</v>
      </c>
      <c r="GN259" s="2" t="s">
        <v>3</v>
      </c>
      <c r="GO259" s="2">
        <f t="shared" si="33"/>
        <v>44.8</v>
      </c>
      <c r="GP259" s="2">
        <f t="shared" si="34"/>
        <v>1.1100000000000001</v>
      </c>
      <c r="GQ259" s="15">
        <f t="shared" si="35"/>
        <v>497.28000000000009</v>
      </c>
      <c r="GR259" s="15">
        <f t="shared" si="36"/>
        <v>6521.3299200000001</v>
      </c>
      <c r="GS259" s="15">
        <f t="shared" si="37"/>
        <v>145.56540000000001</v>
      </c>
      <c r="GT259" s="2">
        <f t="shared" si="38"/>
        <v>0</v>
      </c>
      <c r="GU259" s="2">
        <f t="shared" si="39"/>
        <v>0</v>
      </c>
      <c r="GV259" s="2">
        <f t="shared" si="40"/>
        <v>497.28</v>
      </c>
      <c r="GW259" s="2">
        <f t="shared" si="41"/>
        <v>0</v>
      </c>
      <c r="GX259" s="2"/>
      <c r="GY259" s="2"/>
      <c r="GZ259" s="2"/>
      <c r="HA259" s="2"/>
      <c r="HB259" s="2">
        <f t="shared" si="42"/>
        <v>0</v>
      </c>
      <c r="HC259" s="2">
        <f t="shared" si="43"/>
        <v>0</v>
      </c>
      <c r="HD259" s="2" t="s">
        <v>3</v>
      </c>
      <c r="HE259" s="2" t="s">
        <v>37</v>
      </c>
      <c r="HF259" s="2" t="s">
        <v>235</v>
      </c>
      <c r="HG259" s="2" t="s">
        <v>235</v>
      </c>
      <c r="HH259" s="2"/>
      <c r="HI259" s="2" t="s">
        <v>100</v>
      </c>
      <c r="HJ259" s="2" t="s">
        <v>3</v>
      </c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  <c r="JA259" s="2"/>
      <c r="JB259" s="2"/>
      <c r="JC259" s="2"/>
      <c r="JD259" s="2"/>
      <c r="JE259" s="2"/>
      <c r="JF259" s="2"/>
      <c r="JG259" s="2"/>
      <c r="JH259" s="2" t="s">
        <v>3</v>
      </c>
    </row>
    <row r="260" spans="1:268" ht="15.75" customHeight="1" x14ac:dyDescent="0.2">
      <c r="A260" s="13" t="s">
        <v>623</v>
      </c>
      <c r="B260" s="2" t="s">
        <v>109</v>
      </c>
      <c r="C260" s="2"/>
      <c r="D260" s="2"/>
      <c r="E260" s="2"/>
      <c r="F260" s="2" t="s">
        <v>110</v>
      </c>
      <c r="G260" s="2"/>
      <c r="H260" s="2" t="s">
        <v>111</v>
      </c>
      <c r="I260" s="2">
        <v>0</v>
      </c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>
        <v>0</v>
      </c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>
        <f>5.5-13*0.3</f>
        <v>1.6</v>
      </c>
      <c r="AZ260" s="2"/>
      <c r="BA260" s="2"/>
      <c r="BB260" s="2"/>
      <c r="BC260" s="2"/>
      <c r="BD260" s="2"/>
      <c r="BE260" s="2"/>
      <c r="BF260" s="2"/>
      <c r="BG260" s="2" t="s">
        <v>624</v>
      </c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>
        <v>0</v>
      </c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>
        <v>0</v>
      </c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 t="s">
        <v>100</v>
      </c>
      <c r="DK260" s="2"/>
      <c r="DL260" s="2">
        <f t="shared" ref="DL260:DL514" si="4367">(Q260*I260+AL260*AD260+BG260*AY260)/(I260+AD260+AY260)</f>
        <v>1.32</v>
      </c>
      <c r="DM260" s="2">
        <f t="shared" ref="DM260:DM514" si="4368">(R260*I260+AM260*AD260+BH260*AY260)/(I260+AD260+AY260)</f>
        <v>0</v>
      </c>
      <c r="DN260" s="2" t="s">
        <v>113</v>
      </c>
      <c r="DO260" s="2" t="s">
        <v>3</v>
      </c>
      <c r="DP260" s="2">
        <f t="shared" ref="DP260:DP514" si="4369">(J260*$I260+AE260*$AD260+AZ260*$AY260)/100</f>
        <v>0</v>
      </c>
      <c r="DQ260" s="2">
        <f t="shared" ref="DQ260:DR260" si="4370">K260*$I260+AF260*$AD260+BA260*$AY260</f>
        <v>0</v>
      </c>
      <c r="DR260" s="2">
        <f t="shared" si="4370"/>
        <v>0</v>
      </c>
      <c r="DS260" s="2">
        <f t="shared" ref="DS260:DX260" si="4371">(M260*$I260+AH260*$AD260+BC260*$AY260)/100</f>
        <v>0</v>
      </c>
      <c r="DT260" s="2">
        <f t="shared" si="4371"/>
        <v>0</v>
      </c>
      <c r="DU260" s="2">
        <f t="shared" si="4371"/>
        <v>0</v>
      </c>
      <c r="DV260" s="2">
        <f t="shared" si="4371"/>
        <v>0</v>
      </c>
      <c r="DW260" s="2">
        <f t="shared" si="4371"/>
        <v>2.112E-2</v>
      </c>
      <c r="DX260" s="2">
        <f t="shared" si="4371"/>
        <v>0</v>
      </c>
      <c r="DY260" s="2">
        <f t="shared" ref="DY260:EC260" si="4372">S260*$I260+AN260*$AD260+BI260*$AY260</f>
        <v>0</v>
      </c>
      <c r="DZ260" s="2">
        <f t="shared" si="4372"/>
        <v>0</v>
      </c>
      <c r="EA260" s="2">
        <f t="shared" si="4372"/>
        <v>0</v>
      </c>
      <c r="EB260" s="2">
        <f t="shared" si="4372"/>
        <v>0</v>
      </c>
      <c r="EC260" s="2">
        <f t="shared" si="4372"/>
        <v>0</v>
      </c>
      <c r="ED260" s="2">
        <f t="shared" ref="ED260:EE260" si="4373">(X260*$I260+AS260*$AD260+BN260*$AY260)/100</f>
        <v>0</v>
      </c>
      <c r="EE260" s="2">
        <f t="shared" si="4373"/>
        <v>0</v>
      </c>
      <c r="EF260" s="2"/>
      <c r="EG260" s="2">
        <f t="shared" ref="EG260:EG514" si="4374">AA260*$I260+AV260*$AD260+BQ260*$AY260</f>
        <v>0</v>
      </c>
      <c r="EH260" s="2">
        <f t="shared" ref="EH260:EH514" si="4375">(AB260*$I260+AW260*$AD260+BR260*$AY260)/100</f>
        <v>0</v>
      </c>
      <c r="EI260" s="39">
        <f t="shared" ref="EI260:EI514" si="4376">EI$1*DP260</f>
        <v>0</v>
      </c>
      <c r="EJ260" s="39">
        <f t="shared" ref="EJ260:EK260" si="4377">EJ$1*DQ260/1000000</f>
        <v>0</v>
      </c>
      <c r="EK260" s="39">
        <f t="shared" si="4377"/>
        <v>0</v>
      </c>
      <c r="EL260" s="39">
        <f t="shared" ref="EL260:EQ260" si="4378">EL$1*DS260</f>
        <v>0</v>
      </c>
      <c r="EM260" s="39">
        <f t="shared" si="4378"/>
        <v>0</v>
      </c>
      <c r="EN260" s="39">
        <f t="shared" si="4378"/>
        <v>0</v>
      </c>
      <c r="EO260" s="39">
        <f t="shared" si="4378"/>
        <v>0</v>
      </c>
      <c r="EP260" s="39">
        <f t="shared" si="4378"/>
        <v>276.96767999999997</v>
      </c>
      <c r="EQ260" s="39">
        <f t="shared" si="4378"/>
        <v>0</v>
      </c>
      <c r="ER260" s="39">
        <f t="shared" ref="ER260:EV260" si="4379">ER$1*DY260/1000000</f>
        <v>0</v>
      </c>
      <c r="ES260" s="39">
        <f t="shared" si="4379"/>
        <v>0</v>
      </c>
      <c r="ET260" s="39">
        <f t="shared" si="4379"/>
        <v>0</v>
      </c>
      <c r="EU260" s="39">
        <f t="shared" si="4379"/>
        <v>0</v>
      </c>
      <c r="EV260" s="39">
        <f t="shared" si="4379"/>
        <v>0</v>
      </c>
      <c r="EW260" s="39">
        <f t="shared" ref="EW260:EX260" si="4380">EW$1*ED260</f>
        <v>0</v>
      </c>
      <c r="EX260" s="39">
        <f t="shared" si="4380"/>
        <v>0</v>
      </c>
      <c r="EY260" s="2"/>
      <c r="EZ260" s="39">
        <f t="shared" ref="EZ260:EZ514" si="4381">EZ$1*EG260/1000000</f>
        <v>0</v>
      </c>
      <c r="FA260" s="39">
        <f t="shared" ref="FA260:FA514" si="4382">FA$1*EH260</f>
        <v>0</v>
      </c>
      <c r="FB260" s="2">
        <f t="shared" ref="FB260:FB514" si="4383">(BU260*$BT260+CP260*$CO260)/100</f>
        <v>0</v>
      </c>
      <c r="FC260" s="2">
        <f t="shared" ref="FC260:FD260" si="4384">BV260*$BT260+CQ260*$CO260</f>
        <v>0</v>
      </c>
      <c r="FD260" s="2">
        <f t="shared" si="4384"/>
        <v>0</v>
      </c>
      <c r="FE260" s="2">
        <f t="shared" ref="FE260:FJ260" si="4385">(BX260*$BT260+CS260*$CO260)/100</f>
        <v>0</v>
      </c>
      <c r="FF260" s="2">
        <f t="shared" si="4385"/>
        <v>0</v>
      </c>
      <c r="FG260" s="2">
        <f t="shared" si="4385"/>
        <v>0</v>
      </c>
      <c r="FH260" s="2">
        <f t="shared" si="4385"/>
        <v>0</v>
      </c>
      <c r="FI260" s="2">
        <f t="shared" si="4385"/>
        <v>0</v>
      </c>
      <c r="FJ260" s="2">
        <f t="shared" si="4385"/>
        <v>0</v>
      </c>
      <c r="FK260" s="2">
        <f t="shared" ref="FK260:FO260" si="4386">CD260*$BT260+CY260*$CO260</f>
        <v>0</v>
      </c>
      <c r="FL260" s="2">
        <f t="shared" si="4386"/>
        <v>0</v>
      </c>
      <c r="FM260" s="2">
        <f t="shared" si="4386"/>
        <v>0</v>
      </c>
      <c r="FN260" s="2">
        <f t="shared" si="4386"/>
        <v>0</v>
      </c>
      <c r="FO260" s="2">
        <f t="shared" si="4386"/>
        <v>0</v>
      </c>
      <c r="FP260" s="2">
        <f t="shared" ref="FP260:FQ260" si="4387">(CI260*$BT260+DD260*$CO260)/100</f>
        <v>0</v>
      </c>
      <c r="FQ260" s="2">
        <f t="shared" si="4387"/>
        <v>0</v>
      </c>
      <c r="FR260" s="2"/>
      <c r="FS260" s="2">
        <f t="shared" ref="FS260:FS514" si="4388">CL260*$BT260+DG260*$CO260</f>
        <v>0</v>
      </c>
      <c r="FT260" s="2">
        <f t="shared" ref="FT260:FT514" si="4389">(CM260*$BT260+DH260*$CO260)/100</f>
        <v>0</v>
      </c>
      <c r="FU260" s="39">
        <f t="shared" ref="FU260:FU514" si="4390">FU$1*FB260</f>
        <v>0</v>
      </c>
      <c r="FV260" s="39">
        <f t="shared" ref="FV260:FW260" si="4391">FV$1*FC260/1000000</f>
        <v>0</v>
      </c>
      <c r="FW260" s="39">
        <f t="shared" si="4391"/>
        <v>0</v>
      </c>
      <c r="FX260" s="39">
        <f t="shared" ref="FX260:GC260" si="4392">FX$1*FE260</f>
        <v>0</v>
      </c>
      <c r="FY260" s="39">
        <f t="shared" si="4392"/>
        <v>0</v>
      </c>
      <c r="FZ260" s="39">
        <f t="shared" si="4392"/>
        <v>0</v>
      </c>
      <c r="GA260" s="39">
        <f t="shared" si="4392"/>
        <v>0</v>
      </c>
      <c r="GB260" s="39">
        <f t="shared" si="4392"/>
        <v>0</v>
      </c>
      <c r="GC260" s="39">
        <f t="shared" si="4392"/>
        <v>0</v>
      </c>
      <c r="GD260" s="39">
        <f t="shared" ref="GD260:GH260" si="4393">GD$1*FK260/1000000</f>
        <v>0</v>
      </c>
      <c r="GE260" s="39">
        <f t="shared" si="4393"/>
        <v>0</v>
      </c>
      <c r="GF260" s="39">
        <f t="shared" si="4393"/>
        <v>0</v>
      </c>
      <c r="GG260" s="39">
        <f t="shared" si="4393"/>
        <v>0</v>
      </c>
      <c r="GH260" s="39">
        <f t="shared" si="4393"/>
        <v>0</v>
      </c>
      <c r="GI260" s="39">
        <f t="shared" ref="GI260:GJ260" si="4394">GI$1*FP260</f>
        <v>0</v>
      </c>
      <c r="GJ260" s="39">
        <f t="shared" si="4394"/>
        <v>0</v>
      </c>
      <c r="GK260" s="2"/>
      <c r="GL260" s="39">
        <f t="shared" ref="GL260:GL514" si="4395">GL$1*FS260/1000000</f>
        <v>0</v>
      </c>
      <c r="GM260" s="39">
        <f t="shared" ref="GM260:GM514" si="4396">GM$1*FT260</f>
        <v>0</v>
      </c>
      <c r="GN260" s="2" t="s">
        <v>3</v>
      </c>
      <c r="GO260" s="2">
        <f t="shared" ref="GO260:GO514" si="4397">I260+AD260+AY260</f>
        <v>1.6</v>
      </c>
      <c r="GP260" s="2">
        <f t="shared" ref="GP260:GP514" si="4398">(I260*Q260+AD260*AL260+AY260*BG260)/GO260</f>
        <v>1.32</v>
      </c>
      <c r="GQ260" s="15">
        <f t="shared" ref="GQ260:GQ514" si="4399">1000*GO260*GP260/100</f>
        <v>21.12</v>
      </c>
      <c r="GR260" s="15">
        <f t="shared" ref="GR260:GR514" si="4400">SUM(EI260:FA260)</f>
        <v>276.96767999999997</v>
      </c>
      <c r="GS260" s="15">
        <f t="shared" ref="GS260:GS514" si="4401">GR260/GO260</f>
        <v>173.10479999999998</v>
      </c>
      <c r="GT260" s="2">
        <f t="shared" ref="GT260:GT514" si="4402">1000*(Q260*$I260)/100</f>
        <v>0</v>
      </c>
      <c r="GU260" s="2">
        <f t="shared" ref="GU260:GU514" si="4403">1000*(AL260*$AD260)/100</f>
        <v>0</v>
      </c>
      <c r="GV260" s="2">
        <f t="shared" ref="GV260:GV514" si="4404">1000*(BG260*$AY260)/100</f>
        <v>21.12</v>
      </c>
      <c r="GW260" s="2">
        <f t="shared" ref="GW260:GW514" si="4405">BT260+CO260</f>
        <v>0</v>
      </c>
      <c r="GX260" s="2"/>
      <c r="GY260" s="2"/>
      <c r="GZ260" s="2"/>
      <c r="HA260" s="2"/>
      <c r="HB260" s="2">
        <f t="shared" ref="HB260:HB514" si="4406">1000*(CB260*$BT260)/100</f>
        <v>0</v>
      </c>
      <c r="HC260" s="2">
        <f t="shared" ref="HC260:HC514" si="4407">1000*(CW260*$CO260)/100</f>
        <v>0</v>
      </c>
      <c r="HD260" s="2" t="s">
        <v>3</v>
      </c>
      <c r="HE260" s="2" t="s">
        <v>37</v>
      </c>
      <c r="HF260" s="2" t="s">
        <v>235</v>
      </c>
      <c r="HG260" s="2" t="s">
        <v>235</v>
      </c>
      <c r="HH260" s="2"/>
      <c r="HI260" s="2" t="s">
        <v>100</v>
      </c>
      <c r="HJ260" s="2" t="s">
        <v>3</v>
      </c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A260" s="2"/>
      <c r="JB260" s="2"/>
      <c r="JC260" s="2"/>
      <c r="JD260" s="2"/>
      <c r="JE260" s="2"/>
      <c r="JF260" s="2"/>
      <c r="JG260" s="2"/>
      <c r="JH260" s="2" t="s">
        <v>3</v>
      </c>
    </row>
    <row r="261" spans="1:268" ht="15.75" customHeight="1" x14ac:dyDescent="0.2">
      <c r="A261" s="13" t="s">
        <v>231</v>
      </c>
      <c r="B261" s="2" t="s">
        <v>99</v>
      </c>
      <c r="C261" s="2"/>
      <c r="D261" s="2"/>
      <c r="E261" s="2"/>
      <c r="F261" s="2" t="s">
        <v>232</v>
      </c>
      <c r="G261" s="2"/>
      <c r="H261" s="2"/>
      <c r="I261" s="2">
        <v>0</v>
      </c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>
        <v>0</v>
      </c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>
        <v>63.9</v>
      </c>
      <c r="AZ261" s="2"/>
      <c r="BA261" s="2"/>
      <c r="BB261" s="2"/>
      <c r="BC261" s="2"/>
      <c r="BD261" s="2"/>
      <c r="BE261" s="2"/>
      <c r="BF261" s="2"/>
      <c r="BG261" s="2" t="s">
        <v>233</v>
      </c>
      <c r="BH261" s="2" t="s">
        <v>234</v>
      </c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>
        <v>0</v>
      </c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>
        <v>0</v>
      </c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 t="s">
        <v>100</v>
      </c>
      <c r="DK261" s="2" t="s">
        <v>100</v>
      </c>
      <c r="DL261" s="2">
        <f t="shared" si="4367"/>
        <v>1.03</v>
      </c>
      <c r="DM261" s="2">
        <f t="shared" si="4368"/>
        <v>0.15</v>
      </c>
      <c r="DN261" s="2" t="s">
        <v>113</v>
      </c>
      <c r="DO261" s="2" t="s">
        <v>3</v>
      </c>
      <c r="DP261" s="2">
        <f t="shared" si="4369"/>
        <v>0</v>
      </c>
      <c r="DQ261" s="2">
        <f t="shared" ref="DQ261:DR261" si="4408">K261*$I261+AF261*$AD261+BA261*$AY261</f>
        <v>0</v>
      </c>
      <c r="DR261" s="2">
        <f t="shared" si="4408"/>
        <v>0</v>
      </c>
      <c r="DS261" s="2">
        <f t="shared" ref="DS261:DX261" si="4409">(M261*$I261+AH261*$AD261+BC261*$AY261)/100</f>
        <v>0</v>
      </c>
      <c r="DT261" s="2">
        <f t="shared" si="4409"/>
        <v>0</v>
      </c>
      <c r="DU261" s="2">
        <f t="shared" si="4409"/>
        <v>0</v>
      </c>
      <c r="DV261" s="2">
        <f t="shared" si="4409"/>
        <v>0</v>
      </c>
      <c r="DW261" s="2">
        <f t="shared" si="4409"/>
        <v>0.65817000000000003</v>
      </c>
      <c r="DX261" s="2">
        <f t="shared" si="4409"/>
        <v>9.5849999999999991E-2</v>
      </c>
      <c r="DY261" s="2">
        <f t="shared" ref="DY261:EC261" si="4410">S261*$I261+AN261*$AD261+BI261*$AY261</f>
        <v>0</v>
      </c>
      <c r="DZ261" s="2">
        <f t="shared" si="4410"/>
        <v>0</v>
      </c>
      <c r="EA261" s="2">
        <f t="shared" si="4410"/>
        <v>0</v>
      </c>
      <c r="EB261" s="2">
        <f t="shared" si="4410"/>
        <v>0</v>
      </c>
      <c r="EC261" s="2">
        <f t="shared" si="4410"/>
        <v>0</v>
      </c>
      <c r="ED261" s="2">
        <f t="shared" ref="ED261:EE261" si="4411">(X261*$I261+AS261*$AD261+BN261*$AY261)/100</f>
        <v>0</v>
      </c>
      <c r="EE261" s="2">
        <f t="shared" si="4411"/>
        <v>0</v>
      </c>
      <c r="EF261" s="2"/>
      <c r="EG261" s="2">
        <f t="shared" si="4374"/>
        <v>0</v>
      </c>
      <c r="EH261" s="2">
        <f t="shared" si="4375"/>
        <v>0</v>
      </c>
      <c r="EI261" s="39">
        <f t="shared" si="4376"/>
        <v>0</v>
      </c>
      <c r="EJ261" s="39">
        <f t="shared" ref="EJ261:EK261" si="4412">EJ$1*DQ261/1000000</f>
        <v>0</v>
      </c>
      <c r="EK261" s="39">
        <f t="shared" si="4412"/>
        <v>0</v>
      </c>
      <c r="EL261" s="39">
        <f t="shared" ref="EL261:EQ261" si="4413">EL$1*DS261</f>
        <v>0</v>
      </c>
      <c r="EM261" s="39">
        <f t="shared" si="4413"/>
        <v>0</v>
      </c>
      <c r="EN261" s="39">
        <f t="shared" si="4413"/>
        <v>0</v>
      </c>
      <c r="EO261" s="39">
        <f t="shared" si="4413"/>
        <v>0</v>
      </c>
      <c r="EP261" s="39">
        <f t="shared" si="4413"/>
        <v>8631.2413800000013</v>
      </c>
      <c r="EQ261" s="39">
        <f t="shared" si="4413"/>
        <v>6960.5813753999983</v>
      </c>
      <c r="ER261" s="39">
        <f t="shared" ref="ER261:EV261" si="4414">ER$1*DY261/1000000</f>
        <v>0</v>
      </c>
      <c r="ES261" s="39">
        <f t="shared" si="4414"/>
        <v>0</v>
      </c>
      <c r="ET261" s="39">
        <f t="shared" si="4414"/>
        <v>0</v>
      </c>
      <c r="EU261" s="39">
        <f t="shared" si="4414"/>
        <v>0</v>
      </c>
      <c r="EV261" s="39">
        <f t="shared" si="4414"/>
        <v>0</v>
      </c>
      <c r="EW261" s="39">
        <f t="shared" ref="EW261:EX261" si="4415">EW$1*ED261</f>
        <v>0</v>
      </c>
      <c r="EX261" s="39">
        <f t="shared" si="4415"/>
        <v>0</v>
      </c>
      <c r="EY261" s="2"/>
      <c r="EZ261" s="39">
        <f t="shared" si="4381"/>
        <v>0</v>
      </c>
      <c r="FA261" s="39">
        <f t="shared" si="4382"/>
        <v>0</v>
      </c>
      <c r="FB261" s="2">
        <f t="shared" si="4383"/>
        <v>0</v>
      </c>
      <c r="FC261" s="2">
        <f t="shared" ref="FC261:FD261" si="4416">BV261*$BT261+CQ261*$CO261</f>
        <v>0</v>
      </c>
      <c r="FD261" s="2">
        <f t="shared" si="4416"/>
        <v>0</v>
      </c>
      <c r="FE261" s="2">
        <f t="shared" ref="FE261:FJ261" si="4417">(BX261*$BT261+CS261*$CO261)/100</f>
        <v>0</v>
      </c>
      <c r="FF261" s="2">
        <f t="shared" si="4417"/>
        <v>0</v>
      </c>
      <c r="FG261" s="2">
        <f t="shared" si="4417"/>
        <v>0</v>
      </c>
      <c r="FH261" s="2">
        <f t="shared" si="4417"/>
        <v>0</v>
      </c>
      <c r="FI261" s="2">
        <f t="shared" si="4417"/>
        <v>0</v>
      </c>
      <c r="FJ261" s="2">
        <f t="shared" si="4417"/>
        <v>0</v>
      </c>
      <c r="FK261" s="2">
        <f t="shared" ref="FK261:FO261" si="4418">CD261*$BT261+CY261*$CO261</f>
        <v>0</v>
      </c>
      <c r="FL261" s="2">
        <f t="shared" si="4418"/>
        <v>0</v>
      </c>
      <c r="FM261" s="2">
        <f t="shared" si="4418"/>
        <v>0</v>
      </c>
      <c r="FN261" s="2">
        <f t="shared" si="4418"/>
        <v>0</v>
      </c>
      <c r="FO261" s="2">
        <f t="shared" si="4418"/>
        <v>0</v>
      </c>
      <c r="FP261" s="2">
        <f t="shared" ref="FP261:FQ261" si="4419">(CI261*$BT261+DD261*$CO261)/100</f>
        <v>0</v>
      </c>
      <c r="FQ261" s="2">
        <f t="shared" si="4419"/>
        <v>0</v>
      </c>
      <c r="FR261" s="2"/>
      <c r="FS261" s="2">
        <f t="shared" si="4388"/>
        <v>0</v>
      </c>
      <c r="FT261" s="2">
        <f t="shared" si="4389"/>
        <v>0</v>
      </c>
      <c r="FU261" s="39">
        <f t="shared" si="4390"/>
        <v>0</v>
      </c>
      <c r="FV261" s="39">
        <f t="shared" ref="FV261:FW261" si="4420">FV$1*FC261/1000000</f>
        <v>0</v>
      </c>
      <c r="FW261" s="39">
        <f t="shared" si="4420"/>
        <v>0</v>
      </c>
      <c r="FX261" s="39">
        <f t="shared" ref="FX261:GC261" si="4421">FX$1*FE261</f>
        <v>0</v>
      </c>
      <c r="FY261" s="39">
        <f t="shared" si="4421"/>
        <v>0</v>
      </c>
      <c r="FZ261" s="39">
        <f t="shared" si="4421"/>
        <v>0</v>
      </c>
      <c r="GA261" s="39">
        <f t="shared" si="4421"/>
        <v>0</v>
      </c>
      <c r="GB261" s="39">
        <f t="shared" si="4421"/>
        <v>0</v>
      </c>
      <c r="GC261" s="39">
        <f t="shared" si="4421"/>
        <v>0</v>
      </c>
      <c r="GD261" s="39">
        <f t="shared" ref="GD261:GH261" si="4422">GD$1*FK261/1000000</f>
        <v>0</v>
      </c>
      <c r="GE261" s="39">
        <f t="shared" si="4422"/>
        <v>0</v>
      </c>
      <c r="GF261" s="39">
        <f t="shared" si="4422"/>
        <v>0</v>
      </c>
      <c r="GG261" s="39">
        <f t="shared" si="4422"/>
        <v>0</v>
      </c>
      <c r="GH261" s="39">
        <f t="shared" si="4422"/>
        <v>0</v>
      </c>
      <c r="GI261" s="39">
        <f t="shared" ref="GI261:GJ261" si="4423">GI$1*FP261</f>
        <v>0</v>
      </c>
      <c r="GJ261" s="39">
        <f t="shared" si="4423"/>
        <v>0</v>
      </c>
      <c r="GK261" s="2"/>
      <c r="GL261" s="39">
        <f t="shared" si="4395"/>
        <v>0</v>
      </c>
      <c r="GM261" s="39">
        <f t="shared" si="4396"/>
        <v>0</v>
      </c>
      <c r="GN261" s="2" t="s">
        <v>3</v>
      </c>
      <c r="GO261" s="2">
        <f t="shared" si="4397"/>
        <v>63.9</v>
      </c>
      <c r="GP261" s="2">
        <f t="shared" si="4398"/>
        <v>1.03</v>
      </c>
      <c r="GQ261" s="15">
        <f t="shared" si="4399"/>
        <v>658.17</v>
      </c>
      <c r="GR261" s="15">
        <f t="shared" si="4400"/>
        <v>15591.8227554</v>
      </c>
      <c r="GS261" s="15">
        <f t="shared" si="4401"/>
        <v>244.00348600000001</v>
      </c>
      <c r="GT261" s="2">
        <f t="shared" si="4402"/>
        <v>0</v>
      </c>
      <c r="GU261" s="2">
        <f t="shared" si="4403"/>
        <v>0</v>
      </c>
      <c r="GV261" s="2">
        <f t="shared" si="4404"/>
        <v>658.17</v>
      </c>
      <c r="GW261" s="2">
        <f t="shared" si="4405"/>
        <v>0</v>
      </c>
      <c r="GX261" s="2"/>
      <c r="GY261" s="2"/>
      <c r="GZ261" s="2"/>
      <c r="HA261" s="2"/>
      <c r="HB261" s="2">
        <f t="shared" si="4406"/>
        <v>0</v>
      </c>
      <c r="HC261" s="2">
        <f t="shared" si="4407"/>
        <v>0</v>
      </c>
      <c r="HD261" s="2" t="s">
        <v>3</v>
      </c>
      <c r="HE261" s="2" t="s">
        <v>37</v>
      </c>
      <c r="HF261" s="2" t="s">
        <v>235</v>
      </c>
      <c r="HG261" s="2" t="s">
        <v>235</v>
      </c>
      <c r="HH261" s="2"/>
      <c r="HI261" s="2" t="s">
        <v>100</v>
      </c>
      <c r="HJ261" s="2" t="s">
        <v>3</v>
      </c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  <c r="JA261" s="2"/>
      <c r="JB261" s="2"/>
      <c r="JC261" s="2"/>
      <c r="JD261" s="2"/>
      <c r="JE261" s="2"/>
      <c r="JF261" s="2"/>
      <c r="JG261" s="2"/>
      <c r="JH261" s="2" t="s">
        <v>3</v>
      </c>
    </row>
    <row r="262" spans="1:268" ht="15.75" customHeight="1" x14ac:dyDescent="0.2">
      <c r="A262" s="13" t="s">
        <v>595</v>
      </c>
      <c r="B262" s="2" t="s">
        <v>99</v>
      </c>
      <c r="C262" s="2"/>
      <c r="D262" s="2"/>
      <c r="E262" s="2"/>
      <c r="F262" s="2" t="s">
        <v>232</v>
      </c>
      <c r="G262" s="2"/>
      <c r="H262" s="2"/>
      <c r="I262" s="2">
        <v>0</v>
      </c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>
        <v>0</v>
      </c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>
        <v>64.599999999999994</v>
      </c>
      <c r="AZ262" s="2"/>
      <c r="BA262" s="2"/>
      <c r="BB262" s="2"/>
      <c r="BC262" s="2"/>
      <c r="BD262" s="2"/>
      <c r="BE262" s="2"/>
      <c r="BF262" s="2"/>
      <c r="BG262" s="2" t="s">
        <v>596</v>
      </c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>
        <v>0</v>
      </c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>
        <v>0</v>
      </c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 t="s">
        <v>100</v>
      </c>
      <c r="DK262" s="2"/>
      <c r="DL262" s="2">
        <f t="shared" si="4367"/>
        <v>0.88</v>
      </c>
      <c r="DM262" s="2">
        <f t="shared" si="4368"/>
        <v>0</v>
      </c>
      <c r="DN262" s="2" t="s">
        <v>113</v>
      </c>
      <c r="DO262" s="2" t="s">
        <v>3</v>
      </c>
      <c r="DP262" s="2">
        <f t="shared" si="4369"/>
        <v>0</v>
      </c>
      <c r="DQ262" s="2">
        <f t="shared" ref="DQ262:DR262" si="4424">K262*$I262+AF262*$AD262+BA262*$AY262</f>
        <v>0</v>
      </c>
      <c r="DR262" s="2">
        <f t="shared" si="4424"/>
        <v>0</v>
      </c>
      <c r="DS262" s="2">
        <f t="shared" ref="DS262:DX262" si="4425">(M262*$I262+AH262*$AD262+BC262*$AY262)/100</f>
        <v>0</v>
      </c>
      <c r="DT262" s="2">
        <f t="shared" si="4425"/>
        <v>0</v>
      </c>
      <c r="DU262" s="2">
        <f t="shared" si="4425"/>
        <v>0</v>
      </c>
      <c r="DV262" s="2">
        <f t="shared" si="4425"/>
        <v>0</v>
      </c>
      <c r="DW262" s="2">
        <f t="shared" si="4425"/>
        <v>0.56847999999999987</v>
      </c>
      <c r="DX262" s="2">
        <f t="shared" si="4425"/>
        <v>0</v>
      </c>
      <c r="DY262" s="2">
        <f t="shared" ref="DY262:EC262" si="4426">S262*$I262+AN262*$AD262+BI262*$AY262</f>
        <v>0</v>
      </c>
      <c r="DZ262" s="2">
        <f t="shared" si="4426"/>
        <v>0</v>
      </c>
      <c r="EA262" s="2">
        <f t="shared" si="4426"/>
        <v>0</v>
      </c>
      <c r="EB262" s="2">
        <f t="shared" si="4426"/>
        <v>0</v>
      </c>
      <c r="EC262" s="2">
        <f t="shared" si="4426"/>
        <v>0</v>
      </c>
      <c r="ED262" s="2">
        <f t="shared" ref="ED262:EE262" si="4427">(X262*$I262+AS262*$AD262+BN262*$AY262)/100</f>
        <v>0</v>
      </c>
      <c r="EE262" s="2">
        <f t="shared" si="4427"/>
        <v>0</v>
      </c>
      <c r="EF262" s="2"/>
      <c r="EG262" s="2">
        <f t="shared" si="4374"/>
        <v>0</v>
      </c>
      <c r="EH262" s="2">
        <f t="shared" si="4375"/>
        <v>0</v>
      </c>
      <c r="EI262" s="39">
        <f t="shared" si="4376"/>
        <v>0</v>
      </c>
      <c r="EJ262" s="39">
        <f t="shared" ref="EJ262:EK262" si="4428">EJ$1*DQ262/1000000</f>
        <v>0</v>
      </c>
      <c r="EK262" s="39">
        <f t="shared" si="4428"/>
        <v>0</v>
      </c>
      <c r="EL262" s="39">
        <f t="shared" ref="EL262:EQ262" si="4429">EL$1*DS262</f>
        <v>0</v>
      </c>
      <c r="EM262" s="39">
        <f t="shared" si="4429"/>
        <v>0</v>
      </c>
      <c r="EN262" s="39">
        <f t="shared" si="4429"/>
        <v>0</v>
      </c>
      <c r="EO262" s="39">
        <f t="shared" si="4429"/>
        <v>0</v>
      </c>
      <c r="EP262" s="39">
        <f t="shared" si="4429"/>
        <v>7455.0467199999985</v>
      </c>
      <c r="EQ262" s="39">
        <f t="shared" si="4429"/>
        <v>0</v>
      </c>
      <c r="ER262" s="39">
        <f t="shared" ref="ER262:EV262" si="4430">ER$1*DY262/1000000</f>
        <v>0</v>
      </c>
      <c r="ES262" s="39">
        <f t="shared" si="4430"/>
        <v>0</v>
      </c>
      <c r="ET262" s="39">
        <f t="shared" si="4430"/>
        <v>0</v>
      </c>
      <c r="EU262" s="39">
        <f t="shared" si="4430"/>
        <v>0</v>
      </c>
      <c r="EV262" s="39">
        <f t="shared" si="4430"/>
        <v>0</v>
      </c>
      <c r="EW262" s="39">
        <f t="shared" ref="EW262:EX262" si="4431">EW$1*ED262</f>
        <v>0</v>
      </c>
      <c r="EX262" s="39">
        <f t="shared" si="4431"/>
        <v>0</v>
      </c>
      <c r="EY262" s="2"/>
      <c r="EZ262" s="39">
        <f t="shared" si="4381"/>
        <v>0</v>
      </c>
      <c r="FA262" s="39">
        <f t="shared" si="4382"/>
        <v>0</v>
      </c>
      <c r="FB262" s="2">
        <f t="shared" si="4383"/>
        <v>0</v>
      </c>
      <c r="FC262" s="2">
        <f t="shared" ref="FC262:FD262" si="4432">BV262*$BT262+CQ262*$CO262</f>
        <v>0</v>
      </c>
      <c r="FD262" s="2">
        <f t="shared" si="4432"/>
        <v>0</v>
      </c>
      <c r="FE262" s="2">
        <f t="shared" ref="FE262:FJ262" si="4433">(BX262*$BT262+CS262*$CO262)/100</f>
        <v>0</v>
      </c>
      <c r="FF262" s="2">
        <f t="shared" si="4433"/>
        <v>0</v>
      </c>
      <c r="FG262" s="2">
        <f t="shared" si="4433"/>
        <v>0</v>
      </c>
      <c r="FH262" s="2">
        <f t="shared" si="4433"/>
        <v>0</v>
      </c>
      <c r="FI262" s="2">
        <f t="shared" si="4433"/>
        <v>0</v>
      </c>
      <c r="FJ262" s="2">
        <f t="shared" si="4433"/>
        <v>0</v>
      </c>
      <c r="FK262" s="2">
        <f t="shared" ref="FK262:FO262" si="4434">CD262*$BT262+CY262*$CO262</f>
        <v>0</v>
      </c>
      <c r="FL262" s="2">
        <f t="shared" si="4434"/>
        <v>0</v>
      </c>
      <c r="FM262" s="2">
        <f t="shared" si="4434"/>
        <v>0</v>
      </c>
      <c r="FN262" s="2">
        <f t="shared" si="4434"/>
        <v>0</v>
      </c>
      <c r="FO262" s="2">
        <f t="shared" si="4434"/>
        <v>0</v>
      </c>
      <c r="FP262" s="2">
        <f t="shared" ref="FP262:FQ262" si="4435">(CI262*$BT262+DD262*$CO262)/100</f>
        <v>0</v>
      </c>
      <c r="FQ262" s="2">
        <f t="shared" si="4435"/>
        <v>0</v>
      </c>
      <c r="FR262" s="2"/>
      <c r="FS262" s="2">
        <f t="shared" si="4388"/>
        <v>0</v>
      </c>
      <c r="FT262" s="2">
        <f t="shared" si="4389"/>
        <v>0</v>
      </c>
      <c r="FU262" s="39">
        <f t="shared" si="4390"/>
        <v>0</v>
      </c>
      <c r="FV262" s="39">
        <f t="shared" ref="FV262:FW262" si="4436">FV$1*FC262/1000000</f>
        <v>0</v>
      </c>
      <c r="FW262" s="39">
        <f t="shared" si="4436"/>
        <v>0</v>
      </c>
      <c r="FX262" s="39">
        <f t="shared" ref="FX262:GC262" si="4437">FX$1*FE262</f>
        <v>0</v>
      </c>
      <c r="FY262" s="39">
        <f t="shared" si="4437"/>
        <v>0</v>
      </c>
      <c r="FZ262" s="39">
        <f t="shared" si="4437"/>
        <v>0</v>
      </c>
      <c r="GA262" s="39">
        <f t="shared" si="4437"/>
        <v>0</v>
      </c>
      <c r="GB262" s="39">
        <f t="shared" si="4437"/>
        <v>0</v>
      </c>
      <c r="GC262" s="39">
        <f t="shared" si="4437"/>
        <v>0</v>
      </c>
      <c r="GD262" s="39">
        <f t="shared" ref="GD262:GH262" si="4438">GD$1*FK262/1000000</f>
        <v>0</v>
      </c>
      <c r="GE262" s="39">
        <f t="shared" si="4438"/>
        <v>0</v>
      </c>
      <c r="GF262" s="39">
        <f t="shared" si="4438"/>
        <v>0</v>
      </c>
      <c r="GG262" s="39">
        <f t="shared" si="4438"/>
        <v>0</v>
      </c>
      <c r="GH262" s="39">
        <f t="shared" si="4438"/>
        <v>0</v>
      </c>
      <c r="GI262" s="39">
        <f t="shared" ref="GI262:GJ262" si="4439">GI$1*FP262</f>
        <v>0</v>
      </c>
      <c r="GJ262" s="39">
        <f t="shared" si="4439"/>
        <v>0</v>
      </c>
      <c r="GK262" s="2"/>
      <c r="GL262" s="39">
        <f t="shared" si="4395"/>
        <v>0</v>
      </c>
      <c r="GM262" s="39">
        <f t="shared" si="4396"/>
        <v>0</v>
      </c>
      <c r="GN262" s="2" t="s">
        <v>3</v>
      </c>
      <c r="GO262" s="2">
        <f t="shared" si="4397"/>
        <v>64.599999999999994</v>
      </c>
      <c r="GP262" s="2">
        <f t="shared" si="4398"/>
        <v>0.88</v>
      </c>
      <c r="GQ262" s="15">
        <f t="shared" si="4399"/>
        <v>568.4799999999999</v>
      </c>
      <c r="GR262" s="15">
        <f t="shared" si="4400"/>
        <v>7455.0467199999985</v>
      </c>
      <c r="GS262" s="15">
        <f t="shared" si="4401"/>
        <v>115.40319999999998</v>
      </c>
      <c r="GT262" s="2">
        <f t="shared" si="4402"/>
        <v>0</v>
      </c>
      <c r="GU262" s="2">
        <f t="shared" si="4403"/>
        <v>0</v>
      </c>
      <c r="GV262" s="2">
        <f t="shared" si="4404"/>
        <v>568.4799999999999</v>
      </c>
      <c r="GW262" s="2">
        <f t="shared" si="4405"/>
        <v>0</v>
      </c>
      <c r="GX262" s="2"/>
      <c r="GY262" s="2"/>
      <c r="GZ262" s="2"/>
      <c r="HA262" s="2"/>
      <c r="HB262" s="2">
        <f t="shared" si="4406"/>
        <v>0</v>
      </c>
      <c r="HC262" s="2">
        <f t="shared" si="4407"/>
        <v>0</v>
      </c>
      <c r="HD262" s="2" t="s">
        <v>3</v>
      </c>
      <c r="HE262" s="2" t="s">
        <v>37</v>
      </c>
      <c r="HF262" s="2" t="s">
        <v>235</v>
      </c>
      <c r="HG262" s="2" t="s">
        <v>235</v>
      </c>
      <c r="HH262" s="2"/>
      <c r="HI262" s="2" t="s">
        <v>100</v>
      </c>
      <c r="HJ262" s="2" t="s">
        <v>3</v>
      </c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A262" s="2"/>
      <c r="JB262" s="2"/>
      <c r="JC262" s="2"/>
      <c r="JD262" s="2"/>
      <c r="JE262" s="2"/>
      <c r="JF262" s="2"/>
      <c r="JG262" s="2"/>
      <c r="JH262" s="2" t="s">
        <v>3</v>
      </c>
    </row>
    <row r="263" spans="1:268" ht="15.75" customHeight="1" x14ac:dyDescent="0.2">
      <c r="A263" s="13" t="s">
        <v>1098</v>
      </c>
      <c r="B263" s="2" t="s">
        <v>99</v>
      </c>
      <c r="C263" s="2"/>
      <c r="D263" s="2"/>
      <c r="E263" s="2"/>
      <c r="F263" s="2" t="s">
        <v>232</v>
      </c>
      <c r="G263" s="2"/>
      <c r="H263" s="2"/>
      <c r="I263" s="2">
        <v>0</v>
      </c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>
        <v>0</v>
      </c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>
        <v>18.399999999999999</v>
      </c>
      <c r="AZ263" s="2"/>
      <c r="BA263" s="2"/>
      <c r="BB263" s="2"/>
      <c r="BC263" s="2"/>
      <c r="BD263" s="2"/>
      <c r="BE263" s="2"/>
      <c r="BF263" s="2"/>
      <c r="BG263" s="2" t="s">
        <v>1099</v>
      </c>
      <c r="BH263" s="2" t="s">
        <v>620</v>
      </c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>
        <v>0</v>
      </c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>
        <v>0</v>
      </c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 t="s">
        <v>100</v>
      </c>
      <c r="DK263" s="2" t="s">
        <v>100</v>
      </c>
      <c r="DL263" s="2">
        <f t="shared" si="4367"/>
        <v>0.92000000000000015</v>
      </c>
      <c r="DM263" s="2">
        <f t="shared" si="4368"/>
        <v>0.08</v>
      </c>
      <c r="DN263" s="2" t="s">
        <v>113</v>
      </c>
      <c r="DO263" s="2" t="s">
        <v>3</v>
      </c>
      <c r="DP263" s="2">
        <f t="shared" si="4369"/>
        <v>0</v>
      </c>
      <c r="DQ263" s="2">
        <f t="shared" ref="DQ263:DR263" si="4440">K263*$I263+AF263*$AD263+BA263*$AY263</f>
        <v>0</v>
      </c>
      <c r="DR263" s="2">
        <f t="shared" si="4440"/>
        <v>0</v>
      </c>
      <c r="DS263" s="2">
        <f t="shared" ref="DS263:DX263" si="4441">(M263*$I263+AH263*$AD263+BC263*$AY263)/100</f>
        <v>0</v>
      </c>
      <c r="DT263" s="2">
        <f t="shared" si="4441"/>
        <v>0</v>
      </c>
      <c r="DU263" s="2">
        <f t="shared" si="4441"/>
        <v>0</v>
      </c>
      <c r="DV263" s="2">
        <f t="shared" si="4441"/>
        <v>0</v>
      </c>
      <c r="DW263" s="2">
        <f t="shared" si="4441"/>
        <v>0.16928000000000001</v>
      </c>
      <c r="DX263" s="2">
        <f t="shared" si="4441"/>
        <v>1.472E-2</v>
      </c>
      <c r="DY263" s="2">
        <f t="shared" ref="DY263:EC263" si="4442">S263*$I263+AN263*$AD263+BI263*$AY263</f>
        <v>0</v>
      </c>
      <c r="DZ263" s="2">
        <f t="shared" si="4442"/>
        <v>0</v>
      </c>
      <c r="EA263" s="2">
        <f t="shared" si="4442"/>
        <v>0</v>
      </c>
      <c r="EB263" s="2">
        <f t="shared" si="4442"/>
        <v>0</v>
      </c>
      <c r="EC263" s="2">
        <f t="shared" si="4442"/>
        <v>0</v>
      </c>
      <c r="ED263" s="2">
        <f t="shared" ref="ED263:EE263" si="4443">(X263*$I263+AS263*$AD263+BN263*$AY263)/100</f>
        <v>0</v>
      </c>
      <c r="EE263" s="2">
        <f t="shared" si="4443"/>
        <v>0</v>
      </c>
      <c r="EF263" s="2"/>
      <c r="EG263" s="2">
        <f t="shared" si="4374"/>
        <v>0</v>
      </c>
      <c r="EH263" s="2">
        <f t="shared" si="4375"/>
        <v>0</v>
      </c>
      <c r="EI263" s="39">
        <f t="shared" si="4376"/>
        <v>0</v>
      </c>
      <c r="EJ263" s="39">
        <f t="shared" ref="EJ263:EK263" si="4444">EJ$1*DQ263/1000000</f>
        <v>0</v>
      </c>
      <c r="EK263" s="39">
        <f t="shared" si="4444"/>
        <v>0</v>
      </c>
      <c r="EL263" s="39">
        <f t="shared" ref="EL263:EQ263" si="4445">EL$1*DS263</f>
        <v>0</v>
      </c>
      <c r="EM263" s="39">
        <f t="shared" si="4445"/>
        <v>0</v>
      </c>
      <c r="EN263" s="39">
        <f t="shared" si="4445"/>
        <v>0</v>
      </c>
      <c r="EO263" s="39">
        <f t="shared" si="4445"/>
        <v>0</v>
      </c>
      <c r="EP263" s="39">
        <f t="shared" si="4445"/>
        <v>2219.9379200000003</v>
      </c>
      <c r="EQ263" s="39">
        <f t="shared" si="4445"/>
        <v>1068.9593932799999</v>
      </c>
      <c r="ER263" s="39">
        <f t="shared" ref="ER263:EV263" si="4446">ER$1*DY263/1000000</f>
        <v>0</v>
      </c>
      <c r="ES263" s="39">
        <f t="shared" si="4446"/>
        <v>0</v>
      </c>
      <c r="ET263" s="39">
        <f t="shared" si="4446"/>
        <v>0</v>
      </c>
      <c r="EU263" s="39">
        <f t="shared" si="4446"/>
        <v>0</v>
      </c>
      <c r="EV263" s="39">
        <f t="shared" si="4446"/>
        <v>0</v>
      </c>
      <c r="EW263" s="39">
        <f t="shared" ref="EW263:EX263" si="4447">EW$1*ED263</f>
        <v>0</v>
      </c>
      <c r="EX263" s="39">
        <f t="shared" si="4447"/>
        <v>0</v>
      </c>
      <c r="EY263" s="2"/>
      <c r="EZ263" s="39">
        <f t="shared" si="4381"/>
        <v>0</v>
      </c>
      <c r="FA263" s="39">
        <f t="shared" si="4382"/>
        <v>0</v>
      </c>
      <c r="FB263" s="2">
        <f t="shared" si="4383"/>
        <v>0</v>
      </c>
      <c r="FC263" s="2">
        <f t="shared" ref="FC263:FD263" si="4448">BV263*$BT263+CQ263*$CO263</f>
        <v>0</v>
      </c>
      <c r="FD263" s="2">
        <f t="shared" si="4448"/>
        <v>0</v>
      </c>
      <c r="FE263" s="2">
        <f t="shared" ref="FE263:FJ263" si="4449">(BX263*$BT263+CS263*$CO263)/100</f>
        <v>0</v>
      </c>
      <c r="FF263" s="2">
        <f t="shared" si="4449"/>
        <v>0</v>
      </c>
      <c r="FG263" s="2">
        <f t="shared" si="4449"/>
        <v>0</v>
      </c>
      <c r="FH263" s="2">
        <f t="shared" si="4449"/>
        <v>0</v>
      </c>
      <c r="FI263" s="2">
        <f t="shared" si="4449"/>
        <v>0</v>
      </c>
      <c r="FJ263" s="2">
        <f t="shared" si="4449"/>
        <v>0</v>
      </c>
      <c r="FK263" s="2">
        <f t="shared" ref="FK263:FO263" si="4450">CD263*$BT263+CY263*$CO263</f>
        <v>0</v>
      </c>
      <c r="FL263" s="2">
        <f t="shared" si="4450"/>
        <v>0</v>
      </c>
      <c r="FM263" s="2">
        <f t="shared" si="4450"/>
        <v>0</v>
      </c>
      <c r="FN263" s="2">
        <f t="shared" si="4450"/>
        <v>0</v>
      </c>
      <c r="FO263" s="2">
        <f t="shared" si="4450"/>
        <v>0</v>
      </c>
      <c r="FP263" s="2">
        <f t="shared" ref="FP263:FQ263" si="4451">(CI263*$BT263+DD263*$CO263)/100</f>
        <v>0</v>
      </c>
      <c r="FQ263" s="2">
        <f t="shared" si="4451"/>
        <v>0</v>
      </c>
      <c r="FR263" s="2"/>
      <c r="FS263" s="2">
        <f t="shared" si="4388"/>
        <v>0</v>
      </c>
      <c r="FT263" s="2">
        <f t="shared" si="4389"/>
        <v>0</v>
      </c>
      <c r="FU263" s="39">
        <f t="shared" si="4390"/>
        <v>0</v>
      </c>
      <c r="FV263" s="39">
        <f t="shared" ref="FV263:FW263" si="4452">FV$1*FC263/1000000</f>
        <v>0</v>
      </c>
      <c r="FW263" s="39">
        <f t="shared" si="4452"/>
        <v>0</v>
      </c>
      <c r="FX263" s="39">
        <f t="shared" ref="FX263:GC263" si="4453">FX$1*FE263</f>
        <v>0</v>
      </c>
      <c r="FY263" s="39">
        <f t="shared" si="4453"/>
        <v>0</v>
      </c>
      <c r="FZ263" s="39">
        <f t="shared" si="4453"/>
        <v>0</v>
      </c>
      <c r="GA263" s="39">
        <f t="shared" si="4453"/>
        <v>0</v>
      </c>
      <c r="GB263" s="39">
        <f t="shared" si="4453"/>
        <v>0</v>
      </c>
      <c r="GC263" s="39">
        <f t="shared" si="4453"/>
        <v>0</v>
      </c>
      <c r="GD263" s="39">
        <f t="shared" ref="GD263:GH263" si="4454">GD$1*FK263/1000000</f>
        <v>0</v>
      </c>
      <c r="GE263" s="39">
        <f t="shared" si="4454"/>
        <v>0</v>
      </c>
      <c r="GF263" s="39">
        <f t="shared" si="4454"/>
        <v>0</v>
      </c>
      <c r="GG263" s="39">
        <f t="shared" si="4454"/>
        <v>0</v>
      </c>
      <c r="GH263" s="39">
        <f t="shared" si="4454"/>
        <v>0</v>
      </c>
      <c r="GI263" s="39">
        <f t="shared" ref="GI263:GJ263" si="4455">GI$1*FP263</f>
        <v>0</v>
      </c>
      <c r="GJ263" s="39">
        <f t="shared" si="4455"/>
        <v>0</v>
      </c>
      <c r="GK263" s="2"/>
      <c r="GL263" s="39">
        <f t="shared" si="4395"/>
        <v>0</v>
      </c>
      <c r="GM263" s="39">
        <f t="shared" si="4396"/>
        <v>0</v>
      </c>
      <c r="GN263" s="2" t="s">
        <v>3</v>
      </c>
      <c r="GO263" s="2">
        <f t="shared" si="4397"/>
        <v>18.399999999999999</v>
      </c>
      <c r="GP263" s="2">
        <f t="shared" si="4398"/>
        <v>0.92000000000000015</v>
      </c>
      <c r="GQ263" s="15">
        <f t="shared" si="4399"/>
        <v>169.28000000000003</v>
      </c>
      <c r="GR263" s="15">
        <f t="shared" si="4400"/>
        <v>3288.8973132800002</v>
      </c>
      <c r="GS263" s="15">
        <f t="shared" si="4401"/>
        <v>178.74441920000001</v>
      </c>
      <c r="GT263" s="2">
        <f t="shared" si="4402"/>
        <v>0</v>
      </c>
      <c r="GU263" s="2">
        <f t="shared" si="4403"/>
        <v>0</v>
      </c>
      <c r="GV263" s="2">
        <f t="shared" si="4404"/>
        <v>169.28</v>
      </c>
      <c r="GW263" s="2">
        <f t="shared" si="4405"/>
        <v>0</v>
      </c>
      <c r="GX263" s="2"/>
      <c r="GY263" s="2"/>
      <c r="GZ263" s="2"/>
      <c r="HA263" s="2"/>
      <c r="HB263" s="2">
        <f t="shared" si="4406"/>
        <v>0</v>
      </c>
      <c r="HC263" s="2">
        <f t="shared" si="4407"/>
        <v>0</v>
      </c>
      <c r="HD263" s="2" t="s">
        <v>3</v>
      </c>
      <c r="HE263" s="2" t="s">
        <v>37</v>
      </c>
      <c r="HF263" s="2" t="s">
        <v>235</v>
      </c>
      <c r="HG263" s="2" t="s">
        <v>235</v>
      </c>
      <c r="HH263" s="2"/>
      <c r="HI263" s="2" t="s">
        <v>100</v>
      </c>
      <c r="HJ263" s="2" t="s">
        <v>3</v>
      </c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  <c r="JA263" s="2"/>
      <c r="JB263" s="2"/>
      <c r="JC263" s="2"/>
      <c r="JD263" s="2"/>
      <c r="JE263" s="2"/>
      <c r="JF263" s="2"/>
      <c r="JG263" s="2"/>
      <c r="JH263" s="2" t="s">
        <v>3</v>
      </c>
    </row>
    <row r="264" spans="1:268" ht="15.75" customHeight="1" x14ac:dyDescent="0.2">
      <c r="A264" s="13" t="s">
        <v>960</v>
      </c>
      <c r="B264" s="2" t="s">
        <v>99</v>
      </c>
      <c r="C264" s="2"/>
      <c r="D264" s="2"/>
      <c r="E264" s="2"/>
      <c r="F264" s="2" t="s">
        <v>961</v>
      </c>
      <c r="G264" s="2"/>
      <c r="H264" s="2" t="s">
        <v>292</v>
      </c>
      <c r="I264" s="2">
        <v>0</v>
      </c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>
        <v>0</v>
      </c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>
        <v>88</v>
      </c>
      <c r="AZ264" s="2"/>
      <c r="BA264" s="2"/>
      <c r="BB264" s="2"/>
      <c r="BC264" s="2"/>
      <c r="BD264" s="2"/>
      <c r="BE264" s="2"/>
      <c r="BF264" s="2"/>
      <c r="BG264" s="2">
        <v>1.2</v>
      </c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>
        <v>0</v>
      </c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>
        <v>0</v>
      </c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 t="s">
        <v>100</v>
      </c>
      <c r="DK264" s="2"/>
      <c r="DL264" s="2">
        <f t="shared" si="4367"/>
        <v>1.2</v>
      </c>
      <c r="DM264" s="2">
        <f t="shared" si="4368"/>
        <v>0</v>
      </c>
      <c r="DN264" s="2" t="s">
        <v>113</v>
      </c>
      <c r="DO264" s="2" t="s">
        <v>3</v>
      </c>
      <c r="DP264" s="2">
        <f t="shared" si="4369"/>
        <v>0</v>
      </c>
      <c r="DQ264" s="2">
        <f t="shared" ref="DQ264:DR264" si="4456">K264*$I264+AF264*$AD264+BA264*$AY264</f>
        <v>0</v>
      </c>
      <c r="DR264" s="2">
        <f t="shared" si="4456"/>
        <v>0</v>
      </c>
      <c r="DS264" s="2">
        <f t="shared" ref="DS264:DX264" si="4457">(M264*$I264+AH264*$AD264+BC264*$AY264)/100</f>
        <v>0</v>
      </c>
      <c r="DT264" s="2">
        <f t="shared" si="4457"/>
        <v>0</v>
      </c>
      <c r="DU264" s="2">
        <f t="shared" si="4457"/>
        <v>0</v>
      </c>
      <c r="DV264" s="2">
        <f t="shared" si="4457"/>
        <v>0</v>
      </c>
      <c r="DW264" s="2">
        <f t="shared" si="4457"/>
        <v>1.056</v>
      </c>
      <c r="DX264" s="2">
        <f t="shared" si="4457"/>
        <v>0</v>
      </c>
      <c r="DY264" s="2">
        <f t="shared" ref="DY264:EC264" si="4458">S264*$I264+AN264*$AD264+BI264*$AY264</f>
        <v>0</v>
      </c>
      <c r="DZ264" s="2">
        <f t="shared" si="4458"/>
        <v>0</v>
      </c>
      <c r="EA264" s="2">
        <f t="shared" si="4458"/>
        <v>0</v>
      </c>
      <c r="EB264" s="2">
        <f t="shared" si="4458"/>
        <v>0</v>
      </c>
      <c r="EC264" s="2">
        <f t="shared" si="4458"/>
        <v>0</v>
      </c>
      <c r="ED264" s="2">
        <f t="shared" ref="ED264:EE264" si="4459">(X264*$I264+AS264*$AD264+BN264*$AY264)/100</f>
        <v>0</v>
      </c>
      <c r="EE264" s="2">
        <f t="shared" si="4459"/>
        <v>0</v>
      </c>
      <c r="EF264" s="2"/>
      <c r="EG264" s="2">
        <f t="shared" si="4374"/>
        <v>0</v>
      </c>
      <c r="EH264" s="2">
        <f t="shared" si="4375"/>
        <v>0</v>
      </c>
      <c r="EI264" s="39">
        <f t="shared" si="4376"/>
        <v>0</v>
      </c>
      <c r="EJ264" s="39">
        <f t="shared" ref="EJ264:EK264" si="4460">EJ$1*DQ264/1000000</f>
        <v>0</v>
      </c>
      <c r="EK264" s="39">
        <f t="shared" si="4460"/>
        <v>0</v>
      </c>
      <c r="EL264" s="39">
        <f t="shared" ref="EL264:EQ264" si="4461">EL$1*DS264</f>
        <v>0</v>
      </c>
      <c r="EM264" s="39">
        <f t="shared" si="4461"/>
        <v>0</v>
      </c>
      <c r="EN264" s="39">
        <f t="shared" si="4461"/>
        <v>0</v>
      </c>
      <c r="EO264" s="39">
        <f t="shared" si="4461"/>
        <v>0</v>
      </c>
      <c r="EP264" s="39">
        <f t="shared" si="4461"/>
        <v>13848.384</v>
      </c>
      <c r="EQ264" s="39">
        <f t="shared" si="4461"/>
        <v>0</v>
      </c>
      <c r="ER264" s="39">
        <f t="shared" ref="ER264:EV264" si="4462">ER$1*DY264/1000000</f>
        <v>0</v>
      </c>
      <c r="ES264" s="39">
        <f t="shared" si="4462"/>
        <v>0</v>
      </c>
      <c r="ET264" s="39">
        <f t="shared" si="4462"/>
        <v>0</v>
      </c>
      <c r="EU264" s="39">
        <f t="shared" si="4462"/>
        <v>0</v>
      </c>
      <c r="EV264" s="39">
        <f t="shared" si="4462"/>
        <v>0</v>
      </c>
      <c r="EW264" s="39">
        <f t="shared" ref="EW264:EX264" si="4463">EW$1*ED264</f>
        <v>0</v>
      </c>
      <c r="EX264" s="39">
        <f t="shared" si="4463"/>
        <v>0</v>
      </c>
      <c r="EY264" s="2"/>
      <c r="EZ264" s="39">
        <f t="shared" si="4381"/>
        <v>0</v>
      </c>
      <c r="FA264" s="39">
        <f t="shared" si="4382"/>
        <v>0</v>
      </c>
      <c r="FB264" s="2">
        <f t="shared" si="4383"/>
        <v>0</v>
      </c>
      <c r="FC264" s="2">
        <f t="shared" ref="FC264:FD264" si="4464">BV264*$BT264+CQ264*$CO264</f>
        <v>0</v>
      </c>
      <c r="FD264" s="2">
        <f t="shared" si="4464"/>
        <v>0</v>
      </c>
      <c r="FE264" s="2">
        <f t="shared" ref="FE264:FJ264" si="4465">(BX264*$BT264+CS264*$CO264)/100</f>
        <v>0</v>
      </c>
      <c r="FF264" s="2">
        <f t="shared" si="4465"/>
        <v>0</v>
      </c>
      <c r="FG264" s="2">
        <f t="shared" si="4465"/>
        <v>0</v>
      </c>
      <c r="FH264" s="2">
        <f t="shared" si="4465"/>
        <v>0</v>
      </c>
      <c r="FI264" s="2">
        <f t="shared" si="4465"/>
        <v>0</v>
      </c>
      <c r="FJ264" s="2">
        <f t="shared" si="4465"/>
        <v>0</v>
      </c>
      <c r="FK264" s="2">
        <f t="shared" ref="FK264:FO264" si="4466">CD264*$BT264+CY264*$CO264</f>
        <v>0</v>
      </c>
      <c r="FL264" s="2">
        <f t="shared" si="4466"/>
        <v>0</v>
      </c>
      <c r="FM264" s="2">
        <f t="shared" si="4466"/>
        <v>0</v>
      </c>
      <c r="FN264" s="2">
        <f t="shared" si="4466"/>
        <v>0</v>
      </c>
      <c r="FO264" s="2">
        <f t="shared" si="4466"/>
        <v>0</v>
      </c>
      <c r="FP264" s="2">
        <f t="shared" ref="FP264:FQ264" si="4467">(CI264*$BT264+DD264*$CO264)/100</f>
        <v>0</v>
      </c>
      <c r="FQ264" s="2">
        <f t="shared" si="4467"/>
        <v>0</v>
      </c>
      <c r="FR264" s="2"/>
      <c r="FS264" s="2">
        <f t="shared" si="4388"/>
        <v>0</v>
      </c>
      <c r="FT264" s="2">
        <f t="shared" si="4389"/>
        <v>0</v>
      </c>
      <c r="FU264" s="39">
        <f t="shared" si="4390"/>
        <v>0</v>
      </c>
      <c r="FV264" s="39">
        <f t="shared" ref="FV264:FW264" si="4468">FV$1*FC264/1000000</f>
        <v>0</v>
      </c>
      <c r="FW264" s="39">
        <f t="shared" si="4468"/>
        <v>0</v>
      </c>
      <c r="FX264" s="39">
        <f t="shared" ref="FX264:GC264" si="4469">FX$1*FE264</f>
        <v>0</v>
      </c>
      <c r="FY264" s="39">
        <f t="shared" si="4469"/>
        <v>0</v>
      </c>
      <c r="FZ264" s="39">
        <f t="shared" si="4469"/>
        <v>0</v>
      </c>
      <c r="GA264" s="39">
        <f t="shared" si="4469"/>
        <v>0</v>
      </c>
      <c r="GB264" s="39">
        <f t="shared" si="4469"/>
        <v>0</v>
      </c>
      <c r="GC264" s="39">
        <f t="shared" si="4469"/>
        <v>0</v>
      </c>
      <c r="GD264" s="39">
        <f t="shared" ref="GD264:GH264" si="4470">GD$1*FK264/1000000</f>
        <v>0</v>
      </c>
      <c r="GE264" s="39">
        <f t="shared" si="4470"/>
        <v>0</v>
      </c>
      <c r="GF264" s="39">
        <f t="shared" si="4470"/>
        <v>0</v>
      </c>
      <c r="GG264" s="39">
        <f t="shared" si="4470"/>
        <v>0</v>
      </c>
      <c r="GH264" s="39">
        <f t="shared" si="4470"/>
        <v>0</v>
      </c>
      <c r="GI264" s="39">
        <f t="shared" ref="GI264:GJ264" si="4471">GI$1*FP264</f>
        <v>0</v>
      </c>
      <c r="GJ264" s="39">
        <f t="shared" si="4471"/>
        <v>0</v>
      </c>
      <c r="GK264" s="2"/>
      <c r="GL264" s="39">
        <f t="shared" si="4395"/>
        <v>0</v>
      </c>
      <c r="GM264" s="39">
        <f t="shared" si="4396"/>
        <v>0</v>
      </c>
      <c r="GN264" s="2" t="s">
        <v>3</v>
      </c>
      <c r="GO264" s="2">
        <f t="shared" si="4397"/>
        <v>88</v>
      </c>
      <c r="GP264" s="4">
        <f t="shared" si="4398"/>
        <v>1.2</v>
      </c>
      <c r="GQ264" s="18">
        <f t="shared" si="4399"/>
        <v>1056</v>
      </c>
      <c r="GR264" s="15">
        <f t="shared" si="4400"/>
        <v>13848.384</v>
      </c>
      <c r="GS264" s="15">
        <f t="shared" si="4401"/>
        <v>157.36799999999999</v>
      </c>
      <c r="GT264" s="2">
        <f t="shared" si="4402"/>
        <v>0</v>
      </c>
      <c r="GU264" s="2">
        <f t="shared" si="4403"/>
        <v>0</v>
      </c>
      <c r="GV264" s="2">
        <f t="shared" si="4404"/>
        <v>1056</v>
      </c>
      <c r="GW264" s="2">
        <f t="shared" si="4405"/>
        <v>0</v>
      </c>
      <c r="GX264" s="2"/>
      <c r="GY264" s="2"/>
      <c r="GZ264" s="2"/>
      <c r="HA264" s="2"/>
      <c r="HB264" s="2">
        <f t="shared" si="4406"/>
        <v>0</v>
      </c>
      <c r="HC264" s="2">
        <f t="shared" si="4407"/>
        <v>0</v>
      </c>
      <c r="HD264" s="2" t="s">
        <v>3</v>
      </c>
      <c r="HE264" s="2" t="s">
        <v>37</v>
      </c>
      <c r="HF264" s="2" t="s">
        <v>235</v>
      </c>
      <c r="HG264" s="2" t="s">
        <v>235</v>
      </c>
      <c r="HH264" s="2"/>
      <c r="HI264" s="2" t="s">
        <v>100</v>
      </c>
      <c r="HJ264" s="2" t="s">
        <v>3</v>
      </c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  <c r="JA264" s="2"/>
      <c r="JB264" s="2"/>
      <c r="JC264" s="2"/>
      <c r="JD264" s="2"/>
      <c r="JE264" s="2"/>
      <c r="JF264" s="2"/>
      <c r="JG264" s="2"/>
      <c r="JH264" s="2" t="s">
        <v>3</v>
      </c>
    </row>
    <row r="265" spans="1:268" ht="15.75" customHeight="1" x14ac:dyDescent="0.2">
      <c r="A265" s="13" t="s">
        <v>1141</v>
      </c>
      <c r="B265" s="2" t="s">
        <v>120</v>
      </c>
      <c r="C265" s="2"/>
      <c r="D265" s="2"/>
      <c r="E265" s="2"/>
      <c r="F265" s="2" t="s">
        <v>1142</v>
      </c>
      <c r="G265" s="2"/>
      <c r="H265" s="2"/>
      <c r="I265" s="2">
        <v>0</v>
      </c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>
        <v>0</v>
      </c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>
        <v>107.4</v>
      </c>
      <c r="AZ265" s="2"/>
      <c r="BA265" s="2"/>
      <c r="BB265" s="2"/>
      <c r="BC265" s="2"/>
      <c r="BD265" s="2"/>
      <c r="BE265" s="2"/>
      <c r="BF265" s="2"/>
      <c r="BG265" s="2" t="s">
        <v>1143</v>
      </c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>
        <v>0</v>
      </c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>
        <v>0</v>
      </c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 t="s">
        <v>100</v>
      </c>
      <c r="DK265" s="2"/>
      <c r="DL265" s="2">
        <f t="shared" si="4367"/>
        <v>0.84000000000000008</v>
      </c>
      <c r="DM265" s="2">
        <f t="shared" si="4368"/>
        <v>0</v>
      </c>
      <c r="DN265" s="2" t="s">
        <v>113</v>
      </c>
      <c r="DO265" s="2" t="s">
        <v>3</v>
      </c>
      <c r="DP265" s="2">
        <f t="shared" si="4369"/>
        <v>0</v>
      </c>
      <c r="DQ265" s="2">
        <f t="shared" ref="DQ265:DR265" si="4472">K265*$I265+AF265*$AD265+BA265*$AY265</f>
        <v>0</v>
      </c>
      <c r="DR265" s="2">
        <f t="shared" si="4472"/>
        <v>0</v>
      </c>
      <c r="DS265" s="2">
        <f t="shared" ref="DS265:DX265" si="4473">(M265*$I265+AH265*$AD265+BC265*$AY265)/100</f>
        <v>0</v>
      </c>
      <c r="DT265" s="2">
        <f t="shared" si="4473"/>
        <v>0</v>
      </c>
      <c r="DU265" s="2">
        <f t="shared" si="4473"/>
        <v>0</v>
      </c>
      <c r="DV265" s="2">
        <f t="shared" si="4473"/>
        <v>0</v>
      </c>
      <c r="DW265" s="2">
        <f t="shared" si="4473"/>
        <v>0.90216000000000007</v>
      </c>
      <c r="DX265" s="2">
        <f t="shared" si="4473"/>
        <v>0</v>
      </c>
      <c r="DY265" s="2">
        <f t="shared" ref="DY265:EC265" si="4474">S265*$I265+AN265*$AD265+BI265*$AY265</f>
        <v>0</v>
      </c>
      <c r="DZ265" s="2">
        <f t="shared" si="4474"/>
        <v>0</v>
      </c>
      <c r="EA265" s="2">
        <f t="shared" si="4474"/>
        <v>0</v>
      </c>
      <c r="EB265" s="2">
        <f t="shared" si="4474"/>
        <v>0</v>
      </c>
      <c r="EC265" s="2">
        <f t="shared" si="4474"/>
        <v>0</v>
      </c>
      <c r="ED265" s="2">
        <f t="shared" ref="ED265:EE265" si="4475">(X265*$I265+AS265*$AD265+BN265*$AY265)/100</f>
        <v>0</v>
      </c>
      <c r="EE265" s="2">
        <f t="shared" si="4475"/>
        <v>0</v>
      </c>
      <c r="EF265" s="2"/>
      <c r="EG265" s="2">
        <f t="shared" si="4374"/>
        <v>0</v>
      </c>
      <c r="EH265" s="2">
        <f t="shared" si="4375"/>
        <v>0</v>
      </c>
      <c r="EI265" s="39">
        <f t="shared" si="4376"/>
        <v>0</v>
      </c>
      <c r="EJ265" s="39">
        <f t="shared" ref="EJ265:EK265" si="4476">EJ$1*DQ265/1000000</f>
        <v>0</v>
      </c>
      <c r="EK265" s="39">
        <f t="shared" si="4476"/>
        <v>0</v>
      </c>
      <c r="EL265" s="39">
        <f t="shared" ref="EL265:EQ265" si="4477">EL$1*DS265</f>
        <v>0</v>
      </c>
      <c r="EM265" s="39">
        <f t="shared" si="4477"/>
        <v>0</v>
      </c>
      <c r="EN265" s="39">
        <f t="shared" si="4477"/>
        <v>0</v>
      </c>
      <c r="EO265" s="39">
        <f t="shared" si="4477"/>
        <v>0</v>
      </c>
      <c r="EP265" s="39">
        <f t="shared" si="4477"/>
        <v>11830.926240000001</v>
      </c>
      <c r="EQ265" s="39">
        <f t="shared" si="4477"/>
        <v>0</v>
      </c>
      <c r="ER265" s="39">
        <f t="shared" ref="ER265:EV265" si="4478">ER$1*DY265/1000000</f>
        <v>0</v>
      </c>
      <c r="ES265" s="39">
        <f t="shared" si="4478"/>
        <v>0</v>
      </c>
      <c r="ET265" s="39">
        <f t="shared" si="4478"/>
        <v>0</v>
      </c>
      <c r="EU265" s="39">
        <f t="shared" si="4478"/>
        <v>0</v>
      </c>
      <c r="EV265" s="39">
        <f t="shared" si="4478"/>
        <v>0</v>
      </c>
      <c r="EW265" s="39">
        <f t="shared" ref="EW265:EX265" si="4479">EW$1*ED265</f>
        <v>0</v>
      </c>
      <c r="EX265" s="39">
        <f t="shared" si="4479"/>
        <v>0</v>
      </c>
      <c r="EY265" s="2"/>
      <c r="EZ265" s="39">
        <f t="shared" si="4381"/>
        <v>0</v>
      </c>
      <c r="FA265" s="39">
        <f t="shared" si="4382"/>
        <v>0</v>
      </c>
      <c r="FB265" s="2">
        <f t="shared" si="4383"/>
        <v>0</v>
      </c>
      <c r="FC265" s="2">
        <f t="shared" ref="FC265:FD265" si="4480">BV265*$BT265+CQ265*$CO265</f>
        <v>0</v>
      </c>
      <c r="FD265" s="2">
        <f t="shared" si="4480"/>
        <v>0</v>
      </c>
      <c r="FE265" s="2">
        <f t="shared" ref="FE265:FJ265" si="4481">(BX265*$BT265+CS265*$CO265)/100</f>
        <v>0</v>
      </c>
      <c r="FF265" s="2">
        <f t="shared" si="4481"/>
        <v>0</v>
      </c>
      <c r="FG265" s="2">
        <f t="shared" si="4481"/>
        <v>0</v>
      </c>
      <c r="FH265" s="2">
        <f t="shared" si="4481"/>
        <v>0</v>
      </c>
      <c r="FI265" s="2">
        <f t="shared" si="4481"/>
        <v>0</v>
      </c>
      <c r="FJ265" s="2">
        <f t="shared" si="4481"/>
        <v>0</v>
      </c>
      <c r="FK265" s="2">
        <f t="shared" ref="FK265:FO265" si="4482">CD265*$BT265+CY265*$CO265</f>
        <v>0</v>
      </c>
      <c r="FL265" s="2">
        <f t="shared" si="4482"/>
        <v>0</v>
      </c>
      <c r="FM265" s="2">
        <f t="shared" si="4482"/>
        <v>0</v>
      </c>
      <c r="FN265" s="2">
        <f t="shared" si="4482"/>
        <v>0</v>
      </c>
      <c r="FO265" s="2">
        <f t="shared" si="4482"/>
        <v>0</v>
      </c>
      <c r="FP265" s="2">
        <f t="shared" ref="FP265:FQ265" si="4483">(CI265*$BT265+DD265*$CO265)/100</f>
        <v>0</v>
      </c>
      <c r="FQ265" s="2">
        <f t="shared" si="4483"/>
        <v>0</v>
      </c>
      <c r="FR265" s="2"/>
      <c r="FS265" s="2">
        <f t="shared" si="4388"/>
        <v>0</v>
      </c>
      <c r="FT265" s="2">
        <f t="shared" si="4389"/>
        <v>0</v>
      </c>
      <c r="FU265" s="39">
        <f t="shared" si="4390"/>
        <v>0</v>
      </c>
      <c r="FV265" s="39">
        <f t="shared" ref="FV265:FW265" si="4484">FV$1*FC265/1000000</f>
        <v>0</v>
      </c>
      <c r="FW265" s="39">
        <f t="shared" si="4484"/>
        <v>0</v>
      </c>
      <c r="FX265" s="39">
        <f t="shared" ref="FX265:GC265" si="4485">FX$1*FE265</f>
        <v>0</v>
      </c>
      <c r="FY265" s="39">
        <f t="shared" si="4485"/>
        <v>0</v>
      </c>
      <c r="FZ265" s="39">
        <f t="shared" si="4485"/>
        <v>0</v>
      </c>
      <c r="GA265" s="39">
        <f t="shared" si="4485"/>
        <v>0</v>
      </c>
      <c r="GB265" s="39">
        <f t="shared" si="4485"/>
        <v>0</v>
      </c>
      <c r="GC265" s="39">
        <f t="shared" si="4485"/>
        <v>0</v>
      </c>
      <c r="GD265" s="39">
        <f t="shared" ref="GD265:GH265" si="4486">GD$1*FK265/1000000</f>
        <v>0</v>
      </c>
      <c r="GE265" s="39">
        <f t="shared" si="4486"/>
        <v>0</v>
      </c>
      <c r="GF265" s="39">
        <f t="shared" si="4486"/>
        <v>0</v>
      </c>
      <c r="GG265" s="39">
        <f t="shared" si="4486"/>
        <v>0</v>
      </c>
      <c r="GH265" s="39">
        <f t="shared" si="4486"/>
        <v>0</v>
      </c>
      <c r="GI265" s="39">
        <f t="shared" ref="GI265:GJ265" si="4487">GI$1*FP265</f>
        <v>0</v>
      </c>
      <c r="GJ265" s="39">
        <f t="shared" si="4487"/>
        <v>0</v>
      </c>
      <c r="GK265" s="2"/>
      <c r="GL265" s="39">
        <f t="shared" si="4395"/>
        <v>0</v>
      </c>
      <c r="GM265" s="39">
        <f t="shared" si="4396"/>
        <v>0</v>
      </c>
      <c r="GN265" s="2" t="s">
        <v>3</v>
      </c>
      <c r="GO265" s="2">
        <f t="shared" si="4397"/>
        <v>107.4</v>
      </c>
      <c r="GP265" s="2">
        <f t="shared" si="4398"/>
        <v>0.84000000000000008</v>
      </c>
      <c r="GQ265" s="15">
        <f t="shared" si="4399"/>
        <v>902.1600000000002</v>
      </c>
      <c r="GR265" s="15">
        <f t="shared" si="4400"/>
        <v>11830.926240000001</v>
      </c>
      <c r="GS265" s="15">
        <f t="shared" si="4401"/>
        <v>110.1576</v>
      </c>
      <c r="GT265" s="2">
        <f t="shared" si="4402"/>
        <v>0</v>
      </c>
      <c r="GU265" s="2">
        <f t="shared" si="4403"/>
        <v>0</v>
      </c>
      <c r="GV265" s="2">
        <f t="shared" si="4404"/>
        <v>902.1600000000002</v>
      </c>
      <c r="GW265" s="2">
        <f t="shared" si="4405"/>
        <v>0</v>
      </c>
      <c r="GX265" s="2"/>
      <c r="GY265" s="2"/>
      <c r="GZ265" s="2"/>
      <c r="HA265" s="2"/>
      <c r="HB265" s="2">
        <f t="shared" si="4406"/>
        <v>0</v>
      </c>
      <c r="HC265" s="2">
        <f t="shared" si="4407"/>
        <v>0</v>
      </c>
      <c r="HD265" s="2" t="s">
        <v>3</v>
      </c>
      <c r="HE265" s="2" t="s">
        <v>37</v>
      </c>
      <c r="HF265" s="2" t="s">
        <v>235</v>
      </c>
      <c r="HG265" s="2" t="s">
        <v>235</v>
      </c>
      <c r="HH265" s="2"/>
      <c r="HI265" s="2" t="s">
        <v>100</v>
      </c>
      <c r="HJ265" s="2" t="s">
        <v>3</v>
      </c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  <c r="JA265" s="2"/>
      <c r="JB265" s="2"/>
      <c r="JC265" s="2"/>
      <c r="JD265" s="2"/>
      <c r="JE265" s="2"/>
      <c r="JF265" s="2"/>
      <c r="JG265" s="2"/>
      <c r="JH265" s="2" t="s">
        <v>3</v>
      </c>
    </row>
    <row r="266" spans="1:268" ht="15.75" customHeight="1" x14ac:dyDescent="0.2">
      <c r="A266" s="13" t="s">
        <v>1257</v>
      </c>
      <c r="B266" s="2" t="s">
        <v>99</v>
      </c>
      <c r="C266" s="2"/>
      <c r="D266" s="2"/>
      <c r="E266" s="2"/>
      <c r="F266" s="2" t="s">
        <v>79</v>
      </c>
      <c r="G266" s="2"/>
      <c r="H266" s="2"/>
      <c r="I266" s="2">
        <v>0</v>
      </c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>
        <v>0</v>
      </c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>
        <v>3.7</v>
      </c>
      <c r="AZ266" s="2"/>
      <c r="BA266" s="2"/>
      <c r="BB266" s="2"/>
      <c r="BC266" s="2"/>
      <c r="BD266" s="2"/>
      <c r="BE266" s="2"/>
      <c r="BF266" s="2"/>
      <c r="BG266" s="2">
        <v>1.75</v>
      </c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>
        <v>0</v>
      </c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>
        <v>0</v>
      </c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 t="s">
        <v>100</v>
      </c>
      <c r="DK266" s="2" t="s">
        <v>100</v>
      </c>
      <c r="DL266" s="2">
        <f t="shared" si="4367"/>
        <v>1.75</v>
      </c>
      <c r="DM266" s="2">
        <f t="shared" si="4368"/>
        <v>0</v>
      </c>
      <c r="DN266" s="2" t="s">
        <v>113</v>
      </c>
      <c r="DO266" s="2" t="s">
        <v>3</v>
      </c>
      <c r="DP266" s="2">
        <f t="shared" si="4369"/>
        <v>0</v>
      </c>
      <c r="DQ266" s="2">
        <f t="shared" ref="DQ266:DR266" si="4488">K266*$I266+AF266*$AD266+BA266*$AY266</f>
        <v>0</v>
      </c>
      <c r="DR266" s="2">
        <f t="shared" si="4488"/>
        <v>0</v>
      </c>
      <c r="DS266" s="2">
        <f t="shared" ref="DS266:DX266" si="4489">(M266*$I266+AH266*$AD266+BC266*$AY266)/100</f>
        <v>0</v>
      </c>
      <c r="DT266" s="2">
        <f t="shared" si="4489"/>
        <v>0</v>
      </c>
      <c r="DU266" s="2">
        <f t="shared" si="4489"/>
        <v>0</v>
      </c>
      <c r="DV266" s="2">
        <f t="shared" si="4489"/>
        <v>0</v>
      </c>
      <c r="DW266" s="2">
        <f t="shared" si="4489"/>
        <v>6.4750000000000002E-2</v>
      </c>
      <c r="DX266" s="2">
        <f t="shared" si="4489"/>
        <v>0</v>
      </c>
      <c r="DY266" s="2">
        <f t="shared" ref="DY266:EC266" si="4490">S266*$I266+AN266*$AD266+BI266*$AY266</f>
        <v>0</v>
      </c>
      <c r="DZ266" s="2">
        <f t="shared" si="4490"/>
        <v>0</v>
      </c>
      <c r="EA266" s="2">
        <f t="shared" si="4490"/>
        <v>0</v>
      </c>
      <c r="EB266" s="2">
        <f t="shared" si="4490"/>
        <v>0</v>
      </c>
      <c r="EC266" s="2">
        <f t="shared" si="4490"/>
        <v>0</v>
      </c>
      <c r="ED266" s="2">
        <f t="shared" ref="ED266:EE266" si="4491">(X266*$I266+AS266*$AD266+BN266*$AY266)/100</f>
        <v>0</v>
      </c>
      <c r="EE266" s="2">
        <f t="shared" si="4491"/>
        <v>0</v>
      </c>
      <c r="EF266" s="2"/>
      <c r="EG266" s="2">
        <f t="shared" si="4374"/>
        <v>0</v>
      </c>
      <c r="EH266" s="2">
        <f t="shared" si="4375"/>
        <v>0</v>
      </c>
      <c r="EI266" s="39">
        <f t="shared" si="4376"/>
        <v>0</v>
      </c>
      <c r="EJ266" s="39">
        <f t="shared" ref="EJ266:EK266" si="4492">EJ$1*DQ266/1000000</f>
        <v>0</v>
      </c>
      <c r="EK266" s="39">
        <f t="shared" si="4492"/>
        <v>0</v>
      </c>
      <c r="EL266" s="39">
        <f t="shared" ref="EL266:EQ266" si="4493">EL$1*DS266</f>
        <v>0</v>
      </c>
      <c r="EM266" s="39">
        <f t="shared" si="4493"/>
        <v>0</v>
      </c>
      <c r="EN266" s="39">
        <f t="shared" si="4493"/>
        <v>0</v>
      </c>
      <c r="EO266" s="39">
        <f t="shared" si="4493"/>
        <v>0</v>
      </c>
      <c r="EP266" s="39">
        <f t="shared" si="4493"/>
        <v>849.13150000000007</v>
      </c>
      <c r="EQ266" s="39">
        <f t="shared" si="4493"/>
        <v>0</v>
      </c>
      <c r="ER266" s="39">
        <f t="shared" ref="ER266:EV266" si="4494">ER$1*DY266/1000000</f>
        <v>0</v>
      </c>
      <c r="ES266" s="39">
        <f t="shared" si="4494"/>
        <v>0</v>
      </c>
      <c r="ET266" s="39">
        <f t="shared" si="4494"/>
        <v>0</v>
      </c>
      <c r="EU266" s="39">
        <f t="shared" si="4494"/>
        <v>0</v>
      </c>
      <c r="EV266" s="39">
        <f t="shared" si="4494"/>
        <v>0</v>
      </c>
      <c r="EW266" s="39">
        <f t="shared" ref="EW266:EX266" si="4495">EW$1*ED266</f>
        <v>0</v>
      </c>
      <c r="EX266" s="39">
        <f t="shared" si="4495"/>
        <v>0</v>
      </c>
      <c r="EY266" s="2"/>
      <c r="EZ266" s="39">
        <f t="shared" si="4381"/>
        <v>0</v>
      </c>
      <c r="FA266" s="39">
        <f t="shared" si="4382"/>
        <v>0</v>
      </c>
      <c r="FB266" s="2">
        <f t="shared" si="4383"/>
        <v>0</v>
      </c>
      <c r="FC266" s="2">
        <f t="shared" ref="FC266:FD266" si="4496">BV266*$BT266+CQ266*$CO266</f>
        <v>0</v>
      </c>
      <c r="FD266" s="2">
        <f t="shared" si="4496"/>
        <v>0</v>
      </c>
      <c r="FE266" s="2">
        <f t="shared" ref="FE266:FJ266" si="4497">(BX266*$BT266+CS266*$CO266)/100</f>
        <v>0</v>
      </c>
      <c r="FF266" s="2">
        <f t="shared" si="4497"/>
        <v>0</v>
      </c>
      <c r="FG266" s="2">
        <f t="shared" si="4497"/>
        <v>0</v>
      </c>
      <c r="FH266" s="2">
        <f t="shared" si="4497"/>
        <v>0</v>
      </c>
      <c r="FI266" s="2">
        <f t="shared" si="4497"/>
        <v>0</v>
      </c>
      <c r="FJ266" s="2">
        <f t="shared" si="4497"/>
        <v>0</v>
      </c>
      <c r="FK266" s="2">
        <f t="shared" ref="FK266:FO266" si="4498">CD266*$BT266+CY266*$CO266</f>
        <v>0</v>
      </c>
      <c r="FL266" s="2">
        <f t="shared" si="4498"/>
        <v>0</v>
      </c>
      <c r="FM266" s="2">
        <f t="shared" si="4498"/>
        <v>0</v>
      </c>
      <c r="FN266" s="2">
        <f t="shared" si="4498"/>
        <v>0</v>
      </c>
      <c r="FO266" s="2">
        <f t="shared" si="4498"/>
        <v>0</v>
      </c>
      <c r="FP266" s="2">
        <f t="shared" ref="FP266:FQ266" si="4499">(CI266*$BT266+DD266*$CO266)/100</f>
        <v>0</v>
      </c>
      <c r="FQ266" s="2">
        <f t="shared" si="4499"/>
        <v>0</v>
      </c>
      <c r="FR266" s="2"/>
      <c r="FS266" s="2">
        <f t="shared" si="4388"/>
        <v>0</v>
      </c>
      <c r="FT266" s="2">
        <f t="shared" si="4389"/>
        <v>0</v>
      </c>
      <c r="FU266" s="39">
        <f t="shared" si="4390"/>
        <v>0</v>
      </c>
      <c r="FV266" s="39">
        <f t="shared" ref="FV266:FW266" si="4500">FV$1*FC266/1000000</f>
        <v>0</v>
      </c>
      <c r="FW266" s="39">
        <f t="shared" si="4500"/>
        <v>0</v>
      </c>
      <c r="FX266" s="39">
        <f t="shared" ref="FX266:GC266" si="4501">FX$1*FE266</f>
        <v>0</v>
      </c>
      <c r="FY266" s="39">
        <f t="shared" si="4501"/>
        <v>0</v>
      </c>
      <c r="FZ266" s="39">
        <f t="shared" si="4501"/>
        <v>0</v>
      </c>
      <c r="GA266" s="39">
        <f t="shared" si="4501"/>
        <v>0</v>
      </c>
      <c r="GB266" s="39">
        <f t="shared" si="4501"/>
        <v>0</v>
      </c>
      <c r="GC266" s="39">
        <f t="shared" si="4501"/>
        <v>0</v>
      </c>
      <c r="GD266" s="39">
        <f t="shared" ref="GD266:GH266" si="4502">GD$1*FK266/1000000</f>
        <v>0</v>
      </c>
      <c r="GE266" s="39">
        <f t="shared" si="4502"/>
        <v>0</v>
      </c>
      <c r="GF266" s="39">
        <f t="shared" si="4502"/>
        <v>0</v>
      </c>
      <c r="GG266" s="39">
        <f t="shared" si="4502"/>
        <v>0</v>
      </c>
      <c r="GH266" s="39">
        <f t="shared" si="4502"/>
        <v>0</v>
      </c>
      <c r="GI266" s="39">
        <f t="shared" ref="GI266:GJ266" si="4503">GI$1*FP266</f>
        <v>0</v>
      </c>
      <c r="GJ266" s="39">
        <f t="shared" si="4503"/>
        <v>0</v>
      </c>
      <c r="GK266" s="2"/>
      <c r="GL266" s="39">
        <f t="shared" si="4395"/>
        <v>0</v>
      </c>
      <c r="GM266" s="39">
        <f t="shared" si="4396"/>
        <v>0</v>
      </c>
      <c r="GN266" s="2" t="s">
        <v>3</v>
      </c>
      <c r="GO266" s="2">
        <f t="shared" si="4397"/>
        <v>3.7</v>
      </c>
      <c r="GP266" s="2">
        <f t="shared" si="4398"/>
        <v>1.75</v>
      </c>
      <c r="GQ266" s="15">
        <f t="shared" si="4399"/>
        <v>64.75</v>
      </c>
      <c r="GR266" s="15">
        <f t="shared" si="4400"/>
        <v>849.13150000000007</v>
      </c>
      <c r="GS266" s="15">
        <f t="shared" si="4401"/>
        <v>229.495</v>
      </c>
      <c r="GT266" s="2">
        <f t="shared" si="4402"/>
        <v>0</v>
      </c>
      <c r="GU266" s="2">
        <f t="shared" si="4403"/>
        <v>0</v>
      </c>
      <c r="GV266" s="2">
        <f t="shared" si="4404"/>
        <v>64.750000000000014</v>
      </c>
      <c r="GW266" s="2">
        <f t="shared" si="4405"/>
        <v>0</v>
      </c>
      <c r="GX266" s="2"/>
      <c r="GY266" s="2"/>
      <c r="GZ266" s="2"/>
      <c r="HA266" s="2"/>
      <c r="HB266" s="2">
        <f t="shared" si="4406"/>
        <v>0</v>
      </c>
      <c r="HC266" s="2">
        <f t="shared" si="4407"/>
        <v>0</v>
      </c>
      <c r="HD266" s="2" t="s">
        <v>3</v>
      </c>
      <c r="HE266" s="2" t="s">
        <v>37</v>
      </c>
      <c r="HF266" s="2" t="s">
        <v>151</v>
      </c>
      <c r="HG266" s="2" t="s">
        <v>151</v>
      </c>
      <c r="HH266" s="2"/>
      <c r="HI266" s="2" t="s">
        <v>100</v>
      </c>
      <c r="HJ266" s="2" t="s">
        <v>3</v>
      </c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  <c r="JA266" s="2"/>
      <c r="JB266" s="2"/>
      <c r="JC266" s="2"/>
      <c r="JD266" s="2"/>
      <c r="JE266" s="2"/>
      <c r="JF266" s="2"/>
      <c r="JG266" s="2"/>
      <c r="JH266" s="2" t="s">
        <v>3</v>
      </c>
    </row>
    <row r="267" spans="1:268" ht="15.75" customHeight="1" x14ac:dyDescent="0.2">
      <c r="A267" s="13" t="s">
        <v>898</v>
      </c>
      <c r="B267" s="2" t="s">
        <v>99</v>
      </c>
      <c r="C267" s="2"/>
      <c r="D267" s="2"/>
      <c r="E267" s="2" t="s">
        <v>78</v>
      </c>
      <c r="F267" s="2" t="s">
        <v>899</v>
      </c>
      <c r="G267" s="2"/>
      <c r="H267" s="2"/>
      <c r="I267" s="2">
        <v>0</v>
      </c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>
        <v>0</v>
      </c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>
        <v>110</v>
      </c>
      <c r="AZ267" s="2"/>
      <c r="BA267" s="2"/>
      <c r="BB267" s="2"/>
      <c r="BC267" s="2"/>
      <c r="BD267" s="2"/>
      <c r="BE267" s="2"/>
      <c r="BF267" s="2"/>
      <c r="BG267" s="2" t="s">
        <v>900</v>
      </c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>
        <v>0</v>
      </c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>
        <v>0</v>
      </c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 t="s">
        <v>100</v>
      </c>
      <c r="DK267" s="2" t="s">
        <v>100</v>
      </c>
      <c r="DL267" s="2">
        <f t="shared" si="4367"/>
        <v>1.0900000000000001</v>
      </c>
      <c r="DM267" s="2">
        <f t="shared" si="4368"/>
        <v>0</v>
      </c>
      <c r="DN267" s="2" t="s">
        <v>113</v>
      </c>
      <c r="DO267" s="2" t="s">
        <v>3</v>
      </c>
      <c r="DP267" s="2">
        <f t="shared" si="4369"/>
        <v>0</v>
      </c>
      <c r="DQ267" s="2">
        <f t="shared" ref="DQ267:DR267" si="4504">K267*$I267+AF267*$AD267+BA267*$AY267</f>
        <v>0</v>
      </c>
      <c r="DR267" s="2">
        <f t="shared" si="4504"/>
        <v>0</v>
      </c>
      <c r="DS267" s="2">
        <f t="shared" ref="DS267:DX267" si="4505">(M267*$I267+AH267*$AD267+BC267*$AY267)/100</f>
        <v>0</v>
      </c>
      <c r="DT267" s="2">
        <f t="shared" si="4505"/>
        <v>0</v>
      </c>
      <c r="DU267" s="2">
        <f t="shared" si="4505"/>
        <v>0</v>
      </c>
      <c r="DV267" s="2">
        <f t="shared" si="4505"/>
        <v>0</v>
      </c>
      <c r="DW267" s="2">
        <f t="shared" si="4505"/>
        <v>1.1990000000000001</v>
      </c>
      <c r="DX267" s="2">
        <f t="shared" si="4505"/>
        <v>0</v>
      </c>
      <c r="DY267" s="2">
        <f t="shared" ref="DY267:EC267" si="4506">S267*$I267+AN267*$AD267+BI267*$AY267</f>
        <v>0</v>
      </c>
      <c r="DZ267" s="2">
        <f t="shared" si="4506"/>
        <v>0</v>
      </c>
      <c r="EA267" s="2">
        <f t="shared" si="4506"/>
        <v>0</v>
      </c>
      <c r="EB267" s="2">
        <f t="shared" si="4506"/>
        <v>0</v>
      </c>
      <c r="EC267" s="2">
        <f t="shared" si="4506"/>
        <v>0</v>
      </c>
      <c r="ED267" s="2">
        <f t="shared" ref="ED267:EE267" si="4507">(X267*$I267+AS267*$AD267+BN267*$AY267)/100</f>
        <v>0</v>
      </c>
      <c r="EE267" s="2">
        <f t="shared" si="4507"/>
        <v>0</v>
      </c>
      <c r="EF267" s="2"/>
      <c r="EG267" s="2">
        <f t="shared" si="4374"/>
        <v>0</v>
      </c>
      <c r="EH267" s="2">
        <f t="shared" si="4375"/>
        <v>0</v>
      </c>
      <c r="EI267" s="39">
        <f t="shared" si="4376"/>
        <v>0</v>
      </c>
      <c r="EJ267" s="39">
        <f t="shared" ref="EJ267:EK267" si="4508">EJ$1*DQ267/1000000</f>
        <v>0</v>
      </c>
      <c r="EK267" s="39">
        <f t="shared" si="4508"/>
        <v>0</v>
      </c>
      <c r="EL267" s="39">
        <f t="shared" ref="EL267:EQ267" si="4509">EL$1*DS267</f>
        <v>0</v>
      </c>
      <c r="EM267" s="39">
        <f t="shared" si="4509"/>
        <v>0</v>
      </c>
      <c r="EN267" s="39">
        <f t="shared" si="4509"/>
        <v>0</v>
      </c>
      <c r="EO267" s="39">
        <f t="shared" si="4509"/>
        <v>0</v>
      </c>
      <c r="EP267" s="39">
        <f t="shared" si="4509"/>
        <v>15723.686000000002</v>
      </c>
      <c r="EQ267" s="39">
        <f t="shared" si="4509"/>
        <v>0</v>
      </c>
      <c r="ER267" s="39">
        <f t="shared" ref="ER267:EV267" si="4510">ER$1*DY267/1000000</f>
        <v>0</v>
      </c>
      <c r="ES267" s="39">
        <f t="shared" si="4510"/>
        <v>0</v>
      </c>
      <c r="ET267" s="39">
        <f t="shared" si="4510"/>
        <v>0</v>
      </c>
      <c r="EU267" s="39">
        <f t="shared" si="4510"/>
        <v>0</v>
      </c>
      <c r="EV267" s="39">
        <f t="shared" si="4510"/>
        <v>0</v>
      </c>
      <c r="EW267" s="39">
        <f t="shared" ref="EW267:EX267" si="4511">EW$1*ED267</f>
        <v>0</v>
      </c>
      <c r="EX267" s="39">
        <f t="shared" si="4511"/>
        <v>0</v>
      </c>
      <c r="EY267" s="2"/>
      <c r="EZ267" s="39">
        <f t="shared" si="4381"/>
        <v>0</v>
      </c>
      <c r="FA267" s="39">
        <f t="shared" si="4382"/>
        <v>0</v>
      </c>
      <c r="FB267" s="2">
        <f t="shared" si="4383"/>
        <v>0</v>
      </c>
      <c r="FC267" s="2">
        <f t="shared" ref="FC267:FD267" si="4512">BV267*$BT267+CQ267*$CO267</f>
        <v>0</v>
      </c>
      <c r="FD267" s="2">
        <f t="shared" si="4512"/>
        <v>0</v>
      </c>
      <c r="FE267" s="2">
        <f t="shared" ref="FE267:FJ267" si="4513">(BX267*$BT267+CS267*$CO267)/100</f>
        <v>0</v>
      </c>
      <c r="FF267" s="2">
        <f t="shared" si="4513"/>
        <v>0</v>
      </c>
      <c r="FG267" s="2">
        <f t="shared" si="4513"/>
        <v>0</v>
      </c>
      <c r="FH267" s="2">
        <f t="shared" si="4513"/>
        <v>0</v>
      </c>
      <c r="FI267" s="2">
        <f t="shared" si="4513"/>
        <v>0</v>
      </c>
      <c r="FJ267" s="2">
        <f t="shared" si="4513"/>
        <v>0</v>
      </c>
      <c r="FK267" s="2">
        <f t="shared" ref="FK267:FO267" si="4514">CD267*$BT267+CY267*$CO267</f>
        <v>0</v>
      </c>
      <c r="FL267" s="2">
        <f t="shared" si="4514"/>
        <v>0</v>
      </c>
      <c r="FM267" s="2">
        <f t="shared" si="4514"/>
        <v>0</v>
      </c>
      <c r="FN267" s="2">
        <f t="shared" si="4514"/>
        <v>0</v>
      </c>
      <c r="FO267" s="2">
        <f t="shared" si="4514"/>
        <v>0</v>
      </c>
      <c r="FP267" s="2">
        <f t="shared" ref="FP267:FQ267" si="4515">(CI267*$BT267+DD267*$CO267)/100</f>
        <v>0</v>
      </c>
      <c r="FQ267" s="2">
        <f t="shared" si="4515"/>
        <v>0</v>
      </c>
      <c r="FR267" s="2"/>
      <c r="FS267" s="2">
        <f t="shared" si="4388"/>
        <v>0</v>
      </c>
      <c r="FT267" s="2">
        <f t="shared" si="4389"/>
        <v>0</v>
      </c>
      <c r="FU267" s="39">
        <f t="shared" si="4390"/>
        <v>0</v>
      </c>
      <c r="FV267" s="39">
        <f t="shared" ref="FV267:FW267" si="4516">FV$1*FC267/1000000</f>
        <v>0</v>
      </c>
      <c r="FW267" s="39">
        <f t="shared" si="4516"/>
        <v>0</v>
      </c>
      <c r="FX267" s="39">
        <f t="shared" ref="FX267:GC267" si="4517">FX$1*FE267</f>
        <v>0</v>
      </c>
      <c r="FY267" s="39">
        <f t="shared" si="4517"/>
        <v>0</v>
      </c>
      <c r="FZ267" s="39">
        <f t="shared" si="4517"/>
        <v>0</v>
      </c>
      <c r="GA267" s="39">
        <f t="shared" si="4517"/>
        <v>0</v>
      </c>
      <c r="GB267" s="39">
        <f t="shared" si="4517"/>
        <v>0</v>
      </c>
      <c r="GC267" s="39">
        <f t="shared" si="4517"/>
        <v>0</v>
      </c>
      <c r="GD267" s="39">
        <f t="shared" ref="GD267:GH267" si="4518">GD$1*FK267/1000000</f>
        <v>0</v>
      </c>
      <c r="GE267" s="39">
        <f t="shared" si="4518"/>
        <v>0</v>
      </c>
      <c r="GF267" s="39">
        <f t="shared" si="4518"/>
        <v>0</v>
      </c>
      <c r="GG267" s="39">
        <f t="shared" si="4518"/>
        <v>0</v>
      </c>
      <c r="GH267" s="39">
        <f t="shared" si="4518"/>
        <v>0</v>
      </c>
      <c r="GI267" s="39">
        <f t="shared" ref="GI267:GJ267" si="4519">GI$1*FP267</f>
        <v>0</v>
      </c>
      <c r="GJ267" s="39">
        <f t="shared" si="4519"/>
        <v>0</v>
      </c>
      <c r="GK267" s="2"/>
      <c r="GL267" s="39">
        <f t="shared" si="4395"/>
        <v>0</v>
      </c>
      <c r="GM267" s="39">
        <f t="shared" si="4396"/>
        <v>0</v>
      </c>
      <c r="GN267" s="2" t="s">
        <v>3</v>
      </c>
      <c r="GO267" s="2">
        <f t="shared" si="4397"/>
        <v>110</v>
      </c>
      <c r="GP267" s="4">
        <f t="shared" si="4398"/>
        <v>1.0900000000000001</v>
      </c>
      <c r="GQ267" s="18">
        <f t="shared" si="4399"/>
        <v>1199.0000000000002</v>
      </c>
      <c r="GR267" s="15">
        <f t="shared" si="4400"/>
        <v>15723.686000000002</v>
      </c>
      <c r="GS267" s="15">
        <f t="shared" si="4401"/>
        <v>142.94260000000003</v>
      </c>
      <c r="GT267" s="2">
        <f t="shared" si="4402"/>
        <v>0</v>
      </c>
      <c r="GU267" s="2">
        <f t="shared" si="4403"/>
        <v>0</v>
      </c>
      <c r="GV267" s="2">
        <f t="shared" si="4404"/>
        <v>1199</v>
      </c>
      <c r="GW267" s="2">
        <f t="shared" si="4405"/>
        <v>0</v>
      </c>
      <c r="GX267" s="2"/>
      <c r="GY267" s="2"/>
      <c r="GZ267" s="2"/>
      <c r="HA267" s="2"/>
      <c r="HB267" s="2">
        <f t="shared" si="4406"/>
        <v>0</v>
      </c>
      <c r="HC267" s="2">
        <f t="shared" si="4407"/>
        <v>0</v>
      </c>
      <c r="HD267" s="2" t="s">
        <v>3</v>
      </c>
      <c r="HE267" s="2" t="s">
        <v>37</v>
      </c>
      <c r="HF267" s="2" t="s">
        <v>235</v>
      </c>
      <c r="HG267" s="2" t="s">
        <v>235</v>
      </c>
      <c r="HH267" s="2"/>
      <c r="HI267" s="2" t="s">
        <v>100</v>
      </c>
      <c r="HJ267" s="2" t="s">
        <v>3</v>
      </c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  <c r="JA267" s="2"/>
      <c r="JB267" s="2"/>
      <c r="JC267" s="2"/>
      <c r="JD267" s="2"/>
      <c r="JE267" s="2"/>
      <c r="JF267" s="2"/>
      <c r="JG267" s="2"/>
      <c r="JH267" s="2" t="s">
        <v>3</v>
      </c>
    </row>
    <row r="268" spans="1:268" ht="15.75" customHeight="1" x14ac:dyDescent="0.2">
      <c r="A268" s="13" t="s">
        <v>1011</v>
      </c>
      <c r="B268" s="2" t="s">
        <v>99</v>
      </c>
      <c r="C268" s="2"/>
      <c r="D268" s="2"/>
      <c r="E268" s="2" t="s">
        <v>78</v>
      </c>
      <c r="F268" s="2" t="s">
        <v>200</v>
      </c>
      <c r="G268" s="2"/>
      <c r="H268" s="2" t="s">
        <v>80</v>
      </c>
      <c r="I268" s="2">
        <v>0</v>
      </c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>
        <v>0</v>
      </c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>
        <v>150</v>
      </c>
      <c r="AZ268" s="2"/>
      <c r="BA268" s="2"/>
      <c r="BB268" s="2"/>
      <c r="BC268" s="2"/>
      <c r="BD268" s="2"/>
      <c r="BE268" s="2"/>
      <c r="BF268" s="2"/>
      <c r="BG268" s="2">
        <v>1.38</v>
      </c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>
        <v>0</v>
      </c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>
        <v>0</v>
      </c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 t="s">
        <v>100</v>
      </c>
      <c r="DK268" s="2"/>
      <c r="DL268" s="2">
        <f t="shared" si="4367"/>
        <v>1.38</v>
      </c>
      <c r="DM268" s="2">
        <f t="shared" si="4368"/>
        <v>0</v>
      </c>
      <c r="DN268" s="2" t="s">
        <v>201</v>
      </c>
      <c r="DO268" s="2" t="s">
        <v>3</v>
      </c>
      <c r="DP268" s="2">
        <f t="shared" si="4369"/>
        <v>0</v>
      </c>
      <c r="DQ268" s="2">
        <f t="shared" ref="DQ268:DR268" si="4520">K268*$I268+AF268*$AD268+BA268*$AY268</f>
        <v>0</v>
      </c>
      <c r="DR268" s="2">
        <f t="shared" si="4520"/>
        <v>0</v>
      </c>
      <c r="DS268" s="2">
        <f t="shared" ref="DS268:DX268" si="4521">(M268*$I268+AH268*$AD268+BC268*$AY268)/100</f>
        <v>0</v>
      </c>
      <c r="DT268" s="2">
        <f t="shared" si="4521"/>
        <v>0</v>
      </c>
      <c r="DU268" s="2">
        <f t="shared" si="4521"/>
        <v>0</v>
      </c>
      <c r="DV268" s="2">
        <f t="shared" si="4521"/>
        <v>0</v>
      </c>
      <c r="DW268" s="2">
        <f t="shared" si="4521"/>
        <v>2.0699999999999998</v>
      </c>
      <c r="DX268" s="2">
        <f t="shared" si="4521"/>
        <v>0</v>
      </c>
      <c r="DY268" s="2">
        <f t="shared" ref="DY268:EC268" si="4522">S268*$I268+AN268*$AD268+BI268*$AY268</f>
        <v>0</v>
      </c>
      <c r="DZ268" s="2">
        <f t="shared" si="4522"/>
        <v>0</v>
      </c>
      <c r="EA268" s="2">
        <f t="shared" si="4522"/>
        <v>0</v>
      </c>
      <c r="EB268" s="2">
        <f t="shared" si="4522"/>
        <v>0</v>
      </c>
      <c r="EC268" s="2">
        <f t="shared" si="4522"/>
        <v>0</v>
      </c>
      <c r="ED268" s="2">
        <f t="shared" ref="ED268:EE268" si="4523">(X268*$I268+AS268*$AD268+BN268*$AY268)/100</f>
        <v>0</v>
      </c>
      <c r="EE268" s="2">
        <f t="shared" si="4523"/>
        <v>0</v>
      </c>
      <c r="EF268" s="2"/>
      <c r="EG268" s="2">
        <f t="shared" si="4374"/>
        <v>0</v>
      </c>
      <c r="EH268" s="2">
        <f t="shared" si="4375"/>
        <v>0</v>
      </c>
      <c r="EI268" s="39">
        <f t="shared" si="4376"/>
        <v>0</v>
      </c>
      <c r="EJ268" s="39">
        <f t="shared" ref="EJ268:EK268" si="4524">EJ$1*DQ268/1000000</f>
        <v>0</v>
      </c>
      <c r="EK268" s="39">
        <f t="shared" si="4524"/>
        <v>0</v>
      </c>
      <c r="EL268" s="39">
        <f t="shared" ref="EL268:EQ268" si="4525">EL$1*DS268</f>
        <v>0</v>
      </c>
      <c r="EM268" s="39">
        <f t="shared" si="4525"/>
        <v>0</v>
      </c>
      <c r="EN268" s="39">
        <f t="shared" si="4525"/>
        <v>0</v>
      </c>
      <c r="EO268" s="39">
        <f t="shared" si="4525"/>
        <v>0</v>
      </c>
      <c r="EP268" s="39">
        <f t="shared" si="4525"/>
        <v>27145.98</v>
      </c>
      <c r="EQ268" s="39">
        <f t="shared" si="4525"/>
        <v>0</v>
      </c>
      <c r="ER268" s="39">
        <f t="shared" ref="ER268:EV268" si="4526">ER$1*DY268/1000000</f>
        <v>0</v>
      </c>
      <c r="ES268" s="39">
        <f t="shared" si="4526"/>
        <v>0</v>
      </c>
      <c r="ET268" s="39">
        <f t="shared" si="4526"/>
        <v>0</v>
      </c>
      <c r="EU268" s="39">
        <f t="shared" si="4526"/>
        <v>0</v>
      </c>
      <c r="EV268" s="39">
        <f t="shared" si="4526"/>
        <v>0</v>
      </c>
      <c r="EW268" s="39">
        <f t="shared" ref="EW268:EX268" si="4527">EW$1*ED268</f>
        <v>0</v>
      </c>
      <c r="EX268" s="39">
        <f t="shared" si="4527"/>
        <v>0</v>
      </c>
      <c r="EY268" s="2"/>
      <c r="EZ268" s="39">
        <f t="shared" si="4381"/>
        <v>0</v>
      </c>
      <c r="FA268" s="39">
        <f t="shared" si="4382"/>
        <v>0</v>
      </c>
      <c r="FB268" s="2">
        <f t="shared" si="4383"/>
        <v>0</v>
      </c>
      <c r="FC268" s="2">
        <f t="shared" ref="FC268:FD268" si="4528">BV268*$BT268+CQ268*$CO268</f>
        <v>0</v>
      </c>
      <c r="FD268" s="2">
        <f t="shared" si="4528"/>
        <v>0</v>
      </c>
      <c r="FE268" s="2">
        <f t="shared" ref="FE268:FJ268" si="4529">(BX268*$BT268+CS268*$CO268)/100</f>
        <v>0</v>
      </c>
      <c r="FF268" s="2">
        <f t="shared" si="4529"/>
        <v>0</v>
      </c>
      <c r="FG268" s="2">
        <f t="shared" si="4529"/>
        <v>0</v>
      </c>
      <c r="FH268" s="2">
        <f t="shared" si="4529"/>
        <v>0</v>
      </c>
      <c r="FI268" s="2">
        <f t="shared" si="4529"/>
        <v>0</v>
      </c>
      <c r="FJ268" s="2">
        <f t="shared" si="4529"/>
        <v>0</v>
      </c>
      <c r="FK268" s="2">
        <f t="shared" ref="FK268:FO268" si="4530">CD268*$BT268+CY268*$CO268</f>
        <v>0</v>
      </c>
      <c r="FL268" s="2">
        <f t="shared" si="4530"/>
        <v>0</v>
      </c>
      <c r="FM268" s="2">
        <f t="shared" si="4530"/>
        <v>0</v>
      </c>
      <c r="FN268" s="2">
        <f t="shared" si="4530"/>
        <v>0</v>
      </c>
      <c r="FO268" s="2">
        <f t="shared" si="4530"/>
        <v>0</v>
      </c>
      <c r="FP268" s="2">
        <f t="shared" ref="FP268:FQ268" si="4531">(CI268*$BT268+DD268*$CO268)/100</f>
        <v>0</v>
      </c>
      <c r="FQ268" s="2">
        <f t="shared" si="4531"/>
        <v>0</v>
      </c>
      <c r="FR268" s="2"/>
      <c r="FS268" s="2">
        <f t="shared" si="4388"/>
        <v>0</v>
      </c>
      <c r="FT268" s="2">
        <f t="shared" si="4389"/>
        <v>0</v>
      </c>
      <c r="FU268" s="39">
        <f t="shared" si="4390"/>
        <v>0</v>
      </c>
      <c r="FV268" s="39">
        <f t="shared" ref="FV268:FW268" si="4532">FV$1*FC268/1000000</f>
        <v>0</v>
      </c>
      <c r="FW268" s="39">
        <f t="shared" si="4532"/>
        <v>0</v>
      </c>
      <c r="FX268" s="39">
        <f t="shared" ref="FX268:GC268" si="4533">FX$1*FE268</f>
        <v>0</v>
      </c>
      <c r="FY268" s="39">
        <f t="shared" si="4533"/>
        <v>0</v>
      </c>
      <c r="FZ268" s="39">
        <f t="shared" si="4533"/>
        <v>0</v>
      </c>
      <c r="GA268" s="39">
        <f t="shared" si="4533"/>
        <v>0</v>
      </c>
      <c r="GB268" s="39">
        <f t="shared" si="4533"/>
        <v>0</v>
      </c>
      <c r="GC268" s="39">
        <f t="shared" si="4533"/>
        <v>0</v>
      </c>
      <c r="GD268" s="39">
        <f t="shared" ref="GD268:GH268" si="4534">GD$1*FK268/1000000</f>
        <v>0</v>
      </c>
      <c r="GE268" s="39">
        <f t="shared" si="4534"/>
        <v>0</v>
      </c>
      <c r="GF268" s="39">
        <f t="shared" si="4534"/>
        <v>0</v>
      </c>
      <c r="GG268" s="39">
        <f t="shared" si="4534"/>
        <v>0</v>
      </c>
      <c r="GH268" s="39">
        <f t="shared" si="4534"/>
        <v>0</v>
      </c>
      <c r="GI268" s="39">
        <f t="shared" ref="GI268:GJ268" si="4535">GI$1*FP268</f>
        <v>0</v>
      </c>
      <c r="GJ268" s="39">
        <f t="shared" si="4535"/>
        <v>0</v>
      </c>
      <c r="GK268" s="2"/>
      <c r="GL268" s="39">
        <f t="shared" si="4395"/>
        <v>0</v>
      </c>
      <c r="GM268" s="39">
        <f t="shared" si="4396"/>
        <v>0</v>
      </c>
      <c r="GN268" s="2" t="s">
        <v>3</v>
      </c>
      <c r="GO268" s="2">
        <f t="shared" si="4397"/>
        <v>150</v>
      </c>
      <c r="GP268" s="4">
        <f t="shared" si="4398"/>
        <v>1.38</v>
      </c>
      <c r="GQ268" s="18">
        <f t="shared" si="4399"/>
        <v>2069.9999999999995</v>
      </c>
      <c r="GR268" s="15">
        <f t="shared" si="4400"/>
        <v>27145.98</v>
      </c>
      <c r="GS268" s="15">
        <f t="shared" si="4401"/>
        <v>180.97319999999999</v>
      </c>
      <c r="GT268" s="2">
        <f t="shared" si="4402"/>
        <v>0</v>
      </c>
      <c r="GU268" s="2">
        <f t="shared" si="4403"/>
        <v>0</v>
      </c>
      <c r="GV268" s="2">
        <f t="shared" si="4404"/>
        <v>2069.9999999999995</v>
      </c>
      <c r="GW268" s="2">
        <f t="shared" si="4405"/>
        <v>0</v>
      </c>
      <c r="GX268" s="2"/>
      <c r="GY268" s="2"/>
      <c r="GZ268" s="2"/>
      <c r="HA268" s="2"/>
      <c r="HB268" s="2">
        <f t="shared" si="4406"/>
        <v>0</v>
      </c>
      <c r="HC268" s="2">
        <f t="shared" si="4407"/>
        <v>0</v>
      </c>
      <c r="HD268" s="2" t="s">
        <v>3</v>
      </c>
      <c r="HE268" s="2" t="s">
        <v>37</v>
      </c>
      <c r="HF268" s="2" t="s">
        <v>151</v>
      </c>
      <c r="HG268" s="2" t="s">
        <v>151</v>
      </c>
      <c r="HH268" s="2"/>
      <c r="HI268" s="2" t="s">
        <v>100</v>
      </c>
      <c r="HJ268" s="2" t="s">
        <v>3</v>
      </c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  <c r="JA268" s="2"/>
      <c r="JB268" s="2"/>
      <c r="JC268" s="2"/>
      <c r="JD268" s="2"/>
      <c r="JE268" s="2"/>
      <c r="JF268" s="2"/>
      <c r="JG268" s="2"/>
      <c r="JH268" s="2" t="s">
        <v>3</v>
      </c>
    </row>
    <row r="269" spans="1:268" ht="15.75" customHeight="1" x14ac:dyDescent="0.2">
      <c r="A269" s="13" t="s">
        <v>1015</v>
      </c>
      <c r="B269" s="2" t="s">
        <v>99</v>
      </c>
      <c r="C269" s="2"/>
      <c r="D269" s="2"/>
      <c r="E269" s="2" t="s">
        <v>78</v>
      </c>
      <c r="F269" s="2" t="s">
        <v>1016</v>
      </c>
      <c r="G269" s="2"/>
      <c r="H269" s="2"/>
      <c r="I269" s="2">
        <v>0</v>
      </c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>
        <v>0</v>
      </c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>
        <v>200</v>
      </c>
      <c r="AZ269" s="2"/>
      <c r="BA269" s="2"/>
      <c r="BB269" s="2"/>
      <c r="BC269" s="2"/>
      <c r="BD269" s="2"/>
      <c r="BE269" s="2"/>
      <c r="BF269" s="2"/>
      <c r="BG269" s="2" t="s">
        <v>1017</v>
      </c>
      <c r="BH269" s="2">
        <v>0.06</v>
      </c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>
        <v>0</v>
      </c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>
        <v>0</v>
      </c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 t="s">
        <v>100</v>
      </c>
      <c r="DK269" s="2" t="s">
        <v>100</v>
      </c>
      <c r="DL269" s="2">
        <f t="shared" si="4367"/>
        <v>1.3</v>
      </c>
      <c r="DM269" s="2">
        <f t="shared" si="4368"/>
        <v>0.06</v>
      </c>
      <c r="DN269" s="2" t="s">
        <v>113</v>
      </c>
      <c r="DO269" s="2" t="s">
        <v>3</v>
      </c>
      <c r="DP269" s="2">
        <f t="shared" si="4369"/>
        <v>0</v>
      </c>
      <c r="DQ269" s="2">
        <f t="shared" ref="DQ269:DR269" si="4536">K269*$I269+AF269*$AD269+BA269*$AY269</f>
        <v>0</v>
      </c>
      <c r="DR269" s="2">
        <f t="shared" si="4536"/>
        <v>0</v>
      </c>
      <c r="DS269" s="2">
        <f t="shared" ref="DS269:DX269" si="4537">(M269*$I269+AH269*$AD269+BC269*$AY269)/100</f>
        <v>0</v>
      </c>
      <c r="DT269" s="2">
        <f t="shared" si="4537"/>
        <v>0</v>
      </c>
      <c r="DU269" s="2">
        <f t="shared" si="4537"/>
        <v>0</v>
      </c>
      <c r="DV269" s="2">
        <f t="shared" si="4537"/>
        <v>0</v>
      </c>
      <c r="DW269" s="2">
        <f t="shared" si="4537"/>
        <v>2.6</v>
      </c>
      <c r="DX269" s="2">
        <f t="shared" si="4537"/>
        <v>0.12</v>
      </c>
      <c r="DY269" s="2">
        <f t="shared" ref="DY269:EC269" si="4538">S269*$I269+AN269*$AD269+BI269*$AY269</f>
        <v>0</v>
      </c>
      <c r="DZ269" s="2">
        <f t="shared" si="4538"/>
        <v>0</v>
      </c>
      <c r="EA269" s="2">
        <f t="shared" si="4538"/>
        <v>0</v>
      </c>
      <c r="EB269" s="2">
        <f t="shared" si="4538"/>
        <v>0</v>
      </c>
      <c r="EC269" s="2">
        <f t="shared" si="4538"/>
        <v>0</v>
      </c>
      <c r="ED269" s="2">
        <f t="shared" ref="ED269:EE269" si="4539">(X269*$I269+AS269*$AD269+BN269*$AY269)/100</f>
        <v>0</v>
      </c>
      <c r="EE269" s="2">
        <f t="shared" si="4539"/>
        <v>0</v>
      </c>
      <c r="EF269" s="2"/>
      <c r="EG269" s="2">
        <f t="shared" si="4374"/>
        <v>0</v>
      </c>
      <c r="EH269" s="2">
        <f t="shared" si="4375"/>
        <v>0</v>
      </c>
      <c r="EI269" s="39">
        <f t="shared" si="4376"/>
        <v>0</v>
      </c>
      <c r="EJ269" s="39">
        <f t="shared" ref="EJ269:EK269" si="4540">EJ$1*DQ269/1000000</f>
        <v>0</v>
      </c>
      <c r="EK269" s="39">
        <f t="shared" si="4540"/>
        <v>0</v>
      </c>
      <c r="EL269" s="39">
        <f t="shared" ref="EL269:EQ269" si="4541">EL$1*DS269</f>
        <v>0</v>
      </c>
      <c r="EM269" s="39">
        <f t="shared" si="4541"/>
        <v>0</v>
      </c>
      <c r="EN269" s="39">
        <f t="shared" si="4541"/>
        <v>0</v>
      </c>
      <c r="EO269" s="39">
        <f t="shared" si="4541"/>
        <v>0</v>
      </c>
      <c r="EP269" s="39">
        <f t="shared" si="4541"/>
        <v>34096.400000000001</v>
      </c>
      <c r="EQ269" s="39">
        <f t="shared" si="4541"/>
        <v>8714.3428799999983</v>
      </c>
      <c r="ER269" s="39">
        <f t="shared" ref="ER269:EV269" si="4542">ER$1*DY269/1000000</f>
        <v>0</v>
      </c>
      <c r="ES269" s="39">
        <f t="shared" si="4542"/>
        <v>0</v>
      </c>
      <c r="ET269" s="39">
        <f t="shared" si="4542"/>
        <v>0</v>
      </c>
      <c r="EU269" s="39">
        <f t="shared" si="4542"/>
        <v>0</v>
      </c>
      <c r="EV269" s="39">
        <f t="shared" si="4542"/>
        <v>0</v>
      </c>
      <c r="EW269" s="39">
        <f t="shared" ref="EW269:EX269" si="4543">EW$1*ED269</f>
        <v>0</v>
      </c>
      <c r="EX269" s="39">
        <f t="shared" si="4543"/>
        <v>0</v>
      </c>
      <c r="EY269" s="2"/>
      <c r="EZ269" s="39">
        <f t="shared" si="4381"/>
        <v>0</v>
      </c>
      <c r="FA269" s="39">
        <f t="shared" si="4382"/>
        <v>0</v>
      </c>
      <c r="FB269" s="2">
        <f t="shared" si="4383"/>
        <v>0</v>
      </c>
      <c r="FC269" s="2">
        <f t="shared" ref="FC269:FD269" si="4544">BV269*$BT269+CQ269*$CO269</f>
        <v>0</v>
      </c>
      <c r="FD269" s="2">
        <f t="shared" si="4544"/>
        <v>0</v>
      </c>
      <c r="FE269" s="2">
        <f t="shared" ref="FE269:FJ269" si="4545">(BX269*$BT269+CS269*$CO269)/100</f>
        <v>0</v>
      </c>
      <c r="FF269" s="2">
        <f t="shared" si="4545"/>
        <v>0</v>
      </c>
      <c r="FG269" s="2">
        <f t="shared" si="4545"/>
        <v>0</v>
      </c>
      <c r="FH269" s="2">
        <f t="shared" si="4545"/>
        <v>0</v>
      </c>
      <c r="FI269" s="2">
        <f t="shared" si="4545"/>
        <v>0</v>
      </c>
      <c r="FJ269" s="2">
        <f t="shared" si="4545"/>
        <v>0</v>
      </c>
      <c r="FK269" s="2">
        <f t="shared" ref="FK269:FO269" si="4546">CD269*$BT269+CY269*$CO269</f>
        <v>0</v>
      </c>
      <c r="FL269" s="2">
        <f t="shared" si="4546"/>
        <v>0</v>
      </c>
      <c r="FM269" s="2">
        <f t="shared" si="4546"/>
        <v>0</v>
      </c>
      <c r="FN269" s="2">
        <f t="shared" si="4546"/>
        <v>0</v>
      </c>
      <c r="FO269" s="2">
        <f t="shared" si="4546"/>
        <v>0</v>
      </c>
      <c r="FP269" s="2">
        <f t="shared" ref="FP269:FQ269" si="4547">(CI269*$BT269+DD269*$CO269)/100</f>
        <v>0</v>
      </c>
      <c r="FQ269" s="2">
        <f t="shared" si="4547"/>
        <v>0</v>
      </c>
      <c r="FR269" s="2"/>
      <c r="FS269" s="2">
        <f t="shared" si="4388"/>
        <v>0</v>
      </c>
      <c r="FT269" s="2">
        <f t="shared" si="4389"/>
        <v>0</v>
      </c>
      <c r="FU269" s="39">
        <f t="shared" si="4390"/>
        <v>0</v>
      </c>
      <c r="FV269" s="39">
        <f t="shared" ref="FV269:FW269" si="4548">FV$1*FC269/1000000</f>
        <v>0</v>
      </c>
      <c r="FW269" s="39">
        <f t="shared" si="4548"/>
        <v>0</v>
      </c>
      <c r="FX269" s="39">
        <f t="shared" ref="FX269:GC269" si="4549">FX$1*FE269</f>
        <v>0</v>
      </c>
      <c r="FY269" s="39">
        <f t="shared" si="4549"/>
        <v>0</v>
      </c>
      <c r="FZ269" s="39">
        <f t="shared" si="4549"/>
        <v>0</v>
      </c>
      <c r="GA269" s="39">
        <f t="shared" si="4549"/>
        <v>0</v>
      </c>
      <c r="GB269" s="39">
        <f t="shared" si="4549"/>
        <v>0</v>
      </c>
      <c r="GC269" s="39">
        <f t="shared" si="4549"/>
        <v>0</v>
      </c>
      <c r="GD269" s="39">
        <f t="shared" ref="GD269:GH269" si="4550">GD$1*FK269/1000000</f>
        <v>0</v>
      </c>
      <c r="GE269" s="39">
        <f t="shared" si="4550"/>
        <v>0</v>
      </c>
      <c r="GF269" s="39">
        <f t="shared" si="4550"/>
        <v>0</v>
      </c>
      <c r="GG269" s="39">
        <f t="shared" si="4550"/>
        <v>0</v>
      </c>
      <c r="GH269" s="39">
        <f t="shared" si="4550"/>
        <v>0</v>
      </c>
      <c r="GI269" s="39">
        <f t="shared" ref="GI269:GJ269" si="4551">GI$1*FP269</f>
        <v>0</v>
      </c>
      <c r="GJ269" s="39">
        <f t="shared" si="4551"/>
        <v>0</v>
      </c>
      <c r="GK269" s="2"/>
      <c r="GL269" s="39">
        <f t="shared" si="4395"/>
        <v>0</v>
      </c>
      <c r="GM269" s="39">
        <f t="shared" si="4396"/>
        <v>0</v>
      </c>
      <c r="GN269" s="2" t="s">
        <v>3</v>
      </c>
      <c r="GO269" s="2">
        <f t="shared" si="4397"/>
        <v>200</v>
      </c>
      <c r="GP269" s="4">
        <f t="shared" si="4398"/>
        <v>1.3</v>
      </c>
      <c r="GQ269" s="18">
        <f t="shared" si="4399"/>
        <v>2600</v>
      </c>
      <c r="GR269" s="15">
        <f t="shared" si="4400"/>
        <v>42810.742879999998</v>
      </c>
      <c r="GS269" s="15">
        <f t="shared" si="4401"/>
        <v>214.05371439999999</v>
      </c>
      <c r="GT269" s="2">
        <f t="shared" si="4402"/>
        <v>0</v>
      </c>
      <c r="GU269" s="2">
        <f t="shared" si="4403"/>
        <v>0</v>
      </c>
      <c r="GV269" s="2">
        <f t="shared" si="4404"/>
        <v>2600</v>
      </c>
      <c r="GW269" s="2">
        <f t="shared" si="4405"/>
        <v>0</v>
      </c>
      <c r="GX269" s="2"/>
      <c r="GY269" s="2"/>
      <c r="GZ269" s="2"/>
      <c r="HA269" s="2"/>
      <c r="HB269" s="2">
        <f t="shared" si="4406"/>
        <v>0</v>
      </c>
      <c r="HC269" s="2">
        <f t="shared" si="4407"/>
        <v>0</v>
      </c>
      <c r="HD269" s="2" t="s">
        <v>3</v>
      </c>
      <c r="HE269" s="2" t="s">
        <v>37</v>
      </c>
      <c r="HF269" s="2" t="s">
        <v>151</v>
      </c>
      <c r="HG269" s="2" t="s">
        <v>151</v>
      </c>
      <c r="HH269" s="2"/>
      <c r="HI269" s="2" t="s">
        <v>100</v>
      </c>
      <c r="HJ269" s="2" t="s">
        <v>3</v>
      </c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  <c r="JA269" s="2"/>
      <c r="JB269" s="2"/>
      <c r="JC269" s="2"/>
      <c r="JD269" s="2"/>
      <c r="JE269" s="2"/>
      <c r="JF269" s="2"/>
      <c r="JG269" s="2"/>
      <c r="JH269" s="2" t="s">
        <v>3</v>
      </c>
    </row>
    <row r="270" spans="1:268" ht="15.75" customHeight="1" x14ac:dyDescent="0.2">
      <c r="A270" s="13" t="s">
        <v>707</v>
      </c>
      <c r="B270" s="2" t="s">
        <v>99</v>
      </c>
      <c r="C270" s="2"/>
      <c r="D270" s="2"/>
      <c r="E270" s="2" t="s">
        <v>78</v>
      </c>
      <c r="F270" s="2" t="s">
        <v>79</v>
      </c>
      <c r="G270" s="2"/>
      <c r="H270" s="2" t="s">
        <v>292</v>
      </c>
      <c r="I270" s="2">
        <v>0</v>
      </c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>
        <v>0</v>
      </c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>
        <v>35</v>
      </c>
      <c r="AZ270" s="2"/>
      <c r="BA270" s="2"/>
      <c r="BB270" s="2"/>
      <c r="BC270" s="2"/>
      <c r="BD270" s="2"/>
      <c r="BE270" s="2"/>
      <c r="BF270" s="2"/>
      <c r="BG270" s="2">
        <v>0.65</v>
      </c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>
        <v>0</v>
      </c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>
        <v>0</v>
      </c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 t="s">
        <v>100</v>
      </c>
      <c r="DK270" s="2"/>
      <c r="DL270" s="2">
        <f t="shared" si="4367"/>
        <v>0.65</v>
      </c>
      <c r="DM270" s="2">
        <f t="shared" si="4368"/>
        <v>0</v>
      </c>
      <c r="DN270" s="2" t="s">
        <v>113</v>
      </c>
      <c r="DO270" s="2" t="s">
        <v>3</v>
      </c>
      <c r="DP270" s="2">
        <f t="shared" si="4369"/>
        <v>0</v>
      </c>
      <c r="DQ270" s="2">
        <f t="shared" ref="DQ270:DR270" si="4552">K270*$I270+AF270*$AD270+BA270*$AY270</f>
        <v>0</v>
      </c>
      <c r="DR270" s="2">
        <f t="shared" si="4552"/>
        <v>0</v>
      </c>
      <c r="DS270" s="2">
        <f t="shared" ref="DS270:DX270" si="4553">(M270*$I270+AH270*$AD270+BC270*$AY270)/100</f>
        <v>0</v>
      </c>
      <c r="DT270" s="2">
        <f t="shared" si="4553"/>
        <v>0</v>
      </c>
      <c r="DU270" s="2">
        <f t="shared" si="4553"/>
        <v>0</v>
      </c>
      <c r="DV270" s="2">
        <f t="shared" si="4553"/>
        <v>0</v>
      </c>
      <c r="DW270" s="2">
        <f t="shared" si="4553"/>
        <v>0.22750000000000001</v>
      </c>
      <c r="DX270" s="2">
        <f t="shared" si="4553"/>
        <v>0</v>
      </c>
      <c r="DY270" s="2">
        <f t="shared" ref="DY270:EC270" si="4554">S270*$I270+AN270*$AD270+BI270*$AY270</f>
        <v>0</v>
      </c>
      <c r="DZ270" s="2">
        <f t="shared" si="4554"/>
        <v>0</v>
      </c>
      <c r="EA270" s="2">
        <f t="shared" si="4554"/>
        <v>0</v>
      </c>
      <c r="EB270" s="2">
        <f t="shared" si="4554"/>
        <v>0</v>
      </c>
      <c r="EC270" s="2">
        <f t="shared" si="4554"/>
        <v>0</v>
      </c>
      <c r="ED270" s="2">
        <f t="shared" ref="ED270:EE270" si="4555">(X270*$I270+AS270*$AD270+BN270*$AY270)/100</f>
        <v>0</v>
      </c>
      <c r="EE270" s="2">
        <f t="shared" si="4555"/>
        <v>0</v>
      </c>
      <c r="EF270" s="2"/>
      <c r="EG270" s="2">
        <f t="shared" si="4374"/>
        <v>0</v>
      </c>
      <c r="EH270" s="2">
        <f t="shared" si="4375"/>
        <v>0</v>
      </c>
      <c r="EI270" s="39">
        <f t="shared" si="4376"/>
        <v>0</v>
      </c>
      <c r="EJ270" s="39">
        <f t="shared" ref="EJ270:EK270" si="4556">EJ$1*DQ270/1000000</f>
        <v>0</v>
      </c>
      <c r="EK270" s="39">
        <f t="shared" si="4556"/>
        <v>0</v>
      </c>
      <c r="EL270" s="39">
        <f t="shared" ref="EL270:EQ270" si="4557">EL$1*DS270</f>
        <v>0</v>
      </c>
      <c r="EM270" s="39">
        <f t="shared" si="4557"/>
        <v>0</v>
      </c>
      <c r="EN270" s="39">
        <f t="shared" si="4557"/>
        <v>0</v>
      </c>
      <c r="EO270" s="39">
        <f t="shared" si="4557"/>
        <v>0</v>
      </c>
      <c r="EP270" s="39">
        <f t="shared" si="4557"/>
        <v>2983.4349999999999</v>
      </c>
      <c r="EQ270" s="39">
        <f t="shared" si="4557"/>
        <v>0</v>
      </c>
      <c r="ER270" s="39">
        <f t="shared" ref="ER270:EV270" si="4558">ER$1*DY270/1000000</f>
        <v>0</v>
      </c>
      <c r="ES270" s="39">
        <f t="shared" si="4558"/>
        <v>0</v>
      </c>
      <c r="ET270" s="39">
        <f t="shared" si="4558"/>
        <v>0</v>
      </c>
      <c r="EU270" s="39">
        <f t="shared" si="4558"/>
        <v>0</v>
      </c>
      <c r="EV270" s="39">
        <f t="shared" si="4558"/>
        <v>0</v>
      </c>
      <c r="EW270" s="39">
        <f t="shared" ref="EW270:EX270" si="4559">EW$1*ED270</f>
        <v>0</v>
      </c>
      <c r="EX270" s="39">
        <f t="shared" si="4559"/>
        <v>0</v>
      </c>
      <c r="EY270" s="2"/>
      <c r="EZ270" s="39">
        <f t="shared" si="4381"/>
        <v>0</v>
      </c>
      <c r="FA270" s="39">
        <f t="shared" si="4382"/>
        <v>0</v>
      </c>
      <c r="FB270" s="2">
        <f t="shared" si="4383"/>
        <v>0</v>
      </c>
      <c r="FC270" s="2">
        <f t="shared" ref="FC270:FD270" si="4560">BV270*$BT270+CQ270*$CO270</f>
        <v>0</v>
      </c>
      <c r="FD270" s="2">
        <f t="shared" si="4560"/>
        <v>0</v>
      </c>
      <c r="FE270" s="2">
        <f t="shared" ref="FE270:FJ270" si="4561">(BX270*$BT270+CS270*$CO270)/100</f>
        <v>0</v>
      </c>
      <c r="FF270" s="2">
        <f t="shared" si="4561"/>
        <v>0</v>
      </c>
      <c r="FG270" s="2">
        <f t="shared" si="4561"/>
        <v>0</v>
      </c>
      <c r="FH270" s="2">
        <f t="shared" si="4561"/>
        <v>0</v>
      </c>
      <c r="FI270" s="2">
        <f t="shared" si="4561"/>
        <v>0</v>
      </c>
      <c r="FJ270" s="2">
        <f t="shared" si="4561"/>
        <v>0</v>
      </c>
      <c r="FK270" s="2">
        <f t="shared" ref="FK270:FO270" si="4562">CD270*$BT270+CY270*$CO270</f>
        <v>0</v>
      </c>
      <c r="FL270" s="2">
        <f t="shared" si="4562"/>
        <v>0</v>
      </c>
      <c r="FM270" s="2">
        <f t="shared" si="4562"/>
        <v>0</v>
      </c>
      <c r="FN270" s="2">
        <f t="shared" si="4562"/>
        <v>0</v>
      </c>
      <c r="FO270" s="2">
        <f t="shared" si="4562"/>
        <v>0</v>
      </c>
      <c r="FP270" s="2">
        <f t="shared" ref="FP270:FQ270" si="4563">(CI270*$BT270+DD270*$CO270)/100</f>
        <v>0</v>
      </c>
      <c r="FQ270" s="2">
        <f t="shared" si="4563"/>
        <v>0</v>
      </c>
      <c r="FR270" s="2"/>
      <c r="FS270" s="2">
        <f t="shared" si="4388"/>
        <v>0</v>
      </c>
      <c r="FT270" s="2">
        <f t="shared" si="4389"/>
        <v>0</v>
      </c>
      <c r="FU270" s="39">
        <f t="shared" si="4390"/>
        <v>0</v>
      </c>
      <c r="FV270" s="39">
        <f t="shared" ref="FV270:FW270" si="4564">FV$1*FC270/1000000</f>
        <v>0</v>
      </c>
      <c r="FW270" s="39">
        <f t="shared" si="4564"/>
        <v>0</v>
      </c>
      <c r="FX270" s="39">
        <f t="shared" ref="FX270:GC270" si="4565">FX$1*FE270</f>
        <v>0</v>
      </c>
      <c r="FY270" s="39">
        <f t="shared" si="4565"/>
        <v>0</v>
      </c>
      <c r="FZ270" s="39">
        <f t="shared" si="4565"/>
        <v>0</v>
      </c>
      <c r="GA270" s="39">
        <f t="shared" si="4565"/>
        <v>0</v>
      </c>
      <c r="GB270" s="39">
        <f t="shared" si="4565"/>
        <v>0</v>
      </c>
      <c r="GC270" s="39">
        <f t="shared" si="4565"/>
        <v>0</v>
      </c>
      <c r="GD270" s="39">
        <f t="shared" ref="GD270:GH270" si="4566">GD$1*FK270/1000000</f>
        <v>0</v>
      </c>
      <c r="GE270" s="39">
        <f t="shared" si="4566"/>
        <v>0</v>
      </c>
      <c r="GF270" s="39">
        <f t="shared" si="4566"/>
        <v>0</v>
      </c>
      <c r="GG270" s="39">
        <f t="shared" si="4566"/>
        <v>0</v>
      </c>
      <c r="GH270" s="39">
        <f t="shared" si="4566"/>
        <v>0</v>
      </c>
      <c r="GI270" s="39">
        <f t="shared" ref="GI270:GJ270" si="4567">GI$1*FP270</f>
        <v>0</v>
      </c>
      <c r="GJ270" s="39">
        <f t="shared" si="4567"/>
        <v>0</v>
      </c>
      <c r="GK270" s="2"/>
      <c r="GL270" s="39">
        <f t="shared" si="4395"/>
        <v>0</v>
      </c>
      <c r="GM270" s="39">
        <f t="shared" si="4396"/>
        <v>0</v>
      </c>
      <c r="GN270" s="2" t="s">
        <v>3</v>
      </c>
      <c r="GO270" s="2">
        <f t="shared" si="4397"/>
        <v>35</v>
      </c>
      <c r="GP270" s="4">
        <f t="shared" si="4398"/>
        <v>0.65</v>
      </c>
      <c r="GQ270" s="15">
        <f t="shared" si="4399"/>
        <v>227.5</v>
      </c>
      <c r="GR270" s="15">
        <f t="shared" si="4400"/>
        <v>2983.4349999999999</v>
      </c>
      <c r="GS270" s="15">
        <f t="shared" si="4401"/>
        <v>85.241</v>
      </c>
      <c r="GT270" s="2">
        <f t="shared" si="4402"/>
        <v>0</v>
      </c>
      <c r="GU270" s="2">
        <f t="shared" si="4403"/>
        <v>0</v>
      </c>
      <c r="GV270" s="2">
        <f t="shared" si="4404"/>
        <v>227.5</v>
      </c>
      <c r="GW270" s="2">
        <f t="shared" si="4405"/>
        <v>0</v>
      </c>
      <c r="GX270" s="2"/>
      <c r="GY270" s="2"/>
      <c r="GZ270" s="2"/>
      <c r="HA270" s="2"/>
      <c r="HB270" s="2">
        <f t="shared" si="4406"/>
        <v>0</v>
      </c>
      <c r="HC270" s="2">
        <f t="shared" si="4407"/>
        <v>0</v>
      </c>
      <c r="HD270" s="2" t="s">
        <v>3</v>
      </c>
      <c r="HE270" s="2" t="s">
        <v>37</v>
      </c>
      <c r="HF270" s="2" t="s">
        <v>151</v>
      </c>
      <c r="HG270" s="2" t="s">
        <v>151</v>
      </c>
      <c r="HH270" s="2"/>
      <c r="HI270" s="2" t="s">
        <v>100</v>
      </c>
      <c r="HJ270" s="2" t="s">
        <v>3</v>
      </c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A270" s="2"/>
      <c r="JB270" s="2"/>
      <c r="JC270" s="2"/>
      <c r="JD270" s="2"/>
      <c r="JE270" s="2"/>
      <c r="JF270" s="2"/>
      <c r="JG270" s="2"/>
      <c r="JH270" s="2" t="s">
        <v>3</v>
      </c>
    </row>
    <row r="271" spans="1:268" ht="15.75" customHeight="1" x14ac:dyDescent="0.2">
      <c r="A271" s="13" t="s">
        <v>564</v>
      </c>
      <c r="B271" s="2" t="s">
        <v>99</v>
      </c>
      <c r="C271" s="2"/>
      <c r="D271" s="2"/>
      <c r="E271" s="2" t="s">
        <v>78</v>
      </c>
      <c r="F271" s="2" t="s">
        <v>270</v>
      </c>
      <c r="G271" s="2"/>
      <c r="H271" s="2" t="s">
        <v>141</v>
      </c>
      <c r="I271" s="2">
        <v>0</v>
      </c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>
        <v>0</v>
      </c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>
        <v>42.38</v>
      </c>
      <c r="AZ271" s="2"/>
      <c r="BA271" s="2"/>
      <c r="BB271" s="2"/>
      <c r="BC271" s="2"/>
      <c r="BD271" s="2"/>
      <c r="BE271" s="2"/>
      <c r="BF271" s="2"/>
      <c r="BG271" s="2">
        <v>1.1599999999999999</v>
      </c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>
        <v>0</v>
      </c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>
        <v>0</v>
      </c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 t="s">
        <v>100</v>
      </c>
      <c r="DK271" s="2"/>
      <c r="DL271" s="2">
        <f t="shared" si="4367"/>
        <v>1.1599999999999999</v>
      </c>
      <c r="DM271" s="2">
        <f t="shared" si="4368"/>
        <v>0</v>
      </c>
      <c r="DN271" s="2" t="s">
        <v>317</v>
      </c>
      <c r="DO271" s="2" t="s">
        <v>3</v>
      </c>
      <c r="DP271" s="2">
        <f t="shared" si="4369"/>
        <v>0</v>
      </c>
      <c r="DQ271" s="2">
        <f t="shared" ref="DQ271:DR271" si="4568">K271*$I271+AF271*$AD271+BA271*$AY271</f>
        <v>0</v>
      </c>
      <c r="DR271" s="2">
        <f t="shared" si="4568"/>
        <v>0</v>
      </c>
      <c r="DS271" s="2">
        <f t="shared" ref="DS271:DX271" si="4569">(M271*$I271+AH271*$AD271+BC271*$AY271)/100</f>
        <v>0</v>
      </c>
      <c r="DT271" s="2">
        <f t="shared" si="4569"/>
        <v>0</v>
      </c>
      <c r="DU271" s="2">
        <f t="shared" si="4569"/>
        <v>0</v>
      </c>
      <c r="DV271" s="2">
        <f t="shared" si="4569"/>
        <v>0</v>
      </c>
      <c r="DW271" s="2">
        <f t="shared" si="4569"/>
        <v>0.49160800000000004</v>
      </c>
      <c r="DX271" s="2">
        <f t="shared" si="4569"/>
        <v>0</v>
      </c>
      <c r="DY271" s="2">
        <f t="shared" ref="DY271:EC271" si="4570">S271*$I271+AN271*$AD271+BI271*$AY271</f>
        <v>0</v>
      </c>
      <c r="DZ271" s="2">
        <f t="shared" si="4570"/>
        <v>0</v>
      </c>
      <c r="EA271" s="2">
        <f t="shared" si="4570"/>
        <v>0</v>
      </c>
      <c r="EB271" s="2">
        <f t="shared" si="4570"/>
        <v>0</v>
      </c>
      <c r="EC271" s="2">
        <f t="shared" si="4570"/>
        <v>0</v>
      </c>
      <c r="ED271" s="2">
        <f t="shared" ref="ED271:EE271" si="4571">(X271*$I271+AS271*$AD271+BN271*$AY271)/100</f>
        <v>0</v>
      </c>
      <c r="EE271" s="2">
        <f t="shared" si="4571"/>
        <v>0</v>
      </c>
      <c r="EF271" s="2"/>
      <c r="EG271" s="2">
        <f t="shared" si="4374"/>
        <v>0</v>
      </c>
      <c r="EH271" s="2">
        <f t="shared" si="4375"/>
        <v>0</v>
      </c>
      <c r="EI271" s="39">
        <f t="shared" si="4376"/>
        <v>0</v>
      </c>
      <c r="EJ271" s="39">
        <f t="shared" ref="EJ271:EK271" si="4572">EJ$1*DQ271/1000000</f>
        <v>0</v>
      </c>
      <c r="EK271" s="39">
        <f t="shared" si="4572"/>
        <v>0</v>
      </c>
      <c r="EL271" s="39">
        <f t="shared" ref="EL271:EQ271" si="4573">EL$1*DS271</f>
        <v>0</v>
      </c>
      <c r="EM271" s="39">
        <f t="shared" si="4573"/>
        <v>0</v>
      </c>
      <c r="EN271" s="39">
        <f t="shared" si="4573"/>
        <v>0</v>
      </c>
      <c r="EO271" s="39">
        <f t="shared" si="4573"/>
        <v>0</v>
      </c>
      <c r="EP271" s="39">
        <f t="shared" si="4573"/>
        <v>6446.9473120000002</v>
      </c>
      <c r="EQ271" s="39">
        <f t="shared" si="4573"/>
        <v>0</v>
      </c>
      <c r="ER271" s="39">
        <f t="shared" ref="ER271:EV271" si="4574">ER$1*DY271/1000000</f>
        <v>0</v>
      </c>
      <c r="ES271" s="39">
        <f t="shared" si="4574"/>
        <v>0</v>
      </c>
      <c r="ET271" s="39">
        <f t="shared" si="4574"/>
        <v>0</v>
      </c>
      <c r="EU271" s="39">
        <f t="shared" si="4574"/>
        <v>0</v>
      </c>
      <c r="EV271" s="39">
        <f t="shared" si="4574"/>
        <v>0</v>
      </c>
      <c r="EW271" s="39">
        <f t="shared" ref="EW271:EX271" si="4575">EW$1*ED271</f>
        <v>0</v>
      </c>
      <c r="EX271" s="39">
        <f t="shared" si="4575"/>
        <v>0</v>
      </c>
      <c r="EY271" s="2"/>
      <c r="EZ271" s="39">
        <f t="shared" si="4381"/>
        <v>0</v>
      </c>
      <c r="FA271" s="39">
        <f t="shared" si="4382"/>
        <v>0</v>
      </c>
      <c r="FB271" s="2">
        <f t="shared" si="4383"/>
        <v>0</v>
      </c>
      <c r="FC271" s="2">
        <f t="shared" ref="FC271:FD271" si="4576">BV271*$BT271+CQ271*$CO271</f>
        <v>0</v>
      </c>
      <c r="FD271" s="2">
        <f t="shared" si="4576"/>
        <v>0</v>
      </c>
      <c r="FE271" s="2">
        <f t="shared" ref="FE271:FJ271" si="4577">(BX271*$BT271+CS271*$CO271)/100</f>
        <v>0</v>
      </c>
      <c r="FF271" s="2">
        <f t="shared" si="4577"/>
        <v>0</v>
      </c>
      <c r="FG271" s="2">
        <f t="shared" si="4577"/>
        <v>0</v>
      </c>
      <c r="FH271" s="2">
        <f t="shared" si="4577"/>
        <v>0</v>
      </c>
      <c r="FI271" s="2">
        <f t="shared" si="4577"/>
        <v>0</v>
      </c>
      <c r="FJ271" s="2">
        <f t="shared" si="4577"/>
        <v>0</v>
      </c>
      <c r="FK271" s="2">
        <f t="shared" ref="FK271:FO271" si="4578">CD271*$BT271+CY271*$CO271</f>
        <v>0</v>
      </c>
      <c r="FL271" s="2">
        <f t="shared" si="4578"/>
        <v>0</v>
      </c>
      <c r="FM271" s="2">
        <f t="shared" si="4578"/>
        <v>0</v>
      </c>
      <c r="FN271" s="2">
        <f t="shared" si="4578"/>
        <v>0</v>
      </c>
      <c r="FO271" s="2">
        <f t="shared" si="4578"/>
        <v>0</v>
      </c>
      <c r="FP271" s="2">
        <f t="shared" ref="FP271:FQ271" si="4579">(CI271*$BT271+DD271*$CO271)/100</f>
        <v>0</v>
      </c>
      <c r="FQ271" s="2">
        <f t="shared" si="4579"/>
        <v>0</v>
      </c>
      <c r="FR271" s="2"/>
      <c r="FS271" s="2">
        <f t="shared" si="4388"/>
        <v>0</v>
      </c>
      <c r="FT271" s="2">
        <f t="shared" si="4389"/>
        <v>0</v>
      </c>
      <c r="FU271" s="39">
        <f t="shared" si="4390"/>
        <v>0</v>
      </c>
      <c r="FV271" s="39">
        <f t="shared" ref="FV271:FW271" si="4580">FV$1*FC271/1000000</f>
        <v>0</v>
      </c>
      <c r="FW271" s="39">
        <f t="shared" si="4580"/>
        <v>0</v>
      </c>
      <c r="FX271" s="39">
        <f t="shared" ref="FX271:GC271" si="4581">FX$1*FE271</f>
        <v>0</v>
      </c>
      <c r="FY271" s="39">
        <f t="shared" si="4581"/>
        <v>0</v>
      </c>
      <c r="FZ271" s="39">
        <f t="shared" si="4581"/>
        <v>0</v>
      </c>
      <c r="GA271" s="39">
        <f t="shared" si="4581"/>
        <v>0</v>
      </c>
      <c r="GB271" s="39">
        <f t="shared" si="4581"/>
        <v>0</v>
      </c>
      <c r="GC271" s="39">
        <f t="shared" si="4581"/>
        <v>0</v>
      </c>
      <c r="GD271" s="39">
        <f t="shared" ref="GD271:GH271" si="4582">GD$1*FK271/1000000</f>
        <v>0</v>
      </c>
      <c r="GE271" s="39">
        <f t="shared" si="4582"/>
        <v>0</v>
      </c>
      <c r="GF271" s="39">
        <f t="shared" si="4582"/>
        <v>0</v>
      </c>
      <c r="GG271" s="39">
        <f t="shared" si="4582"/>
        <v>0</v>
      </c>
      <c r="GH271" s="39">
        <f t="shared" si="4582"/>
        <v>0</v>
      </c>
      <c r="GI271" s="39">
        <f t="shared" ref="GI271:GJ271" si="4583">GI$1*FP271</f>
        <v>0</v>
      </c>
      <c r="GJ271" s="39">
        <f t="shared" si="4583"/>
        <v>0</v>
      </c>
      <c r="GK271" s="2"/>
      <c r="GL271" s="39">
        <f t="shared" si="4395"/>
        <v>0</v>
      </c>
      <c r="GM271" s="39">
        <f t="shared" si="4396"/>
        <v>0</v>
      </c>
      <c r="GN271" s="2" t="s">
        <v>3</v>
      </c>
      <c r="GO271" s="2">
        <f t="shared" si="4397"/>
        <v>42.38</v>
      </c>
      <c r="GP271" s="4">
        <f t="shared" si="4398"/>
        <v>1.1599999999999999</v>
      </c>
      <c r="GQ271" s="15">
        <f t="shared" si="4399"/>
        <v>491.60799999999995</v>
      </c>
      <c r="GR271" s="15">
        <f t="shared" si="4400"/>
        <v>6446.9473120000002</v>
      </c>
      <c r="GS271" s="15">
        <f t="shared" si="4401"/>
        <v>152.1224</v>
      </c>
      <c r="GT271" s="2">
        <f t="shared" si="4402"/>
        <v>0</v>
      </c>
      <c r="GU271" s="2">
        <f t="shared" si="4403"/>
        <v>0</v>
      </c>
      <c r="GV271" s="2">
        <f t="shared" si="4404"/>
        <v>491.608</v>
      </c>
      <c r="GW271" s="2">
        <f t="shared" si="4405"/>
        <v>0</v>
      </c>
      <c r="GX271" s="2"/>
      <c r="GY271" s="2"/>
      <c r="GZ271" s="2"/>
      <c r="HA271" s="2"/>
      <c r="HB271" s="2">
        <f t="shared" si="4406"/>
        <v>0</v>
      </c>
      <c r="HC271" s="2">
        <f t="shared" si="4407"/>
        <v>0</v>
      </c>
      <c r="HD271" s="2" t="s">
        <v>3</v>
      </c>
      <c r="HE271" s="2" t="s">
        <v>37</v>
      </c>
      <c r="HF271" s="2" t="s">
        <v>151</v>
      </c>
      <c r="HG271" s="2" t="s">
        <v>151</v>
      </c>
      <c r="HH271" s="2"/>
      <c r="HI271" s="2" t="s">
        <v>100</v>
      </c>
      <c r="HJ271" s="2" t="s">
        <v>3</v>
      </c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  <c r="JA271" s="2"/>
      <c r="JB271" s="2"/>
      <c r="JC271" s="2"/>
      <c r="JD271" s="2"/>
      <c r="JE271" s="2"/>
      <c r="JF271" s="2"/>
      <c r="JG271" s="2"/>
      <c r="JH271" s="2" t="s">
        <v>3</v>
      </c>
    </row>
    <row r="272" spans="1:268" ht="15.75" customHeight="1" x14ac:dyDescent="0.2">
      <c r="A272" s="13" t="s">
        <v>712</v>
      </c>
      <c r="B272" s="2" t="s">
        <v>99</v>
      </c>
      <c r="C272" s="29">
        <f>-7-30/60</f>
        <v>-7.5</v>
      </c>
      <c r="D272" s="29">
        <f>146+45/60</f>
        <v>146.75</v>
      </c>
      <c r="E272" s="2" t="s">
        <v>78</v>
      </c>
      <c r="F272" s="2" t="s">
        <v>713</v>
      </c>
      <c r="G272" s="2"/>
      <c r="H272" s="2" t="s">
        <v>242</v>
      </c>
      <c r="I272" s="2">
        <v>0</v>
      </c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>
        <v>0</v>
      </c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>
        <v>70</v>
      </c>
      <c r="AZ272" s="2"/>
      <c r="BA272" s="2"/>
      <c r="BB272" s="2"/>
      <c r="BC272" s="2"/>
      <c r="BD272" s="2"/>
      <c r="BE272" s="2"/>
      <c r="BF272" s="2"/>
      <c r="BG272" s="2">
        <v>0.68</v>
      </c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>
        <v>0</v>
      </c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>
        <v>0</v>
      </c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 t="s">
        <v>100</v>
      </c>
      <c r="DK272" s="2"/>
      <c r="DL272" s="2">
        <f t="shared" si="4367"/>
        <v>0.68</v>
      </c>
      <c r="DM272" s="2">
        <f t="shared" si="4368"/>
        <v>0</v>
      </c>
      <c r="DN272" s="2" t="s">
        <v>320</v>
      </c>
      <c r="DO272" s="2" t="s">
        <v>3</v>
      </c>
      <c r="DP272" s="2">
        <f t="shared" si="4369"/>
        <v>0</v>
      </c>
      <c r="DQ272" s="2">
        <f t="shared" ref="DQ272:DR272" si="4584">K272*$I272+AF272*$AD272+BA272*$AY272</f>
        <v>0</v>
      </c>
      <c r="DR272" s="2">
        <f t="shared" si="4584"/>
        <v>0</v>
      </c>
      <c r="DS272" s="2">
        <f t="shared" ref="DS272:DX272" si="4585">(M272*$I272+AH272*$AD272+BC272*$AY272)/100</f>
        <v>0</v>
      </c>
      <c r="DT272" s="2">
        <f t="shared" si="4585"/>
        <v>0</v>
      </c>
      <c r="DU272" s="2">
        <f t="shared" si="4585"/>
        <v>0</v>
      </c>
      <c r="DV272" s="2">
        <f t="shared" si="4585"/>
        <v>0</v>
      </c>
      <c r="DW272" s="2">
        <f t="shared" si="4585"/>
        <v>0.47600000000000003</v>
      </c>
      <c r="DX272" s="2">
        <f t="shared" si="4585"/>
        <v>0</v>
      </c>
      <c r="DY272" s="2">
        <f t="shared" ref="DY272:EC272" si="4586">S272*$I272+AN272*$AD272+BI272*$AY272</f>
        <v>0</v>
      </c>
      <c r="DZ272" s="2">
        <f t="shared" si="4586"/>
        <v>0</v>
      </c>
      <c r="EA272" s="2">
        <f t="shared" si="4586"/>
        <v>0</v>
      </c>
      <c r="EB272" s="2">
        <f t="shared" si="4586"/>
        <v>0</v>
      </c>
      <c r="EC272" s="2">
        <f t="shared" si="4586"/>
        <v>0</v>
      </c>
      <c r="ED272" s="2">
        <f t="shared" ref="ED272:EE272" si="4587">(X272*$I272+AS272*$AD272+BN272*$AY272)/100</f>
        <v>0</v>
      </c>
      <c r="EE272" s="2">
        <f t="shared" si="4587"/>
        <v>0</v>
      </c>
      <c r="EF272" s="2"/>
      <c r="EG272" s="2">
        <f t="shared" si="4374"/>
        <v>0</v>
      </c>
      <c r="EH272" s="2">
        <f t="shared" si="4375"/>
        <v>0</v>
      </c>
      <c r="EI272" s="39">
        <f t="shared" si="4376"/>
        <v>0</v>
      </c>
      <c r="EJ272" s="39">
        <f t="shared" ref="EJ272:EK272" si="4588">EJ$1*DQ272/1000000</f>
        <v>0</v>
      </c>
      <c r="EK272" s="39">
        <f t="shared" si="4588"/>
        <v>0</v>
      </c>
      <c r="EL272" s="39">
        <f t="shared" ref="EL272:EQ272" si="4589">EL$1*DS272</f>
        <v>0</v>
      </c>
      <c r="EM272" s="39">
        <f t="shared" si="4589"/>
        <v>0</v>
      </c>
      <c r="EN272" s="39">
        <f t="shared" si="4589"/>
        <v>0</v>
      </c>
      <c r="EO272" s="39">
        <f t="shared" si="4589"/>
        <v>0</v>
      </c>
      <c r="EP272" s="39">
        <f t="shared" si="4589"/>
        <v>6242.2640000000001</v>
      </c>
      <c r="EQ272" s="39">
        <f t="shared" si="4589"/>
        <v>0</v>
      </c>
      <c r="ER272" s="39">
        <f t="shared" ref="ER272:EV272" si="4590">ER$1*DY272/1000000</f>
        <v>0</v>
      </c>
      <c r="ES272" s="39">
        <f t="shared" si="4590"/>
        <v>0</v>
      </c>
      <c r="ET272" s="39">
        <f t="shared" si="4590"/>
        <v>0</v>
      </c>
      <c r="EU272" s="39">
        <f t="shared" si="4590"/>
        <v>0</v>
      </c>
      <c r="EV272" s="39">
        <f t="shared" si="4590"/>
        <v>0</v>
      </c>
      <c r="EW272" s="39">
        <f t="shared" ref="EW272:EX272" si="4591">EW$1*ED272</f>
        <v>0</v>
      </c>
      <c r="EX272" s="39">
        <f t="shared" si="4591"/>
        <v>0</v>
      </c>
      <c r="EY272" s="2"/>
      <c r="EZ272" s="39">
        <f t="shared" si="4381"/>
        <v>0</v>
      </c>
      <c r="FA272" s="39">
        <f t="shared" si="4382"/>
        <v>0</v>
      </c>
      <c r="FB272" s="2">
        <f t="shared" si="4383"/>
        <v>0</v>
      </c>
      <c r="FC272" s="2">
        <f t="shared" ref="FC272:FD272" si="4592">BV272*$BT272+CQ272*$CO272</f>
        <v>0</v>
      </c>
      <c r="FD272" s="2">
        <f t="shared" si="4592"/>
        <v>0</v>
      </c>
      <c r="FE272" s="2">
        <f t="shared" ref="FE272:FJ272" si="4593">(BX272*$BT272+CS272*$CO272)/100</f>
        <v>0</v>
      </c>
      <c r="FF272" s="2">
        <f t="shared" si="4593"/>
        <v>0</v>
      </c>
      <c r="FG272" s="2">
        <f t="shared" si="4593"/>
        <v>0</v>
      </c>
      <c r="FH272" s="2">
        <f t="shared" si="4593"/>
        <v>0</v>
      </c>
      <c r="FI272" s="2">
        <f t="shared" si="4593"/>
        <v>0</v>
      </c>
      <c r="FJ272" s="2">
        <f t="shared" si="4593"/>
        <v>0</v>
      </c>
      <c r="FK272" s="2">
        <f t="shared" ref="FK272:FO272" si="4594">CD272*$BT272+CY272*$CO272</f>
        <v>0</v>
      </c>
      <c r="FL272" s="2">
        <f t="shared" si="4594"/>
        <v>0</v>
      </c>
      <c r="FM272" s="2">
        <f t="shared" si="4594"/>
        <v>0</v>
      </c>
      <c r="FN272" s="2">
        <f t="shared" si="4594"/>
        <v>0</v>
      </c>
      <c r="FO272" s="2">
        <f t="shared" si="4594"/>
        <v>0</v>
      </c>
      <c r="FP272" s="2">
        <f t="shared" ref="FP272:FQ272" si="4595">(CI272*$BT272+DD272*$CO272)/100</f>
        <v>0</v>
      </c>
      <c r="FQ272" s="2">
        <f t="shared" si="4595"/>
        <v>0</v>
      </c>
      <c r="FR272" s="2"/>
      <c r="FS272" s="2">
        <f t="shared" si="4388"/>
        <v>0</v>
      </c>
      <c r="FT272" s="2">
        <f t="shared" si="4389"/>
        <v>0</v>
      </c>
      <c r="FU272" s="39">
        <f t="shared" si="4390"/>
        <v>0</v>
      </c>
      <c r="FV272" s="39">
        <f t="shared" ref="FV272:FW272" si="4596">FV$1*FC272/1000000</f>
        <v>0</v>
      </c>
      <c r="FW272" s="39">
        <f t="shared" si="4596"/>
        <v>0</v>
      </c>
      <c r="FX272" s="39">
        <f t="shared" ref="FX272:GC272" si="4597">FX$1*FE272</f>
        <v>0</v>
      </c>
      <c r="FY272" s="39">
        <f t="shared" si="4597"/>
        <v>0</v>
      </c>
      <c r="FZ272" s="39">
        <f t="shared" si="4597"/>
        <v>0</v>
      </c>
      <c r="GA272" s="39">
        <f t="shared" si="4597"/>
        <v>0</v>
      </c>
      <c r="GB272" s="39">
        <f t="shared" si="4597"/>
        <v>0</v>
      </c>
      <c r="GC272" s="39">
        <f t="shared" si="4597"/>
        <v>0</v>
      </c>
      <c r="GD272" s="39">
        <f t="shared" ref="GD272:GH272" si="4598">GD$1*FK272/1000000</f>
        <v>0</v>
      </c>
      <c r="GE272" s="39">
        <f t="shared" si="4598"/>
        <v>0</v>
      </c>
      <c r="GF272" s="39">
        <f t="shared" si="4598"/>
        <v>0</v>
      </c>
      <c r="GG272" s="39">
        <f t="shared" si="4598"/>
        <v>0</v>
      </c>
      <c r="GH272" s="39">
        <f t="shared" si="4598"/>
        <v>0</v>
      </c>
      <c r="GI272" s="39">
        <f t="shared" ref="GI272:GJ272" si="4599">GI$1*FP272</f>
        <v>0</v>
      </c>
      <c r="GJ272" s="39">
        <f t="shared" si="4599"/>
        <v>0</v>
      </c>
      <c r="GK272" s="2"/>
      <c r="GL272" s="39">
        <f t="shared" si="4395"/>
        <v>0</v>
      </c>
      <c r="GM272" s="39">
        <f t="shared" si="4396"/>
        <v>0</v>
      </c>
      <c r="GN272" s="2" t="s">
        <v>3</v>
      </c>
      <c r="GO272" s="2">
        <f t="shared" si="4397"/>
        <v>70</v>
      </c>
      <c r="GP272" s="2">
        <f t="shared" si="4398"/>
        <v>0.68</v>
      </c>
      <c r="GQ272" s="15">
        <f t="shared" si="4399"/>
        <v>476</v>
      </c>
      <c r="GR272" s="15">
        <f t="shared" si="4400"/>
        <v>6242.2640000000001</v>
      </c>
      <c r="GS272" s="15">
        <f t="shared" si="4401"/>
        <v>89.175200000000004</v>
      </c>
      <c r="GT272" s="2">
        <f t="shared" si="4402"/>
        <v>0</v>
      </c>
      <c r="GU272" s="2">
        <f t="shared" si="4403"/>
        <v>0</v>
      </c>
      <c r="GV272" s="2">
        <f t="shared" si="4404"/>
        <v>476</v>
      </c>
      <c r="GW272" s="2">
        <f t="shared" si="4405"/>
        <v>0</v>
      </c>
      <c r="GX272" s="2"/>
      <c r="GY272" s="2"/>
      <c r="GZ272" s="2"/>
      <c r="HA272" s="2"/>
      <c r="HB272" s="2">
        <f t="shared" si="4406"/>
        <v>0</v>
      </c>
      <c r="HC272" s="2">
        <f t="shared" si="4407"/>
        <v>0</v>
      </c>
      <c r="HD272" s="2" t="s">
        <v>3</v>
      </c>
      <c r="HE272" s="2" t="s">
        <v>37</v>
      </c>
      <c r="HF272" s="2" t="s">
        <v>235</v>
      </c>
      <c r="HG272" s="2" t="s">
        <v>235</v>
      </c>
      <c r="HH272" s="2"/>
      <c r="HI272" s="2" t="s">
        <v>100</v>
      </c>
      <c r="HJ272" s="2" t="s">
        <v>3</v>
      </c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  <c r="JE272" s="2"/>
      <c r="JF272" s="2"/>
      <c r="JG272" s="2"/>
      <c r="JH272" s="2" t="s">
        <v>3</v>
      </c>
    </row>
    <row r="273" spans="1:268" ht="15.75" customHeight="1" x14ac:dyDescent="0.2">
      <c r="A273" s="13" t="s">
        <v>470</v>
      </c>
      <c r="B273" s="2" t="s">
        <v>99</v>
      </c>
      <c r="C273" s="29">
        <f>-4-40/60</f>
        <v>-4.666666666666667</v>
      </c>
      <c r="D273" s="29">
        <f>141+56/60</f>
        <v>141.93333333333334</v>
      </c>
      <c r="E273" s="2" t="s">
        <v>78</v>
      </c>
      <c r="F273" s="2" t="s">
        <v>471</v>
      </c>
      <c r="G273" s="2"/>
      <c r="H273" s="2" t="s">
        <v>292</v>
      </c>
      <c r="I273" s="2">
        <v>0</v>
      </c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>
        <v>0</v>
      </c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30">
        <f>0.21/(BG273/100)</f>
        <v>23.333333333333329</v>
      </c>
      <c r="AZ273" s="2"/>
      <c r="BA273" s="2"/>
      <c r="BB273" s="2"/>
      <c r="BC273" s="2"/>
      <c r="BD273" s="2"/>
      <c r="BE273" s="2"/>
      <c r="BF273" s="2"/>
      <c r="BG273" s="20">
        <v>0.9</v>
      </c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>
        <v>0</v>
      </c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>
        <v>0</v>
      </c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 t="s">
        <v>100</v>
      </c>
      <c r="DK273" s="2"/>
      <c r="DL273" s="2">
        <f t="shared" si="4367"/>
        <v>0.9</v>
      </c>
      <c r="DM273" s="2">
        <f t="shared" si="4368"/>
        <v>0</v>
      </c>
      <c r="DN273" s="2" t="s">
        <v>472</v>
      </c>
      <c r="DO273" s="2" t="s">
        <v>3</v>
      </c>
      <c r="DP273" s="2">
        <f t="shared" si="4369"/>
        <v>0</v>
      </c>
      <c r="DQ273" s="2">
        <f t="shared" ref="DQ273:DR273" si="4600">K273*$I273+AF273*$AD273+BA273*$AY273</f>
        <v>0</v>
      </c>
      <c r="DR273" s="2">
        <f t="shared" si="4600"/>
        <v>0</v>
      </c>
      <c r="DS273" s="2">
        <f t="shared" ref="DS273:DX273" si="4601">(M273*$I273+AH273*$AD273+BC273*$AY273)/100</f>
        <v>0</v>
      </c>
      <c r="DT273" s="2">
        <f t="shared" si="4601"/>
        <v>0</v>
      </c>
      <c r="DU273" s="2">
        <f t="shared" si="4601"/>
        <v>0</v>
      </c>
      <c r="DV273" s="2">
        <f t="shared" si="4601"/>
        <v>0</v>
      </c>
      <c r="DW273" s="2">
        <f t="shared" si="4601"/>
        <v>0.20999999999999996</v>
      </c>
      <c r="DX273" s="2">
        <f t="shared" si="4601"/>
        <v>0</v>
      </c>
      <c r="DY273" s="2">
        <f t="shared" ref="DY273:EC273" si="4602">S273*$I273+AN273*$AD273+BI273*$AY273</f>
        <v>0</v>
      </c>
      <c r="DZ273" s="2">
        <f t="shared" si="4602"/>
        <v>0</v>
      </c>
      <c r="EA273" s="2">
        <f t="shared" si="4602"/>
        <v>0</v>
      </c>
      <c r="EB273" s="2">
        <f t="shared" si="4602"/>
        <v>0</v>
      </c>
      <c r="EC273" s="2">
        <f t="shared" si="4602"/>
        <v>0</v>
      </c>
      <c r="ED273" s="2">
        <f t="shared" ref="ED273:EE273" si="4603">(X273*$I273+AS273*$AD273+BN273*$AY273)/100</f>
        <v>0</v>
      </c>
      <c r="EE273" s="2">
        <f t="shared" si="4603"/>
        <v>0</v>
      </c>
      <c r="EF273" s="2"/>
      <c r="EG273" s="2">
        <f t="shared" si="4374"/>
        <v>0</v>
      </c>
      <c r="EH273" s="2">
        <f t="shared" si="4375"/>
        <v>0</v>
      </c>
      <c r="EI273" s="39">
        <f t="shared" si="4376"/>
        <v>0</v>
      </c>
      <c r="EJ273" s="39">
        <f t="shared" ref="EJ273:EK273" si="4604">EJ$1*DQ273/1000000</f>
        <v>0</v>
      </c>
      <c r="EK273" s="39">
        <f t="shared" si="4604"/>
        <v>0</v>
      </c>
      <c r="EL273" s="39">
        <f t="shared" ref="EL273:EQ273" si="4605">EL$1*DS273</f>
        <v>0</v>
      </c>
      <c r="EM273" s="39">
        <f t="shared" si="4605"/>
        <v>0</v>
      </c>
      <c r="EN273" s="39">
        <f t="shared" si="4605"/>
        <v>0</v>
      </c>
      <c r="EO273" s="39">
        <f t="shared" si="4605"/>
        <v>0</v>
      </c>
      <c r="EP273" s="39">
        <f t="shared" si="4605"/>
        <v>2753.9399999999996</v>
      </c>
      <c r="EQ273" s="39">
        <f t="shared" si="4605"/>
        <v>0</v>
      </c>
      <c r="ER273" s="39">
        <f t="shared" ref="ER273:EV273" si="4606">ER$1*DY273/1000000</f>
        <v>0</v>
      </c>
      <c r="ES273" s="39">
        <f t="shared" si="4606"/>
        <v>0</v>
      </c>
      <c r="ET273" s="39">
        <f t="shared" si="4606"/>
        <v>0</v>
      </c>
      <c r="EU273" s="39">
        <f t="shared" si="4606"/>
        <v>0</v>
      </c>
      <c r="EV273" s="39">
        <f t="shared" si="4606"/>
        <v>0</v>
      </c>
      <c r="EW273" s="39">
        <f t="shared" ref="EW273:EX273" si="4607">EW$1*ED273</f>
        <v>0</v>
      </c>
      <c r="EX273" s="39">
        <f t="shared" si="4607"/>
        <v>0</v>
      </c>
      <c r="EY273" s="2"/>
      <c r="EZ273" s="39">
        <f t="shared" si="4381"/>
        <v>0</v>
      </c>
      <c r="FA273" s="39">
        <f t="shared" si="4382"/>
        <v>0</v>
      </c>
      <c r="FB273" s="2">
        <f t="shared" si="4383"/>
        <v>0</v>
      </c>
      <c r="FC273" s="2">
        <f t="shared" ref="FC273:FD273" si="4608">BV273*$BT273+CQ273*$CO273</f>
        <v>0</v>
      </c>
      <c r="FD273" s="2">
        <f t="shared" si="4608"/>
        <v>0</v>
      </c>
      <c r="FE273" s="2">
        <f t="shared" ref="FE273:FJ273" si="4609">(BX273*$BT273+CS273*$CO273)/100</f>
        <v>0</v>
      </c>
      <c r="FF273" s="2">
        <f t="shared" si="4609"/>
        <v>0</v>
      </c>
      <c r="FG273" s="2">
        <f t="shared" si="4609"/>
        <v>0</v>
      </c>
      <c r="FH273" s="2">
        <f t="shared" si="4609"/>
        <v>0</v>
      </c>
      <c r="FI273" s="2">
        <f t="shared" si="4609"/>
        <v>0</v>
      </c>
      <c r="FJ273" s="2">
        <f t="shared" si="4609"/>
        <v>0</v>
      </c>
      <c r="FK273" s="2">
        <f t="shared" ref="FK273:FO273" si="4610">CD273*$BT273+CY273*$CO273</f>
        <v>0</v>
      </c>
      <c r="FL273" s="2">
        <f t="shared" si="4610"/>
        <v>0</v>
      </c>
      <c r="FM273" s="2">
        <f t="shared" si="4610"/>
        <v>0</v>
      </c>
      <c r="FN273" s="2">
        <f t="shared" si="4610"/>
        <v>0</v>
      </c>
      <c r="FO273" s="2">
        <f t="shared" si="4610"/>
        <v>0</v>
      </c>
      <c r="FP273" s="2">
        <f t="shared" ref="FP273:FQ273" si="4611">(CI273*$BT273+DD273*$CO273)/100</f>
        <v>0</v>
      </c>
      <c r="FQ273" s="2">
        <f t="shared" si="4611"/>
        <v>0</v>
      </c>
      <c r="FR273" s="2"/>
      <c r="FS273" s="2">
        <f t="shared" si="4388"/>
        <v>0</v>
      </c>
      <c r="FT273" s="2">
        <f t="shared" si="4389"/>
        <v>0</v>
      </c>
      <c r="FU273" s="39">
        <f t="shared" si="4390"/>
        <v>0</v>
      </c>
      <c r="FV273" s="39">
        <f t="shared" ref="FV273:FW273" si="4612">FV$1*FC273/1000000</f>
        <v>0</v>
      </c>
      <c r="FW273" s="39">
        <f t="shared" si="4612"/>
        <v>0</v>
      </c>
      <c r="FX273" s="39">
        <f t="shared" ref="FX273:GC273" si="4613">FX$1*FE273</f>
        <v>0</v>
      </c>
      <c r="FY273" s="39">
        <f t="shared" si="4613"/>
        <v>0</v>
      </c>
      <c r="FZ273" s="39">
        <f t="shared" si="4613"/>
        <v>0</v>
      </c>
      <c r="GA273" s="39">
        <f t="shared" si="4613"/>
        <v>0</v>
      </c>
      <c r="GB273" s="39">
        <f t="shared" si="4613"/>
        <v>0</v>
      </c>
      <c r="GC273" s="39">
        <f t="shared" si="4613"/>
        <v>0</v>
      </c>
      <c r="GD273" s="39">
        <f t="shared" ref="GD273:GH273" si="4614">GD$1*FK273/1000000</f>
        <v>0</v>
      </c>
      <c r="GE273" s="39">
        <f t="shared" si="4614"/>
        <v>0</v>
      </c>
      <c r="GF273" s="39">
        <f t="shared" si="4614"/>
        <v>0</v>
      </c>
      <c r="GG273" s="39">
        <f t="shared" si="4614"/>
        <v>0</v>
      </c>
      <c r="GH273" s="39">
        <f t="shared" si="4614"/>
        <v>0</v>
      </c>
      <c r="GI273" s="39">
        <f t="shared" ref="GI273:GJ273" si="4615">GI$1*FP273</f>
        <v>0</v>
      </c>
      <c r="GJ273" s="39">
        <f t="shared" si="4615"/>
        <v>0</v>
      </c>
      <c r="GK273" s="2"/>
      <c r="GL273" s="39">
        <f t="shared" si="4395"/>
        <v>0</v>
      </c>
      <c r="GM273" s="39">
        <f t="shared" si="4396"/>
        <v>0</v>
      </c>
      <c r="GN273" s="2" t="s">
        <v>3</v>
      </c>
      <c r="GO273" s="15">
        <f t="shared" si="4397"/>
        <v>23.333333333333329</v>
      </c>
      <c r="GP273" s="2">
        <f t="shared" si="4398"/>
        <v>0.9</v>
      </c>
      <c r="GQ273" s="15">
        <f t="shared" si="4399"/>
        <v>209.99999999999997</v>
      </c>
      <c r="GR273" s="15">
        <f t="shared" si="4400"/>
        <v>2753.9399999999996</v>
      </c>
      <c r="GS273" s="15">
        <f t="shared" si="4401"/>
        <v>118.02600000000001</v>
      </c>
      <c r="GT273" s="2">
        <f t="shared" si="4402"/>
        <v>0</v>
      </c>
      <c r="GU273" s="2">
        <f t="shared" si="4403"/>
        <v>0</v>
      </c>
      <c r="GV273" s="2">
        <f t="shared" si="4404"/>
        <v>209.99999999999997</v>
      </c>
      <c r="GW273" s="2">
        <f t="shared" si="4405"/>
        <v>0</v>
      </c>
      <c r="GX273" s="2"/>
      <c r="GY273" s="2"/>
      <c r="GZ273" s="2"/>
      <c r="HA273" s="2"/>
      <c r="HB273" s="2">
        <f t="shared" si="4406"/>
        <v>0</v>
      </c>
      <c r="HC273" s="2">
        <f t="shared" si="4407"/>
        <v>0</v>
      </c>
      <c r="HD273" s="2" t="s">
        <v>3</v>
      </c>
      <c r="HE273" s="2" t="s">
        <v>37</v>
      </c>
      <c r="HF273" s="2" t="s">
        <v>235</v>
      </c>
      <c r="HG273" s="2" t="s">
        <v>235</v>
      </c>
      <c r="HH273" s="2"/>
      <c r="HI273" s="2" t="s">
        <v>100</v>
      </c>
      <c r="HJ273" s="2" t="s">
        <v>3</v>
      </c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  <c r="JA273" s="2"/>
      <c r="JB273" s="2"/>
      <c r="JC273" s="2"/>
      <c r="JD273" s="2"/>
      <c r="JE273" s="2"/>
      <c r="JF273" s="2"/>
      <c r="JG273" s="2"/>
      <c r="JH273" s="2" t="s">
        <v>3</v>
      </c>
    </row>
    <row r="274" spans="1:268" ht="15.75" customHeight="1" x14ac:dyDescent="0.2">
      <c r="A274" s="13" t="s">
        <v>668</v>
      </c>
      <c r="B274" s="2" t="s">
        <v>99</v>
      </c>
      <c r="C274" s="29">
        <f>-7-57/60</f>
        <v>-7.95</v>
      </c>
      <c r="D274" s="29">
        <f>147+15/60</f>
        <v>147.25</v>
      </c>
      <c r="E274" s="2" t="s">
        <v>78</v>
      </c>
      <c r="F274" s="2" t="s">
        <v>79</v>
      </c>
      <c r="G274" s="2"/>
      <c r="H274" s="2" t="s">
        <v>292</v>
      </c>
      <c r="I274" s="2">
        <v>0</v>
      </c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>
        <v>0</v>
      </c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4">
        <f>(1.112+12)*1.016</f>
        <v>13.321792</v>
      </c>
      <c r="AZ274" s="2"/>
      <c r="BA274" s="2"/>
      <c r="BB274" s="2"/>
      <c r="BC274" s="2"/>
      <c r="BD274" s="2"/>
      <c r="BE274" s="2"/>
      <c r="BF274" s="2"/>
      <c r="BG274" s="4">
        <f>(0.86*1.112+0.7*12)/(1.112+12)</f>
        <v>0.71356924954240375</v>
      </c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>
        <v>0</v>
      </c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>
        <v>0</v>
      </c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 t="s">
        <v>100</v>
      </c>
      <c r="DK274" s="2"/>
      <c r="DL274" s="2">
        <f t="shared" si="4367"/>
        <v>0.71356924954240375</v>
      </c>
      <c r="DM274" s="2">
        <f t="shared" si="4368"/>
        <v>0</v>
      </c>
      <c r="DN274" s="2" t="s">
        <v>669</v>
      </c>
      <c r="DO274" s="2" t="s">
        <v>3</v>
      </c>
      <c r="DP274" s="2">
        <f t="shared" si="4369"/>
        <v>0</v>
      </c>
      <c r="DQ274" s="2">
        <f t="shared" ref="DQ274:DR274" si="4616">K274*$I274+AF274*$AD274+BA274*$AY274</f>
        <v>0</v>
      </c>
      <c r="DR274" s="2">
        <f t="shared" si="4616"/>
        <v>0</v>
      </c>
      <c r="DS274" s="2">
        <f t="shared" ref="DS274:DX274" si="4617">(M274*$I274+AH274*$AD274+BC274*$AY274)/100</f>
        <v>0</v>
      </c>
      <c r="DT274" s="2">
        <f t="shared" si="4617"/>
        <v>0</v>
      </c>
      <c r="DU274" s="2">
        <f t="shared" si="4617"/>
        <v>0</v>
      </c>
      <c r="DV274" s="2">
        <f t="shared" si="4617"/>
        <v>0</v>
      </c>
      <c r="DW274" s="2">
        <f t="shared" si="4617"/>
        <v>9.506021119999998E-2</v>
      </c>
      <c r="DX274" s="2">
        <f t="shared" si="4617"/>
        <v>0</v>
      </c>
      <c r="DY274" s="2">
        <f t="shared" ref="DY274:EC274" si="4618">S274*$I274+AN274*$AD274+BI274*$AY274</f>
        <v>0</v>
      </c>
      <c r="DZ274" s="2">
        <f t="shared" si="4618"/>
        <v>0</v>
      </c>
      <c r="EA274" s="2">
        <f t="shared" si="4618"/>
        <v>0</v>
      </c>
      <c r="EB274" s="2">
        <f t="shared" si="4618"/>
        <v>0</v>
      </c>
      <c r="EC274" s="2">
        <f t="shared" si="4618"/>
        <v>0</v>
      </c>
      <c r="ED274" s="2">
        <f t="shared" ref="ED274:EE274" si="4619">(X274*$I274+AS274*$AD274+BN274*$AY274)/100</f>
        <v>0</v>
      </c>
      <c r="EE274" s="2">
        <f t="shared" si="4619"/>
        <v>0</v>
      </c>
      <c r="EF274" s="2"/>
      <c r="EG274" s="2">
        <f t="shared" si="4374"/>
        <v>0</v>
      </c>
      <c r="EH274" s="2">
        <f t="shared" si="4375"/>
        <v>0</v>
      </c>
      <c r="EI274" s="39">
        <f t="shared" si="4376"/>
        <v>0</v>
      </c>
      <c r="EJ274" s="39">
        <f t="shared" ref="EJ274:EK274" si="4620">EJ$1*DQ274/1000000</f>
        <v>0</v>
      </c>
      <c r="EK274" s="39">
        <f t="shared" si="4620"/>
        <v>0</v>
      </c>
      <c r="EL274" s="39">
        <f t="shared" ref="EL274:EQ274" si="4621">EL$1*DS274</f>
        <v>0</v>
      </c>
      <c r="EM274" s="39">
        <f t="shared" si="4621"/>
        <v>0</v>
      </c>
      <c r="EN274" s="39">
        <f t="shared" si="4621"/>
        <v>0</v>
      </c>
      <c r="EO274" s="39">
        <f t="shared" si="4621"/>
        <v>0</v>
      </c>
      <c r="EP274" s="39">
        <f t="shared" si="4621"/>
        <v>1246.6196096767997</v>
      </c>
      <c r="EQ274" s="39">
        <f t="shared" si="4621"/>
        <v>0</v>
      </c>
      <c r="ER274" s="39">
        <f t="shared" ref="ER274:EV274" si="4622">ER$1*DY274/1000000</f>
        <v>0</v>
      </c>
      <c r="ES274" s="39">
        <f t="shared" si="4622"/>
        <v>0</v>
      </c>
      <c r="ET274" s="39">
        <f t="shared" si="4622"/>
        <v>0</v>
      </c>
      <c r="EU274" s="39">
        <f t="shared" si="4622"/>
        <v>0</v>
      </c>
      <c r="EV274" s="39">
        <f t="shared" si="4622"/>
        <v>0</v>
      </c>
      <c r="EW274" s="39">
        <f t="shared" ref="EW274:EX274" si="4623">EW$1*ED274</f>
        <v>0</v>
      </c>
      <c r="EX274" s="39">
        <f t="shared" si="4623"/>
        <v>0</v>
      </c>
      <c r="EY274" s="2"/>
      <c r="EZ274" s="39">
        <f t="shared" si="4381"/>
        <v>0</v>
      </c>
      <c r="FA274" s="39">
        <f t="shared" si="4382"/>
        <v>0</v>
      </c>
      <c r="FB274" s="2">
        <f t="shared" si="4383"/>
        <v>0</v>
      </c>
      <c r="FC274" s="2">
        <f t="shared" ref="FC274:FD274" si="4624">BV274*$BT274+CQ274*$CO274</f>
        <v>0</v>
      </c>
      <c r="FD274" s="2">
        <f t="shared" si="4624"/>
        <v>0</v>
      </c>
      <c r="FE274" s="2">
        <f t="shared" ref="FE274:FJ274" si="4625">(BX274*$BT274+CS274*$CO274)/100</f>
        <v>0</v>
      </c>
      <c r="FF274" s="2">
        <f t="shared" si="4625"/>
        <v>0</v>
      </c>
      <c r="FG274" s="2">
        <f t="shared" si="4625"/>
        <v>0</v>
      </c>
      <c r="FH274" s="2">
        <f t="shared" si="4625"/>
        <v>0</v>
      </c>
      <c r="FI274" s="2">
        <f t="shared" si="4625"/>
        <v>0</v>
      </c>
      <c r="FJ274" s="2">
        <f t="shared" si="4625"/>
        <v>0</v>
      </c>
      <c r="FK274" s="2">
        <f t="shared" ref="FK274:FO274" si="4626">CD274*$BT274+CY274*$CO274</f>
        <v>0</v>
      </c>
      <c r="FL274" s="2">
        <f t="shared" si="4626"/>
        <v>0</v>
      </c>
      <c r="FM274" s="2">
        <f t="shared" si="4626"/>
        <v>0</v>
      </c>
      <c r="FN274" s="2">
        <f t="shared" si="4626"/>
        <v>0</v>
      </c>
      <c r="FO274" s="2">
        <f t="shared" si="4626"/>
        <v>0</v>
      </c>
      <c r="FP274" s="2">
        <f t="shared" ref="FP274:FQ274" si="4627">(CI274*$BT274+DD274*$CO274)/100</f>
        <v>0</v>
      </c>
      <c r="FQ274" s="2">
        <f t="shared" si="4627"/>
        <v>0</v>
      </c>
      <c r="FR274" s="2"/>
      <c r="FS274" s="2">
        <f t="shared" si="4388"/>
        <v>0</v>
      </c>
      <c r="FT274" s="2">
        <f t="shared" si="4389"/>
        <v>0</v>
      </c>
      <c r="FU274" s="39">
        <f t="shared" si="4390"/>
        <v>0</v>
      </c>
      <c r="FV274" s="39">
        <f t="shared" ref="FV274:FW274" si="4628">FV$1*FC274/1000000</f>
        <v>0</v>
      </c>
      <c r="FW274" s="39">
        <f t="shared" si="4628"/>
        <v>0</v>
      </c>
      <c r="FX274" s="39">
        <f t="shared" ref="FX274:GC274" si="4629">FX$1*FE274</f>
        <v>0</v>
      </c>
      <c r="FY274" s="39">
        <f t="shared" si="4629"/>
        <v>0</v>
      </c>
      <c r="FZ274" s="39">
        <f t="shared" si="4629"/>
        <v>0</v>
      </c>
      <c r="GA274" s="39">
        <f t="shared" si="4629"/>
        <v>0</v>
      </c>
      <c r="GB274" s="39">
        <f t="shared" si="4629"/>
        <v>0</v>
      </c>
      <c r="GC274" s="39">
        <f t="shared" si="4629"/>
        <v>0</v>
      </c>
      <c r="GD274" s="39">
        <f t="shared" ref="GD274:GH274" si="4630">GD$1*FK274/1000000</f>
        <v>0</v>
      </c>
      <c r="GE274" s="39">
        <f t="shared" si="4630"/>
        <v>0</v>
      </c>
      <c r="GF274" s="39">
        <f t="shared" si="4630"/>
        <v>0</v>
      </c>
      <c r="GG274" s="39">
        <f t="shared" si="4630"/>
        <v>0</v>
      </c>
      <c r="GH274" s="39">
        <f t="shared" si="4630"/>
        <v>0</v>
      </c>
      <c r="GI274" s="39">
        <f t="shared" ref="GI274:GJ274" si="4631">GI$1*FP274</f>
        <v>0</v>
      </c>
      <c r="GJ274" s="39">
        <f t="shared" si="4631"/>
        <v>0</v>
      </c>
      <c r="GK274" s="2"/>
      <c r="GL274" s="39">
        <f t="shared" si="4395"/>
        <v>0</v>
      </c>
      <c r="GM274" s="39">
        <f t="shared" si="4396"/>
        <v>0</v>
      </c>
      <c r="GN274" s="2" t="s">
        <v>3</v>
      </c>
      <c r="GO274" s="15">
        <f t="shared" si="4397"/>
        <v>13.321792</v>
      </c>
      <c r="GP274" s="4">
        <f t="shared" si="4398"/>
        <v>0.71356924954240375</v>
      </c>
      <c r="GQ274" s="15">
        <f t="shared" si="4399"/>
        <v>95.060211199999969</v>
      </c>
      <c r="GR274" s="15">
        <f t="shared" si="4400"/>
        <v>1246.6196096767997</v>
      </c>
      <c r="GS274" s="15">
        <f t="shared" si="4401"/>
        <v>93.577471384990815</v>
      </c>
      <c r="GT274" s="2">
        <f t="shared" si="4402"/>
        <v>0</v>
      </c>
      <c r="GU274" s="2">
        <f t="shared" si="4403"/>
        <v>0</v>
      </c>
      <c r="GV274" s="2">
        <f t="shared" si="4404"/>
        <v>95.060211199999969</v>
      </c>
      <c r="GW274" s="2">
        <f t="shared" si="4405"/>
        <v>0</v>
      </c>
      <c r="GX274" s="2"/>
      <c r="GY274" s="2"/>
      <c r="GZ274" s="2"/>
      <c r="HA274" s="2"/>
      <c r="HB274" s="2">
        <f t="shared" si="4406"/>
        <v>0</v>
      </c>
      <c r="HC274" s="2">
        <f t="shared" si="4407"/>
        <v>0</v>
      </c>
      <c r="HD274" s="2" t="s">
        <v>3</v>
      </c>
      <c r="HE274" s="2" t="s">
        <v>37</v>
      </c>
      <c r="HF274" s="2" t="s">
        <v>235</v>
      </c>
      <c r="HG274" s="2" t="s">
        <v>235</v>
      </c>
      <c r="HH274" s="2"/>
      <c r="HI274" s="2" t="s">
        <v>100</v>
      </c>
      <c r="HJ274" s="2" t="s">
        <v>3</v>
      </c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 t="s">
        <v>3</v>
      </c>
    </row>
    <row r="275" spans="1:268" ht="15.75" customHeight="1" x14ac:dyDescent="0.2">
      <c r="A275" s="13" t="s">
        <v>513</v>
      </c>
      <c r="B275" s="2" t="s">
        <v>99</v>
      </c>
      <c r="C275" s="2"/>
      <c r="D275" s="2"/>
      <c r="E275" s="2"/>
      <c r="F275" s="2" t="s">
        <v>79</v>
      </c>
      <c r="G275" s="2"/>
      <c r="H275" s="2"/>
      <c r="I275" s="2">
        <v>0</v>
      </c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>
        <v>0</v>
      </c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>
        <v>44.4</v>
      </c>
      <c r="AZ275" s="2"/>
      <c r="BA275" s="2"/>
      <c r="BB275" s="2"/>
      <c r="BC275" s="2"/>
      <c r="BD275" s="2"/>
      <c r="BE275" s="2"/>
      <c r="BF275" s="2"/>
      <c r="BG275" s="2" t="s">
        <v>514</v>
      </c>
      <c r="BH275" s="2">
        <v>0.08</v>
      </c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>
        <v>0</v>
      </c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>
        <v>0</v>
      </c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 t="s">
        <v>100</v>
      </c>
      <c r="DK275" s="2" t="s">
        <v>100</v>
      </c>
      <c r="DL275" s="2">
        <f t="shared" si="4367"/>
        <v>0.89</v>
      </c>
      <c r="DM275" s="2">
        <f t="shared" si="4368"/>
        <v>0.08</v>
      </c>
      <c r="DN275" s="2" t="s">
        <v>113</v>
      </c>
      <c r="DO275" s="2" t="s">
        <v>3</v>
      </c>
      <c r="DP275" s="2">
        <f t="shared" si="4369"/>
        <v>0</v>
      </c>
      <c r="DQ275" s="2">
        <f t="shared" ref="DQ275:DR275" si="4632">K275*$I275+AF275*$AD275+BA275*$AY275</f>
        <v>0</v>
      </c>
      <c r="DR275" s="2">
        <f t="shared" si="4632"/>
        <v>0</v>
      </c>
      <c r="DS275" s="2">
        <f t="shared" ref="DS275:DX275" si="4633">(M275*$I275+AH275*$AD275+BC275*$AY275)/100</f>
        <v>0</v>
      </c>
      <c r="DT275" s="2">
        <f t="shared" si="4633"/>
        <v>0</v>
      </c>
      <c r="DU275" s="2">
        <f t="shared" si="4633"/>
        <v>0</v>
      </c>
      <c r="DV275" s="2">
        <f t="shared" si="4633"/>
        <v>0</v>
      </c>
      <c r="DW275" s="2">
        <f t="shared" si="4633"/>
        <v>0.39515999999999996</v>
      </c>
      <c r="DX275" s="2">
        <f t="shared" si="4633"/>
        <v>3.5520000000000003E-2</v>
      </c>
      <c r="DY275" s="2">
        <f t="shared" ref="DY275:EC275" si="4634">S275*$I275+AN275*$AD275+BI275*$AY275</f>
        <v>0</v>
      </c>
      <c r="DZ275" s="2">
        <f t="shared" si="4634"/>
        <v>0</v>
      </c>
      <c r="EA275" s="2">
        <f t="shared" si="4634"/>
        <v>0</v>
      </c>
      <c r="EB275" s="2">
        <f t="shared" si="4634"/>
        <v>0</v>
      </c>
      <c r="EC275" s="2">
        <f t="shared" si="4634"/>
        <v>0</v>
      </c>
      <c r="ED275" s="2">
        <f t="shared" ref="ED275:EE275" si="4635">(X275*$I275+AS275*$AD275+BN275*$AY275)/100</f>
        <v>0</v>
      </c>
      <c r="EE275" s="2">
        <f t="shared" si="4635"/>
        <v>0</v>
      </c>
      <c r="EF275" s="2"/>
      <c r="EG275" s="2">
        <f t="shared" si="4374"/>
        <v>0</v>
      </c>
      <c r="EH275" s="2">
        <f t="shared" si="4375"/>
        <v>0</v>
      </c>
      <c r="EI275" s="39">
        <f t="shared" si="4376"/>
        <v>0</v>
      </c>
      <c r="EJ275" s="39">
        <f t="shared" ref="EJ275:EK275" si="4636">EJ$1*DQ275/1000000</f>
        <v>0</v>
      </c>
      <c r="EK275" s="39">
        <f t="shared" si="4636"/>
        <v>0</v>
      </c>
      <c r="EL275" s="39">
        <f t="shared" ref="EL275:EQ275" si="4637">EL$1*DS275</f>
        <v>0</v>
      </c>
      <c r="EM275" s="39">
        <f t="shared" si="4637"/>
        <v>0</v>
      </c>
      <c r="EN275" s="39">
        <f t="shared" si="4637"/>
        <v>0</v>
      </c>
      <c r="EO275" s="39">
        <f t="shared" si="4637"/>
        <v>0</v>
      </c>
      <c r="EP275" s="39">
        <f t="shared" si="4637"/>
        <v>5182.1282399999991</v>
      </c>
      <c r="EQ275" s="39">
        <f t="shared" si="4637"/>
        <v>2579.4454924799998</v>
      </c>
      <c r="ER275" s="39">
        <f t="shared" ref="ER275:EV275" si="4638">ER$1*DY275/1000000</f>
        <v>0</v>
      </c>
      <c r="ES275" s="39">
        <f t="shared" si="4638"/>
        <v>0</v>
      </c>
      <c r="ET275" s="39">
        <f t="shared" si="4638"/>
        <v>0</v>
      </c>
      <c r="EU275" s="39">
        <f t="shared" si="4638"/>
        <v>0</v>
      </c>
      <c r="EV275" s="39">
        <f t="shared" si="4638"/>
        <v>0</v>
      </c>
      <c r="EW275" s="39">
        <f t="shared" ref="EW275:EX275" si="4639">EW$1*ED275</f>
        <v>0</v>
      </c>
      <c r="EX275" s="39">
        <f t="shared" si="4639"/>
        <v>0</v>
      </c>
      <c r="EY275" s="2"/>
      <c r="EZ275" s="39">
        <f t="shared" si="4381"/>
        <v>0</v>
      </c>
      <c r="FA275" s="39">
        <f t="shared" si="4382"/>
        <v>0</v>
      </c>
      <c r="FB275" s="2">
        <f t="shared" si="4383"/>
        <v>0</v>
      </c>
      <c r="FC275" s="2">
        <f t="shared" ref="FC275:FD275" si="4640">BV275*$BT275+CQ275*$CO275</f>
        <v>0</v>
      </c>
      <c r="FD275" s="2">
        <f t="shared" si="4640"/>
        <v>0</v>
      </c>
      <c r="FE275" s="2">
        <f t="shared" ref="FE275:FJ275" si="4641">(BX275*$BT275+CS275*$CO275)/100</f>
        <v>0</v>
      </c>
      <c r="FF275" s="2">
        <f t="shared" si="4641"/>
        <v>0</v>
      </c>
      <c r="FG275" s="2">
        <f t="shared" si="4641"/>
        <v>0</v>
      </c>
      <c r="FH275" s="2">
        <f t="shared" si="4641"/>
        <v>0</v>
      </c>
      <c r="FI275" s="2">
        <f t="shared" si="4641"/>
        <v>0</v>
      </c>
      <c r="FJ275" s="2">
        <f t="shared" si="4641"/>
        <v>0</v>
      </c>
      <c r="FK275" s="2">
        <f t="shared" ref="FK275:FO275" si="4642">CD275*$BT275+CY275*$CO275</f>
        <v>0</v>
      </c>
      <c r="FL275" s="2">
        <f t="shared" si="4642"/>
        <v>0</v>
      </c>
      <c r="FM275" s="2">
        <f t="shared" si="4642"/>
        <v>0</v>
      </c>
      <c r="FN275" s="2">
        <f t="shared" si="4642"/>
        <v>0</v>
      </c>
      <c r="FO275" s="2">
        <f t="shared" si="4642"/>
        <v>0</v>
      </c>
      <c r="FP275" s="2">
        <f t="shared" ref="FP275:FQ275" si="4643">(CI275*$BT275+DD275*$CO275)/100</f>
        <v>0</v>
      </c>
      <c r="FQ275" s="2">
        <f t="shared" si="4643"/>
        <v>0</v>
      </c>
      <c r="FR275" s="2"/>
      <c r="FS275" s="2">
        <f t="shared" si="4388"/>
        <v>0</v>
      </c>
      <c r="FT275" s="2">
        <f t="shared" si="4389"/>
        <v>0</v>
      </c>
      <c r="FU275" s="39">
        <f t="shared" si="4390"/>
        <v>0</v>
      </c>
      <c r="FV275" s="39">
        <f t="shared" ref="FV275:FW275" si="4644">FV$1*FC275/1000000</f>
        <v>0</v>
      </c>
      <c r="FW275" s="39">
        <f t="shared" si="4644"/>
        <v>0</v>
      </c>
      <c r="FX275" s="39">
        <f t="shared" ref="FX275:GC275" si="4645">FX$1*FE275</f>
        <v>0</v>
      </c>
      <c r="FY275" s="39">
        <f t="shared" si="4645"/>
        <v>0</v>
      </c>
      <c r="FZ275" s="39">
        <f t="shared" si="4645"/>
        <v>0</v>
      </c>
      <c r="GA275" s="39">
        <f t="shared" si="4645"/>
        <v>0</v>
      </c>
      <c r="GB275" s="39">
        <f t="shared" si="4645"/>
        <v>0</v>
      </c>
      <c r="GC275" s="39">
        <f t="shared" si="4645"/>
        <v>0</v>
      </c>
      <c r="GD275" s="39">
        <f t="shared" ref="GD275:GH275" si="4646">GD$1*FK275/1000000</f>
        <v>0</v>
      </c>
      <c r="GE275" s="39">
        <f t="shared" si="4646"/>
        <v>0</v>
      </c>
      <c r="GF275" s="39">
        <f t="shared" si="4646"/>
        <v>0</v>
      </c>
      <c r="GG275" s="39">
        <f t="shared" si="4646"/>
        <v>0</v>
      </c>
      <c r="GH275" s="39">
        <f t="shared" si="4646"/>
        <v>0</v>
      </c>
      <c r="GI275" s="39">
        <f t="shared" ref="GI275:GJ275" si="4647">GI$1*FP275</f>
        <v>0</v>
      </c>
      <c r="GJ275" s="39">
        <f t="shared" si="4647"/>
        <v>0</v>
      </c>
      <c r="GK275" s="2"/>
      <c r="GL275" s="39">
        <f t="shared" si="4395"/>
        <v>0</v>
      </c>
      <c r="GM275" s="39">
        <f t="shared" si="4396"/>
        <v>0</v>
      </c>
      <c r="GN275" s="2" t="s">
        <v>3</v>
      </c>
      <c r="GO275" s="2">
        <f t="shared" si="4397"/>
        <v>44.4</v>
      </c>
      <c r="GP275" s="2">
        <f t="shared" si="4398"/>
        <v>0.89</v>
      </c>
      <c r="GQ275" s="15">
        <f t="shared" si="4399"/>
        <v>395.16</v>
      </c>
      <c r="GR275" s="15">
        <f t="shared" si="4400"/>
        <v>7761.5737324799993</v>
      </c>
      <c r="GS275" s="15">
        <f t="shared" si="4401"/>
        <v>174.81021919999998</v>
      </c>
      <c r="GT275" s="2">
        <f t="shared" si="4402"/>
        <v>0</v>
      </c>
      <c r="GU275" s="2">
        <f t="shared" si="4403"/>
        <v>0</v>
      </c>
      <c r="GV275" s="2">
        <f t="shared" si="4404"/>
        <v>395.16</v>
      </c>
      <c r="GW275" s="2">
        <f t="shared" si="4405"/>
        <v>0</v>
      </c>
      <c r="GX275" s="2"/>
      <c r="GY275" s="2"/>
      <c r="GZ275" s="2"/>
      <c r="HA275" s="2"/>
      <c r="HB275" s="2">
        <f t="shared" si="4406"/>
        <v>0</v>
      </c>
      <c r="HC275" s="2">
        <f t="shared" si="4407"/>
        <v>0</v>
      </c>
      <c r="HD275" s="2" t="s">
        <v>3</v>
      </c>
      <c r="HE275" s="2" t="s">
        <v>37</v>
      </c>
      <c r="HF275" s="2" t="s">
        <v>235</v>
      </c>
      <c r="HG275" s="2" t="s">
        <v>235</v>
      </c>
      <c r="HH275" s="2"/>
      <c r="HI275" s="2" t="s">
        <v>100</v>
      </c>
      <c r="HJ275" s="2" t="s">
        <v>3</v>
      </c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 t="s">
        <v>3</v>
      </c>
    </row>
    <row r="276" spans="1:268" ht="15.75" customHeight="1" x14ac:dyDescent="0.2">
      <c r="A276" s="13" t="s">
        <v>724</v>
      </c>
      <c r="B276" s="2" t="s">
        <v>99</v>
      </c>
      <c r="C276" s="2"/>
      <c r="D276" s="2"/>
      <c r="E276" s="2"/>
      <c r="F276" s="2" t="s">
        <v>79</v>
      </c>
      <c r="G276" s="2"/>
      <c r="H276" s="2"/>
      <c r="I276" s="2">
        <v>0</v>
      </c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>
        <v>0</v>
      </c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>
        <v>22.7</v>
      </c>
      <c r="AZ276" s="2"/>
      <c r="BA276" s="2"/>
      <c r="BB276" s="2"/>
      <c r="BC276" s="2"/>
      <c r="BD276" s="2"/>
      <c r="BE276" s="2"/>
      <c r="BF276" s="2"/>
      <c r="BG276" s="2" t="s">
        <v>725</v>
      </c>
      <c r="BH276" s="2">
        <v>0.12</v>
      </c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>
        <v>0</v>
      </c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>
        <v>0</v>
      </c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 t="s">
        <v>100</v>
      </c>
      <c r="DK276" s="2" t="s">
        <v>100</v>
      </c>
      <c r="DL276" s="2">
        <f t="shared" si="4367"/>
        <v>0.81</v>
      </c>
      <c r="DM276" s="2">
        <f t="shared" si="4368"/>
        <v>0.12</v>
      </c>
      <c r="DN276" s="2" t="s">
        <v>113</v>
      </c>
      <c r="DO276" s="2" t="s">
        <v>3</v>
      </c>
      <c r="DP276" s="2">
        <f t="shared" si="4369"/>
        <v>0</v>
      </c>
      <c r="DQ276" s="2">
        <f t="shared" ref="DQ276:DR276" si="4648">K276*$I276+AF276*$AD276+BA276*$AY276</f>
        <v>0</v>
      </c>
      <c r="DR276" s="2">
        <f t="shared" si="4648"/>
        <v>0</v>
      </c>
      <c r="DS276" s="2">
        <f t="shared" ref="DS276:DX276" si="4649">(M276*$I276+AH276*$AD276+BC276*$AY276)/100</f>
        <v>0</v>
      </c>
      <c r="DT276" s="2">
        <f t="shared" si="4649"/>
        <v>0</v>
      </c>
      <c r="DU276" s="2">
        <f t="shared" si="4649"/>
        <v>0</v>
      </c>
      <c r="DV276" s="2">
        <f t="shared" si="4649"/>
        <v>0</v>
      </c>
      <c r="DW276" s="2">
        <f t="shared" si="4649"/>
        <v>0.18387000000000001</v>
      </c>
      <c r="DX276" s="2">
        <f t="shared" si="4649"/>
        <v>2.7239999999999997E-2</v>
      </c>
      <c r="DY276" s="2">
        <f t="shared" ref="DY276:EC276" si="4650">S276*$I276+AN276*$AD276+BI276*$AY276</f>
        <v>0</v>
      </c>
      <c r="DZ276" s="2">
        <f t="shared" si="4650"/>
        <v>0</v>
      </c>
      <c r="EA276" s="2">
        <f t="shared" si="4650"/>
        <v>0</v>
      </c>
      <c r="EB276" s="2">
        <f t="shared" si="4650"/>
        <v>0</v>
      </c>
      <c r="EC276" s="2">
        <f t="shared" si="4650"/>
        <v>0</v>
      </c>
      <c r="ED276" s="2">
        <f t="shared" ref="ED276:EE276" si="4651">(X276*$I276+AS276*$AD276+BN276*$AY276)/100</f>
        <v>0</v>
      </c>
      <c r="EE276" s="2">
        <f t="shared" si="4651"/>
        <v>0</v>
      </c>
      <c r="EF276" s="2"/>
      <c r="EG276" s="2">
        <f t="shared" si="4374"/>
        <v>0</v>
      </c>
      <c r="EH276" s="2">
        <f t="shared" si="4375"/>
        <v>0</v>
      </c>
      <c r="EI276" s="39">
        <f t="shared" si="4376"/>
        <v>0</v>
      </c>
      <c r="EJ276" s="39">
        <f t="shared" ref="EJ276:EK276" si="4652">EJ$1*DQ276/1000000</f>
        <v>0</v>
      </c>
      <c r="EK276" s="39">
        <f t="shared" si="4652"/>
        <v>0</v>
      </c>
      <c r="EL276" s="39">
        <f t="shared" ref="EL276:EQ276" si="4653">EL$1*DS276</f>
        <v>0</v>
      </c>
      <c r="EM276" s="39">
        <f t="shared" si="4653"/>
        <v>0</v>
      </c>
      <c r="EN276" s="39">
        <f t="shared" si="4653"/>
        <v>0</v>
      </c>
      <c r="EO276" s="39">
        <f t="shared" si="4653"/>
        <v>0</v>
      </c>
      <c r="EP276" s="39">
        <f t="shared" si="4653"/>
        <v>2411.2711800000002</v>
      </c>
      <c r="EQ276" s="39">
        <f t="shared" si="4653"/>
        <v>1978.1558337599995</v>
      </c>
      <c r="ER276" s="39">
        <f t="shared" ref="ER276:EV276" si="4654">ER$1*DY276/1000000</f>
        <v>0</v>
      </c>
      <c r="ES276" s="39">
        <f t="shared" si="4654"/>
        <v>0</v>
      </c>
      <c r="ET276" s="39">
        <f t="shared" si="4654"/>
        <v>0</v>
      </c>
      <c r="EU276" s="39">
        <f t="shared" si="4654"/>
        <v>0</v>
      </c>
      <c r="EV276" s="39">
        <f t="shared" si="4654"/>
        <v>0</v>
      </c>
      <c r="EW276" s="39">
        <f t="shared" ref="EW276:EX276" si="4655">EW$1*ED276</f>
        <v>0</v>
      </c>
      <c r="EX276" s="39">
        <f t="shared" si="4655"/>
        <v>0</v>
      </c>
      <c r="EY276" s="2"/>
      <c r="EZ276" s="39">
        <f t="shared" si="4381"/>
        <v>0</v>
      </c>
      <c r="FA276" s="39">
        <f t="shared" si="4382"/>
        <v>0</v>
      </c>
      <c r="FB276" s="2">
        <f t="shared" si="4383"/>
        <v>0</v>
      </c>
      <c r="FC276" s="2">
        <f t="shared" ref="FC276:FD276" si="4656">BV276*$BT276+CQ276*$CO276</f>
        <v>0</v>
      </c>
      <c r="FD276" s="2">
        <f t="shared" si="4656"/>
        <v>0</v>
      </c>
      <c r="FE276" s="2">
        <f t="shared" ref="FE276:FJ276" si="4657">(BX276*$BT276+CS276*$CO276)/100</f>
        <v>0</v>
      </c>
      <c r="FF276" s="2">
        <f t="shared" si="4657"/>
        <v>0</v>
      </c>
      <c r="FG276" s="2">
        <f t="shared" si="4657"/>
        <v>0</v>
      </c>
      <c r="FH276" s="2">
        <f t="shared" si="4657"/>
        <v>0</v>
      </c>
      <c r="FI276" s="2">
        <f t="shared" si="4657"/>
        <v>0</v>
      </c>
      <c r="FJ276" s="2">
        <f t="shared" si="4657"/>
        <v>0</v>
      </c>
      <c r="FK276" s="2">
        <f t="shared" ref="FK276:FO276" si="4658">CD276*$BT276+CY276*$CO276</f>
        <v>0</v>
      </c>
      <c r="FL276" s="2">
        <f t="shared" si="4658"/>
        <v>0</v>
      </c>
      <c r="FM276" s="2">
        <f t="shared" si="4658"/>
        <v>0</v>
      </c>
      <c r="FN276" s="2">
        <f t="shared" si="4658"/>
        <v>0</v>
      </c>
      <c r="FO276" s="2">
        <f t="shared" si="4658"/>
        <v>0</v>
      </c>
      <c r="FP276" s="2">
        <f t="shared" ref="FP276:FQ276" si="4659">(CI276*$BT276+DD276*$CO276)/100</f>
        <v>0</v>
      </c>
      <c r="FQ276" s="2">
        <f t="shared" si="4659"/>
        <v>0</v>
      </c>
      <c r="FR276" s="2"/>
      <c r="FS276" s="2">
        <f t="shared" si="4388"/>
        <v>0</v>
      </c>
      <c r="FT276" s="2">
        <f t="shared" si="4389"/>
        <v>0</v>
      </c>
      <c r="FU276" s="39">
        <f t="shared" si="4390"/>
        <v>0</v>
      </c>
      <c r="FV276" s="39">
        <f t="shared" ref="FV276:FW276" si="4660">FV$1*FC276/1000000</f>
        <v>0</v>
      </c>
      <c r="FW276" s="39">
        <f t="shared" si="4660"/>
        <v>0</v>
      </c>
      <c r="FX276" s="39">
        <f t="shared" ref="FX276:GC276" si="4661">FX$1*FE276</f>
        <v>0</v>
      </c>
      <c r="FY276" s="39">
        <f t="shared" si="4661"/>
        <v>0</v>
      </c>
      <c r="FZ276" s="39">
        <f t="shared" si="4661"/>
        <v>0</v>
      </c>
      <c r="GA276" s="39">
        <f t="shared" si="4661"/>
        <v>0</v>
      </c>
      <c r="GB276" s="39">
        <f t="shared" si="4661"/>
        <v>0</v>
      </c>
      <c r="GC276" s="39">
        <f t="shared" si="4661"/>
        <v>0</v>
      </c>
      <c r="GD276" s="39">
        <f t="shared" ref="GD276:GH276" si="4662">GD$1*FK276/1000000</f>
        <v>0</v>
      </c>
      <c r="GE276" s="39">
        <f t="shared" si="4662"/>
        <v>0</v>
      </c>
      <c r="GF276" s="39">
        <f t="shared" si="4662"/>
        <v>0</v>
      </c>
      <c r="GG276" s="39">
        <f t="shared" si="4662"/>
        <v>0</v>
      </c>
      <c r="GH276" s="39">
        <f t="shared" si="4662"/>
        <v>0</v>
      </c>
      <c r="GI276" s="39">
        <f t="shared" ref="GI276:GJ276" si="4663">GI$1*FP276</f>
        <v>0</v>
      </c>
      <c r="GJ276" s="39">
        <f t="shared" si="4663"/>
        <v>0</v>
      </c>
      <c r="GK276" s="2"/>
      <c r="GL276" s="39">
        <f t="shared" si="4395"/>
        <v>0</v>
      </c>
      <c r="GM276" s="39">
        <f t="shared" si="4396"/>
        <v>0</v>
      </c>
      <c r="GN276" s="2" t="s">
        <v>3</v>
      </c>
      <c r="GO276" s="2">
        <f t="shared" si="4397"/>
        <v>22.7</v>
      </c>
      <c r="GP276" s="2">
        <f t="shared" si="4398"/>
        <v>0.81</v>
      </c>
      <c r="GQ276" s="15">
        <f t="shared" si="4399"/>
        <v>183.87</v>
      </c>
      <c r="GR276" s="15">
        <f t="shared" si="4400"/>
        <v>4389.4270137599997</v>
      </c>
      <c r="GS276" s="15">
        <f t="shared" si="4401"/>
        <v>193.36682879999998</v>
      </c>
      <c r="GT276" s="2">
        <f t="shared" si="4402"/>
        <v>0</v>
      </c>
      <c r="GU276" s="2">
        <f t="shared" si="4403"/>
        <v>0</v>
      </c>
      <c r="GV276" s="2">
        <f t="shared" si="4404"/>
        <v>183.87</v>
      </c>
      <c r="GW276" s="2">
        <f t="shared" si="4405"/>
        <v>0</v>
      </c>
      <c r="GX276" s="2"/>
      <c r="GY276" s="2"/>
      <c r="GZ276" s="2"/>
      <c r="HA276" s="2"/>
      <c r="HB276" s="2">
        <f t="shared" si="4406"/>
        <v>0</v>
      </c>
      <c r="HC276" s="2">
        <f t="shared" si="4407"/>
        <v>0</v>
      </c>
      <c r="HD276" s="2" t="s">
        <v>3</v>
      </c>
      <c r="HE276" s="2" t="s">
        <v>37</v>
      </c>
      <c r="HF276" s="2" t="s">
        <v>235</v>
      </c>
      <c r="HG276" s="2" t="s">
        <v>235</v>
      </c>
      <c r="HH276" s="2"/>
      <c r="HI276" s="2" t="s">
        <v>100</v>
      </c>
      <c r="HJ276" s="2" t="s">
        <v>3</v>
      </c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 t="s">
        <v>3</v>
      </c>
    </row>
    <row r="277" spans="1:268" ht="15.75" customHeight="1" x14ac:dyDescent="0.2">
      <c r="A277" s="13" t="s">
        <v>1070</v>
      </c>
      <c r="B277" s="2" t="s">
        <v>99</v>
      </c>
      <c r="C277" s="2"/>
      <c r="D277" s="2"/>
      <c r="E277" s="2"/>
      <c r="F277" s="2" t="s">
        <v>79</v>
      </c>
      <c r="G277" s="2"/>
      <c r="H277" s="2"/>
      <c r="I277" s="2">
        <v>0</v>
      </c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>
        <v>0</v>
      </c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15">
        <f>(4.8+1.1)*0.9072</f>
        <v>5.3524800000000008</v>
      </c>
      <c r="AZ277" s="2"/>
      <c r="BA277" s="2"/>
      <c r="BB277" s="2"/>
      <c r="BC277" s="2"/>
      <c r="BD277" s="2"/>
      <c r="BE277" s="2"/>
      <c r="BF277" s="2"/>
      <c r="BG277" s="4">
        <f>(0.85*4.8+0.71*1.1)/(4.8+1.1)</f>
        <v>0.82389830508474571</v>
      </c>
      <c r="BH277" s="4">
        <f>(0.07*4.8+0.06*1.1)/(4.8+1.1)</f>
        <v>6.8135593220338977E-2</v>
      </c>
      <c r="BI277" s="2"/>
      <c r="BJ277" s="2"/>
      <c r="BK277" s="2"/>
      <c r="BL277" s="2"/>
      <c r="BM277" s="2"/>
      <c r="BN277" s="4">
        <f>(0.58*4.8+0.34*1.1)/(4.8+1.1)</f>
        <v>0.53525423728813559</v>
      </c>
      <c r="BO277" s="4">
        <f>(20.76*4.8+12.47*1.1)/(4.8+1.1)</f>
        <v>19.214406779661019</v>
      </c>
      <c r="BP277" s="2"/>
      <c r="BQ277" s="2"/>
      <c r="BR277" s="2"/>
      <c r="BS277" s="2"/>
      <c r="BT277" s="2">
        <v>0</v>
      </c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>
        <v>0</v>
      </c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 t="s">
        <v>100</v>
      </c>
      <c r="DK277" s="2" t="s">
        <v>100</v>
      </c>
      <c r="DL277" s="2">
        <f t="shared" si="4367"/>
        <v>0.82389830508474582</v>
      </c>
      <c r="DM277" s="2">
        <f t="shared" si="4368"/>
        <v>6.8135593220338977E-2</v>
      </c>
      <c r="DN277" s="2" t="s">
        <v>791</v>
      </c>
      <c r="DO277" s="2" t="s">
        <v>3</v>
      </c>
      <c r="DP277" s="2">
        <f t="shared" si="4369"/>
        <v>0</v>
      </c>
      <c r="DQ277" s="2">
        <f t="shared" ref="DQ277:DR277" si="4664">K277*$I277+AF277*$AD277+BA277*$AY277</f>
        <v>0</v>
      </c>
      <c r="DR277" s="2">
        <f t="shared" si="4664"/>
        <v>0</v>
      </c>
      <c r="DS277" s="2">
        <f t="shared" ref="DS277:DX277" si="4665">(M277*$I277+AH277*$AD277+BC277*$AY277)/100</f>
        <v>0</v>
      </c>
      <c r="DT277" s="2">
        <f t="shared" si="4665"/>
        <v>0</v>
      </c>
      <c r="DU277" s="2">
        <f t="shared" si="4665"/>
        <v>0</v>
      </c>
      <c r="DV277" s="2">
        <f t="shared" si="4665"/>
        <v>0</v>
      </c>
      <c r="DW277" s="2">
        <f t="shared" si="4665"/>
        <v>4.409899200000001E-2</v>
      </c>
      <c r="DX277" s="2">
        <f t="shared" si="4665"/>
        <v>3.6469440000000005E-3</v>
      </c>
      <c r="DY277" s="2">
        <f t="shared" ref="DY277:EC277" si="4666">S277*$I277+AN277*$AD277+BI277*$AY277</f>
        <v>0</v>
      </c>
      <c r="DZ277" s="2">
        <f t="shared" si="4666"/>
        <v>0</v>
      </c>
      <c r="EA277" s="2">
        <f t="shared" si="4666"/>
        <v>0</v>
      </c>
      <c r="EB277" s="2">
        <f t="shared" si="4666"/>
        <v>0</v>
      </c>
      <c r="EC277" s="2">
        <f t="shared" si="4666"/>
        <v>0</v>
      </c>
      <c r="ED277" s="2">
        <f t="shared" ref="ED277:EE277" si="4667">(X277*$I277+AS277*$AD277+BN277*$AY277)/100</f>
        <v>2.8649376000000008E-2</v>
      </c>
      <c r="EE277" s="2">
        <f t="shared" si="4667"/>
        <v>1.0284472800000002</v>
      </c>
      <c r="EF277" s="2"/>
      <c r="EG277" s="2">
        <f t="shared" si="4374"/>
        <v>0</v>
      </c>
      <c r="EH277" s="2">
        <f t="shared" si="4375"/>
        <v>0</v>
      </c>
      <c r="EI277" s="39">
        <f t="shared" si="4376"/>
        <v>0</v>
      </c>
      <c r="EJ277" s="39">
        <f t="shared" ref="EJ277:EK277" si="4668">EJ$1*DQ277/1000000</f>
        <v>0</v>
      </c>
      <c r="EK277" s="39">
        <f t="shared" si="4668"/>
        <v>0</v>
      </c>
      <c r="EL277" s="39">
        <f t="shared" ref="EL277:EQ277" si="4669">EL$1*DS277</f>
        <v>0</v>
      </c>
      <c r="EM277" s="39">
        <f t="shared" si="4669"/>
        <v>0</v>
      </c>
      <c r="EN277" s="39">
        <f t="shared" si="4669"/>
        <v>0</v>
      </c>
      <c r="EO277" s="39">
        <f t="shared" si="4669"/>
        <v>0</v>
      </c>
      <c r="EP277" s="39">
        <f t="shared" si="4669"/>
        <v>578.31418108800017</v>
      </c>
      <c r="EQ277" s="39">
        <f t="shared" si="4669"/>
        <v>264.83933733465602</v>
      </c>
      <c r="ER277" s="39">
        <f t="shared" ref="ER277:EV277" si="4670">ER$1*DY277/1000000</f>
        <v>0</v>
      </c>
      <c r="ES277" s="39">
        <f t="shared" si="4670"/>
        <v>0</v>
      </c>
      <c r="ET277" s="39">
        <f t="shared" si="4670"/>
        <v>0</v>
      </c>
      <c r="EU277" s="39">
        <f t="shared" si="4670"/>
        <v>0</v>
      </c>
      <c r="EV277" s="39">
        <f t="shared" si="4670"/>
        <v>0</v>
      </c>
      <c r="EW277" s="39">
        <f t="shared" ref="EW277:EX277" si="4671">EW$1*ED277</f>
        <v>7.9931759040000019</v>
      </c>
      <c r="EX277" s="39">
        <f t="shared" si="4671"/>
        <v>95.645597040000013</v>
      </c>
      <c r="EY277" s="2"/>
      <c r="EZ277" s="39">
        <f t="shared" si="4381"/>
        <v>0</v>
      </c>
      <c r="FA277" s="39">
        <f t="shared" si="4382"/>
        <v>0</v>
      </c>
      <c r="FB277" s="2">
        <f t="shared" si="4383"/>
        <v>0</v>
      </c>
      <c r="FC277" s="2">
        <f t="shared" ref="FC277:FD277" si="4672">BV277*$BT277+CQ277*$CO277</f>
        <v>0</v>
      </c>
      <c r="FD277" s="2">
        <f t="shared" si="4672"/>
        <v>0</v>
      </c>
      <c r="FE277" s="2">
        <f t="shared" ref="FE277:FJ277" si="4673">(BX277*$BT277+CS277*$CO277)/100</f>
        <v>0</v>
      </c>
      <c r="FF277" s="2">
        <f t="shared" si="4673"/>
        <v>0</v>
      </c>
      <c r="FG277" s="2">
        <f t="shared" si="4673"/>
        <v>0</v>
      </c>
      <c r="FH277" s="2">
        <f t="shared" si="4673"/>
        <v>0</v>
      </c>
      <c r="FI277" s="2">
        <f t="shared" si="4673"/>
        <v>0</v>
      </c>
      <c r="FJ277" s="2">
        <f t="shared" si="4673"/>
        <v>0</v>
      </c>
      <c r="FK277" s="2">
        <f t="shared" ref="FK277:FO277" si="4674">CD277*$BT277+CY277*$CO277</f>
        <v>0</v>
      </c>
      <c r="FL277" s="2">
        <f t="shared" si="4674"/>
        <v>0</v>
      </c>
      <c r="FM277" s="2">
        <f t="shared" si="4674"/>
        <v>0</v>
      </c>
      <c r="FN277" s="2">
        <f t="shared" si="4674"/>
        <v>0</v>
      </c>
      <c r="FO277" s="2">
        <f t="shared" si="4674"/>
        <v>0</v>
      </c>
      <c r="FP277" s="2">
        <f t="shared" ref="FP277:FQ277" si="4675">(CI277*$BT277+DD277*$CO277)/100</f>
        <v>0</v>
      </c>
      <c r="FQ277" s="2">
        <f t="shared" si="4675"/>
        <v>0</v>
      </c>
      <c r="FR277" s="2"/>
      <c r="FS277" s="2">
        <f t="shared" si="4388"/>
        <v>0</v>
      </c>
      <c r="FT277" s="2">
        <f t="shared" si="4389"/>
        <v>0</v>
      </c>
      <c r="FU277" s="39">
        <f t="shared" si="4390"/>
        <v>0</v>
      </c>
      <c r="FV277" s="39">
        <f t="shared" ref="FV277:FW277" si="4676">FV$1*FC277/1000000</f>
        <v>0</v>
      </c>
      <c r="FW277" s="39">
        <f t="shared" si="4676"/>
        <v>0</v>
      </c>
      <c r="FX277" s="39">
        <f t="shared" ref="FX277:GC277" si="4677">FX$1*FE277</f>
        <v>0</v>
      </c>
      <c r="FY277" s="39">
        <f t="shared" si="4677"/>
        <v>0</v>
      </c>
      <c r="FZ277" s="39">
        <f t="shared" si="4677"/>
        <v>0</v>
      </c>
      <c r="GA277" s="39">
        <f t="shared" si="4677"/>
        <v>0</v>
      </c>
      <c r="GB277" s="39">
        <f t="shared" si="4677"/>
        <v>0</v>
      </c>
      <c r="GC277" s="39">
        <f t="shared" si="4677"/>
        <v>0</v>
      </c>
      <c r="GD277" s="39">
        <f t="shared" ref="GD277:GH277" si="4678">GD$1*FK277/1000000</f>
        <v>0</v>
      </c>
      <c r="GE277" s="39">
        <f t="shared" si="4678"/>
        <v>0</v>
      </c>
      <c r="GF277" s="39">
        <f t="shared" si="4678"/>
        <v>0</v>
      </c>
      <c r="GG277" s="39">
        <f t="shared" si="4678"/>
        <v>0</v>
      </c>
      <c r="GH277" s="39">
        <f t="shared" si="4678"/>
        <v>0</v>
      </c>
      <c r="GI277" s="39">
        <f t="shared" ref="GI277:GJ277" si="4679">GI$1*FP277</f>
        <v>0</v>
      </c>
      <c r="GJ277" s="39">
        <f t="shared" si="4679"/>
        <v>0</v>
      </c>
      <c r="GK277" s="2"/>
      <c r="GL277" s="39">
        <f t="shared" si="4395"/>
        <v>0</v>
      </c>
      <c r="GM277" s="39">
        <f t="shared" si="4396"/>
        <v>0</v>
      </c>
      <c r="GN277" s="2" t="s">
        <v>3</v>
      </c>
      <c r="GO277" s="19">
        <f t="shared" si="4397"/>
        <v>5.3524800000000008</v>
      </c>
      <c r="GP277" s="4">
        <f t="shared" si="4398"/>
        <v>0.82389830508474582</v>
      </c>
      <c r="GQ277" s="15">
        <f t="shared" si="4399"/>
        <v>44.09899200000001</v>
      </c>
      <c r="GR277" s="15">
        <f t="shared" si="4400"/>
        <v>946.79229136665617</v>
      </c>
      <c r="GS277" s="15">
        <f t="shared" si="4401"/>
        <v>176.88852482711866</v>
      </c>
      <c r="GT277" s="2">
        <f t="shared" si="4402"/>
        <v>0</v>
      </c>
      <c r="GU277" s="2">
        <f t="shared" si="4403"/>
        <v>0</v>
      </c>
      <c r="GV277" s="2">
        <f t="shared" si="4404"/>
        <v>44.09899200000001</v>
      </c>
      <c r="GW277" s="2">
        <f t="shared" si="4405"/>
        <v>0</v>
      </c>
      <c r="GX277" s="2"/>
      <c r="GY277" s="2"/>
      <c r="GZ277" s="2"/>
      <c r="HA277" s="2"/>
      <c r="HB277" s="2">
        <f t="shared" si="4406"/>
        <v>0</v>
      </c>
      <c r="HC277" s="2">
        <f t="shared" si="4407"/>
        <v>0</v>
      </c>
      <c r="HD277" s="2" t="s">
        <v>3</v>
      </c>
      <c r="HE277" s="2" t="s">
        <v>37</v>
      </c>
      <c r="HF277" s="2" t="s">
        <v>235</v>
      </c>
      <c r="HG277" s="2" t="s">
        <v>235</v>
      </c>
      <c r="HH277" s="2"/>
      <c r="HI277" s="2" t="s">
        <v>100</v>
      </c>
      <c r="HJ277" s="2" t="s">
        <v>3</v>
      </c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 t="s">
        <v>3</v>
      </c>
    </row>
    <row r="278" spans="1:268" ht="15.75" customHeight="1" x14ac:dyDescent="0.2">
      <c r="A278" s="13" t="s">
        <v>790</v>
      </c>
      <c r="B278" s="2" t="s">
        <v>99</v>
      </c>
      <c r="C278" s="2"/>
      <c r="D278" s="2"/>
      <c r="E278" s="2"/>
      <c r="F278" s="2" t="s">
        <v>79</v>
      </c>
      <c r="G278" s="2"/>
      <c r="H278" s="2"/>
      <c r="I278" s="2">
        <v>0</v>
      </c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>
        <v>0</v>
      </c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15">
        <f>(5+5.6)*0.9072</f>
        <v>9.61632</v>
      </c>
      <c r="AZ278" s="2"/>
      <c r="BA278" s="2"/>
      <c r="BB278" s="2"/>
      <c r="BC278" s="2"/>
      <c r="BD278" s="2"/>
      <c r="BE278" s="2"/>
      <c r="BF278" s="2"/>
      <c r="BG278" s="4">
        <f>(0.98*5+1.08*5.6)/(5+5.6)</f>
        <v>1.0328301886792453</v>
      </c>
      <c r="BH278" s="4">
        <f>(0.1*5+0.11*5.6)/(5+5.6)</f>
        <v>0.10528301886792454</v>
      </c>
      <c r="BI278" s="2"/>
      <c r="BJ278" s="2"/>
      <c r="BK278" s="2"/>
      <c r="BL278" s="2"/>
      <c r="BM278" s="2"/>
      <c r="BN278" s="4">
        <f>(0.59*5+0.67*5.6)/(5+5.6)</f>
        <v>0.63226415094339627</v>
      </c>
      <c r="BO278" s="4">
        <f>(22.05*5+29.45*5.6)/(5+5.6)</f>
        <v>25.959433962264146</v>
      </c>
      <c r="BP278" s="2"/>
      <c r="BQ278" s="2"/>
      <c r="BR278" s="2"/>
      <c r="BS278" s="2"/>
      <c r="BT278" s="2">
        <v>0</v>
      </c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>
        <v>0</v>
      </c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 t="s">
        <v>100</v>
      </c>
      <c r="DK278" s="2" t="s">
        <v>100</v>
      </c>
      <c r="DL278" s="2">
        <f t="shared" si="4367"/>
        <v>1.0328301886792453</v>
      </c>
      <c r="DM278" s="2">
        <f t="shared" si="4368"/>
        <v>0.10528301886792454</v>
      </c>
      <c r="DN278" s="2" t="s">
        <v>791</v>
      </c>
      <c r="DO278" s="2" t="s">
        <v>3</v>
      </c>
      <c r="DP278" s="2">
        <f t="shared" si="4369"/>
        <v>0</v>
      </c>
      <c r="DQ278" s="2">
        <f t="shared" ref="DQ278:DR278" si="4680">K278*$I278+AF278*$AD278+BA278*$AY278</f>
        <v>0</v>
      </c>
      <c r="DR278" s="2">
        <f t="shared" si="4680"/>
        <v>0</v>
      </c>
      <c r="DS278" s="2">
        <f t="shared" ref="DS278:DX278" si="4681">(M278*$I278+AH278*$AD278+BC278*$AY278)/100</f>
        <v>0</v>
      </c>
      <c r="DT278" s="2">
        <f t="shared" si="4681"/>
        <v>0</v>
      </c>
      <c r="DU278" s="2">
        <f t="shared" si="4681"/>
        <v>0</v>
      </c>
      <c r="DV278" s="2">
        <f t="shared" si="4681"/>
        <v>0</v>
      </c>
      <c r="DW278" s="2">
        <f t="shared" si="4681"/>
        <v>9.9320255999999996E-2</v>
      </c>
      <c r="DX278" s="2">
        <f t="shared" si="4681"/>
        <v>1.0124352000000001E-2</v>
      </c>
      <c r="DY278" s="2">
        <f t="shared" ref="DY278:EC278" si="4682">S278*$I278+AN278*$AD278+BI278*$AY278</f>
        <v>0</v>
      </c>
      <c r="DZ278" s="2">
        <f t="shared" si="4682"/>
        <v>0</v>
      </c>
      <c r="EA278" s="2">
        <f t="shared" si="4682"/>
        <v>0</v>
      </c>
      <c r="EB278" s="2">
        <f t="shared" si="4682"/>
        <v>0</v>
      </c>
      <c r="EC278" s="2">
        <f t="shared" si="4682"/>
        <v>0</v>
      </c>
      <c r="ED278" s="2">
        <f t="shared" ref="ED278:EE278" si="4683">(X278*$I278+AS278*$AD278+BN278*$AY278)/100</f>
        <v>6.0800544000000005E-2</v>
      </c>
      <c r="EE278" s="2">
        <f t="shared" si="4683"/>
        <v>2.4963422399999997</v>
      </c>
      <c r="EF278" s="2"/>
      <c r="EG278" s="2">
        <f t="shared" si="4374"/>
        <v>0</v>
      </c>
      <c r="EH278" s="2">
        <f t="shared" si="4375"/>
        <v>0</v>
      </c>
      <c r="EI278" s="39">
        <f t="shared" si="4376"/>
        <v>0</v>
      </c>
      <c r="EJ278" s="39">
        <f t="shared" ref="EJ278:EK278" si="4684">EJ$1*DQ278/1000000</f>
        <v>0</v>
      </c>
      <c r="EK278" s="39">
        <f t="shared" si="4684"/>
        <v>0</v>
      </c>
      <c r="EL278" s="39">
        <f t="shared" ref="EL278:EQ278" si="4685">EL$1*DS278</f>
        <v>0</v>
      </c>
      <c r="EM278" s="39">
        <f t="shared" si="4685"/>
        <v>0</v>
      </c>
      <c r="EN278" s="39">
        <f t="shared" si="4685"/>
        <v>0</v>
      </c>
      <c r="EO278" s="39">
        <f t="shared" si="4685"/>
        <v>0</v>
      </c>
      <c r="EP278" s="39">
        <f t="shared" si="4685"/>
        <v>1302.485837184</v>
      </c>
      <c r="EQ278" s="39">
        <f t="shared" si="4685"/>
        <v>735.22562304844803</v>
      </c>
      <c r="ER278" s="39">
        <f t="shared" ref="ER278:EV278" si="4686">ER$1*DY278/1000000</f>
        <v>0</v>
      </c>
      <c r="ES278" s="39">
        <f t="shared" si="4686"/>
        <v>0</v>
      </c>
      <c r="ET278" s="39">
        <f t="shared" si="4686"/>
        <v>0</v>
      </c>
      <c r="EU278" s="39">
        <f t="shared" si="4686"/>
        <v>0</v>
      </c>
      <c r="EV278" s="39">
        <f t="shared" si="4686"/>
        <v>0</v>
      </c>
      <c r="EW278" s="39">
        <f t="shared" ref="EW278:EX278" si="4687">EW$1*ED278</f>
        <v>16.963351776</v>
      </c>
      <c r="EX278" s="39">
        <f t="shared" si="4687"/>
        <v>232.15982831999997</v>
      </c>
      <c r="EY278" s="2"/>
      <c r="EZ278" s="39">
        <f t="shared" si="4381"/>
        <v>0</v>
      </c>
      <c r="FA278" s="39">
        <f t="shared" si="4382"/>
        <v>0</v>
      </c>
      <c r="FB278" s="2">
        <f t="shared" si="4383"/>
        <v>0</v>
      </c>
      <c r="FC278" s="2">
        <f t="shared" ref="FC278:FD278" si="4688">BV278*$BT278+CQ278*$CO278</f>
        <v>0</v>
      </c>
      <c r="FD278" s="2">
        <f t="shared" si="4688"/>
        <v>0</v>
      </c>
      <c r="FE278" s="2">
        <f t="shared" ref="FE278:FJ278" si="4689">(BX278*$BT278+CS278*$CO278)/100</f>
        <v>0</v>
      </c>
      <c r="FF278" s="2">
        <f t="shared" si="4689"/>
        <v>0</v>
      </c>
      <c r="FG278" s="2">
        <f t="shared" si="4689"/>
        <v>0</v>
      </c>
      <c r="FH278" s="2">
        <f t="shared" si="4689"/>
        <v>0</v>
      </c>
      <c r="FI278" s="2">
        <f t="shared" si="4689"/>
        <v>0</v>
      </c>
      <c r="FJ278" s="2">
        <f t="shared" si="4689"/>
        <v>0</v>
      </c>
      <c r="FK278" s="2">
        <f t="shared" ref="FK278:FO278" si="4690">CD278*$BT278+CY278*$CO278</f>
        <v>0</v>
      </c>
      <c r="FL278" s="2">
        <f t="shared" si="4690"/>
        <v>0</v>
      </c>
      <c r="FM278" s="2">
        <f t="shared" si="4690"/>
        <v>0</v>
      </c>
      <c r="FN278" s="2">
        <f t="shared" si="4690"/>
        <v>0</v>
      </c>
      <c r="FO278" s="2">
        <f t="shared" si="4690"/>
        <v>0</v>
      </c>
      <c r="FP278" s="2">
        <f t="shared" ref="FP278:FQ278" si="4691">(CI278*$BT278+DD278*$CO278)/100</f>
        <v>0</v>
      </c>
      <c r="FQ278" s="2">
        <f t="shared" si="4691"/>
        <v>0</v>
      </c>
      <c r="FR278" s="2"/>
      <c r="FS278" s="2">
        <f t="shared" si="4388"/>
        <v>0</v>
      </c>
      <c r="FT278" s="2">
        <f t="shared" si="4389"/>
        <v>0</v>
      </c>
      <c r="FU278" s="39">
        <f t="shared" si="4390"/>
        <v>0</v>
      </c>
      <c r="FV278" s="39">
        <f t="shared" ref="FV278:FW278" si="4692">FV$1*FC278/1000000</f>
        <v>0</v>
      </c>
      <c r="FW278" s="39">
        <f t="shared" si="4692"/>
        <v>0</v>
      </c>
      <c r="FX278" s="39">
        <f t="shared" ref="FX278:GC278" si="4693">FX$1*FE278</f>
        <v>0</v>
      </c>
      <c r="FY278" s="39">
        <f t="shared" si="4693"/>
        <v>0</v>
      </c>
      <c r="FZ278" s="39">
        <f t="shared" si="4693"/>
        <v>0</v>
      </c>
      <c r="GA278" s="39">
        <f t="shared" si="4693"/>
        <v>0</v>
      </c>
      <c r="GB278" s="39">
        <f t="shared" si="4693"/>
        <v>0</v>
      </c>
      <c r="GC278" s="39">
        <f t="shared" si="4693"/>
        <v>0</v>
      </c>
      <c r="GD278" s="39">
        <f t="shared" ref="GD278:GH278" si="4694">GD$1*FK278/1000000</f>
        <v>0</v>
      </c>
      <c r="GE278" s="39">
        <f t="shared" si="4694"/>
        <v>0</v>
      </c>
      <c r="GF278" s="39">
        <f t="shared" si="4694"/>
        <v>0</v>
      </c>
      <c r="GG278" s="39">
        <f t="shared" si="4694"/>
        <v>0</v>
      </c>
      <c r="GH278" s="39">
        <f t="shared" si="4694"/>
        <v>0</v>
      </c>
      <c r="GI278" s="39">
        <f t="shared" ref="GI278:GJ278" si="4695">GI$1*FP278</f>
        <v>0</v>
      </c>
      <c r="GJ278" s="39">
        <f t="shared" si="4695"/>
        <v>0</v>
      </c>
      <c r="GK278" s="2"/>
      <c r="GL278" s="39">
        <f t="shared" si="4395"/>
        <v>0</v>
      </c>
      <c r="GM278" s="39">
        <f t="shared" si="4396"/>
        <v>0</v>
      </c>
      <c r="GN278" s="2" t="s">
        <v>3</v>
      </c>
      <c r="GO278" s="19">
        <f t="shared" si="4397"/>
        <v>9.61632</v>
      </c>
      <c r="GP278" s="4">
        <f t="shared" si="4398"/>
        <v>1.0328301886792453</v>
      </c>
      <c r="GQ278" s="15">
        <f t="shared" si="4399"/>
        <v>99.320255999999986</v>
      </c>
      <c r="GR278" s="15">
        <f t="shared" si="4400"/>
        <v>2286.8346403284481</v>
      </c>
      <c r="GS278" s="15">
        <f t="shared" si="4401"/>
        <v>237.80766866415095</v>
      </c>
      <c r="GT278" s="2">
        <f t="shared" si="4402"/>
        <v>0</v>
      </c>
      <c r="GU278" s="2">
        <f t="shared" si="4403"/>
        <v>0</v>
      </c>
      <c r="GV278" s="2">
        <f t="shared" si="4404"/>
        <v>99.320255999999986</v>
      </c>
      <c r="GW278" s="2">
        <f t="shared" si="4405"/>
        <v>0</v>
      </c>
      <c r="GX278" s="2"/>
      <c r="GY278" s="2"/>
      <c r="GZ278" s="2"/>
      <c r="HA278" s="2"/>
      <c r="HB278" s="2">
        <f t="shared" si="4406"/>
        <v>0</v>
      </c>
      <c r="HC278" s="2">
        <f t="shared" si="4407"/>
        <v>0</v>
      </c>
      <c r="HD278" s="2" t="s">
        <v>3</v>
      </c>
      <c r="HE278" s="2" t="s">
        <v>37</v>
      </c>
      <c r="HF278" s="2" t="s">
        <v>235</v>
      </c>
      <c r="HG278" s="2" t="s">
        <v>235</v>
      </c>
      <c r="HH278" s="2"/>
      <c r="HI278" s="2" t="s">
        <v>100</v>
      </c>
      <c r="HJ278" s="2" t="s">
        <v>3</v>
      </c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 t="s">
        <v>3</v>
      </c>
    </row>
    <row r="279" spans="1:268" ht="15.75" customHeight="1" x14ac:dyDescent="0.2">
      <c r="A279" s="13" t="s">
        <v>843</v>
      </c>
      <c r="B279" s="2" t="s">
        <v>99</v>
      </c>
      <c r="C279" s="2"/>
      <c r="D279" s="2"/>
      <c r="E279" s="2"/>
      <c r="F279" s="2" t="s">
        <v>79</v>
      </c>
      <c r="G279" s="2"/>
      <c r="H279" s="2"/>
      <c r="I279" s="2">
        <v>0</v>
      </c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>
        <v>0</v>
      </c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>
        <v>244.6</v>
      </c>
      <c r="AZ279" s="2"/>
      <c r="BA279" s="2"/>
      <c r="BB279" s="2"/>
      <c r="BC279" s="2"/>
      <c r="BD279" s="2"/>
      <c r="BE279" s="2"/>
      <c r="BF279" s="2"/>
      <c r="BG279" s="2">
        <v>0.7</v>
      </c>
      <c r="BH279" s="2"/>
      <c r="BI279" s="2"/>
      <c r="BJ279" s="2"/>
      <c r="BK279" s="2"/>
      <c r="BL279" s="2"/>
      <c r="BM279" s="2"/>
      <c r="BN279" s="2">
        <v>1.1599999999999999</v>
      </c>
      <c r="BO279" s="2">
        <v>21.47</v>
      </c>
      <c r="BP279" s="2"/>
      <c r="BQ279" s="2"/>
      <c r="BR279" s="2"/>
      <c r="BS279" s="2"/>
      <c r="BT279" s="2">
        <v>0</v>
      </c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>
        <v>0</v>
      </c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 t="s">
        <v>100</v>
      </c>
      <c r="DK279" s="2"/>
      <c r="DL279" s="2">
        <f t="shared" si="4367"/>
        <v>0.70000000000000007</v>
      </c>
      <c r="DM279" s="2">
        <f t="shared" si="4368"/>
        <v>0</v>
      </c>
      <c r="DN279" s="2" t="s">
        <v>113</v>
      </c>
      <c r="DO279" s="2" t="s">
        <v>3</v>
      </c>
      <c r="DP279" s="2">
        <f t="shared" si="4369"/>
        <v>0</v>
      </c>
      <c r="DQ279" s="2">
        <f t="shared" ref="DQ279:DR279" si="4696">K279*$I279+AF279*$AD279+BA279*$AY279</f>
        <v>0</v>
      </c>
      <c r="DR279" s="2">
        <f t="shared" si="4696"/>
        <v>0</v>
      </c>
      <c r="DS279" s="2">
        <f t="shared" ref="DS279:DX279" si="4697">(M279*$I279+AH279*$AD279+BC279*$AY279)/100</f>
        <v>0</v>
      </c>
      <c r="DT279" s="2">
        <f t="shared" si="4697"/>
        <v>0</v>
      </c>
      <c r="DU279" s="2">
        <f t="shared" si="4697"/>
        <v>0</v>
      </c>
      <c r="DV279" s="2">
        <f t="shared" si="4697"/>
        <v>0</v>
      </c>
      <c r="DW279" s="2">
        <f t="shared" si="4697"/>
        <v>1.7121999999999999</v>
      </c>
      <c r="DX279" s="2">
        <f t="shared" si="4697"/>
        <v>0</v>
      </c>
      <c r="DY279" s="2">
        <f t="shared" ref="DY279:EC279" si="4698">S279*$I279+AN279*$AD279+BI279*$AY279</f>
        <v>0</v>
      </c>
      <c r="DZ279" s="2">
        <f t="shared" si="4698"/>
        <v>0</v>
      </c>
      <c r="EA279" s="2">
        <f t="shared" si="4698"/>
        <v>0</v>
      </c>
      <c r="EB279" s="2">
        <f t="shared" si="4698"/>
        <v>0</v>
      </c>
      <c r="EC279" s="2">
        <f t="shared" si="4698"/>
        <v>0</v>
      </c>
      <c r="ED279" s="2">
        <f t="shared" ref="ED279:EE279" si="4699">(X279*$I279+AS279*$AD279+BN279*$AY279)/100</f>
        <v>2.8373599999999999</v>
      </c>
      <c r="EE279" s="2">
        <f t="shared" si="4699"/>
        <v>52.515619999999998</v>
      </c>
      <c r="EF279" s="2"/>
      <c r="EG279" s="2">
        <f t="shared" si="4374"/>
        <v>0</v>
      </c>
      <c r="EH279" s="2">
        <f t="shared" si="4375"/>
        <v>0</v>
      </c>
      <c r="EI279" s="39">
        <f t="shared" si="4376"/>
        <v>0</v>
      </c>
      <c r="EJ279" s="39">
        <f t="shared" ref="EJ279:EK279" si="4700">EJ$1*DQ279/1000000</f>
        <v>0</v>
      </c>
      <c r="EK279" s="39">
        <f t="shared" si="4700"/>
        <v>0</v>
      </c>
      <c r="EL279" s="39">
        <f t="shared" ref="EL279:EQ279" si="4701">EL$1*DS279</f>
        <v>0</v>
      </c>
      <c r="EM279" s="39">
        <f t="shared" si="4701"/>
        <v>0</v>
      </c>
      <c r="EN279" s="39">
        <f t="shared" si="4701"/>
        <v>0</v>
      </c>
      <c r="EO279" s="39">
        <f t="shared" si="4701"/>
        <v>0</v>
      </c>
      <c r="EP279" s="39">
        <f t="shared" si="4701"/>
        <v>22453.790799999999</v>
      </c>
      <c r="EQ279" s="39">
        <f t="shared" si="4701"/>
        <v>0</v>
      </c>
      <c r="ER279" s="39">
        <f t="shared" ref="ER279:EV279" si="4702">ER$1*DY279/1000000</f>
        <v>0</v>
      </c>
      <c r="ES279" s="39">
        <f t="shared" si="4702"/>
        <v>0</v>
      </c>
      <c r="ET279" s="39">
        <f t="shared" si="4702"/>
        <v>0</v>
      </c>
      <c r="EU279" s="39">
        <f t="shared" si="4702"/>
        <v>0</v>
      </c>
      <c r="EV279" s="39">
        <f t="shared" si="4702"/>
        <v>0</v>
      </c>
      <c r="EW279" s="39">
        <f t="shared" ref="EW279:EX279" si="4703">EW$1*ED279</f>
        <v>791.62343999999996</v>
      </c>
      <c r="EX279" s="39">
        <f t="shared" si="4703"/>
        <v>4883.9526599999999</v>
      </c>
      <c r="EY279" s="2"/>
      <c r="EZ279" s="39">
        <f t="shared" si="4381"/>
        <v>0</v>
      </c>
      <c r="FA279" s="39">
        <f t="shared" si="4382"/>
        <v>0</v>
      </c>
      <c r="FB279" s="2">
        <f t="shared" si="4383"/>
        <v>0</v>
      </c>
      <c r="FC279" s="2">
        <f t="shared" ref="FC279:FD279" si="4704">BV279*$BT279+CQ279*$CO279</f>
        <v>0</v>
      </c>
      <c r="FD279" s="2">
        <f t="shared" si="4704"/>
        <v>0</v>
      </c>
      <c r="FE279" s="2">
        <f t="shared" ref="FE279:FJ279" si="4705">(BX279*$BT279+CS279*$CO279)/100</f>
        <v>0</v>
      </c>
      <c r="FF279" s="2">
        <f t="shared" si="4705"/>
        <v>0</v>
      </c>
      <c r="FG279" s="2">
        <f t="shared" si="4705"/>
        <v>0</v>
      </c>
      <c r="FH279" s="2">
        <f t="shared" si="4705"/>
        <v>0</v>
      </c>
      <c r="FI279" s="2">
        <f t="shared" si="4705"/>
        <v>0</v>
      </c>
      <c r="FJ279" s="2">
        <f t="shared" si="4705"/>
        <v>0</v>
      </c>
      <c r="FK279" s="2">
        <f t="shared" ref="FK279:FO279" si="4706">CD279*$BT279+CY279*$CO279</f>
        <v>0</v>
      </c>
      <c r="FL279" s="2">
        <f t="shared" si="4706"/>
        <v>0</v>
      </c>
      <c r="FM279" s="2">
        <f t="shared" si="4706"/>
        <v>0</v>
      </c>
      <c r="FN279" s="2">
        <f t="shared" si="4706"/>
        <v>0</v>
      </c>
      <c r="FO279" s="2">
        <f t="shared" si="4706"/>
        <v>0</v>
      </c>
      <c r="FP279" s="2">
        <f t="shared" ref="FP279:FQ279" si="4707">(CI279*$BT279+DD279*$CO279)/100</f>
        <v>0</v>
      </c>
      <c r="FQ279" s="2">
        <f t="shared" si="4707"/>
        <v>0</v>
      </c>
      <c r="FR279" s="2"/>
      <c r="FS279" s="2">
        <f t="shared" si="4388"/>
        <v>0</v>
      </c>
      <c r="FT279" s="2">
        <f t="shared" si="4389"/>
        <v>0</v>
      </c>
      <c r="FU279" s="39">
        <f t="shared" si="4390"/>
        <v>0</v>
      </c>
      <c r="FV279" s="39">
        <f t="shared" ref="FV279:FW279" si="4708">FV$1*FC279/1000000</f>
        <v>0</v>
      </c>
      <c r="FW279" s="39">
        <f t="shared" si="4708"/>
        <v>0</v>
      </c>
      <c r="FX279" s="39">
        <f t="shared" ref="FX279:GC279" si="4709">FX$1*FE279</f>
        <v>0</v>
      </c>
      <c r="FY279" s="39">
        <f t="shared" si="4709"/>
        <v>0</v>
      </c>
      <c r="FZ279" s="39">
        <f t="shared" si="4709"/>
        <v>0</v>
      </c>
      <c r="GA279" s="39">
        <f t="shared" si="4709"/>
        <v>0</v>
      </c>
      <c r="GB279" s="39">
        <f t="shared" si="4709"/>
        <v>0</v>
      </c>
      <c r="GC279" s="39">
        <f t="shared" si="4709"/>
        <v>0</v>
      </c>
      <c r="GD279" s="39">
        <f t="shared" ref="GD279:GH279" si="4710">GD$1*FK279/1000000</f>
        <v>0</v>
      </c>
      <c r="GE279" s="39">
        <f t="shared" si="4710"/>
        <v>0</v>
      </c>
      <c r="GF279" s="39">
        <f t="shared" si="4710"/>
        <v>0</v>
      </c>
      <c r="GG279" s="39">
        <f t="shared" si="4710"/>
        <v>0</v>
      </c>
      <c r="GH279" s="39">
        <f t="shared" si="4710"/>
        <v>0</v>
      </c>
      <c r="GI279" s="39">
        <f t="shared" ref="GI279:GJ279" si="4711">GI$1*FP279</f>
        <v>0</v>
      </c>
      <c r="GJ279" s="39">
        <f t="shared" si="4711"/>
        <v>0</v>
      </c>
      <c r="GK279" s="2"/>
      <c r="GL279" s="39">
        <f t="shared" si="4395"/>
        <v>0</v>
      </c>
      <c r="GM279" s="39">
        <f t="shared" si="4396"/>
        <v>0</v>
      </c>
      <c r="GN279" s="2" t="s">
        <v>3</v>
      </c>
      <c r="GO279" s="2">
        <f t="shared" si="4397"/>
        <v>244.6</v>
      </c>
      <c r="GP279" s="2">
        <f t="shared" si="4398"/>
        <v>0.70000000000000007</v>
      </c>
      <c r="GQ279" s="18">
        <f t="shared" si="4399"/>
        <v>1712.2000000000003</v>
      </c>
      <c r="GR279" s="15">
        <f t="shared" si="4400"/>
        <v>28129.366899999997</v>
      </c>
      <c r="GS279" s="15">
        <f t="shared" si="4401"/>
        <v>115.00149999999999</v>
      </c>
      <c r="GT279" s="2">
        <f t="shared" si="4402"/>
        <v>0</v>
      </c>
      <c r="GU279" s="2">
        <f t="shared" si="4403"/>
        <v>0</v>
      </c>
      <c r="GV279" s="2">
        <f t="shared" si="4404"/>
        <v>1712.2</v>
      </c>
      <c r="GW279" s="2">
        <f t="shared" si="4405"/>
        <v>0</v>
      </c>
      <c r="GX279" s="2"/>
      <c r="GY279" s="2"/>
      <c r="GZ279" s="2"/>
      <c r="HA279" s="2"/>
      <c r="HB279" s="2">
        <f t="shared" si="4406"/>
        <v>0</v>
      </c>
      <c r="HC279" s="2">
        <f t="shared" si="4407"/>
        <v>0</v>
      </c>
      <c r="HD279" s="2" t="s">
        <v>3</v>
      </c>
      <c r="HE279" s="2" t="s">
        <v>37</v>
      </c>
      <c r="HF279" s="2" t="s">
        <v>235</v>
      </c>
      <c r="HG279" s="2" t="s">
        <v>235</v>
      </c>
      <c r="HH279" s="2"/>
      <c r="HI279" s="2" t="s">
        <v>100</v>
      </c>
      <c r="HJ279" s="2" t="s">
        <v>3</v>
      </c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 t="s">
        <v>3</v>
      </c>
    </row>
    <row r="280" spans="1:268" ht="15.75" customHeight="1" x14ac:dyDescent="0.2">
      <c r="A280" s="13" t="s">
        <v>908</v>
      </c>
      <c r="B280" s="2" t="s">
        <v>99</v>
      </c>
      <c r="C280" s="2"/>
      <c r="D280" s="2"/>
      <c r="E280" s="2"/>
      <c r="F280" s="2" t="s">
        <v>79</v>
      </c>
      <c r="G280" s="2"/>
      <c r="H280" s="2"/>
      <c r="I280" s="2">
        <v>0</v>
      </c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>
        <v>0</v>
      </c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>
        <v>1.6950000000000001</v>
      </c>
      <c r="AZ280" s="2"/>
      <c r="BA280" s="2"/>
      <c r="BB280" s="2"/>
      <c r="BC280" s="2"/>
      <c r="BD280" s="2"/>
      <c r="BE280" s="2"/>
      <c r="BF280" s="2"/>
      <c r="BG280" s="2">
        <v>0.6</v>
      </c>
      <c r="BH280" s="2">
        <v>0.06</v>
      </c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>
        <v>0</v>
      </c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>
        <v>0</v>
      </c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 t="s">
        <v>100</v>
      </c>
      <c r="DK280" s="2" t="s">
        <v>100</v>
      </c>
      <c r="DL280" s="2">
        <f t="shared" si="4367"/>
        <v>0.59999999999999987</v>
      </c>
      <c r="DM280" s="2">
        <f t="shared" si="4368"/>
        <v>0.06</v>
      </c>
      <c r="DN280" s="2" t="s">
        <v>909</v>
      </c>
      <c r="DO280" s="2" t="s">
        <v>3</v>
      </c>
      <c r="DP280" s="2">
        <f t="shared" si="4369"/>
        <v>0</v>
      </c>
      <c r="DQ280" s="2">
        <f t="shared" ref="DQ280:DR280" si="4712">K280*$I280+AF280*$AD280+BA280*$AY280</f>
        <v>0</v>
      </c>
      <c r="DR280" s="2">
        <f t="shared" si="4712"/>
        <v>0</v>
      </c>
      <c r="DS280" s="2">
        <f t="shared" ref="DS280:DX280" si="4713">(M280*$I280+AH280*$AD280+BC280*$AY280)/100</f>
        <v>0</v>
      </c>
      <c r="DT280" s="2">
        <f t="shared" si="4713"/>
        <v>0</v>
      </c>
      <c r="DU280" s="2">
        <f t="shared" si="4713"/>
        <v>0</v>
      </c>
      <c r="DV280" s="2">
        <f t="shared" si="4713"/>
        <v>0</v>
      </c>
      <c r="DW280" s="2">
        <f t="shared" si="4713"/>
        <v>1.0169999999999998E-2</v>
      </c>
      <c r="DX280" s="2">
        <f t="shared" si="4713"/>
        <v>1.0169999999999999E-3</v>
      </c>
      <c r="DY280" s="2">
        <f t="shared" ref="DY280:EC280" si="4714">S280*$I280+AN280*$AD280+BI280*$AY280</f>
        <v>0</v>
      </c>
      <c r="DZ280" s="2">
        <f t="shared" si="4714"/>
        <v>0</v>
      </c>
      <c r="EA280" s="2">
        <f t="shared" si="4714"/>
        <v>0</v>
      </c>
      <c r="EB280" s="2">
        <f t="shared" si="4714"/>
        <v>0</v>
      </c>
      <c r="EC280" s="2">
        <f t="shared" si="4714"/>
        <v>0</v>
      </c>
      <c r="ED280" s="2">
        <f t="shared" ref="ED280:EE280" si="4715">(X280*$I280+AS280*$AD280+BN280*$AY280)/100</f>
        <v>0</v>
      </c>
      <c r="EE280" s="2">
        <f t="shared" si="4715"/>
        <v>0</v>
      </c>
      <c r="EF280" s="2"/>
      <c r="EG280" s="2">
        <f t="shared" si="4374"/>
        <v>0</v>
      </c>
      <c r="EH280" s="2">
        <f t="shared" si="4375"/>
        <v>0</v>
      </c>
      <c r="EI280" s="39">
        <f t="shared" si="4376"/>
        <v>0</v>
      </c>
      <c r="EJ280" s="39">
        <f t="shared" ref="EJ280:EK280" si="4716">EJ$1*DQ280/1000000</f>
        <v>0</v>
      </c>
      <c r="EK280" s="39">
        <f t="shared" si="4716"/>
        <v>0</v>
      </c>
      <c r="EL280" s="39">
        <f t="shared" ref="EL280:EQ280" si="4717">EL$1*DS280</f>
        <v>0</v>
      </c>
      <c r="EM280" s="39">
        <f t="shared" si="4717"/>
        <v>0</v>
      </c>
      <c r="EN280" s="39">
        <f t="shared" si="4717"/>
        <v>0</v>
      </c>
      <c r="EO280" s="39">
        <f t="shared" si="4717"/>
        <v>0</v>
      </c>
      <c r="EP280" s="39">
        <f t="shared" si="4717"/>
        <v>133.36937999999998</v>
      </c>
      <c r="EQ280" s="39">
        <f t="shared" si="4717"/>
        <v>73.854055907999978</v>
      </c>
      <c r="ER280" s="39">
        <f t="shared" ref="ER280:EV280" si="4718">ER$1*DY280/1000000</f>
        <v>0</v>
      </c>
      <c r="ES280" s="39">
        <f t="shared" si="4718"/>
        <v>0</v>
      </c>
      <c r="ET280" s="39">
        <f t="shared" si="4718"/>
        <v>0</v>
      </c>
      <c r="EU280" s="39">
        <f t="shared" si="4718"/>
        <v>0</v>
      </c>
      <c r="EV280" s="39">
        <f t="shared" si="4718"/>
        <v>0</v>
      </c>
      <c r="EW280" s="39">
        <f t="shared" ref="EW280:EX280" si="4719">EW$1*ED280</f>
        <v>0</v>
      </c>
      <c r="EX280" s="39">
        <f t="shared" si="4719"/>
        <v>0</v>
      </c>
      <c r="EY280" s="2"/>
      <c r="EZ280" s="39">
        <f t="shared" si="4381"/>
        <v>0</v>
      </c>
      <c r="FA280" s="39">
        <f t="shared" si="4382"/>
        <v>0</v>
      </c>
      <c r="FB280" s="2">
        <f t="shared" si="4383"/>
        <v>0</v>
      </c>
      <c r="FC280" s="2">
        <f t="shared" ref="FC280:FD280" si="4720">BV280*$BT280+CQ280*$CO280</f>
        <v>0</v>
      </c>
      <c r="FD280" s="2">
        <f t="shared" si="4720"/>
        <v>0</v>
      </c>
      <c r="FE280" s="2">
        <f t="shared" ref="FE280:FJ280" si="4721">(BX280*$BT280+CS280*$CO280)/100</f>
        <v>0</v>
      </c>
      <c r="FF280" s="2">
        <f t="shared" si="4721"/>
        <v>0</v>
      </c>
      <c r="FG280" s="2">
        <f t="shared" si="4721"/>
        <v>0</v>
      </c>
      <c r="FH280" s="2">
        <f t="shared" si="4721"/>
        <v>0</v>
      </c>
      <c r="FI280" s="2">
        <f t="shared" si="4721"/>
        <v>0</v>
      </c>
      <c r="FJ280" s="2">
        <f t="shared" si="4721"/>
        <v>0</v>
      </c>
      <c r="FK280" s="2">
        <f t="shared" ref="FK280:FO280" si="4722">CD280*$BT280+CY280*$CO280</f>
        <v>0</v>
      </c>
      <c r="FL280" s="2">
        <f t="shared" si="4722"/>
        <v>0</v>
      </c>
      <c r="FM280" s="2">
        <f t="shared" si="4722"/>
        <v>0</v>
      </c>
      <c r="FN280" s="2">
        <f t="shared" si="4722"/>
        <v>0</v>
      </c>
      <c r="FO280" s="2">
        <f t="shared" si="4722"/>
        <v>0</v>
      </c>
      <c r="FP280" s="2">
        <f t="shared" ref="FP280:FQ280" si="4723">(CI280*$BT280+DD280*$CO280)/100</f>
        <v>0</v>
      </c>
      <c r="FQ280" s="2">
        <f t="shared" si="4723"/>
        <v>0</v>
      </c>
      <c r="FR280" s="2"/>
      <c r="FS280" s="2">
        <f t="shared" si="4388"/>
        <v>0</v>
      </c>
      <c r="FT280" s="2">
        <f t="shared" si="4389"/>
        <v>0</v>
      </c>
      <c r="FU280" s="39">
        <f t="shared" si="4390"/>
        <v>0</v>
      </c>
      <c r="FV280" s="39">
        <f t="shared" ref="FV280:FW280" si="4724">FV$1*FC280/1000000</f>
        <v>0</v>
      </c>
      <c r="FW280" s="39">
        <f t="shared" si="4724"/>
        <v>0</v>
      </c>
      <c r="FX280" s="39">
        <f t="shared" ref="FX280:GC280" si="4725">FX$1*FE280</f>
        <v>0</v>
      </c>
      <c r="FY280" s="39">
        <f t="shared" si="4725"/>
        <v>0</v>
      </c>
      <c r="FZ280" s="39">
        <f t="shared" si="4725"/>
        <v>0</v>
      </c>
      <c r="GA280" s="39">
        <f t="shared" si="4725"/>
        <v>0</v>
      </c>
      <c r="GB280" s="39">
        <f t="shared" si="4725"/>
        <v>0</v>
      </c>
      <c r="GC280" s="39">
        <f t="shared" si="4725"/>
        <v>0</v>
      </c>
      <c r="GD280" s="39">
        <f t="shared" ref="GD280:GH280" si="4726">GD$1*FK280/1000000</f>
        <v>0</v>
      </c>
      <c r="GE280" s="39">
        <f t="shared" si="4726"/>
        <v>0</v>
      </c>
      <c r="GF280" s="39">
        <f t="shared" si="4726"/>
        <v>0</v>
      </c>
      <c r="GG280" s="39">
        <f t="shared" si="4726"/>
        <v>0</v>
      </c>
      <c r="GH280" s="39">
        <f t="shared" si="4726"/>
        <v>0</v>
      </c>
      <c r="GI280" s="39">
        <f t="shared" ref="GI280:GJ280" si="4727">GI$1*FP280</f>
        <v>0</v>
      </c>
      <c r="GJ280" s="39">
        <f t="shared" si="4727"/>
        <v>0</v>
      </c>
      <c r="GK280" s="2"/>
      <c r="GL280" s="39">
        <f t="shared" si="4395"/>
        <v>0</v>
      </c>
      <c r="GM280" s="39">
        <f t="shared" si="4396"/>
        <v>0</v>
      </c>
      <c r="GN280" s="2" t="s">
        <v>3</v>
      </c>
      <c r="GO280" s="2">
        <f t="shared" si="4397"/>
        <v>1.6950000000000001</v>
      </c>
      <c r="GP280" s="2">
        <f t="shared" si="4398"/>
        <v>0.59999999999999987</v>
      </c>
      <c r="GQ280" s="15">
        <f t="shared" si="4399"/>
        <v>10.169999999999998</v>
      </c>
      <c r="GR280" s="15">
        <f t="shared" si="4400"/>
        <v>207.22343590799994</v>
      </c>
      <c r="GS280" s="15">
        <f t="shared" si="4401"/>
        <v>122.25571439999996</v>
      </c>
      <c r="GT280" s="2">
        <f t="shared" si="4402"/>
        <v>0</v>
      </c>
      <c r="GU280" s="2">
        <f t="shared" si="4403"/>
        <v>0</v>
      </c>
      <c r="GV280" s="2">
        <f t="shared" si="4404"/>
        <v>10.169999999999998</v>
      </c>
      <c r="GW280" s="2">
        <f t="shared" si="4405"/>
        <v>0</v>
      </c>
      <c r="GX280" s="2"/>
      <c r="GY280" s="2"/>
      <c r="GZ280" s="2"/>
      <c r="HA280" s="2"/>
      <c r="HB280" s="2">
        <f t="shared" si="4406"/>
        <v>0</v>
      </c>
      <c r="HC280" s="2">
        <f t="shared" si="4407"/>
        <v>0</v>
      </c>
      <c r="HD280" s="2" t="s">
        <v>3</v>
      </c>
      <c r="HE280" s="2" t="s">
        <v>37</v>
      </c>
      <c r="HF280" s="2" t="s">
        <v>235</v>
      </c>
      <c r="HG280" s="2" t="s">
        <v>235</v>
      </c>
      <c r="HH280" s="2"/>
      <c r="HI280" s="2" t="s">
        <v>100</v>
      </c>
      <c r="HJ280" s="2" t="s">
        <v>3</v>
      </c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 t="s">
        <v>3</v>
      </c>
    </row>
    <row r="281" spans="1:268" ht="15.75" customHeight="1" x14ac:dyDescent="0.2">
      <c r="A281" s="13" t="s">
        <v>397</v>
      </c>
      <c r="B281" s="2" t="s">
        <v>99</v>
      </c>
      <c r="C281" s="2"/>
      <c r="D281" s="2"/>
      <c r="E281" s="2" t="s">
        <v>78</v>
      </c>
      <c r="F281" s="2" t="s">
        <v>79</v>
      </c>
      <c r="G281" s="2"/>
      <c r="H281" s="2" t="s">
        <v>292</v>
      </c>
      <c r="I281" s="2">
        <v>0</v>
      </c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>
        <v>0</v>
      </c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>
        <v>13</v>
      </c>
      <c r="AZ281" s="2"/>
      <c r="BA281" s="2"/>
      <c r="BB281" s="2"/>
      <c r="BC281" s="2"/>
      <c r="BD281" s="2"/>
      <c r="BE281" s="2"/>
      <c r="BF281" s="2"/>
      <c r="BG281" s="2">
        <v>1.31</v>
      </c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>
        <v>0</v>
      </c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>
        <v>0</v>
      </c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 t="s">
        <v>100</v>
      </c>
      <c r="DK281" s="2"/>
      <c r="DL281" s="2">
        <f t="shared" si="4367"/>
        <v>1.31</v>
      </c>
      <c r="DM281" s="2">
        <f t="shared" si="4368"/>
        <v>0</v>
      </c>
      <c r="DN281" s="2" t="s">
        <v>113</v>
      </c>
      <c r="DO281" s="2" t="s">
        <v>3</v>
      </c>
      <c r="DP281" s="2">
        <f t="shared" si="4369"/>
        <v>0</v>
      </c>
      <c r="DQ281" s="2">
        <f t="shared" ref="DQ281:DR281" si="4728">K281*$I281+AF281*$AD281+BA281*$AY281</f>
        <v>0</v>
      </c>
      <c r="DR281" s="2">
        <f t="shared" si="4728"/>
        <v>0</v>
      </c>
      <c r="DS281" s="2">
        <f t="shared" ref="DS281:DX281" si="4729">(M281*$I281+AH281*$AD281+BC281*$AY281)/100</f>
        <v>0</v>
      </c>
      <c r="DT281" s="2">
        <f t="shared" si="4729"/>
        <v>0</v>
      </c>
      <c r="DU281" s="2">
        <f t="shared" si="4729"/>
        <v>0</v>
      </c>
      <c r="DV281" s="2">
        <f t="shared" si="4729"/>
        <v>0</v>
      </c>
      <c r="DW281" s="2">
        <f t="shared" si="4729"/>
        <v>0.17030000000000001</v>
      </c>
      <c r="DX281" s="2">
        <f t="shared" si="4729"/>
        <v>0</v>
      </c>
      <c r="DY281" s="2">
        <f t="shared" ref="DY281:EC281" si="4730">S281*$I281+AN281*$AD281+BI281*$AY281</f>
        <v>0</v>
      </c>
      <c r="DZ281" s="2">
        <f t="shared" si="4730"/>
        <v>0</v>
      </c>
      <c r="EA281" s="2">
        <f t="shared" si="4730"/>
        <v>0</v>
      </c>
      <c r="EB281" s="2">
        <f t="shared" si="4730"/>
        <v>0</v>
      </c>
      <c r="EC281" s="2">
        <f t="shared" si="4730"/>
        <v>0</v>
      </c>
      <c r="ED281" s="2">
        <f t="shared" ref="ED281:EE281" si="4731">(X281*$I281+AS281*$AD281+BN281*$AY281)/100</f>
        <v>0</v>
      </c>
      <c r="EE281" s="2">
        <f t="shared" si="4731"/>
        <v>0</v>
      </c>
      <c r="EF281" s="2"/>
      <c r="EG281" s="2">
        <f t="shared" si="4374"/>
        <v>0</v>
      </c>
      <c r="EH281" s="2">
        <f t="shared" si="4375"/>
        <v>0</v>
      </c>
      <c r="EI281" s="39">
        <f t="shared" si="4376"/>
        <v>0</v>
      </c>
      <c r="EJ281" s="39">
        <f t="shared" ref="EJ281:EK281" si="4732">EJ$1*DQ281/1000000</f>
        <v>0</v>
      </c>
      <c r="EK281" s="39">
        <f t="shared" si="4732"/>
        <v>0</v>
      </c>
      <c r="EL281" s="39">
        <f t="shared" ref="EL281:EQ281" si="4733">EL$1*DS281</f>
        <v>0</v>
      </c>
      <c r="EM281" s="39">
        <f t="shared" si="4733"/>
        <v>0</v>
      </c>
      <c r="EN281" s="39">
        <f t="shared" si="4733"/>
        <v>0</v>
      </c>
      <c r="EO281" s="39">
        <f t="shared" si="4733"/>
        <v>0</v>
      </c>
      <c r="EP281" s="39">
        <f t="shared" si="4733"/>
        <v>2233.3142000000003</v>
      </c>
      <c r="EQ281" s="39">
        <f t="shared" si="4733"/>
        <v>0</v>
      </c>
      <c r="ER281" s="39">
        <f t="shared" ref="ER281:EV281" si="4734">ER$1*DY281/1000000</f>
        <v>0</v>
      </c>
      <c r="ES281" s="39">
        <f t="shared" si="4734"/>
        <v>0</v>
      </c>
      <c r="ET281" s="39">
        <f t="shared" si="4734"/>
        <v>0</v>
      </c>
      <c r="EU281" s="39">
        <f t="shared" si="4734"/>
        <v>0</v>
      </c>
      <c r="EV281" s="39">
        <f t="shared" si="4734"/>
        <v>0</v>
      </c>
      <c r="EW281" s="39">
        <f t="shared" ref="EW281:EX281" si="4735">EW$1*ED281</f>
        <v>0</v>
      </c>
      <c r="EX281" s="39">
        <f t="shared" si="4735"/>
        <v>0</v>
      </c>
      <c r="EY281" s="2"/>
      <c r="EZ281" s="39">
        <f t="shared" si="4381"/>
        <v>0</v>
      </c>
      <c r="FA281" s="39">
        <f t="shared" si="4382"/>
        <v>0</v>
      </c>
      <c r="FB281" s="2">
        <f t="shared" si="4383"/>
        <v>0</v>
      </c>
      <c r="FC281" s="2">
        <f t="shared" ref="FC281:FD281" si="4736">BV281*$BT281+CQ281*$CO281</f>
        <v>0</v>
      </c>
      <c r="FD281" s="2">
        <f t="shared" si="4736"/>
        <v>0</v>
      </c>
      <c r="FE281" s="2">
        <f t="shared" ref="FE281:FJ281" si="4737">(BX281*$BT281+CS281*$CO281)/100</f>
        <v>0</v>
      </c>
      <c r="FF281" s="2">
        <f t="shared" si="4737"/>
        <v>0</v>
      </c>
      <c r="FG281" s="2">
        <f t="shared" si="4737"/>
        <v>0</v>
      </c>
      <c r="FH281" s="2">
        <f t="shared" si="4737"/>
        <v>0</v>
      </c>
      <c r="FI281" s="2">
        <f t="shared" si="4737"/>
        <v>0</v>
      </c>
      <c r="FJ281" s="2">
        <f t="shared" si="4737"/>
        <v>0</v>
      </c>
      <c r="FK281" s="2">
        <f t="shared" ref="FK281:FO281" si="4738">CD281*$BT281+CY281*$CO281</f>
        <v>0</v>
      </c>
      <c r="FL281" s="2">
        <f t="shared" si="4738"/>
        <v>0</v>
      </c>
      <c r="FM281" s="2">
        <f t="shared" si="4738"/>
        <v>0</v>
      </c>
      <c r="FN281" s="2">
        <f t="shared" si="4738"/>
        <v>0</v>
      </c>
      <c r="FO281" s="2">
        <f t="shared" si="4738"/>
        <v>0</v>
      </c>
      <c r="FP281" s="2">
        <f t="shared" ref="FP281:FQ281" si="4739">(CI281*$BT281+DD281*$CO281)/100</f>
        <v>0</v>
      </c>
      <c r="FQ281" s="2">
        <f t="shared" si="4739"/>
        <v>0</v>
      </c>
      <c r="FR281" s="2"/>
      <c r="FS281" s="2">
        <f t="shared" si="4388"/>
        <v>0</v>
      </c>
      <c r="FT281" s="2">
        <f t="shared" si="4389"/>
        <v>0</v>
      </c>
      <c r="FU281" s="39">
        <f t="shared" si="4390"/>
        <v>0</v>
      </c>
      <c r="FV281" s="39">
        <f t="shared" ref="FV281:FW281" si="4740">FV$1*FC281/1000000</f>
        <v>0</v>
      </c>
      <c r="FW281" s="39">
        <f t="shared" si="4740"/>
        <v>0</v>
      </c>
      <c r="FX281" s="39">
        <f t="shared" ref="FX281:GC281" si="4741">FX$1*FE281</f>
        <v>0</v>
      </c>
      <c r="FY281" s="39">
        <f t="shared" si="4741"/>
        <v>0</v>
      </c>
      <c r="FZ281" s="39">
        <f t="shared" si="4741"/>
        <v>0</v>
      </c>
      <c r="GA281" s="39">
        <f t="shared" si="4741"/>
        <v>0</v>
      </c>
      <c r="GB281" s="39">
        <f t="shared" si="4741"/>
        <v>0</v>
      </c>
      <c r="GC281" s="39">
        <f t="shared" si="4741"/>
        <v>0</v>
      </c>
      <c r="GD281" s="39">
        <f t="shared" ref="GD281:GH281" si="4742">GD$1*FK281/1000000</f>
        <v>0</v>
      </c>
      <c r="GE281" s="39">
        <f t="shared" si="4742"/>
        <v>0</v>
      </c>
      <c r="GF281" s="39">
        <f t="shared" si="4742"/>
        <v>0</v>
      </c>
      <c r="GG281" s="39">
        <f t="shared" si="4742"/>
        <v>0</v>
      </c>
      <c r="GH281" s="39">
        <f t="shared" si="4742"/>
        <v>0</v>
      </c>
      <c r="GI281" s="39">
        <f t="shared" ref="GI281:GJ281" si="4743">GI$1*FP281</f>
        <v>0</v>
      </c>
      <c r="GJ281" s="39">
        <f t="shared" si="4743"/>
        <v>0</v>
      </c>
      <c r="GK281" s="2"/>
      <c r="GL281" s="39">
        <f t="shared" si="4395"/>
        <v>0</v>
      </c>
      <c r="GM281" s="39">
        <f t="shared" si="4396"/>
        <v>0</v>
      </c>
      <c r="GN281" s="2" t="s">
        <v>3</v>
      </c>
      <c r="GO281" s="2">
        <f t="shared" si="4397"/>
        <v>13</v>
      </c>
      <c r="GP281" s="4">
        <f t="shared" si="4398"/>
        <v>1.31</v>
      </c>
      <c r="GQ281" s="15">
        <f t="shared" si="4399"/>
        <v>170.3</v>
      </c>
      <c r="GR281" s="15">
        <f t="shared" si="4400"/>
        <v>2233.3142000000003</v>
      </c>
      <c r="GS281" s="15">
        <f t="shared" si="4401"/>
        <v>171.79340000000002</v>
      </c>
      <c r="GT281" s="2">
        <f t="shared" si="4402"/>
        <v>0</v>
      </c>
      <c r="GU281" s="2">
        <f t="shared" si="4403"/>
        <v>0</v>
      </c>
      <c r="GV281" s="2">
        <f t="shared" si="4404"/>
        <v>170.3</v>
      </c>
      <c r="GW281" s="2">
        <f t="shared" si="4405"/>
        <v>0</v>
      </c>
      <c r="GX281" s="2"/>
      <c r="GY281" s="2"/>
      <c r="GZ281" s="2"/>
      <c r="HA281" s="2"/>
      <c r="HB281" s="2">
        <f t="shared" si="4406"/>
        <v>0</v>
      </c>
      <c r="HC281" s="2">
        <f t="shared" si="4407"/>
        <v>0</v>
      </c>
      <c r="HD281" s="2" t="s">
        <v>3</v>
      </c>
      <c r="HE281" s="2" t="s">
        <v>37</v>
      </c>
      <c r="HF281" s="2" t="s">
        <v>235</v>
      </c>
      <c r="HG281" s="2"/>
      <c r="HH281" s="2"/>
      <c r="HI281" s="2" t="s">
        <v>100</v>
      </c>
      <c r="HJ281" s="2" t="s">
        <v>3</v>
      </c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 t="s">
        <v>3</v>
      </c>
    </row>
    <row r="282" spans="1:268" ht="15.75" customHeight="1" x14ac:dyDescent="0.2">
      <c r="A282" s="13" t="s">
        <v>486</v>
      </c>
      <c r="B282" s="2" t="s">
        <v>99</v>
      </c>
      <c r="C282" s="2"/>
      <c r="D282" s="2"/>
      <c r="E282" s="2" t="s">
        <v>78</v>
      </c>
      <c r="F282" s="2" t="s">
        <v>79</v>
      </c>
      <c r="G282" s="2"/>
      <c r="H282" s="2" t="s">
        <v>292</v>
      </c>
      <c r="I282" s="2">
        <v>0</v>
      </c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>
        <v>0</v>
      </c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>
        <v>27</v>
      </c>
      <c r="AZ282" s="2"/>
      <c r="BA282" s="2"/>
      <c r="BB282" s="2"/>
      <c r="BC282" s="2"/>
      <c r="BD282" s="2"/>
      <c r="BE282" s="2"/>
      <c r="BF282" s="2"/>
      <c r="BG282" s="2">
        <v>2.2000000000000002</v>
      </c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>
        <v>0</v>
      </c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>
        <v>0</v>
      </c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 t="s">
        <v>100</v>
      </c>
      <c r="DK282" s="2"/>
      <c r="DL282" s="2">
        <f t="shared" si="4367"/>
        <v>2.2000000000000002</v>
      </c>
      <c r="DM282" s="2">
        <f t="shared" si="4368"/>
        <v>0</v>
      </c>
      <c r="DN282" s="2" t="s">
        <v>113</v>
      </c>
      <c r="DO282" s="2" t="s">
        <v>3</v>
      </c>
      <c r="DP282" s="2">
        <f t="shared" si="4369"/>
        <v>0</v>
      </c>
      <c r="DQ282" s="2">
        <f t="shared" ref="DQ282:DR282" si="4744">K282*$I282+AF282*$AD282+BA282*$AY282</f>
        <v>0</v>
      </c>
      <c r="DR282" s="2">
        <f t="shared" si="4744"/>
        <v>0</v>
      </c>
      <c r="DS282" s="2">
        <f t="shared" ref="DS282:DX282" si="4745">(M282*$I282+AH282*$AD282+BC282*$AY282)/100</f>
        <v>0</v>
      </c>
      <c r="DT282" s="2">
        <f t="shared" si="4745"/>
        <v>0</v>
      </c>
      <c r="DU282" s="2">
        <f t="shared" si="4745"/>
        <v>0</v>
      </c>
      <c r="DV282" s="2">
        <f t="shared" si="4745"/>
        <v>0</v>
      </c>
      <c r="DW282" s="2">
        <f t="shared" si="4745"/>
        <v>0.59400000000000008</v>
      </c>
      <c r="DX282" s="2">
        <f t="shared" si="4745"/>
        <v>0</v>
      </c>
      <c r="DY282" s="2">
        <f t="shared" ref="DY282:EC282" si="4746">S282*$I282+AN282*$AD282+BI282*$AY282</f>
        <v>0</v>
      </c>
      <c r="DZ282" s="2">
        <f t="shared" si="4746"/>
        <v>0</v>
      </c>
      <c r="EA282" s="2">
        <f t="shared" si="4746"/>
        <v>0</v>
      </c>
      <c r="EB282" s="2">
        <f t="shared" si="4746"/>
        <v>0</v>
      </c>
      <c r="EC282" s="2">
        <f t="shared" si="4746"/>
        <v>0</v>
      </c>
      <c r="ED282" s="2">
        <f t="shared" ref="ED282:EE282" si="4747">(X282*$I282+AS282*$AD282+BN282*$AY282)/100</f>
        <v>0</v>
      </c>
      <c r="EE282" s="2">
        <f t="shared" si="4747"/>
        <v>0</v>
      </c>
      <c r="EF282" s="2"/>
      <c r="EG282" s="2">
        <f t="shared" si="4374"/>
        <v>0</v>
      </c>
      <c r="EH282" s="2">
        <f t="shared" si="4375"/>
        <v>0</v>
      </c>
      <c r="EI282" s="39">
        <f t="shared" si="4376"/>
        <v>0</v>
      </c>
      <c r="EJ282" s="39">
        <f t="shared" ref="EJ282:EK282" si="4748">EJ$1*DQ282/1000000</f>
        <v>0</v>
      </c>
      <c r="EK282" s="39">
        <f t="shared" si="4748"/>
        <v>0</v>
      </c>
      <c r="EL282" s="39">
        <f t="shared" ref="EL282:EQ282" si="4749">EL$1*DS282</f>
        <v>0</v>
      </c>
      <c r="EM282" s="39">
        <f t="shared" si="4749"/>
        <v>0</v>
      </c>
      <c r="EN282" s="39">
        <f t="shared" si="4749"/>
        <v>0</v>
      </c>
      <c r="EO282" s="39">
        <f t="shared" si="4749"/>
        <v>0</v>
      </c>
      <c r="EP282" s="39">
        <f t="shared" si="4749"/>
        <v>7789.7160000000013</v>
      </c>
      <c r="EQ282" s="39">
        <f t="shared" si="4749"/>
        <v>0</v>
      </c>
      <c r="ER282" s="39">
        <f t="shared" ref="ER282:EV282" si="4750">ER$1*DY282/1000000</f>
        <v>0</v>
      </c>
      <c r="ES282" s="39">
        <f t="shared" si="4750"/>
        <v>0</v>
      </c>
      <c r="ET282" s="39">
        <f t="shared" si="4750"/>
        <v>0</v>
      </c>
      <c r="EU282" s="39">
        <f t="shared" si="4750"/>
        <v>0</v>
      </c>
      <c r="EV282" s="39">
        <f t="shared" si="4750"/>
        <v>0</v>
      </c>
      <c r="EW282" s="39">
        <f t="shared" ref="EW282:EX282" si="4751">EW$1*ED282</f>
        <v>0</v>
      </c>
      <c r="EX282" s="39">
        <f t="shared" si="4751"/>
        <v>0</v>
      </c>
      <c r="EY282" s="2"/>
      <c r="EZ282" s="39">
        <f t="shared" si="4381"/>
        <v>0</v>
      </c>
      <c r="FA282" s="39">
        <f t="shared" si="4382"/>
        <v>0</v>
      </c>
      <c r="FB282" s="2">
        <f t="shared" si="4383"/>
        <v>0</v>
      </c>
      <c r="FC282" s="2">
        <f t="shared" ref="FC282:FD282" si="4752">BV282*$BT282+CQ282*$CO282</f>
        <v>0</v>
      </c>
      <c r="FD282" s="2">
        <f t="shared" si="4752"/>
        <v>0</v>
      </c>
      <c r="FE282" s="2">
        <f t="shared" ref="FE282:FJ282" si="4753">(BX282*$BT282+CS282*$CO282)/100</f>
        <v>0</v>
      </c>
      <c r="FF282" s="2">
        <f t="shared" si="4753"/>
        <v>0</v>
      </c>
      <c r="FG282" s="2">
        <f t="shared" si="4753"/>
        <v>0</v>
      </c>
      <c r="FH282" s="2">
        <f t="shared" si="4753"/>
        <v>0</v>
      </c>
      <c r="FI282" s="2">
        <f t="shared" si="4753"/>
        <v>0</v>
      </c>
      <c r="FJ282" s="2">
        <f t="shared" si="4753"/>
        <v>0</v>
      </c>
      <c r="FK282" s="2">
        <f t="shared" ref="FK282:FO282" si="4754">CD282*$BT282+CY282*$CO282</f>
        <v>0</v>
      </c>
      <c r="FL282" s="2">
        <f t="shared" si="4754"/>
        <v>0</v>
      </c>
      <c r="FM282" s="2">
        <f t="shared" si="4754"/>
        <v>0</v>
      </c>
      <c r="FN282" s="2">
        <f t="shared" si="4754"/>
        <v>0</v>
      </c>
      <c r="FO282" s="2">
        <f t="shared" si="4754"/>
        <v>0</v>
      </c>
      <c r="FP282" s="2">
        <f t="shared" ref="FP282:FQ282" si="4755">(CI282*$BT282+DD282*$CO282)/100</f>
        <v>0</v>
      </c>
      <c r="FQ282" s="2">
        <f t="shared" si="4755"/>
        <v>0</v>
      </c>
      <c r="FR282" s="2"/>
      <c r="FS282" s="2">
        <f t="shared" si="4388"/>
        <v>0</v>
      </c>
      <c r="FT282" s="2">
        <f t="shared" si="4389"/>
        <v>0</v>
      </c>
      <c r="FU282" s="39">
        <f t="shared" si="4390"/>
        <v>0</v>
      </c>
      <c r="FV282" s="39">
        <f t="shared" ref="FV282:FW282" si="4756">FV$1*FC282/1000000</f>
        <v>0</v>
      </c>
      <c r="FW282" s="39">
        <f t="shared" si="4756"/>
        <v>0</v>
      </c>
      <c r="FX282" s="39">
        <f t="shared" ref="FX282:GC282" si="4757">FX$1*FE282</f>
        <v>0</v>
      </c>
      <c r="FY282" s="39">
        <f t="shared" si="4757"/>
        <v>0</v>
      </c>
      <c r="FZ282" s="39">
        <f t="shared" si="4757"/>
        <v>0</v>
      </c>
      <c r="GA282" s="39">
        <f t="shared" si="4757"/>
        <v>0</v>
      </c>
      <c r="GB282" s="39">
        <f t="shared" si="4757"/>
        <v>0</v>
      </c>
      <c r="GC282" s="39">
        <f t="shared" si="4757"/>
        <v>0</v>
      </c>
      <c r="GD282" s="39">
        <f t="shared" ref="GD282:GH282" si="4758">GD$1*FK282/1000000</f>
        <v>0</v>
      </c>
      <c r="GE282" s="39">
        <f t="shared" si="4758"/>
        <v>0</v>
      </c>
      <c r="GF282" s="39">
        <f t="shared" si="4758"/>
        <v>0</v>
      </c>
      <c r="GG282" s="39">
        <f t="shared" si="4758"/>
        <v>0</v>
      </c>
      <c r="GH282" s="39">
        <f t="shared" si="4758"/>
        <v>0</v>
      </c>
      <c r="GI282" s="39">
        <f t="shared" ref="GI282:GJ282" si="4759">GI$1*FP282</f>
        <v>0</v>
      </c>
      <c r="GJ282" s="39">
        <f t="shared" si="4759"/>
        <v>0</v>
      </c>
      <c r="GK282" s="2"/>
      <c r="GL282" s="39">
        <f t="shared" si="4395"/>
        <v>0</v>
      </c>
      <c r="GM282" s="39">
        <f t="shared" si="4396"/>
        <v>0</v>
      </c>
      <c r="GN282" s="2" t="s">
        <v>3</v>
      </c>
      <c r="GO282" s="2">
        <f t="shared" si="4397"/>
        <v>27</v>
      </c>
      <c r="GP282" s="4">
        <f t="shared" si="4398"/>
        <v>2.2000000000000002</v>
      </c>
      <c r="GQ282" s="15">
        <f t="shared" si="4399"/>
        <v>594.00000000000011</v>
      </c>
      <c r="GR282" s="15">
        <f t="shared" si="4400"/>
        <v>7789.7160000000013</v>
      </c>
      <c r="GS282" s="15">
        <f t="shared" si="4401"/>
        <v>288.50800000000004</v>
      </c>
      <c r="GT282" s="2">
        <f t="shared" si="4402"/>
        <v>0</v>
      </c>
      <c r="GU282" s="2">
        <f t="shared" si="4403"/>
        <v>0</v>
      </c>
      <c r="GV282" s="2">
        <f t="shared" si="4404"/>
        <v>594.00000000000011</v>
      </c>
      <c r="GW282" s="2">
        <f t="shared" si="4405"/>
        <v>0</v>
      </c>
      <c r="GX282" s="2"/>
      <c r="GY282" s="2"/>
      <c r="GZ282" s="2"/>
      <c r="HA282" s="2"/>
      <c r="HB282" s="2">
        <f t="shared" si="4406"/>
        <v>0</v>
      </c>
      <c r="HC282" s="2">
        <f t="shared" si="4407"/>
        <v>0</v>
      </c>
      <c r="HD282" s="2" t="s">
        <v>3</v>
      </c>
      <c r="HE282" s="2" t="s">
        <v>37</v>
      </c>
      <c r="HF282" s="2" t="s">
        <v>235</v>
      </c>
      <c r="HG282" s="2"/>
      <c r="HH282" s="2"/>
      <c r="HI282" s="2" t="s">
        <v>100</v>
      </c>
      <c r="HJ282" s="2" t="s">
        <v>3</v>
      </c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 t="s">
        <v>3</v>
      </c>
    </row>
    <row r="283" spans="1:268" ht="15.75" customHeight="1" x14ac:dyDescent="0.2">
      <c r="A283" s="13" t="s">
        <v>754</v>
      </c>
      <c r="B283" s="2" t="s">
        <v>99</v>
      </c>
      <c r="C283" s="2"/>
      <c r="D283" s="2"/>
      <c r="E283" s="2" t="s">
        <v>78</v>
      </c>
      <c r="F283" s="2" t="s">
        <v>79</v>
      </c>
      <c r="G283" s="2"/>
      <c r="H283" s="2"/>
      <c r="I283" s="2">
        <v>0</v>
      </c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>
        <v>0</v>
      </c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>
        <v>87</v>
      </c>
      <c r="AZ283" s="2"/>
      <c r="BA283" s="2"/>
      <c r="BB283" s="2"/>
      <c r="BC283" s="2"/>
      <c r="BD283" s="2"/>
      <c r="BE283" s="2"/>
      <c r="BF283" s="2"/>
      <c r="BG283" s="2">
        <v>1.37</v>
      </c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>
        <v>0</v>
      </c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>
        <v>0</v>
      </c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 t="s">
        <v>100</v>
      </c>
      <c r="DK283" s="2"/>
      <c r="DL283" s="2">
        <f t="shared" si="4367"/>
        <v>1.37</v>
      </c>
      <c r="DM283" s="2">
        <f t="shared" si="4368"/>
        <v>0</v>
      </c>
      <c r="DN283" s="2" t="s">
        <v>113</v>
      </c>
      <c r="DO283" s="2" t="s">
        <v>3</v>
      </c>
      <c r="DP283" s="2">
        <f t="shared" si="4369"/>
        <v>0</v>
      </c>
      <c r="DQ283" s="2">
        <f t="shared" ref="DQ283:DR283" si="4760">K283*$I283+AF283*$AD283+BA283*$AY283</f>
        <v>0</v>
      </c>
      <c r="DR283" s="2">
        <f t="shared" si="4760"/>
        <v>0</v>
      </c>
      <c r="DS283" s="2">
        <f t="shared" ref="DS283:DX283" si="4761">(M283*$I283+AH283*$AD283+BC283*$AY283)/100</f>
        <v>0</v>
      </c>
      <c r="DT283" s="2">
        <f t="shared" si="4761"/>
        <v>0</v>
      </c>
      <c r="DU283" s="2">
        <f t="shared" si="4761"/>
        <v>0</v>
      </c>
      <c r="DV283" s="2">
        <f t="shared" si="4761"/>
        <v>0</v>
      </c>
      <c r="DW283" s="2">
        <f t="shared" si="4761"/>
        <v>1.1919000000000002</v>
      </c>
      <c r="DX283" s="2">
        <f t="shared" si="4761"/>
        <v>0</v>
      </c>
      <c r="DY283" s="2">
        <f t="shared" ref="DY283:EC283" si="4762">S283*$I283+AN283*$AD283+BI283*$AY283</f>
        <v>0</v>
      </c>
      <c r="DZ283" s="2">
        <f t="shared" si="4762"/>
        <v>0</v>
      </c>
      <c r="EA283" s="2">
        <f t="shared" si="4762"/>
        <v>0</v>
      </c>
      <c r="EB283" s="2">
        <f t="shared" si="4762"/>
        <v>0</v>
      </c>
      <c r="EC283" s="2">
        <f t="shared" si="4762"/>
        <v>0</v>
      </c>
      <c r="ED283" s="2">
        <f t="shared" ref="ED283:EE283" si="4763">(X283*$I283+AS283*$AD283+BN283*$AY283)/100</f>
        <v>0</v>
      </c>
      <c r="EE283" s="2">
        <f t="shared" si="4763"/>
        <v>0</v>
      </c>
      <c r="EF283" s="2"/>
      <c r="EG283" s="2">
        <f t="shared" si="4374"/>
        <v>0</v>
      </c>
      <c r="EH283" s="2">
        <f t="shared" si="4375"/>
        <v>0</v>
      </c>
      <c r="EI283" s="39">
        <f t="shared" si="4376"/>
        <v>0</v>
      </c>
      <c r="EJ283" s="39">
        <f t="shared" ref="EJ283:EK283" si="4764">EJ$1*DQ283/1000000</f>
        <v>0</v>
      </c>
      <c r="EK283" s="39">
        <f t="shared" si="4764"/>
        <v>0</v>
      </c>
      <c r="EL283" s="39">
        <f t="shared" ref="EL283:EQ283" si="4765">EL$1*DS283</f>
        <v>0</v>
      </c>
      <c r="EM283" s="39">
        <f t="shared" si="4765"/>
        <v>0</v>
      </c>
      <c r="EN283" s="39">
        <f t="shared" si="4765"/>
        <v>0</v>
      </c>
      <c r="EO283" s="39">
        <f t="shared" si="4765"/>
        <v>0</v>
      </c>
      <c r="EP283" s="39">
        <f t="shared" si="4765"/>
        <v>15630.576600000002</v>
      </c>
      <c r="EQ283" s="39">
        <f t="shared" si="4765"/>
        <v>0</v>
      </c>
      <c r="ER283" s="39">
        <f t="shared" ref="ER283:EV283" si="4766">ER$1*DY283/1000000</f>
        <v>0</v>
      </c>
      <c r="ES283" s="39">
        <f t="shared" si="4766"/>
        <v>0</v>
      </c>
      <c r="ET283" s="39">
        <f t="shared" si="4766"/>
        <v>0</v>
      </c>
      <c r="EU283" s="39">
        <f t="shared" si="4766"/>
        <v>0</v>
      </c>
      <c r="EV283" s="39">
        <f t="shared" si="4766"/>
        <v>0</v>
      </c>
      <c r="EW283" s="39">
        <f t="shared" ref="EW283:EX283" si="4767">EW$1*ED283</f>
        <v>0</v>
      </c>
      <c r="EX283" s="39">
        <f t="shared" si="4767"/>
        <v>0</v>
      </c>
      <c r="EY283" s="2"/>
      <c r="EZ283" s="39">
        <f t="shared" si="4381"/>
        <v>0</v>
      </c>
      <c r="FA283" s="39">
        <f t="shared" si="4382"/>
        <v>0</v>
      </c>
      <c r="FB283" s="2">
        <f t="shared" si="4383"/>
        <v>0</v>
      </c>
      <c r="FC283" s="2">
        <f t="shared" ref="FC283:FD283" si="4768">BV283*$BT283+CQ283*$CO283</f>
        <v>0</v>
      </c>
      <c r="FD283" s="2">
        <f t="shared" si="4768"/>
        <v>0</v>
      </c>
      <c r="FE283" s="2">
        <f t="shared" ref="FE283:FJ283" si="4769">(BX283*$BT283+CS283*$CO283)/100</f>
        <v>0</v>
      </c>
      <c r="FF283" s="2">
        <f t="shared" si="4769"/>
        <v>0</v>
      </c>
      <c r="FG283" s="2">
        <f t="shared" si="4769"/>
        <v>0</v>
      </c>
      <c r="FH283" s="2">
        <f t="shared" si="4769"/>
        <v>0</v>
      </c>
      <c r="FI283" s="2">
        <f t="shared" si="4769"/>
        <v>0</v>
      </c>
      <c r="FJ283" s="2">
        <f t="shared" si="4769"/>
        <v>0</v>
      </c>
      <c r="FK283" s="2">
        <f t="shared" ref="FK283:FO283" si="4770">CD283*$BT283+CY283*$CO283</f>
        <v>0</v>
      </c>
      <c r="FL283" s="2">
        <f t="shared" si="4770"/>
        <v>0</v>
      </c>
      <c r="FM283" s="2">
        <f t="shared" si="4770"/>
        <v>0</v>
      </c>
      <c r="FN283" s="2">
        <f t="shared" si="4770"/>
        <v>0</v>
      </c>
      <c r="FO283" s="2">
        <f t="shared" si="4770"/>
        <v>0</v>
      </c>
      <c r="FP283" s="2">
        <f t="shared" ref="FP283:FQ283" si="4771">(CI283*$BT283+DD283*$CO283)/100</f>
        <v>0</v>
      </c>
      <c r="FQ283" s="2">
        <f t="shared" si="4771"/>
        <v>0</v>
      </c>
      <c r="FR283" s="2"/>
      <c r="FS283" s="2">
        <f t="shared" si="4388"/>
        <v>0</v>
      </c>
      <c r="FT283" s="2">
        <f t="shared" si="4389"/>
        <v>0</v>
      </c>
      <c r="FU283" s="39">
        <f t="shared" si="4390"/>
        <v>0</v>
      </c>
      <c r="FV283" s="39">
        <f t="shared" ref="FV283:FW283" si="4772">FV$1*FC283/1000000</f>
        <v>0</v>
      </c>
      <c r="FW283" s="39">
        <f t="shared" si="4772"/>
        <v>0</v>
      </c>
      <c r="FX283" s="39">
        <f t="shared" ref="FX283:GC283" si="4773">FX$1*FE283</f>
        <v>0</v>
      </c>
      <c r="FY283" s="39">
        <f t="shared" si="4773"/>
        <v>0</v>
      </c>
      <c r="FZ283" s="39">
        <f t="shared" si="4773"/>
        <v>0</v>
      </c>
      <c r="GA283" s="39">
        <f t="shared" si="4773"/>
        <v>0</v>
      </c>
      <c r="GB283" s="39">
        <f t="shared" si="4773"/>
        <v>0</v>
      </c>
      <c r="GC283" s="39">
        <f t="shared" si="4773"/>
        <v>0</v>
      </c>
      <c r="GD283" s="39">
        <f t="shared" ref="GD283:GH283" si="4774">GD$1*FK283/1000000</f>
        <v>0</v>
      </c>
      <c r="GE283" s="39">
        <f t="shared" si="4774"/>
        <v>0</v>
      </c>
      <c r="GF283" s="39">
        <f t="shared" si="4774"/>
        <v>0</v>
      </c>
      <c r="GG283" s="39">
        <f t="shared" si="4774"/>
        <v>0</v>
      </c>
      <c r="GH283" s="39">
        <f t="shared" si="4774"/>
        <v>0</v>
      </c>
      <c r="GI283" s="39">
        <f t="shared" ref="GI283:GJ283" si="4775">GI$1*FP283</f>
        <v>0</v>
      </c>
      <c r="GJ283" s="39">
        <f t="shared" si="4775"/>
        <v>0</v>
      </c>
      <c r="GK283" s="2"/>
      <c r="GL283" s="39">
        <f t="shared" si="4395"/>
        <v>0</v>
      </c>
      <c r="GM283" s="39">
        <f t="shared" si="4396"/>
        <v>0</v>
      </c>
      <c r="GN283" s="2" t="s">
        <v>3</v>
      </c>
      <c r="GO283" s="2">
        <f t="shared" si="4397"/>
        <v>87</v>
      </c>
      <c r="GP283" s="4">
        <f t="shared" si="4398"/>
        <v>1.37</v>
      </c>
      <c r="GQ283" s="18">
        <f t="shared" si="4399"/>
        <v>1191.9000000000001</v>
      </c>
      <c r="GR283" s="15">
        <f t="shared" si="4400"/>
        <v>15630.576600000002</v>
      </c>
      <c r="GS283" s="15">
        <f t="shared" si="4401"/>
        <v>179.66180000000003</v>
      </c>
      <c r="GT283" s="2">
        <f t="shared" si="4402"/>
        <v>0</v>
      </c>
      <c r="GU283" s="2">
        <f t="shared" si="4403"/>
        <v>0</v>
      </c>
      <c r="GV283" s="2">
        <f t="shared" si="4404"/>
        <v>1191.9000000000001</v>
      </c>
      <c r="GW283" s="2">
        <f t="shared" si="4405"/>
        <v>0</v>
      </c>
      <c r="GX283" s="2"/>
      <c r="GY283" s="2"/>
      <c r="GZ283" s="2"/>
      <c r="HA283" s="2"/>
      <c r="HB283" s="2">
        <f t="shared" si="4406"/>
        <v>0</v>
      </c>
      <c r="HC283" s="2">
        <f t="shared" si="4407"/>
        <v>0</v>
      </c>
      <c r="HD283" s="2" t="s">
        <v>3</v>
      </c>
      <c r="HE283" s="2" t="s">
        <v>37</v>
      </c>
      <c r="HF283" s="2" t="s">
        <v>151</v>
      </c>
      <c r="HG283" s="2"/>
      <c r="HH283" s="2"/>
      <c r="HI283" s="2" t="s">
        <v>100</v>
      </c>
      <c r="HJ283" s="2" t="s">
        <v>3</v>
      </c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 t="s">
        <v>3</v>
      </c>
    </row>
    <row r="284" spans="1:268" ht="15.75" customHeight="1" x14ac:dyDescent="0.2">
      <c r="A284" s="13" t="s">
        <v>802</v>
      </c>
      <c r="B284" s="2" t="s">
        <v>99</v>
      </c>
      <c r="C284" s="2"/>
      <c r="D284" s="2"/>
      <c r="E284" s="2" t="s">
        <v>78</v>
      </c>
      <c r="F284" s="2" t="s">
        <v>79</v>
      </c>
      <c r="G284" s="2"/>
      <c r="H284" s="2" t="s">
        <v>292</v>
      </c>
      <c r="I284" s="2">
        <v>0</v>
      </c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>
        <v>0</v>
      </c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>
        <v>24</v>
      </c>
      <c r="AZ284" s="2"/>
      <c r="BA284" s="2"/>
      <c r="BB284" s="2"/>
      <c r="BC284" s="2"/>
      <c r="BD284" s="2"/>
      <c r="BE284" s="2"/>
      <c r="BF284" s="2"/>
      <c r="BG284" s="2">
        <v>1.68</v>
      </c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>
        <v>0</v>
      </c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>
        <v>0</v>
      </c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 t="s">
        <v>100</v>
      </c>
      <c r="DK284" s="2"/>
      <c r="DL284" s="2">
        <f t="shared" si="4367"/>
        <v>1.68</v>
      </c>
      <c r="DM284" s="2">
        <f t="shared" si="4368"/>
        <v>0</v>
      </c>
      <c r="DN284" s="2" t="s">
        <v>113</v>
      </c>
      <c r="DO284" s="2" t="s">
        <v>3</v>
      </c>
      <c r="DP284" s="2">
        <f t="shared" si="4369"/>
        <v>0</v>
      </c>
      <c r="DQ284" s="2">
        <f t="shared" ref="DQ284:DR284" si="4776">K284*$I284+AF284*$AD284+BA284*$AY284</f>
        <v>0</v>
      </c>
      <c r="DR284" s="2">
        <f t="shared" si="4776"/>
        <v>0</v>
      </c>
      <c r="DS284" s="2">
        <f t="shared" ref="DS284:DX284" si="4777">(M284*$I284+AH284*$AD284+BC284*$AY284)/100</f>
        <v>0</v>
      </c>
      <c r="DT284" s="2">
        <f t="shared" si="4777"/>
        <v>0</v>
      </c>
      <c r="DU284" s="2">
        <f t="shared" si="4777"/>
        <v>0</v>
      </c>
      <c r="DV284" s="2">
        <f t="shared" si="4777"/>
        <v>0</v>
      </c>
      <c r="DW284" s="2">
        <f t="shared" si="4777"/>
        <v>0.4032</v>
      </c>
      <c r="DX284" s="2">
        <f t="shared" si="4777"/>
        <v>0</v>
      </c>
      <c r="DY284" s="2">
        <f t="shared" ref="DY284:EC284" si="4778">S284*$I284+AN284*$AD284+BI284*$AY284</f>
        <v>0</v>
      </c>
      <c r="DZ284" s="2">
        <f t="shared" si="4778"/>
        <v>0</v>
      </c>
      <c r="EA284" s="2">
        <f t="shared" si="4778"/>
        <v>0</v>
      </c>
      <c r="EB284" s="2">
        <f t="shared" si="4778"/>
        <v>0</v>
      </c>
      <c r="EC284" s="2">
        <f t="shared" si="4778"/>
        <v>0</v>
      </c>
      <c r="ED284" s="2">
        <f t="shared" ref="ED284:EE284" si="4779">(X284*$I284+AS284*$AD284+BN284*$AY284)/100</f>
        <v>0</v>
      </c>
      <c r="EE284" s="2">
        <f t="shared" si="4779"/>
        <v>0</v>
      </c>
      <c r="EF284" s="2"/>
      <c r="EG284" s="2">
        <f t="shared" si="4374"/>
        <v>0</v>
      </c>
      <c r="EH284" s="2">
        <f t="shared" si="4375"/>
        <v>0</v>
      </c>
      <c r="EI284" s="39">
        <f t="shared" si="4376"/>
        <v>0</v>
      </c>
      <c r="EJ284" s="39">
        <f t="shared" ref="EJ284:EK284" si="4780">EJ$1*DQ284/1000000</f>
        <v>0</v>
      </c>
      <c r="EK284" s="39">
        <f t="shared" si="4780"/>
        <v>0</v>
      </c>
      <c r="EL284" s="39">
        <f t="shared" ref="EL284:EQ284" si="4781">EL$1*DS284</f>
        <v>0</v>
      </c>
      <c r="EM284" s="39">
        <f t="shared" si="4781"/>
        <v>0</v>
      </c>
      <c r="EN284" s="39">
        <f t="shared" si="4781"/>
        <v>0</v>
      </c>
      <c r="EO284" s="39">
        <f t="shared" si="4781"/>
        <v>0</v>
      </c>
      <c r="EP284" s="39">
        <f t="shared" si="4781"/>
        <v>5287.5648000000001</v>
      </c>
      <c r="EQ284" s="39">
        <f t="shared" si="4781"/>
        <v>0</v>
      </c>
      <c r="ER284" s="39">
        <f t="shared" ref="ER284:EV284" si="4782">ER$1*DY284/1000000</f>
        <v>0</v>
      </c>
      <c r="ES284" s="39">
        <f t="shared" si="4782"/>
        <v>0</v>
      </c>
      <c r="ET284" s="39">
        <f t="shared" si="4782"/>
        <v>0</v>
      </c>
      <c r="EU284" s="39">
        <f t="shared" si="4782"/>
        <v>0</v>
      </c>
      <c r="EV284" s="39">
        <f t="shared" si="4782"/>
        <v>0</v>
      </c>
      <c r="EW284" s="39">
        <f t="shared" ref="EW284:EX284" si="4783">EW$1*ED284</f>
        <v>0</v>
      </c>
      <c r="EX284" s="39">
        <f t="shared" si="4783"/>
        <v>0</v>
      </c>
      <c r="EY284" s="2"/>
      <c r="EZ284" s="39">
        <f t="shared" si="4381"/>
        <v>0</v>
      </c>
      <c r="FA284" s="39">
        <f t="shared" si="4382"/>
        <v>0</v>
      </c>
      <c r="FB284" s="2">
        <f t="shared" si="4383"/>
        <v>0</v>
      </c>
      <c r="FC284" s="2">
        <f t="shared" ref="FC284:FD284" si="4784">BV284*$BT284+CQ284*$CO284</f>
        <v>0</v>
      </c>
      <c r="FD284" s="2">
        <f t="shared" si="4784"/>
        <v>0</v>
      </c>
      <c r="FE284" s="2">
        <f t="shared" ref="FE284:FJ284" si="4785">(BX284*$BT284+CS284*$CO284)/100</f>
        <v>0</v>
      </c>
      <c r="FF284" s="2">
        <f t="shared" si="4785"/>
        <v>0</v>
      </c>
      <c r="FG284" s="2">
        <f t="shared" si="4785"/>
        <v>0</v>
      </c>
      <c r="FH284" s="2">
        <f t="shared" si="4785"/>
        <v>0</v>
      </c>
      <c r="FI284" s="2">
        <f t="shared" si="4785"/>
        <v>0</v>
      </c>
      <c r="FJ284" s="2">
        <f t="shared" si="4785"/>
        <v>0</v>
      </c>
      <c r="FK284" s="2">
        <f t="shared" ref="FK284:FO284" si="4786">CD284*$BT284+CY284*$CO284</f>
        <v>0</v>
      </c>
      <c r="FL284" s="2">
        <f t="shared" si="4786"/>
        <v>0</v>
      </c>
      <c r="FM284" s="2">
        <f t="shared" si="4786"/>
        <v>0</v>
      </c>
      <c r="FN284" s="2">
        <f t="shared" si="4786"/>
        <v>0</v>
      </c>
      <c r="FO284" s="2">
        <f t="shared" si="4786"/>
        <v>0</v>
      </c>
      <c r="FP284" s="2">
        <f t="shared" ref="FP284:FQ284" si="4787">(CI284*$BT284+DD284*$CO284)/100</f>
        <v>0</v>
      </c>
      <c r="FQ284" s="2">
        <f t="shared" si="4787"/>
        <v>0</v>
      </c>
      <c r="FR284" s="2"/>
      <c r="FS284" s="2">
        <f t="shared" si="4388"/>
        <v>0</v>
      </c>
      <c r="FT284" s="2">
        <f t="shared" si="4389"/>
        <v>0</v>
      </c>
      <c r="FU284" s="39">
        <f t="shared" si="4390"/>
        <v>0</v>
      </c>
      <c r="FV284" s="39">
        <f t="shared" ref="FV284:FW284" si="4788">FV$1*FC284/1000000</f>
        <v>0</v>
      </c>
      <c r="FW284" s="39">
        <f t="shared" si="4788"/>
        <v>0</v>
      </c>
      <c r="FX284" s="39">
        <f t="shared" ref="FX284:GC284" si="4789">FX$1*FE284</f>
        <v>0</v>
      </c>
      <c r="FY284" s="39">
        <f t="shared" si="4789"/>
        <v>0</v>
      </c>
      <c r="FZ284" s="39">
        <f t="shared" si="4789"/>
        <v>0</v>
      </c>
      <c r="GA284" s="39">
        <f t="shared" si="4789"/>
        <v>0</v>
      </c>
      <c r="GB284" s="39">
        <f t="shared" si="4789"/>
        <v>0</v>
      </c>
      <c r="GC284" s="39">
        <f t="shared" si="4789"/>
        <v>0</v>
      </c>
      <c r="GD284" s="39">
        <f t="shared" ref="GD284:GH284" si="4790">GD$1*FK284/1000000</f>
        <v>0</v>
      </c>
      <c r="GE284" s="39">
        <f t="shared" si="4790"/>
        <v>0</v>
      </c>
      <c r="GF284" s="39">
        <f t="shared" si="4790"/>
        <v>0</v>
      </c>
      <c r="GG284" s="39">
        <f t="shared" si="4790"/>
        <v>0</v>
      </c>
      <c r="GH284" s="39">
        <f t="shared" si="4790"/>
        <v>0</v>
      </c>
      <c r="GI284" s="39">
        <f t="shared" ref="GI284:GJ284" si="4791">GI$1*FP284</f>
        <v>0</v>
      </c>
      <c r="GJ284" s="39">
        <f t="shared" si="4791"/>
        <v>0</v>
      </c>
      <c r="GK284" s="2"/>
      <c r="GL284" s="39">
        <f t="shared" si="4395"/>
        <v>0</v>
      </c>
      <c r="GM284" s="39">
        <f t="shared" si="4396"/>
        <v>0</v>
      </c>
      <c r="GN284" s="2" t="s">
        <v>3</v>
      </c>
      <c r="GO284" s="2">
        <f t="shared" si="4397"/>
        <v>24</v>
      </c>
      <c r="GP284" s="4">
        <f t="shared" si="4398"/>
        <v>1.68</v>
      </c>
      <c r="GQ284" s="15">
        <f t="shared" si="4399"/>
        <v>403.2</v>
      </c>
      <c r="GR284" s="15">
        <f t="shared" si="4400"/>
        <v>5287.5648000000001</v>
      </c>
      <c r="GS284" s="15">
        <f t="shared" si="4401"/>
        <v>220.3152</v>
      </c>
      <c r="GT284" s="2">
        <f t="shared" si="4402"/>
        <v>0</v>
      </c>
      <c r="GU284" s="2">
        <f t="shared" si="4403"/>
        <v>0</v>
      </c>
      <c r="GV284" s="2">
        <f t="shared" si="4404"/>
        <v>403.2</v>
      </c>
      <c r="GW284" s="2">
        <f t="shared" si="4405"/>
        <v>0</v>
      </c>
      <c r="GX284" s="2"/>
      <c r="GY284" s="2"/>
      <c r="GZ284" s="2"/>
      <c r="HA284" s="2"/>
      <c r="HB284" s="2">
        <f t="shared" si="4406"/>
        <v>0</v>
      </c>
      <c r="HC284" s="2">
        <f t="shared" si="4407"/>
        <v>0</v>
      </c>
      <c r="HD284" s="2" t="s">
        <v>3</v>
      </c>
      <c r="HE284" s="2" t="s">
        <v>37</v>
      </c>
      <c r="HF284" s="2" t="s">
        <v>151</v>
      </c>
      <c r="HG284" s="2"/>
      <c r="HH284" s="2"/>
      <c r="HI284" s="2" t="s">
        <v>100</v>
      </c>
      <c r="HJ284" s="2" t="s">
        <v>3</v>
      </c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 t="s">
        <v>3</v>
      </c>
    </row>
    <row r="285" spans="1:268" ht="15.75" customHeight="1" x14ac:dyDescent="0.2">
      <c r="A285" s="13" t="s">
        <v>315</v>
      </c>
      <c r="B285" s="2" t="s">
        <v>99</v>
      </c>
      <c r="C285" s="2"/>
      <c r="D285" s="2"/>
      <c r="E285" s="2" t="s">
        <v>78</v>
      </c>
      <c r="F285" s="2" t="s">
        <v>316</v>
      </c>
      <c r="G285" s="2"/>
      <c r="H285" s="2" t="s">
        <v>141</v>
      </c>
      <c r="I285" s="2">
        <v>0</v>
      </c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>
        <v>0</v>
      </c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15">
        <v>21</v>
      </c>
      <c r="AZ285" s="2"/>
      <c r="BA285" s="2"/>
      <c r="BB285" s="2"/>
      <c r="BC285" s="2"/>
      <c r="BD285" s="2"/>
      <c r="BE285" s="2"/>
      <c r="BF285" s="2"/>
      <c r="BG285" s="4">
        <v>1.1000000000000001</v>
      </c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>
        <v>0</v>
      </c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>
        <v>0</v>
      </c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 t="s">
        <v>100</v>
      </c>
      <c r="DK285" s="2"/>
      <c r="DL285" s="2">
        <f t="shared" si="4367"/>
        <v>1.1000000000000001</v>
      </c>
      <c r="DM285" s="2">
        <f t="shared" si="4368"/>
        <v>0</v>
      </c>
      <c r="DN285" s="2" t="s">
        <v>317</v>
      </c>
      <c r="DO285" s="2" t="s">
        <v>3</v>
      </c>
      <c r="DP285" s="2">
        <f t="shared" si="4369"/>
        <v>0</v>
      </c>
      <c r="DQ285" s="2">
        <f t="shared" ref="DQ285:DR285" si="4792">K285*$I285+AF285*$AD285+BA285*$AY285</f>
        <v>0</v>
      </c>
      <c r="DR285" s="2">
        <f t="shared" si="4792"/>
        <v>0</v>
      </c>
      <c r="DS285" s="2">
        <f t="shared" ref="DS285:DX285" si="4793">(M285*$I285+AH285*$AD285+BC285*$AY285)/100</f>
        <v>0</v>
      </c>
      <c r="DT285" s="2">
        <f t="shared" si="4793"/>
        <v>0</v>
      </c>
      <c r="DU285" s="2">
        <f t="shared" si="4793"/>
        <v>0</v>
      </c>
      <c r="DV285" s="2">
        <f t="shared" si="4793"/>
        <v>0</v>
      </c>
      <c r="DW285" s="2">
        <f t="shared" si="4793"/>
        <v>0.23100000000000001</v>
      </c>
      <c r="DX285" s="2">
        <f t="shared" si="4793"/>
        <v>0</v>
      </c>
      <c r="DY285" s="2">
        <f t="shared" ref="DY285:EC285" si="4794">S285*$I285+AN285*$AD285+BI285*$AY285</f>
        <v>0</v>
      </c>
      <c r="DZ285" s="2">
        <f t="shared" si="4794"/>
        <v>0</v>
      </c>
      <c r="EA285" s="2">
        <f t="shared" si="4794"/>
        <v>0</v>
      </c>
      <c r="EB285" s="2">
        <f t="shared" si="4794"/>
        <v>0</v>
      </c>
      <c r="EC285" s="2">
        <f t="shared" si="4794"/>
        <v>0</v>
      </c>
      <c r="ED285" s="2">
        <f t="shared" ref="ED285:EE285" si="4795">(X285*$I285+AS285*$AD285+BN285*$AY285)/100</f>
        <v>0</v>
      </c>
      <c r="EE285" s="2">
        <f t="shared" si="4795"/>
        <v>0</v>
      </c>
      <c r="EF285" s="2"/>
      <c r="EG285" s="2">
        <f t="shared" si="4374"/>
        <v>0</v>
      </c>
      <c r="EH285" s="2">
        <f t="shared" si="4375"/>
        <v>0</v>
      </c>
      <c r="EI285" s="39">
        <f t="shared" si="4376"/>
        <v>0</v>
      </c>
      <c r="EJ285" s="39">
        <f t="shared" ref="EJ285:EK285" si="4796">EJ$1*DQ285/1000000</f>
        <v>0</v>
      </c>
      <c r="EK285" s="39">
        <f t="shared" si="4796"/>
        <v>0</v>
      </c>
      <c r="EL285" s="39">
        <f t="shared" ref="EL285:EQ285" si="4797">EL$1*DS285</f>
        <v>0</v>
      </c>
      <c r="EM285" s="39">
        <f t="shared" si="4797"/>
        <v>0</v>
      </c>
      <c r="EN285" s="39">
        <f t="shared" si="4797"/>
        <v>0</v>
      </c>
      <c r="EO285" s="39">
        <f t="shared" si="4797"/>
        <v>0</v>
      </c>
      <c r="EP285" s="39">
        <f t="shared" si="4797"/>
        <v>3029.3340000000003</v>
      </c>
      <c r="EQ285" s="39">
        <f t="shared" si="4797"/>
        <v>0</v>
      </c>
      <c r="ER285" s="39">
        <f t="shared" ref="ER285:EV285" si="4798">ER$1*DY285/1000000</f>
        <v>0</v>
      </c>
      <c r="ES285" s="39">
        <f t="shared" si="4798"/>
        <v>0</v>
      </c>
      <c r="ET285" s="39">
        <f t="shared" si="4798"/>
        <v>0</v>
      </c>
      <c r="EU285" s="39">
        <f t="shared" si="4798"/>
        <v>0</v>
      </c>
      <c r="EV285" s="39">
        <f t="shared" si="4798"/>
        <v>0</v>
      </c>
      <c r="EW285" s="39">
        <f t="shared" ref="EW285:EX285" si="4799">EW$1*ED285</f>
        <v>0</v>
      </c>
      <c r="EX285" s="39">
        <f t="shared" si="4799"/>
        <v>0</v>
      </c>
      <c r="EY285" s="2"/>
      <c r="EZ285" s="39">
        <f t="shared" si="4381"/>
        <v>0</v>
      </c>
      <c r="FA285" s="39">
        <f t="shared" si="4382"/>
        <v>0</v>
      </c>
      <c r="FB285" s="2">
        <f t="shared" si="4383"/>
        <v>0</v>
      </c>
      <c r="FC285" s="2">
        <f t="shared" ref="FC285:FD285" si="4800">BV285*$BT285+CQ285*$CO285</f>
        <v>0</v>
      </c>
      <c r="FD285" s="2">
        <f t="shared" si="4800"/>
        <v>0</v>
      </c>
      <c r="FE285" s="2">
        <f t="shared" ref="FE285:FJ285" si="4801">(BX285*$BT285+CS285*$CO285)/100</f>
        <v>0</v>
      </c>
      <c r="FF285" s="2">
        <f t="shared" si="4801"/>
        <v>0</v>
      </c>
      <c r="FG285" s="2">
        <f t="shared" si="4801"/>
        <v>0</v>
      </c>
      <c r="FH285" s="2">
        <f t="shared" si="4801"/>
        <v>0</v>
      </c>
      <c r="FI285" s="2">
        <f t="shared" si="4801"/>
        <v>0</v>
      </c>
      <c r="FJ285" s="2">
        <f t="shared" si="4801"/>
        <v>0</v>
      </c>
      <c r="FK285" s="2">
        <f t="shared" ref="FK285:FO285" si="4802">CD285*$BT285+CY285*$CO285</f>
        <v>0</v>
      </c>
      <c r="FL285" s="2">
        <f t="shared" si="4802"/>
        <v>0</v>
      </c>
      <c r="FM285" s="2">
        <f t="shared" si="4802"/>
        <v>0</v>
      </c>
      <c r="FN285" s="2">
        <f t="shared" si="4802"/>
        <v>0</v>
      </c>
      <c r="FO285" s="2">
        <f t="shared" si="4802"/>
        <v>0</v>
      </c>
      <c r="FP285" s="2">
        <f t="shared" ref="FP285:FQ285" si="4803">(CI285*$BT285+DD285*$CO285)/100</f>
        <v>0</v>
      </c>
      <c r="FQ285" s="2">
        <f t="shared" si="4803"/>
        <v>0</v>
      </c>
      <c r="FR285" s="2"/>
      <c r="FS285" s="2">
        <f t="shared" si="4388"/>
        <v>0</v>
      </c>
      <c r="FT285" s="2">
        <f t="shared" si="4389"/>
        <v>0</v>
      </c>
      <c r="FU285" s="39">
        <f t="shared" si="4390"/>
        <v>0</v>
      </c>
      <c r="FV285" s="39">
        <f t="shared" ref="FV285:FW285" si="4804">FV$1*FC285/1000000</f>
        <v>0</v>
      </c>
      <c r="FW285" s="39">
        <f t="shared" si="4804"/>
        <v>0</v>
      </c>
      <c r="FX285" s="39">
        <f t="shared" ref="FX285:GC285" si="4805">FX$1*FE285</f>
        <v>0</v>
      </c>
      <c r="FY285" s="39">
        <f t="shared" si="4805"/>
        <v>0</v>
      </c>
      <c r="FZ285" s="39">
        <f t="shared" si="4805"/>
        <v>0</v>
      </c>
      <c r="GA285" s="39">
        <f t="shared" si="4805"/>
        <v>0</v>
      </c>
      <c r="GB285" s="39">
        <f t="shared" si="4805"/>
        <v>0</v>
      </c>
      <c r="GC285" s="39">
        <f t="shared" si="4805"/>
        <v>0</v>
      </c>
      <c r="GD285" s="39">
        <f t="shared" ref="GD285:GH285" si="4806">GD$1*FK285/1000000</f>
        <v>0</v>
      </c>
      <c r="GE285" s="39">
        <f t="shared" si="4806"/>
        <v>0</v>
      </c>
      <c r="GF285" s="39">
        <f t="shared" si="4806"/>
        <v>0</v>
      </c>
      <c r="GG285" s="39">
        <f t="shared" si="4806"/>
        <v>0</v>
      </c>
      <c r="GH285" s="39">
        <f t="shared" si="4806"/>
        <v>0</v>
      </c>
      <c r="GI285" s="39">
        <f t="shared" ref="GI285:GJ285" si="4807">GI$1*FP285</f>
        <v>0</v>
      </c>
      <c r="GJ285" s="39">
        <f t="shared" si="4807"/>
        <v>0</v>
      </c>
      <c r="GK285" s="2"/>
      <c r="GL285" s="39">
        <f t="shared" si="4395"/>
        <v>0</v>
      </c>
      <c r="GM285" s="39">
        <f t="shared" si="4396"/>
        <v>0</v>
      </c>
      <c r="GN285" s="2" t="s">
        <v>3</v>
      </c>
      <c r="GO285" s="15">
        <f t="shared" si="4397"/>
        <v>21</v>
      </c>
      <c r="GP285" s="4">
        <f t="shared" si="4398"/>
        <v>1.1000000000000001</v>
      </c>
      <c r="GQ285" s="15">
        <f t="shared" si="4399"/>
        <v>231.00000000000003</v>
      </c>
      <c r="GR285" s="15">
        <f t="shared" si="4400"/>
        <v>3029.3340000000003</v>
      </c>
      <c r="GS285" s="15">
        <f t="shared" si="4401"/>
        <v>144.25400000000002</v>
      </c>
      <c r="GT285" s="2">
        <f t="shared" si="4402"/>
        <v>0</v>
      </c>
      <c r="GU285" s="2">
        <f t="shared" si="4403"/>
        <v>0</v>
      </c>
      <c r="GV285" s="2">
        <f t="shared" si="4404"/>
        <v>231</v>
      </c>
      <c r="GW285" s="2">
        <f t="shared" si="4405"/>
        <v>0</v>
      </c>
      <c r="GX285" s="2"/>
      <c r="GY285" s="2"/>
      <c r="GZ285" s="2"/>
      <c r="HA285" s="2"/>
      <c r="HB285" s="2">
        <f t="shared" si="4406"/>
        <v>0</v>
      </c>
      <c r="HC285" s="2">
        <f t="shared" si="4407"/>
        <v>0</v>
      </c>
      <c r="HD285" s="2" t="s">
        <v>3</v>
      </c>
      <c r="HE285" s="2" t="s">
        <v>37</v>
      </c>
      <c r="HF285" s="2" t="s">
        <v>151</v>
      </c>
      <c r="HG285" s="2"/>
      <c r="HH285" s="2"/>
      <c r="HI285" s="2" t="s">
        <v>100</v>
      </c>
      <c r="HJ285" s="2" t="s">
        <v>3</v>
      </c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 t="s">
        <v>3</v>
      </c>
    </row>
    <row r="286" spans="1:268" ht="15.75" customHeight="1" x14ac:dyDescent="0.2">
      <c r="A286" s="16" t="s">
        <v>729</v>
      </c>
      <c r="B286" s="2" t="s">
        <v>109</v>
      </c>
      <c r="C286" s="2"/>
      <c r="D286" s="2"/>
      <c r="E286" s="2" t="s">
        <v>730</v>
      </c>
      <c r="F286" s="2" t="s">
        <v>367</v>
      </c>
      <c r="G286" s="2"/>
      <c r="H286" s="2" t="s">
        <v>181</v>
      </c>
      <c r="I286" s="15">
        <f>3.3+3.4+15+1.3</f>
        <v>23</v>
      </c>
      <c r="J286" s="2"/>
      <c r="K286" s="2"/>
      <c r="L286" s="2"/>
      <c r="M286" s="2"/>
      <c r="N286" s="2"/>
      <c r="O286" s="2"/>
      <c r="P286" s="2"/>
      <c r="Q286" s="4">
        <f>(1.8*3.3+0/0.72*3.4+2*15+0.84*1.3)/I286</f>
        <v>1.6100869565217391</v>
      </c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15">
        <f>2.8+76+7.8+1.4</f>
        <v>88</v>
      </c>
      <c r="AE286" s="2"/>
      <c r="AF286" s="2"/>
      <c r="AG286" s="2"/>
      <c r="AH286" s="2"/>
      <c r="AI286" s="2"/>
      <c r="AJ286" s="2"/>
      <c r="AK286" s="2"/>
      <c r="AL286" s="4">
        <f>(1.2*2.8+0.52*76+1.9*7.8+1*1.4)/AD286</f>
        <v>0.67159090909090913</v>
      </c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>
        <f>3.2+89+6.3+1.9</f>
        <v>100.4</v>
      </c>
      <c r="AZ286" s="2"/>
      <c r="BA286" s="2"/>
      <c r="BB286" s="2"/>
      <c r="BC286" s="2"/>
      <c r="BD286" s="2"/>
      <c r="BE286" s="2"/>
      <c r="BF286" s="2"/>
      <c r="BG286" s="4">
        <f>(1*3.2+0.5*89+2.3*6.3+1.7*1.9)/AY286</f>
        <v>0.65159362549800792</v>
      </c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>
        <f>1.3+1.3</f>
        <v>2.6</v>
      </c>
      <c r="BU286" s="2"/>
      <c r="BV286" s="2"/>
      <c r="BW286" s="2"/>
      <c r="BX286" s="2"/>
      <c r="BY286" s="2"/>
      <c r="BZ286" s="2"/>
      <c r="CA286" s="2"/>
      <c r="CB286" s="4">
        <f>(0.96*1.3+0.84*1.3)/BT286</f>
        <v>0.89999999999999991</v>
      </c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>
        <f>3.3+5.3</f>
        <v>8.6</v>
      </c>
      <c r="CP286" s="2"/>
      <c r="CQ286" s="2"/>
      <c r="CR286" s="2"/>
      <c r="CS286" s="2"/>
      <c r="CT286" s="2"/>
      <c r="CU286" s="2"/>
      <c r="CV286" s="2"/>
      <c r="CW286" s="4">
        <f>(0.84*3.3+1.6*5.3)/CO286</f>
        <v>1.3083720930232559</v>
      </c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 t="s">
        <v>81</v>
      </c>
      <c r="DK286" s="2"/>
      <c r="DL286" s="2">
        <f t="shared" si="4367"/>
        <v>0.76420056764427635</v>
      </c>
      <c r="DM286" s="2">
        <f t="shared" si="4368"/>
        <v>0</v>
      </c>
      <c r="DN286" s="2" t="s">
        <v>211</v>
      </c>
      <c r="DO286" s="2" t="s">
        <v>3</v>
      </c>
      <c r="DP286" s="2">
        <f t="shared" si="4369"/>
        <v>0</v>
      </c>
      <c r="DQ286" s="2">
        <f t="shared" ref="DQ286:DR286" si="4808">K286*$I286+AF286*$AD286+BA286*$AY286</f>
        <v>0</v>
      </c>
      <c r="DR286" s="2">
        <f t="shared" si="4808"/>
        <v>0</v>
      </c>
      <c r="DS286" s="2">
        <f t="shared" ref="DS286:DX286" si="4809">(M286*$I286+AH286*$AD286+BC286*$AY286)/100</f>
        <v>0</v>
      </c>
      <c r="DT286" s="2">
        <f t="shared" si="4809"/>
        <v>0</v>
      </c>
      <c r="DU286" s="2">
        <f t="shared" si="4809"/>
        <v>0</v>
      </c>
      <c r="DV286" s="2">
        <f t="shared" si="4809"/>
        <v>0</v>
      </c>
      <c r="DW286" s="2">
        <f t="shared" si="4809"/>
        <v>1.6155200000000003</v>
      </c>
      <c r="DX286" s="2">
        <f t="shared" si="4809"/>
        <v>0</v>
      </c>
      <c r="DY286" s="2">
        <f t="shared" ref="DY286:EC286" si="4810">S286*$I286+AN286*$AD286+BI286*$AY286</f>
        <v>0</v>
      </c>
      <c r="DZ286" s="2">
        <f t="shared" si="4810"/>
        <v>0</v>
      </c>
      <c r="EA286" s="2">
        <f t="shared" si="4810"/>
        <v>0</v>
      </c>
      <c r="EB286" s="2">
        <f t="shared" si="4810"/>
        <v>0</v>
      </c>
      <c r="EC286" s="2">
        <f t="shared" si="4810"/>
        <v>0</v>
      </c>
      <c r="ED286" s="2">
        <f t="shared" ref="ED286:EE286" si="4811">(X286*$I286+AS286*$AD286+BN286*$AY286)/100</f>
        <v>0</v>
      </c>
      <c r="EE286" s="2">
        <f t="shared" si="4811"/>
        <v>0</v>
      </c>
      <c r="EF286" s="2"/>
      <c r="EG286" s="2">
        <f t="shared" si="4374"/>
        <v>0</v>
      </c>
      <c r="EH286" s="2">
        <f t="shared" si="4375"/>
        <v>0</v>
      </c>
      <c r="EI286" s="39">
        <f t="shared" si="4376"/>
        <v>0</v>
      </c>
      <c r="EJ286" s="39">
        <f t="shared" ref="EJ286:EK286" si="4812">EJ$1*DQ286/1000000</f>
        <v>0</v>
      </c>
      <c r="EK286" s="39">
        <f t="shared" si="4812"/>
        <v>0</v>
      </c>
      <c r="EL286" s="39">
        <f t="shared" ref="EL286:EQ286" si="4813">EL$1*DS286</f>
        <v>0</v>
      </c>
      <c r="EM286" s="39">
        <f t="shared" si="4813"/>
        <v>0</v>
      </c>
      <c r="EN286" s="39">
        <f t="shared" si="4813"/>
        <v>0</v>
      </c>
      <c r="EO286" s="39">
        <f t="shared" si="4813"/>
        <v>0</v>
      </c>
      <c r="EP286" s="39">
        <f t="shared" si="4813"/>
        <v>21185.929280000004</v>
      </c>
      <c r="EQ286" s="39">
        <f t="shared" si="4813"/>
        <v>0</v>
      </c>
      <c r="ER286" s="39">
        <f t="shared" ref="ER286:EV286" si="4814">ER$1*DY286/1000000</f>
        <v>0</v>
      </c>
      <c r="ES286" s="39">
        <f t="shared" si="4814"/>
        <v>0</v>
      </c>
      <c r="ET286" s="39">
        <f t="shared" si="4814"/>
        <v>0</v>
      </c>
      <c r="EU286" s="39">
        <f t="shared" si="4814"/>
        <v>0</v>
      </c>
      <c r="EV286" s="39">
        <f t="shared" si="4814"/>
        <v>0</v>
      </c>
      <c r="EW286" s="39">
        <f t="shared" ref="EW286:EX286" si="4815">EW$1*ED286</f>
        <v>0</v>
      </c>
      <c r="EX286" s="39">
        <f t="shared" si="4815"/>
        <v>0</v>
      </c>
      <c r="EY286" s="2"/>
      <c r="EZ286" s="39">
        <f t="shared" si="4381"/>
        <v>0</v>
      </c>
      <c r="FA286" s="39">
        <f t="shared" si="4382"/>
        <v>0</v>
      </c>
      <c r="FB286" s="2">
        <f t="shared" si="4383"/>
        <v>0</v>
      </c>
      <c r="FC286" s="2">
        <f t="shared" ref="FC286:FD286" si="4816">BV286*$BT286+CQ286*$CO286</f>
        <v>0</v>
      </c>
      <c r="FD286" s="2">
        <f t="shared" si="4816"/>
        <v>0</v>
      </c>
      <c r="FE286" s="2">
        <f t="shared" ref="FE286:FJ286" si="4817">(BX286*$BT286+CS286*$CO286)/100</f>
        <v>0</v>
      </c>
      <c r="FF286" s="2">
        <f t="shared" si="4817"/>
        <v>0</v>
      </c>
      <c r="FG286" s="2">
        <f t="shared" si="4817"/>
        <v>0</v>
      </c>
      <c r="FH286" s="2">
        <f t="shared" si="4817"/>
        <v>0</v>
      </c>
      <c r="FI286" s="2">
        <f t="shared" si="4817"/>
        <v>0.13592000000000001</v>
      </c>
      <c r="FJ286" s="2">
        <f t="shared" si="4817"/>
        <v>0</v>
      </c>
      <c r="FK286" s="2">
        <f t="shared" ref="FK286:FO286" si="4818">CD286*$BT286+CY286*$CO286</f>
        <v>0</v>
      </c>
      <c r="FL286" s="2">
        <f t="shared" si="4818"/>
        <v>0</v>
      </c>
      <c r="FM286" s="2">
        <f t="shared" si="4818"/>
        <v>0</v>
      </c>
      <c r="FN286" s="2">
        <f t="shared" si="4818"/>
        <v>0</v>
      </c>
      <c r="FO286" s="2">
        <f t="shared" si="4818"/>
        <v>0</v>
      </c>
      <c r="FP286" s="2">
        <f t="shared" ref="FP286:FQ286" si="4819">(CI286*$BT286+DD286*$CO286)/100</f>
        <v>0</v>
      </c>
      <c r="FQ286" s="2">
        <f t="shared" si="4819"/>
        <v>0</v>
      </c>
      <c r="FR286" s="2"/>
      <c r="FS286" s="2">
        <f t="shared" si="4388"/>
        <v>0</v>
      </c>
      <c r="FT286" s="2">
        <f t="shared" si="4389"/>
        <v>0</v>
      </c>
      <c r="FU286" s="39">
        <f t="shared" si="4390"/>
        <v>0</v>
      </c>
      <c r="FV286" s="39">
        <f t="shared" ref="FV286:FW286" si="4820">FV$1*FC286/1000000</f>
        <v>0</v>
      </c>
      <c r="FW286" s="39">
        <f t="shared" si="4820"/>
        <v>0</v>
      </c>
      <c r="FX286" s="39">
        <f t="shared" ref="FX286:GC286" si="4821">FX$1*FE286</f>
        <v>0</v>
      </c>
      <c r="FY286" s="39">
        <f t="shared" si="4821"/>
        <v>0</v>
      </c>
      <c r="FZ286" s="39">
        <f t="shared" si="4821"/>
        <v>0</v>
      </c>
      <c r="GA286" s="39">
        <f t="shared" si="4821"/>
        <v>0</v>
      </c>
      <c r="GB286" s="39">
        <f t="shared" si="4821"/>
        <v>1782.4548800000002</v>
      </c>
      <c r="GC286" s="39">
        <f t="shared" si="4821"/>
        <v>0</v>
      </c>
      <c r="GD286" s="39">
        <f t="shared" ref="GD286:GH286" si="4822">GD$1*FK286/1000000</f>
        <v>0</v>
      </c>
      <c r="GE286" s="39">
        <f t="shared" si="4822"/>
        <v>0</v>
      </c>
      <c r="GF286" s="39">
        <f t="shared" si="4822"/>
        <v>0</v>
      </c>
      <c r="GG286" s="39">
        <f t="shared" si="4822"/>
        <v>0</v>
      </c>
      <c r="GH286" s="39">
        <f t="shared" si="4822"/>
        <v>0</v>
      </c>
      <c r="GI286" s="39">
        <f t="shared" ref="GI286:GJ286" si="4823">GI$1*FP286</f>
        <v>0</v>
      </c>
      <c r="GJ286" s="39">
        <f t="shared" si="4823"/>
        <v>0</v>
      </c>
      <c r="GK286" s="2"/>
      <c r="GL286" s="39">
        <f t="shared" si="4395"/>
        <v>0</v>
      </c>
      <c r="GM286" s="39">
        <f t="shared" si="4396"/>
        <v>0</v>
      </c>
      <c r="GN286" s="2" t="s">
        <v>3</v>
      </c>
      <c r="GO286" s="15">
        <f t="shared" si="4397"/>
        <v>211.4</v>
      </c>
      <c r="GP286" s="4">
        <f t="shared" si="4398"/>
        <v>0.76420056764427635</v>
      </c>
      <c r="GQ286" s="18">
        <f t="shared" si="4399"/>
        <v>1615.5200000000002</v>
      </c>
      <c r="GR286" s="15">
        <f t="shared" si="4400"/>
        <v>21185.929280000004</v>
      </c>
      <c r="GS286" s="15">
        <f t="shared" si="4401"/>
        <v>100.2172624408704</v>
      </c>
      <c r="GT286" s="2">
        <f t="shared" si="4402"/>
        <v>370.32</v>
      </c>
      <c r="GU286" s="2">
        <f t="shared" si="4403"/>
        <v>591</v>
      </c>
      <c r="GV286" s="2">
        <f t="shared" si="4404"/>
        <v>654.20000000000005</v>
      </c>
      <c r="GW286" s="2">
        <f t="shared" si="4405"/>
        <v>11.2</v>
      </c>
      <c r="GX286" s="4">
        <f t="shared" ref="GX286:GX289" si="4824">(BT286*CB286+CO286*CW286)/GW286</f>
        <v>1.2135714285714287</v>
      </c>
      <c r="GY286" s="15">
        <f t="shared" ref="GY286:GY289" si="4825">1000*GW286*GX286/100</f>
        <v>135.92000000000002</v>
      </c>
      <c r="GZ286" s="15">
        <f t="shared" ref="GZ286:GZ289" si="4826">SUM(FU286:GM286)</f>
        <v>1782.4548800000002</v>
      </c>
      <c r="HA286" s="15">
        <f t="shared" ref="HA286:HA289" si="4827">GZ286/GW286</f>
        <v>159.14775714285716</v>
      </c>
      <c r="HB286" s="2">
        <f t="shared" si="4406"/>
        <v>23.4</v>
      </c>
      <c r="HC286" s="2">
        <f t="shared" si="4407"/>
        <v>112.52</v>
      </c>
      <c r="HD286" s="2" t="s">
        <v>3</v>
      </c>
      <c r="HE286" s="2" t="s">
        <v>89</v>
      </c>
      <c r="HF286" s="2" t="s">
        <v>137</v>
      </c>
      <c r="HG286" s="2"/>
      <c r="HH286" s="2"/>
      <c r="HI286" s="2" t="s">
        <v>81</v>
      </c>
      <c r="HJ286" s="2" t="s">
        <v>3</v>
      </c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 t="s">
        <v>3</v>
      </c>
    </row>
    <row r="287" spans="1:268" ht="15.75" customHeight="1" x14ac:dyDescent="0.2">
      <c r="A287" s="16" t="s">
        <v>868</v>
      </c>
      <c r="B287" s="2" t="s">
        <v>109</v>
      </c>
      <c r="C287" s="2"/>
      <c r="D287" s="2"/>
      <c r="E287" s="2" t="s">
        <v>78</v>
      </c>
      <c r="F287" s="2" t="s">
        <v>367</v>
      </c>
      <c r="G287" s="2"/>
      <c r="H287" s="2" t="s">
        <v>181</v>
      </c>
      <c r="I287" s="2">
        <f>140+11</f>
        <v>151</v>
      </c>
      <c r="J287" s="2"/>
      <c r="K287" s="2"/>
      <c r="L287" s="2"/>
      <c r="M287" s="2"/>
      <c r="N287" s="2"/>
      <c r="O287" s="2"/>
      <c r="P287" s="2"/>
      <c r="Q287" s="4">
        <f>(0.55*140+0.48*11)/I287</f>
        <v>0.54490066225165568</v>
      </c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>
        <v>67</v>
      </c>
      <c r="AE287" s="2"/>
      <c r="AF287" s="2"/>
      <c r="AG287" s="2"/>
      <c r="AH287" s="2"/>
      <c r="AI287" s="2"/>
      <c r="AJ287" s="2"/>
      <c r="AK287" s="2"/>
      <c r="AL287" s="2">
        <v>0.52</v>
      </c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>
        <v>24</v>
      </c>
      <c r="AZ287" s="2"/>
      <c r="BA287" s="2"/>
      <c r="BB287" s="2"/>
      <c r="BC287" s="2"/>
      <c r="BD287" s="2"/>
      <c r="BE287" s="2"/>
      <c r="BF287" s="2"/>
      <c r="BG287" s="2">
        <v>0.52</v>
      </c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>
        <f>11+7.3</f>
        <v>18.3</v>
      </c>
      <c r="BU287" s="2"/>
      <c r="BV287" s="2"/>
      <c r="BW287" s="2"/>
      <c r="BX287" s="2"/>
      <c r="BY287" s="2"/>
      <c r="BZ287" s="2"/>
      <c r="CA287" s="2"/>
      <c r="CB287" s="4">
        <f>(0.61*11+0.49*7.3)/BT287</f>
        <v>0.56213114754098348</v>
      </c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>
        <f>0.13+3.9</f>
        <v>4.03</v>
      </c>
      <c r="CP287" s="2"/>
      <c r="CQ287" s="2"/>
      <c r="CR287" s="2"/>
      <c r="CS287" s="2"/>
      <c r="CT287" s="2"/>
      <c r="CU287" s="2"/>
      <c r="CV287" s="2"/>
      <c r="CW287" s="4">
        <f>(0.5*0.13+0.45*3.9)/CO287</f>
        <v>0.45161290322580638</v>
      </c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 t="s">
        <v>81</v>
      </c>
      <c r="DK287" s="2"/>
      <c r="DL287" s="2">
        <f t="shared" si="4367"/>
        <v>0.53553719008264455</v>
      </c>
      <c r="DM287" s="2">
        <f t="shared" si="4368"/>
        <v>0</v>
      </c>
      <c r="DN287" s="2" t="s">
        <v>211</v>
      </c>
      <c r="DO287" s="2" t="s">
        <v>3</v>
      </c>
      <c r="DP287" s="2">
        <f t="shared" si="4369"/>
        <v>0</v>
      </c>
      <c r="DQ287" s="2">
        <f t="shared" ref="DQ287:DR287" si="4828">K287*$I287+AF287*$AD287+BA287*$AY287</f>
        <v>0</v>
      </c>
      <c r="DR287" s="2">
        <f t="shared" si="4828"/>
        <v>0</v>
      </c>
      <c r="DS287" s="2">
        <f t="shared" ref="DS287:DX287" si="4829">(M287*$I287+AH287*$AD287+BC287*$AY287)/100</f>
        <v>0</v>
      </c>
      <c r="DT287" s="2">
        <f t="shared" si="4829"/>
        <v>0</v>
      </c>
      <c r="DU287" s="2">
        <f t="shared" si="4829"/>
        <v>0</v>
      </c>
      <c r="DV287" s="2">
        <f t="shared" si="4829"/>
        <v>0</v>
      </c>
      <c r="DW287" s="2">
        <f t="shared" si="4829"/>
        <v>1.296</v>
      </c>
      <c r="DX287" s="2">
        <f t="shared" si="4829"/>
        <v>0</v>
      </c>
      <c r="DY287" s="2">
        <f t="shared" ref="DY287:EC287" si="4830">S287*$I287+AN287*$AD287+BI287*$AY287</f>
        <v>0</v>
      </c>
      <c r="DZ287" s="2">
        <f t="shared" si="4830"/>
        <v>0</v>
      </c>
      <c r="EA287" s="2">
        <f t="shared" si="4830"/>
        <v>0</v>
      </c>
      <c r="EB287" s="2">
        <f t="shared" si="4830"/>
        <v>0</v>
      </c>
      <c r="EC287" s="2">
        <f t="shared" si="4830"/>
        <v>0</v>
      </c>
      <c r="ED287" s="2">
        <f t="shared" ref="ED287:EE287" si="4831">(X287*$I287+AS287*$AD287+BN287*$AY287)/100</f>
        <v>0</v>
      </c>
      <c r="EE287" s="2">
        <f t="shared" si="4831"/>
        <v>0</v>
      </c>
      <c r="EF287" s="2"/>
      <c r="EG287" s="2">
        <f t="shared" si="4374"/>
        <v>0</v>
      </c>
      <c r="EH287" s="2">
        <f t="shared" si="4375"/>
        <v>0</v>
      </c>
      <c r="EI287" s="39">
        <f t="shared" si="4376"/>
        <v>0</v>
      </c>
      <c r="EJ287" s="39">
        <f t="shared" ref="EJ287:EK287" si="4832">EJ$1*DQ287/1000000</f>
        <v>0</v>
      </c>
      <c r="EK287" s="39">
        <f t="shared" si="4832"/>
        <v>0</v>
      </c>
      <c r="EL287" s="39">
        <f t="shared" ref="EL287:EQ287" si="4833">EL$1*DS287</f>
        <v>0</v>
      </c>
      <c r="EM287" s="39">
        <f t="shared" si="4833"/>
        <v>0</v>
      </c>
      <c r="EN287" s="39">
        <f t="shared" si="4833"/>
        <v>0</v>
      </c>
      <c r="EO287" s="39">
        <f t="shared" si="4833"/>
        <v>0</v>
      </c>
      <c r="EP287" s="39">
        <f t="shared" si="4833"/>
        <v>16995.743999999999</v>
      </c>
      <c r="EQ287" s="39">
        <f t="shared" si="4833"/>
        <v>0</v>
      </c>
      <c r="ER287" s="39">
        <f t="shared" ref="ER287:EV287" si="4834">ER$1*DY287/1000000</f>
        <v>0</v>
      </c>
      <c r="ES287" s="39">
        <f t="shared" si="4834"/>
        <v>0</v>
      </c>
      <c r="ET287" s="39">
        <f t="shared" si="4834"/>
        <v>0</v>
      </c>
      <c r="EU287" s="39">
        <f t="shared" si="4834"/>
        <v>0</v>
      </c>
      <c r="EV287" s="39">
        <f t="shared" si="4834"/>
        <v>0</v>
      </c>
      <c r="EW287" s="39">
        <f t="shared" ref="EW287:EX287" si="4835">EW$1*ED287</f>
        <v>0</v>
      </c>
      <c r="EX287" s="39">
        <f t="shared" si="4835"/>
        <v>0</v>
      </c>
      <c r="EY287" s="2"/>
      <c r="EZ287" s="39">
        <f t="shared" si="4381"/>
        <v>0</v>
      </c>
      <c r="FA287" s="39">
        <f t="shared" si="4382"/>
        <v>0</v>
      </c>
      <c r="FB287" s="2">
        <f t="shared" si="4383"/>
        <v>0</v>
      </c>
      <c r="FC287" s="2">
        <f t="shared" ref="FC287:FD287" si="4836">BV287*$BT287+CQ287*$CO287</f>
        <v>0</v>
      </c>
      <c r="FD287" s="2">
        <f t="shared" si="4836"/>
        <v>0</v>
      </c>
      <c r="FE287" s="2">
        <f t="shared" ref="FE287:FJ287" si="4837">(BX287*$BT287+CS287*$CO287)/100</f>
        <v>0</v>
      </c>
      <c r="FF287" s="2">
        <f t="shared" si="4837"/>
        <v>0</v>
      </c>
      <c r="FG287" s="2">
        <f t="shared" si="4837"/>
        <v>0</v>
      </c>
      <c r="FH287" s="2">
        <f t="shared" si="4837"/>
        <v>0</v>
      </c>
      <c r="FI287" s="2">
        <f t="shared" si="4837"/>
        <v>0.12106999999999997</v>
      </c>
      <c r="FJ287" s="2">
        <f t="shared" si="4837"/>
        <v>0</v>
      </c>
      <c r="FK287" s="2">
        <f t="shared" ref="FK287:FO287" si="4838">CD287*$BT287+CY287*$CO287</f>
        <v>0</v>
      </c>
      <c r="FL287" s="2">
        <f t="shared" si="4838"/>
        <v>0</v>
      </c>
      <c r="FM287" s="2">
        <f t="shared" si="4838"/>
        <v>0</v>
      </c>
      <c r="FN287" s="2">
        <f t="shared" si="4838"/>
        <v>0</v>
      </c>
      <c r="FO287" s="2">
        <f t="shared" si="4838"/>
        <v>0</v>
      </c>
      <c r="FP287" s="2">
        <f t="shared" ref="FP287:FQ287" si="4839">(CI287*$BT287+DD287*$CO287)/100</f>
        <v>0</v>
      </c>
      <c r="FQ287" s="2">
        <f t="shared" si="4839"/>
        <v>0</v>
      </c>
      <c r="FR287" s="2"/>
      <c r="FS287" s="2">
        <f t="shared" si="4388"/>
        <v>0</v>
      </c>
      <c r="FT287" s="2">
        <f t="shared" si="4389"/>
        <v>0</v>
      </c>
      <c r="FU287" s="39">
        <f t="shared" si="4390"/>
        <v>0</v>
      </c>
      <c r="FV287" s="39">
        <f t="shared" ref="FV287:FW287" si="4840">FV$1*FC287/1000000</f>
        <v>0</v>
      </c>
      <c r="FW287" s="39">
        <f t="shared" si="4840"/>
        <v>0</v>
      </c>
      <c r="FX287" s="39">
        <f t="shared" ref="FX287:GC287" si="4841">FX$1*FE287</f>
        <v>0</v>
      </c>
      <c r="FY287" s="39">
        <f t="shared" si="4841"/>
        <v>0</v>
      </c>
      <c r="FZ287" s="39">
        <f t="shared" si="4841"/>
        <v>0</v>
      </c>
      <c r="GA287" s="39">
        <f t="shared" si="4841"/>
        <v>0</v>
      </c>
      <c r="GB287" s="39">
        <f t="shared" si="4841"/>
        <v>1587.7119799999996</v>
      </c>
      <c r="GC287" s="39">
        <f t="shared" si="4841"/>
        <v>0</v>
      </c>
      <c r="GD287" s="39">
        <f t="shared" ref="GD287:GH287" si="4842">GD$1*FK287/1000000</f>
        <v>0</v>
      </c>
      <c r="GE287" s="39">
        <f t="shared" si="4842"/>
        <v>0</v>
      </c>
      <c r="GF287" s="39">
        <f t="shared" si="4842"/>
        <v>0</v>
      </c>
      <c r="GG287" s="39">
        <f t="shared" si="4842"/>
        <v>0</v>
      </c>
      <c r="GH287" s="39">
        <f t="shared" si="4842"/>
        <v>0</v>
      </c>
      <c r="GI287" s="39">
        <f t="shared" ref="GI287:GJ287" si="4843">GI$1*FP287</f>
        <v>0</v>
      </c>
      <c r="GJ287" s="39">
        <f t="shared" si="4843"/>
        <v>0</v>
      </c>
      <c r="GK287" s="2"/>
      <c r="GL287" s="39">
        <f t="shared" si="4395"/>
        <v>0</v>
      </c>
      <c r="GM287" s="39">
        <f t="shared" si="4396"/>
        <v>0</v>
      </c>
      <c r="GN287" s="2" t="s">
        <v>3</v>
      </c>
      <c r="GO287" s="2">
        <f t="shared" si="4397"/>
        <v>242</v>
      </c>
      <c r="GP287" s="4">
        <f t="shared" si="4398"/>
        <v>0.53553719008264455</v>
      </c>
      <c r="GQ287" s="18">
        <f t="shared" si="4399"/>
        <v>1295.9999999999998</v>
      </c>
      <c r="GR287" s="15">
        <f t="shared" si="4400"/>
        <v>16995.743999999999</v>
      </c>
      <c r="GS287" s="15">
        <f t="shared" si="4401"/>
        <v>70.230347107438007</v>
      </c>
      <c r="GT287" s="2">
        <f t="shared" si="4402"/>
        <v>822.8</v>
      </c>
      <c r="GU287" s="2">
        <f t="shared" si="4403"/>
        <v>348.4</v>
      </c>
      <c r="GV287" s="2">
        <f t="shared" si="4404"/>
        <v>124.8</v>
      </c>
      <c r="GW287" s="2">
        <f t="shared" si="4405"/>
        <v>22.330000000000002</v>
      </c>
      <c r="GX287" s="4">
        <f t="shared" si="4824"/>
        <v>0.54218540080609035</v>
      </c>
      <c r="GY287" s="15">
        <f t="shared" si="4825"/>
        <v>121.07</v>
      </c>
      <c r="GZ287" s="15">
        <f t="shared" si="4826"/>
        <v>1587.7119799999996</v>
      </c>
      <c r="HA287" s="15">
        <f t="shared" si="4827"/>
        <v>71.102193461710684</v>
      </c>
      <c r="HB287" s="2">
        <f t="shared" si="4406"/>
        <v>102.86999999999996</v>
      </c>
      <c r="HC287" s="2">
        <f t="shared" si="4407"/>
        <v>18.2</v>
      </c>
      <c r="HD287" s="2" t="s">
        <v>3</v>
      </c>
      <c r="HE287" s="2" t="s">
        <v>89</v>
      </c>
      <c r="HF287" s="2" t="s">
        <v>137</v>
      </c>
      <c r="HG287" s="2"/>
      <c r="HH287" s="2"/>
      <c r="HI287" s="2" t="s">
        <v>81</v>
      </c>
      <c r="HJ287" s="2" t="s">
        <v>3</v>
      </c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 t="s">
        <v>3</v>
      </c>
    </row>
    <row r="288" spans="1:268" ht="15.75" customHeight="1" x14ac:dyDescent="0.2">
      <c r="A288" s="16" t="s">
        <v>366</v>
      </c>
      <c r="B288" s="2" t="s">
        <v>120</v>
      </c>
      <c r="C288" s="2"/>
      <c r="D288" s="2"/>
      <c r="E288" s="2" t="s">
        <v>179</v>
      </c>
      <c r="F288" s="2" t="s">
        <v>367</v>
      </c>
      <c r="G288" s="2"/>
      <c r="H288" s="2" t="s">
        <v>181</v>
      </c>
      <c r="I288" s="2">
        <v>0.87</v>
      </c>
      <c r="J288" s="2"/>
      <c r="K288" s="2"/>
      <c r="L288" s="2"/>
      <c r="M288" s="2"/>
      <c r="N288" s="2"/>
      <c r="O288" s="2"/>
      <c r="P288" s="2"/>
      <c r="Q288" s="2">
        <v>3.4</v>
      </c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>
        <f>3.9+1.2</f>
        <v>5.0999999999999996</v>
      </c>
      <c r="AE288" s="2"/>
      <c r="AF288" s="2"/>
      <c r="AG288" s="2"/>
      <c r="AH288" s="2"/>
      <c r="AI288" s="2"/>
      <c r="AJ288" s="2"/>
      <c r="AK288" s="2"/>
      <c r="AL288" s="15">
        <f>(0.96*3.9+3.6*1.2)/AD288</f>
        <v>1.5811764705882354</v>
      </c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>
        <f>3+0.52</f>
        <v>3.52</v>
      </c>
      <c r="AZ288" s="2"/>
      <c r="BA288" s="2"/>
      <c r="BB288" s="2"/>
      <c r="BC288" s="2"/>
      <c r="BD288" s="2"/>
      <c r="BE288" s="2"/>
      <c r="BF288" s="2"/>
      <c r="BG288" s="15">
        <f>(0.99*3+3.5*0.52)/AY288</f>
        <v>1.3607954545454546</v>
      </c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>
        <v>0</v>
      </c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>
        <v>0.55000000000000004</v>
      </c>
      <c r="CP288" s="2"/>
      <c r="CQ288" s="2"/>
      <c r="CR288" s="2"/>
      <c r="CS288" s="2"/>
      <c r="CT288" s="2"/>
      <c r="CU288" s="2"/>
      <c r="CV288" s="2"/>
      <c r="CW288" s="15">
        <v>2</v>
      </c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 t="s">
        <v>81</v>
      </c>
      <c r="DK288" s="2"/>
      <c r="DL288" s="2">
        <f t="shared" si="4367"/>
        <v>1.6661749209694416</v>
      </c>
      <c r="DM288" s="2">
        <f t="shared" si="4368"/>
        <v>0</v>
      </c>
      <c r="DN288" s="2" t="s">
        <v>211</v>
      </c>
      <c r="DO288" s="2" t="s">
        <v>3</v>
      </c>
      <c r="DP288" s="2">
        <f t="shared" si="4369"/>
        <v>0</v>
      </c>
      <c r="DQ288" s="2">
        <f t="shared" ref="DQ288:DR288" si="4844">K288*$I288+AF288*$AD288+BA288*$AY288</f>
        <v>0</v>
      </c>
      <c r="DR288" s="2">
        <f t="shared" si="4844"/>
        <v>0</v>
      </c>
      <c r="DS288" s="2">
        <f t="shared" ref="DS288:DX288" si="4845">(M288*$I288+AH288*$AD288+BC288*$AY288)/100</f>
        <v>0</v>
      </c>
      <c r="DT288" s="2">
        <f t="shared" si="4845"/>
        <v>0</v>
      </c>
      <c r="DU288" s="2">
        <f t="shared" si="4845"/>
        <v>0</v>
      </c>
      <c r="DV288" s="2">
        <f t="shared" si="4845"/>
        <v>0</v>
      </c>
      <c r="DW288" s="2">
        <f t="shared" si="4845"/>
        <v>0.15812000000000001</v>
      </c>
      <c r="DX288" s="2">
        <f t="shared" si="4845"/>
        <v>0</v>
      </c>
      <c r="DY288" s="2">
        <f t="shared" ref="DY288:EC288" si="4846">S288*$I288+AN288*$AD288+BI288*$AY288</f>
        <v>0</v>
      </c>
      <c r="DZ288" s="2">
        <f t="shared" si="4846"/>
        <v>0</v>
      </c>
      <c r="EA288" s="2">
        <f t="shared" si="4846"/>
        <v>0</v>
      </c>
      <c r="EB288" s="2">
        <f t="shared" si="4846"/>
        <v>0</v>
      </c>
      <c r="EC288" s="2">
        <f t="shared" si="4846"/>
        <v>0</v>
      </c>
      <c r="ED288" s="2">
        <f t="shared" ref="ED288:EE288" si="4847">(X288*$I288+AS288*$AD288+BN288*$AY288)/100</f>
        <v>0</v>
      </c>
      <c r="EE288" s="2">
        <f t="shared" si="4847"/>
        <v>0</v>
      </c>
      <c r="EF288" s="2"/>
      <c r="EG288" s="2">
        <f t="shared" si="4374"/>
        <v>0</v>
      </c>
      <c r="EH288" s="2">
        <f t="shared" si="4375"/>
        <v>0</v>
      </c>
      <c r="EI288" s="39">
        <f t="shared" si="4376"/>
        <v>0</v>
      </c>
      <c r="EJ288" s="39">
        <f t="shared" ref="EJ288:EK288" si="4848">EJ$1*DQ288/1000000</f>
        <v>0</v>
      </c>
      <c r="EK288" s="39">
        <f t="shared" si="4848"/>
        <v>0</v>
      </c>
      <c r="EL288" s="39">
        <f t="shared" ref="EL288:EQ288" si="4849">EL$1*DS288</f>
        <v>0</v>
      </c>
      <c r="EM288" s="39">
        <f t="shared" si="4849"/>
        <v>0</v>
      </c>
      <c r="EN288" s="39">
        <f t="shared" si="4849"/>
        <v>0</v>
      </c>
      <c r="EO288" s="39">
        <f t="shared" si="4849"/>
        <v>0</v>
      </c>
      <c r="EP288" s="39">
        <f t="shared" si="4849"/>
        <v>2073.5856800000001</v>
      </c>
      <c r="EQ288" s="39">
        <f t="shared" si="4849"/>
        <v>0</v>
      </c>
      <c r="ER288" s="39">
        <f t="shared" ref="ER288:EV288" si="4850">ER$1*DY288/1000000</f>
        <v>0</v>
      </c>
      <c r="ES288" s="39">
        <f t="shared" si="4850"/>
        <v>0</v>
      </c>
      <c r="ET288" s="39">
        <f t="shared" si="4850"/>
        <v>0</v>
      </c>
      <c r="EU288" s="39">
        <f t="shared" si="4850"/>
        <v>0</v>
      </c>
      <c r="EV288" s="39">
        <f t="shared" si="4850"/>
        <v>0</v>
      </c>
      <c r="EW288" s="39">
        <f t="shared" ref="EW288:EX288" si="4851">EW$1*ED288</f>
        <v>0</v>
      </c>
      <c r="EX288" s="39">
        <f t="shared" si="4851"/>
        <v>0</v>
      </c>
      <c r="EY288" s="2"/>
      <c r="EZ288" s="39">
        <f t="shared" si="4381"/>
        <v>0</v>
      </c>
      <c r="FA288" s="39">
        <f t="shared" si="4382"/>
        <v>0</v>
      </c>
      <c r="FB288" s="2">
        <f t="shared" si="4383"/>
        <v>0</v>
      </c>
      <c r="FC288" s="2">
        <f t="shared" ref="FC288:FD288" si="4852">BV288*$BT288+CQ288*$CO288</f>
        <v>0</v>
      </c>
      <c r="FD288" s="2">
        <f t="shared" si="4852"/>
        <v>0</v>
      </c>
      <c r="FE288" s="2">
        <f t="shared" ref="FE288:FJ288" si="4853">(BX288*$BT288+CS288*$CO288)/100</f>
        <v>0</v>
      </c>
      <c r="FF288" s="2">
        <f t="shared" si="4853"/>
        <v>0</v>
      </c>
      <c r="FG288" s="2">
        <f t="shared" si="4853"/>
        <v>0</v>
      </c>
      <c r="FH288" s="2">
        <f t="shared" si="4853"/>
        <v>0</v>
      </c>
      <c r="FI288" s="2">
        <f t="shared" si="4853"/>
        <v>1.1000000000000001E-2</v>
      </c>
      <c r="FJ288" s="2">
        <f t="shared" si="4853"/>
        <v>0</v>
      </c>
      <c r="FK288" s="2">
        <f t="shared" ref="FK288:FO288" si="4854">CD288*$BT288+CY288*$CO288</f>
        <v>0</v>
      </c>
      <c r="FL288" s="2">
        <f t="shared" si="4854"/>
        <v>0</v>
      </c>
      <c r="FM288" s="2">
        <f t="shared" si="4854"/>
        <v>0</v>
      </c>
      <c r="FN288" s="2">
        <f t="shared" si="4854"/>
        <v>0</v>
      </c>
      <c r="FO288" s="2">
        <f t="shared" si="4854"/>
        <v>0</v>
      </c>
      <c r="FP288" s="2">
        <f t="shared" ref="FP288:FQ288" si="4855">(CI288*$BT288+DD288*$CO288)/100</f>
        <v>0</v>
      </c>
      <c r="FQ288" s="2">
        <f t="shared" si="4855"/>
        <v>0</v>
      </c>
      <c r="FR288" s="2"/>
      <c r="FS288" s="2">
        <f t="shared" si="4388"/>
        <v>0</v>
      </c>
      <c r="FT288" s="2">
        <f t="shared" si="4389"/>
        <v>0</v>
      </c>
      <c r="FU288" s="39">
        <f t="shared" si="4390"/>
        <v>0</v>
      </c>
      <c r="FV288" s="39">
        <f t="shared" ref="FV288:FW288" si="4856">FV$1*FC288/1000000</f>
        <v>0</v>
      </c>
      <c r="FW288" s="39">
        <f t="shared" si="4856"/>
        <v>0</v>
      </c>
      <c r="FX288" s="39">
        <f t="shared" ref="FX288:GC288" si="4857">FX$1*FE288</f>
        <v>0</v>
      </c>
      <c r="FY288" s="39">
        <f t="shared" si="4857"/>
        <v>0</v>
      </c>
      <c r="FZ288" s="39">
        <f t="shared" si="4857"/>
        <v>0</v>
      </c>
      <c r="GA288" s="39">
        <f t="shared" si="4857"/>
        <v>0</v>
      </c>
      <c r="GB288" s="39">
        <f t="shared" si="4857"/>
        <v>144.25400000000002</v>
      </c>
      <c r="GC288" s="39">
        <f t="shared" si="4857"/>
        <v>0</v>
      </c>
      <c r="GD288" s="39">
        <f t="shared" ref="GD288:GH288" si="4858">GD$1*FK288/1000000</f>
        <v>0</v>
      </c>
      <c r="GE288" s="39">
        <f t="shared" si="4858"/>
        <v>0</v>
      </c>
      <c r="GF288" s="39">
        <f t="shared" si="4858"/>
        <v>0</v>
      </c>
      <c r="GG288" s="39">
        <f t="shared" si="4858"/>
        <v>0</v>
      </c>
      <c r="GH288" s="39">
        <f t="shared" si="4858"/>
        <v>0</v>
      </c>
      <c r="GI288" s="39">
        <f t="shared" ref="GI288:GJ288" si="4859">GI$1*FP288</f>
        <v>0</v>
      </c>
      <c r="GJ288" s="39">
        <f t="shared" si="4859"/>
        <v>0</v>
      </c>
      <c r="GK288" s="2"/>
      <c r="GL288" s="39">
        <f t="shared" si="4395"/>
        <v>0</v>
      </c>
      <c r="GM288" s="39">
        <f t="shared" si="4396"/>
        <v>0</v>
      </c>
      <c r="GN288" s="2" t="s">
        <v>3</v>
      </c>
      <c r="GO288" s="2">
        <f t="shared" si="4397"/>
        <v>9.49</v>
      </c>
      <c r="GP288" s="4">
        <f t="shared" si="4398"/>
        <v>1.6661749209694416</v>
      </c>
      <c r="GQ288" s="15">
        <f t="shared" si="4399"/>
        <v>158.12</v>
      </c>
      <c r="GR288" s="15">
        <f t="shared" si="4400"/>
        <v>2073.5856800000001</v>
      </c>
      <c r="GS288" s="15">
        <f t="shared" si="4401"/>
        <v>218.50217913593258</v>
      </c>
      <c r="GT288" s="2">
        <f t="shared" si="4402"/>
        <v>29.579999999999995</v>
      </c>
      <c r="GU288" s="2">
        <f t="shared" si="4403"/>
        <v>80.64</v>
      </c>
      <c r="GV288" s="2">
        <f t="shared" si="4404"/>
        <v>47.9</v>
      </c>
      <c r="GW288" s="2">
        <f t="shared" si="4405"/>
        <v>0.55000000000000004</v>
      </c>
      <c r="GX288" s="4">
        <f t="shared" si="4824"/>
        <v>2</v>
      </c>
      <c r="GY288" s="15">
        <f t="shared" si="4825"/>
        <v>11</v>
      </c>
      <c r="GZ288" s="15">
        <f t="shared" si="4826"/>
        <v>144.25400000000002</v>
      </c>
      <c r="HA288" s="15">
        <f t="shared" si="4827"/>
        <v>262.28000000000003</v>
      </c>
      <c r="HB288" s="2">
        <f t="shared" si="4406"/>
        <v>0</v>
      </c>
      <c r="HC288" s="2">
        <f t="shared" si="4407"/>
        <v>11</v>
      </c>
      <c r="HD288" s="2" t="s">
        <v>3</v>
      </c>
      <c r="HE288" s="2" t="s">
        <v>89</v>
      </c>
      <c r="HF288" s="2" t="s">
        <v>137</v>
      </c>
      <c r="HG288" s="2"/>
      <c r="HH288" s="2"/>
      <c r="HI288" s="2" t="s">
        <v>81</v>
      </c>
      <c r="HJ288" s="2" t="s">
        <v>3</v>
      </c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 t="s">
        <v>3</v>
      </c>
    </row>
    <row r="289" spans="1:268" ht="15.75" customHeight="1" x14ac:dyDescent="0.2">
      <c r="A289" s="16" t="s">
        <v>1323</v>
      </c>
      <c r="B289" s="2" t="s">
        <v>99</v>
      </c>
      <c r="C289" s="2"/>
      <c r="D289" s="2"/>
      <c r="E289" s="2" t="s">
        <v>78</v>
      </c>
      <c r="F289" s="2" t="s">
        <v>367</v>
      </c>
      <c r="G289" s="2"/>
      <c r="H289" s="2" t="s">
        <v>181</v>
      </c>
      <c r="I289" s="2">
        <v>156</v>
      </c>
      <c r="J289" s="2"/>
      <c r="K289" s="2"/>
      <c r="L289" s="2"/>
      <c r="M289" s="2"/>
      <c r="N289" s="2"/>
      <c r="O289" s="2"/>
      <c r="P289" s="2"/>
      <c r="Q289" s="2">
        <v>0.59</v>
      </c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>
        <v>113</v>
      </c>
      <c r="AE289" s="2"/>
      <c r="AF289" s="2"/>
      <c r="AG289" s="2"/>
      <c r="AH289" s="2"/>
      <c r="AI289" s="2"/>
      <c r="AJ289" s="2"/>
      <c r="AK289" s="2"/>
      <c r="AL289" s="2">
        <v>0.62</v>
      </c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>
        <v>171</v>
      </c>
      <c r="AZ289" s="2"/>
      <c r="BA289" s="2"/>
      <c r="BB289" s="2"/>
      <c r="BC289" s="2"/>
      <c r="BD289" s="2"/>
      <c r="BE289" s="2"/>
      <c r="BF289" s="2"/>
      <c r="BG289" s="2">
        <v>0.61</v>
      </c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>
        <v>57</v>
      </c>
      <c r="BU289" s="2"/>
      <c r="BV289" s="2"/>
      <c r="BW289" s="2"/>
      <c r="BX289" s="2"/>
      <c r="BY289" s="2"/>
      <c r="BZ289" s="2"/>
      <c r="CA289" s="2"/>
      <c r="CB289" s="4">
        <v>0.6</v>
      </c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>
        <v>96</v>
      </c>
      <c r="CP289" s="2"/>
      <c r="CQ289" s="2"/>
      <c r="CR289" s="2"/>
      <c r="CS289" s="2"/>
      <c r="CT289" s="2"/>
      <c r="CU289" s="2"/>
      <c r="CV289" s="2"/>
      <c r="CW289" s="2">
        <v>0.61</v>
      </c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 t="s">
        <v>81</v>
      </c>
      <c r="DK289" s="2"/>
      <c r="DL289" s="2">
        <f t="shared" si="4367"/>
        <v>0.6054772727272727</v>
      </c>
      <c r="DM289" s="2">
        <f t="shared" si="4368"/>
        <v>0</v>
      </c>
      <c r="DN289" s="2" t="s">
        <v>211</v>
      </c>
      <c r="DO289" s="2" t="s">
        <v>3</v>
      </c>
      <c r="DP289" s="2">
        <f t="shared" si="4369"/>
        <v>0</v>
      </c>
      <c r="DQ289" s="2">
        <f t="shared" ref="DQ289:DR289" si="4860">K289*$I289+AF289*$AD289+BA289*$AY289</f>
        <v>0</v>
      </c>
      <c r="DR289" s="2">
        <f t="shared" si="4860"/>
        <v>0</v>
      </c>
      <c r="DS289" s="2">
        <f t="shared" ref="DS289:DX289" si="4861">(M289*$I289+AH289*$AD289+BC289*$AY289)/100</f>
        <v>0</v>
      </c>
      <c r="DT289" s="2">
        <f t="shared" si="4861"/>
        <v>0</v>
      </c>
      <c r="DU289" s="2">
        <f t="shared" si="4861"/>
        <v>0</v>
      </c>
      <c r="DV289" s="2">
        <f t="shared" si="4861"/>
        <v>0</v>
      </c>
      <c r="DW289" s="2">
        <f t="shared" si="4861"/>
        <v>2.6640999999999995</v>
      </c>
      <c r="DX289" s="2">
        <f t="shared" si="4861"/>
        <v>0</v>
      </c>
      <c r="DY289" s="2">
        <f t="shared" ref="DY289:EC289" si="4862">S289*$I289+AN289*$AD289+BI289*$AY289</f>
        <v>0</v>
      </c>
      <c r="DZ289" s="2">
        <f t="shared" si="4862"/>
        <v>0</v>
      </c>
      <c r="EA289" s="2">
        <f t="shared" si="4862"/>
        <v>0</v>
      </c>
      <c r="EB289" s="2">
        <f t="shared" si="4862"/>
        <v>0</v>
      </c>
      <c r="EC289" s="2">
        <f t="shared" si="4862"/>
        <v>0</v>
      </c>
      <c r="ED289" s="2">
        <f t="shared" ref="ED289:EE289" si="4863">(X289*$I289+AS289*$AD289+BN289*$AY289)/100</f>
        <v>0</v>
      </c>
      <c r="EE289" s="2">
        <f t="shared" si="4863"/>
        <v>0</v>
      </c>
      <c r="EF289" s="2"/>
      <c r="EG289" s="2">
        <f t="shared" si="4374"/>
        <v>0</v>
      </c>
      <c r="EH289" s="2">
        <f t="shared" si="4375"/>
        <v>0</v>
      </c>
      <c r="EI289" s="39">
        <f t="shared" si="4376"/>
        <v>0</v>
      </c>
      <c r="EJ289" s="39">
        <f t="shared" ref="EJ289:EK289" si="4864">EJ$1*DQ289/1000000</f>
        <v>0</v>
      </c>
      <c r="EK289" s="39">
        <f t="shared" si="4864"/>
        <v>0</v>
      </c>
      <c r="EL289" s="39">
        <f t="shared" ref="EL289:EQ289" si="4865">EL$1*DS289</f>
        <v>0</v>
      </c>
      <c r="EM289" s="39">
        <f t="shared" si="4865"/>
        <v>0</v>
      </c>
      <c r="EN289" s="39">
        <f t="shared" si="4865"/>
        <v>0</v>
      </c>
      <c r="EO289" s="39">
        <f t="shared" si="4865"/>
        <v>0</v>
      </c>
      <c r="EP289" s="39">
        <f t="shared" si="4865"/>
        <v>34937.007399999995</v>
      </c>
      <c r="EQ289" s="39">
        <f t="shared" si="4865"/>
        <v>0</v>
      </c>
      <c r="ER289" s="39">
        <f t="shared" ref="ER289:EV289" si="4866">ER$1*DY289/1000000</f>
        <v>0</v>
      </c>
      <c r="ES289" s="39">
        <f t="shared" si="4866"/>
        <v>0</v>
      </c>
      <c r="ET289" s="39">
        <f t="shared" si="4866"/>
        <v>0</v>
      </c>
      <c r="EU289" s="39">
        <f t="shared" si="4866"/>
        <v>0</v>
      </c>
      <c r="EV289" s="39">
        <f t="shared" si="4866"/>
        <v>0</v>
      </c>
      <c r="EW289" s="39">
        <f t="shared" ref="EW289:EX289" si="4867">EW$1*ED289</f>
        <v>0</v>
      </c>
      <c r="EX289" s="39">
        <f t="shared" si="4867"/>
        <v>0</v>
      </c>
      <c r="EY289" s="2"/>
      <c r="EZ289" s="39">
        <f t="shared" si="4381"/>
        <v>0</v>
      </c>
      <c r="FA289" s="39">
        <f t="shared" si="4382"/>
        <v>0</v>
      </c>
      <c r="FB289" s="2">
        <f t="shared" si="4383"/>
        <v>0</v>
      </c>
      <c r="FC289" s="2">
        <f t="shared" ref="FC289:FD289" si="4868">BV289*$BT289+CQ289*$CO289</f>
        <v>0</v>
      </c>
      <c r="FD289" s="2">
        <f t="shared" si="4868"/>
        <v>0</v>
      </c>
      <c r="FE289" s="2">
        <f t="shared" ref="FE289:FJ289" si="4869">(BX289*$BT289+CS289*$CO289)/100</f>
        <v>0</v>
      </c>
      <c r="FF289" s="2">
        <f t="shared" si="4869"/>
        <v>0</v>
      </c>
      <c r="FG289" s="2">
        <f t="shared" si="4869"/>
        <v>0</v>
      </c>
      <c r="FH289" s="2">
        <f t="shared" si="4869"/>
        <v>0</v>
      </c>
      <c r="FI289" s="2">
        <f t="shared" si="4869"/>
        <v>0.92759999999999987</v>
      </c>
      <c r="FJ289" s="2">
        <f t="shared" si="4869"/>
        <v>0</v>
      </c>
      <c r="FK289" s="2">
        <f t="shared" ref="FK289:FO289" si="4870">CD289*$BT289+CY289*$CO289</f>
        <v>0</v>
      </c>
      <c r="FL289" s="2">
        <f t="shared" si="4870"/>
        <v>0</v>
      </c>
      <c r="FM289" s="2">
        <f t="shared" si="4870"/>
        <v>0</v>
      </c>
      <c r="FN289" s="2">
        <f t="shared" si="4870"/>
        <v>0</v>
      </c>
      <c r="FO289" s="2">
        <f t="shared" si="4870"/>
        <v>0</v>
      </c>
      <c r="FP289" s="2">
        <f t="shared" ref="FP289:FQ289" si="4871">(CI289*$BT289+DD289*$CO289)/100</f>
        <v>0</v>
      </c>
      <c r="FQ289" s="2">
        <f t="shared" si="4871"/>
        <v>0</v>
      </c>
      <c r="FR289" s="2"/>
      <c r="FS289" s="2">
        <f t="shared" si="4388"/>
        <v>0</v>
      </c>
      <c r="FT289" s="2">
        <f t="shared" si="4389"/>
        <v>0</v>
      </c>
      <c r="FU289" s="39">
        <f t="shared" si="4390"/>
        <v>0</v>
      </c>
      <c r="FV289" s="39">
        <f t="shared" ref="FV289:FW289" si="4872">FV$1*FC289/1000000</f>
        <v>0</v>
      </c>
      <c r="FW289" s="39">
        <f t="shared" si="4872"/>
        <v>0</v>
      </c>
      <c r="FX289" s="39">
        <f t="shared" ref="FX289:GC289" si="4873">FX$1*FE289</f>
        <v>0</v>
      </c>
      <c r="FY289" s="39">
        <f t="shared" si="4873"/>
        <v>0</v>
      </c>
      <c r="FZ289" s="39">
        <f t="shared" si="4873"/>
        <v>0</v>
      </c>
      <c r="GA289" s="39">
        <f t="shared" si="4873"/>
        <v>0</v>
      </c>
      <c r="GB289" s="39">
        <f t="shared" si="4873"/>
        <v>12164.546399999997</v>
      </c>
      <c r="GC289" s="39">
        <f t="shared" si="4873"/>
        <v>0</v>
      </c>
      <c r="GD289" s="39">
        <f t="shared" ref="GD289:GH289" si="4874">GD$1*FK289/1000000</f>
        <v>0</v>
      </c>
      <c r="GE289" s="39">
        <f t="shared" si="4874"/>
        <v>0</v>
      </c>
      <c r="GF289" s="39">
        <f t="shared" si="4874"/>
        <v>0</v>
      </c>
      <c r="GG289" s="39">
        <f t="shared" si="4874"/>
        <v>0</v>
      </c>
      <c r="GH289" s="39">
        <f t="shared" si="4874"/>
        <v>0</v>
      </c>
      <c r="GI289" s="39">
        <f t="shared" ref="GI289:GJ289" si="4875">GI$1*FP289</f>
        <v>0</v>
      </c>
      <c r="GJ289" s="39">
        <f t="shared" si="4875"/>
        <v>0</v>
      </c>
      <c r="GK289" s="2"/>
      <c r="GL289" s="39">
        <f t="shared" si="4395"/>
        <v>0</v>
      </c>
      <c r="GM289" s="39">
        <f t="shared" si="4396"/>
        <v>0</v>
      </c>
      <c r="GN289" s="2" t="s">
        <v>3</v>
      </c>
      <c r="GO289" s="2">
        <f t="shared" si="4397"/>
        <v>440</v>
      </c>
      <c r="GP289" s="4">
        <f t="shared" si="4398"/>
        <v>0.6054772727272727</v>
      </c>
      <c r="GQ289" s="18">
        <f t="shared" si="4399"/>
        <v>2664.1</v>
      </c>
      <c r="GR289" s="15">
        <f t="shared" si="4400"/>
        <v>34937.007399999995</v>
      </c>
      <c r="GS289" s="15">
        <f t="shared" si="4401"/>
        <v>79.402289545454536</v>
      </c>
      <c r="GT289" s="2">
        <f t="shared" si="4402"/>
        <v>920.39999999999986</v>
      </c>
      <c r="GU289" s="2">
        <f t="shared" si="4403"/>
        <v>700.6</v>
      </c>
      <c r="GV289" s="2">
        <f t="shared" si="4404"/>
        <v>1043.0999999999999</v>
      </c>
      <c r="GW289" s="2">
        <f t="shared" si="4405"/>
        <v>153</v>
      </c>
      <c r="GX289" s="4">
        <f t="shared" si="4824"/>
        <v>0.6062745098039215</v>
      </c>
      <c r="GY289" s="15">
        <f t="shared" si="4825"/>
        <v>927.59999999999991</v>
      </c>
      <c r="GZ289" s="15">
        <f t="shared" si="4826"/>
        <v>12164.546399999997</v>
      </c>
      <c r="HA289" s="15">
        <f t="shared" si="4827"/>
        <v>79.506839215686256</v>
      </c>
      <c r="HB289" s="2">
        <f t="shared" si="4406"/>
        <v>341.99999999999994</v>
      </c>
      <c r="HC289" s="2">
        <f t="shared" si="4407"/>
        <v>585.6</v>
      </c>
      <c r="HD289" s="2" t="s">
        <v>3</v>
      </c>
      <c r="HE289" s="2" t="s">
        <v>89</v>
      </c>
      <c r="HF289" s="2" t="s">
        <v>137</v>
      </c>
      <c r="HG289" s="2"/>
      <c r="HH289" s="2"/>
      <c r="HI289" s="2" t="s">
        <v>81</v>
      </c>
      <c r="HJ289" s="2" t="s">
        <v>3</v>
      </c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 t="s">
        <v>3</v>
      </c>
    </row>
    <row r="290" spans="1:268" ht="15.75" customHeight="1" x14ac:dyDescent="0.2">
      <c r="A290" s="16" t="s">
        <v>1266</v>
      </c>
      <c r="B290" s="2" t="s">
        <v>99</v>
      </c>
      <c r="C290" s="2"/>
      <c r="D290" s="2"/>
      <c r="E290" s="2" t="s">
        <v>179</v>
      </c>
      <c r="F290" s="2" t="s">
        <v>367</v>
      </c>
      <c r="G290" s="2"/>
      <c r="H290" s="2" t="s">
        <v>181</v>
      </c>
      <c r="I290" s="2">
        <v>0</v>
      </c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>
        <v>0.47</v>
      </c>
      <c r="AE290" s="2"/>
      <c r="AF290" s="2"/>
      <c r="AG290" s="2"/>
      <c r="AH290" s="2"/>
      <c r="AI290" s="2"/>
      <c r="AJ290" s="2"/>
      <c r="AK290" s="2"/>
      <c r="AL290" s="2">
        <v>2.4</v>
      </c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>
        <f>5.4+1.5</f>
        <v>6.9</v>
      </c>
      <c r="AZ290" s="2"/>
      <c r="BA290" s="2"/>
      <c r="BB290" s="2"/>
      <c r="BC290" s="2"/>
      <c r="BD290" s="2"/>
      <c r="BE290" s="2"/>
      <c r="BF290" s="2"/>
      <c r="BG290" s="15">
        <f>(1.7*5.4+5.8*1.5)/AY290</f>
        <v>2.5913043478260867</v>
      </c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>
        <v>0</v>
      </c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>
        <v>0</v>
      </c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 t="s">
        <v>81</v>
      </c>
      <c r="DK290" s="2"/>
      <c r="DL290" s="2">
        <f t="shared" si="4367"/>
        <v>2.5791044776119403</v>
      </c>
      <c r="DM290" s="2">
        <f t="shared" si="4368"/>
        <v>0</v>
      </c>
      <c r="DN290" s="2" t="s">
        <v>211</v>
      </c>
      <c r="DO290" s="2" t="s">
        <v>3</v>
      </c>
      <c r="DP290" s="2">
        <f t="shared" si="4369"/>
        <v>0</v>
      </c>
      <c r="DQ290" s="2">
        <f t="shared" ref="DQ290:DR290" si="4876">K290*$I290+AF290*$AD290+BA290*$AY290</f>
        <v>0</v>
      </c>
      <c r="DR290" s="2">
        <f t="shared" si="4876"/>
        <v>0</v>
      </c>
      <c r="DS290" s="2">
        <f t="shared" ref="DS290:DX290" si="4877">(M290*$I290+AH290*$AD290+BC290*$AY290)/100</f>
        <v>0</v>
      </c>
      <c r="DT290" s="2">
        <f t="shared" si="4877"/>
        <v>0</v>
      </c>
      <c r="DU290" s="2">
        <f t="shared" si="4877"/>
        <v>0</v>
      </c>
      <c r="DV290" s="2">
        <f t="shared" si="4877"/>
        <v>0</v>
      </c>
      <c r="DW290" s="2">
        <f t="shared" si="4877"/>
        <v>0.19008</v>
      </c>
      <c r="DX290" s="2">
        <f t="shared" si="4877"/>
        <v>0</v>
      </c>
      <c r="DY290" s="2">
        <f t="shared" ref="DY290:EC290" si="4878">S290*$I290+AN290*$AD290+BI290*$AY290</f>
        <v>0</v>
      </c>
      <c r="DZ290" s="2">
        <f t="shared" si="4878"/>
        <v>0</v>
      </c>
      <c r="EA290" s="2">
        <f t="shared" si="4878"/>
        <v>0</v>
      </c>
      <c r="EB290" s="2">
        <f t="shared" si="4878"/>
        <v>0</v>
      </c>
      <c r="EC290" s="2">
        <f t="shared" si="4878"/>
        <v>0</v>
      </c>
      <c r="ED290" s="2">
        <f t="shared" ref="ED290:EE290" si="4879">(X290*$I290+AS290*$AD290+BN290*$AY290)/100</f>
        <v>0</v>
      </c>
      <c r="EE290" s="2">
        <f t="shared" si="4879"/>
        <v>0</v>
      </c>
      <c r="EF290" s="2"/>
      <c r="EG290" s="2">
        <f t="shared" si="4374"/>
        <v>0</v>
      </c>
      <c r="EH290" s="2">
        <f t="shared" si="4375"/>
        <v>0</v>
      </c>
      <c r="EI290" s="39">
        <f t="shared" si="4376"/>
        <v>0</v>
      </c>
      <c r="EJ290" s="39">
        <f t="shared" ref="EJ290:EK290" si="4880">EJ$1*DQ290/1000000</f>
        <v>0</v>
      </c>
      <c r="EK290" s="39">
        <f t="shared" si="4880"/>
        <v>0</v>
      </c>
      <c r="EL290" s="39">
        <f t="shared" ref="EL290:EQ290" si="4881">EL$1*DS290</f>
        <v>0</v>
      </c>
      <c r="EM290" s="39">
        <f t="shared" si="4881"/>
        <v>0</v>
      </c>
      <c r="EN290" s="39">
        <f t="shared" si="4881"/>
        <v>0</v>
      </c>
      <c r="EO290" s="39">
        <f t="shared" si="4881"/>
        <v>0</v>
      </c>
      <c r="EP290" s="39">
        <f t="shared" si="4881"/>
        <v>2492.70912</v>
      </c>
      <c r="EQ290" s="39">
        <f t="shared" si="4881"/>
        <v>0</v>
      </c>
      <c r="ER290" s="39">
        <f t="shared" ref="ER290:EV290" si="4882">ER$1*DY290/1000000</f>
        <v>0</v>
      </c>
      <c r="ES290" s="39">
        <f t="shared" si="4882"/>
        <v>0</v>
      </c>
      <c r="ET290" s="39">
        <f t="shared" si="4882"/>
        <v>0</v>
      </c>
      <c r="EU290" s="39">
        <f t="shared" si="4882"/>
        <v>0</v>
      </c>
      <c r="EV290" s="39">
        <f t="shared" si="4882"/>
        <v>0</v>
      </c>
      <c r="EW290" s="39">
        <f t="shared" ref="EW290:EX290" si="4883">EW$1*ED290</f>
        <v>0</v>
      </c>
      <c r="EX290" s="39">
        <f t="shared" si="4883"/>
        <v>0</v>
      </c>
      <c r="EY290" s="2"/>
      <c r="EZ290" s="39">
        <f t="shared" si="4381"/>
        <v>0</v>
      </c>
      <c r="FA290" s="39">
        <f t="shared" si="4382"/>
        <v>0</v>
      </c>
      <c r="FB290" s="2">
        <f t="shared" si="4383"/>
        <v>0</v>
      </c>
      <c r="FC290" s="2">
        <f t="shared" ref="FC290:FD290" si="4884">BV290*$BT290+CQ290*$CO290</f>
        <v>0</v>
      </c>
      <c r="FD290" s="2">
        <f t="shared" si="4884"/>
        <v>0</v>
      </c>
      <c r="FE290" s="2">
        <f t="shared" ref="FE290:FJ290" si="4885">(BX290*$BT290+CS290*$CO290)/100</f>
        <v>0</v>
      </c>
      <c r="FF290" s="2">
        <f t="shared" si="4885"/>
        <v>0</v>
      </c>
      <c r="FG290" s="2">
        <f t="shared" si="4885"/>
        <v>0</v>
      </c>
      <c r="FH290" s="2">
        <f t="shared" si="4885"/>
        <v>0</v>
      </c>
      <c r="FI290" s="2">
        <f t="shared" si="4885"/>
        <v>0</v>
      </c>
      <c r="FJ290" s="2">
        <f t="shared" si="4885"/>
        <v>0</v>
      </c>
      <c r="FK290" s="2">
        <f t="shared" ref="FK290:FO290" si="4886">CD290*$BT290+CY290*$CO290</f>
        <v>0</v>
      </c>
      <c r="FL290" s="2">
        <f t="shared" si="4886"/>
        <v>0</v>
      </c>
      <c r="FM290" s="2">
        <f t="shared" si="4886"/>
        <v>0</v>
      </c>
      <c r="FN290" s="2">
        <f t="shared" si="4886"/>
        <v>0</v>
      </c>
      <c r="FO290" s="2">
        <f t="shared" si="4886"/>
        <v>0</v>
      </c>
      <c r="FP290" s="2">
        <f t="shared" ref="FP290:FQ290" si="4887">(CI290*$BT290+DD290*$CO290)/100</f>
        <v>0</v>
      </c>
      <c r="FQ290" s="2">
        <f t="shared" si="4887"/>
        <v>0</v>
      </c>
      <c r="FR290" s="2"/>
      <c r="FS290" s="2">
        <f t="shared" si="4388"/>
        <v>0</v>
      </c>
      <c r="FT290" s="2">
        <f t="shared" si="4389"/>
        <v>0</v>
      </c>
      <c r="FU290" s="39">
        <f t="shared" si="4390"/>
        <v>0</v>
      </c>
      <c r="FV290" s="39">
        <f t="shared" ref="FV290:FW290" si="4888">FV$1*FC290/1000000</f>
        <v>0</v>
      </c>
      <c r="FW290" s="39">
        <f t="shared" si="4888"/>
        <v>0</v>
      </c>
      <c r="FX290" s="39">
        <f t="shared" ref="FX290:GC290" si="4889">FX$1*FE290</f>
        <v>0</v>
      </c>
      <c r="FY290" s="39">
        <f t="shared" si="4889"/>
        <v>0</v>
      </c>
      <c r="FZ290" s="39">
        <f t="shared" si="4889"/>
        <v>0</v>
      </c>
      <c r="GA290" s="39">
        <f t="shared" si="4889"/>
        <v>0</v>
      </c>
      <c r="GB290" s="39">
        <f t="shared" si="4889"/>
        <v>0</v>
      </c>
      <c r="GC290" s="39">
        <f t="shared" si="4889"/>
        <v>0</v>
      </c>
      <c r="GD290" s="39">
        <f t="shared" ref="GD290:GH290" si="4890">GD$1*FK290/1000000</f>
        <v>0</v>
      </c>
      <c r="GE290" s="39">
        <f t="shared" si="4890"/>
        <v>0</v>
      </c>
      <c r="GF290" s="39">
        <f t="shared" si="4890"/>
        <v>0</v>
      </c>
      <c r="GG290" s="39">
        <f t="shared" si="4890"/>
        <v>0</v>
      </c>
      <c r="GH290" s="39">
        <f t="shared" si="4890"/>
        <v>0</v>
      </c>
      <c r="GI290" s="39">
        <f t="shared" ref="GI290:GJ290" si="4891">GI$1*FP290</f>
        <v>0</v>
      </c>
      <c r="GJ290" s="39">
        <f t="shared" si="4891"/>
        <v>0</v>
      </c>
      <c r="GK290" s="2"/>
      <c r="GL290" s="39">
        <f t="shared" si="4395"/>
        <v>0</v>
      </c>
      <c r="GM290" s="39">
        <f t="shared" si="4396"/>
        <v>0</v>
      </c>
      <c r="GN290" s="2" t="s">
        <v>3</v>
      </c>
      <c r="GO290" s="2">
        <f t="shared" si="4397"/>
        <v>7.37</v>
      </c>
      <c r="GP290" s="4">
        <f t="shared" si="4398"/>
        <v>2.5791044776119403</v>
      </c>
      <c r="GQ290" s="15">
        <f t="shared" si="4399"/>
        <v>190.08</v>
      </c>
      <c r="GR290" s="15">
        <f t="shared" si="4400"/>
        <v>2492.70912</v>
      </c>
      <c r="GS290" s="15">
        <f t="shared" si="4401"/>
        <v>338.22376119402986</v>
      </c>
      <c r="GT290" s="2">
        <f t="shared" si="4402"/>
        <v>0</v>
      </c>
      <c r="GU290" s="2">
        <f t="shared" si="4403"/>
        <v>11.28</v>
      </c>
      <c r="GV290" s="2">
        <f t="shared" si="4404"/>
        <v>178.8</v>
      </c>
      <c r="GW290" s="2">
        <f t="shared" si="4405"/>
        <v>0</v>
      </c>
      <c r="GX290" s="2"/>
      <c r="GY290" s="2"/>
      <c r="GZ290" s="2"/>
      <c r="HA290" s="2"/>
      <c r="HB290" s="2">
        <f t="shared" si="4406"/>
        <v>0</v>
      </c>
      <c r="HC290" s="2">
        <f t="shared" si="4407"/>
        <v>0</v>
      </c>
      <c r="HD290" s="2" t="s">
        <v>3</v>
      </c>
      <c r="HE290" s="2" t="s">
        <v>89</v>
      </c>
      <c r="HF290" s="2" t="s">
        <v>137</v>
      </c>
      <c r="HG290" s="2"/>
      <c r="HH290" s="2"/>
      <c r="HI290" s="2" t="s">
        <v>81</v>
      </c>
      <c r="HJ290" s="2" t="s">
        <v>3</v>
      </c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 t="s">
        <v>3</v>
      </c>
    </row>
    <row r="291" spans="1:268" ht="15.75" customHeight="1" x14ac:dyDescent="0.2">
      <c r="A291" s="16" t="s">
        <v>579</v>
      </c>
      <c r="B291" s="2" t="s">
        <v>99</v>
      </c>
      <c r="C291" s="2"/>
      <c r="D291" s="2"/>
      <c r="E291" s="2" t="s">
        <v>179</v>
      </c>
      <c r="F291" s="2" t="s">
        <v>367</v>
      </c>
      <c r="G291" s="2"/>
      <c r="H291" s="2" t="s">
        <v>181</v>
      </c>
      <c r="I291" s="2">
        <v>0</v>
      </c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>
        <v>0</v>
      </c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>
        <v>31</v>
      </c>
      <c r="AZ291" s="2"/>
      <c r="BA291" s="2"/>
      <c r="BB291" s="2"/>
      <c r="BC291" s="2"/>
      <c r="BD291" s="2"/>
      <c r="BE291" s="2"/>
      <c r="BF291" s="2"/>
      <c r="BG291" s="2">
        <v>0.59</v>
      </c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>
        <v>0</v>
      </c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>
        <v>0</v>
      </c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 t="s">
        <v>81</v>
      </c>
      <c r="DK291" s="2"/>
      <c r="DL291" s="2">
        <f t="shared" si="4367"/>
        <v>0.59</v>
      </c>
      <c r="DM291" s="2">
        <f t="shared" si="4368"/>
        <v>0</v>
      </c>
      <c r="DN291" s="2" t="s">
        <v>211</v>
      </c>
      <c r="DO291" s="2" t="s">
        <v>3</v>
      </c>
      <c r="DP291" s="2">
        <f t="shared" si="4369"/>
        <v>0</v>
      </c>
      <c r="DQ291" s="2">
        <f t="shared" ref="DQ291:DR291" si="4892">K291*$I291+AF291*$AD291+BA291*$AY291</f>
        <v>0</v>
      </c>
      <c r="DR291" s="2">
        <f t="shared" si="4892"/>
        <v>0</v>
      </c>
      <c r="DS291" s="2">
        <f t="shared" ref="DS291:DX291" si="4893">(M291*$I291+AH291*$AD291+BC291*$AY291)/100</f>
        <v>0</v>
      </c>
      <c r="DT291" s="2">
        <f t="shared" si="4893"/>
        <v>0</v>
      </c>
      <c r="DU291" s="2">
        <f t="shared" si="4893"/>
        <v>0</v>
      </c>
      <c r="DV291" s="2">
        <f t="shared" si="4893"/>
        <v>0</v>
      </c>
      <c r="DW291" s="2">
        <f t="shared" si="4893"/>
        <v>0.18289999999999998</v>
      </c>
      <c r="DX291" s="2">
        <f t="shared" si="4893"/>
        <v>0</v>
      </c>
      <c r="DY291" s="2">
        <f t="shared" ref="DY291:EC291" si="4894">S291*$I291+AN291*$AD291+BI291*$AY291</f>
        <v>0</v>
      </c>
      <c r="DZ291" s="2">
        <f t="shared" si="4894"/>
        <v>0</v>
      </c>
      <c r="EA291" s="2">
        <f t="shared" si="4894"/>
        <v>0</v>
      </c>
      <c r="EB291" s="2">
        <f t="shared" si="4894"/>
        <v>0</v>
      </c>
      <c r="EC291" s="2">
        <f t="shared" si="4894"/>
        <v>0</v>
      </c>
      <c r="ED291" s="2">
        <f t="shared" ref="ED291:EE291" si="4895">(X291*$I291+AS291*$AD291+BN291*$AY291)/100</f>
        <v>0</v>
      </c>
      <c r="EE291" s="2">
        <f t="shared" si="4895"/>
        <v>0</v>
      </c>
      <c r="EF291" s="2"/>
      <c r="EG291" s="2">
        <f t="shared" si="4374"/>
        <v>0</v>
      </c>
      <c r="EH291" s="2">
        <f t="shared" si="4375"/>
        <v>0</v>
      </c>
      <c r="EI291" s="39">
        <f t="shared" si="4376"/>
        <v>0</v>
      </c>
      <c r="EJ291" s="39">
        <f t="shared" ref="EJ291:EK291" si="4896">EJ$1*DQ291/1000000</f>
        <v>0</v>
      </c>
      <c r="EK291" s="39">
        <f t="shared" si="4896"/>
        <v>0</v>
      </c>
      <c r="EL291" s="39">
        <f t="shared" ref="EL291:EQ291" si="4897">EL$1*DS291</f>
        <v>0</v>
      </c>
      <c r="EM291" s="39">
        <f t="shared" si="4897"/>
        <v>0</v>
      </c>
      <c r="EN291" s="39">
        <f t="shared" si="4897"/>
        <v>0</v>
      </c>
      <c r="EO291" s="39">
        <f t="shared" si="4897"/>
        <v>0</v>
      </c>
      <c r="EP291" s="39">
        <f t="shared" si="4897"/>
        <v>2398.5505999999996</v>
      </c>
      <c r="EQ291" s="39">
        <f t="shared" si="4897"/>
        <v>0</v>
      </c>
      <c r="ER291" s="39">
        <f t="shared" ref="ER291:EV291" si="4898">ER$1*DY291/1000000</f>
        <v>0</v>
      </c>
      <c r="ES291" s="39">
        <f t="shared" si="4898"/>
        <v>0</v>
      </c>
      <c r="ET291" s="39">
        <f t="shared" si="4898"/>
        <v>0</v>
      </c>
      <c r="EU291" s="39">
        <f t="shared" si="4898"/>
        <v>0</v>
      </c>
      <c r="EV291" s="39">
        <f t="shared" si="4898"/>
        <v>0</v>
      </c>
      <c r="EW291" s="39">
        <f t="shared" ref="EW291:EX291" si="4899">EW$1*ED291</f>
        <v>0</v>
      </c>
      <c r="EX291" s="39">
        <f t="shared" si="4899"/>
        <v>0</v>
      </c>
      <c r="EY291" s="2"/>
      <c r="EZ291" s="39">
        <f t="shared" si="4381"/>
        <v>0</v>
      </c>
      <c r="FA291" s="39">
        <f t="shared" si="4382"/>
        <v>0</v>
      </c>
      <c r="FB291" s="2">
        <f t="shared" si="4383"/>
        <v>0</v>
      </c>
      <c r="FC291" s="2">
        <f t="shared" ref="FC291:FD291" si="4900">BV291*$BT291+CQ291*$CO291</f>
        <v>0</v>
      </c>
      <c r="FD291" s="2">
        <f t="shared" si="4900"/>
        <v>0</v>
      </c>
      <c r="FE291" s="2">
        <f t="shared" ref="FE291:FJ291" si="4901">(BX291*$BT291+CS291*$CO291)/100</f>
        <v>0</v>
      </c>
      <c r="FF291" s="2">
        <f t="shared" si="4901"/>
        <v>0</v>
      </c>
      <c r="FG291" s="2">
        <f t="shared" si="4901"/>
        <v>0</v>
      </c>
      <c r="FH291" s="2">
        <f t="shared" si="4901"/>
        <v>0</v>
      </c>
      <c r="FI291" s="2">
        <f t="shared" si="4901"/>
        <v>0</v>
      </c>
      <c r="FJ291" s="2">
        <f t="shared" si="4901"/>
        <v>0</v>
      </c>
      <c r="FK291" s="2">
        <f t="shared" ref="FK291:FO291" si="4902">CD291*$BT291+CY291*$CO291</f>
        <v>0</v>
      </c>
      <c r="FL291" s="2">
        <f t="shared" si="4902"/>
        <v>0</v>
      </c>
      <c r="FM291" s="2">
        <f t="shared" si="4902"/>
        <v>0</v>
      </c>
      <c r="FN291" s="2">
        <f t="shared" si="4902"/>
        <v>0</v>
      </c>
      <c r="FO291" s="2">
        <f t="shared" si="4902"/>
        <v>0</v>
      </c>
      <c r="FP291" s="2">
        <f t="shared" ref="FP291:FQ291" si="4903">(CI291*$BT291+DD291*$CO291)/100</f>
        <v>0</v>
      </c>
      <c r="FQ291" s="2">
        <f t="shared" si="4903"/>
        <v>0</v>
      </c>
      <c r="FR291" s="2"/>
      <c r="FS291" s="2">
        <f t="shared" si="4388"/>
        <v>0</v>
      </c>
      <c r="FT291" s="2">
        <f t="shared" si="4389"/>
        <v>0</v>
      </c>
      <c r="FU291" s="39">
        <f t="shared" si="4390"/>
        <v>0</v>
      </c>
      <c r="FV291" s="39">
        <f t="shared" ref="FV291:FW291" si="4904">FV$1*FC291/1000000</f>
        <v>0</v>
      </c>
      <c r="FW291" s="39">
        <f t="shared" si="4904"/>
        <v>0</v>
      </c>
      <c r="FX291" s="39">
        <f t="shared" ref="FX291:GC291" si="4905">FX$1*FE291</f>
        <v>0</v>
      </c>
      <c r="FY291" s="39">
        <f t="shared" si="4905"/>
        <v>0</v>
      </c>
      <c r="FZ291" s="39">
        <f t="shared" si="4905"/>
        <v>0</v>
      </c>
      <c r="GA291" s="39">
        <f t="shared" si="4905"/>
        <v>0</v>
      </c>
      <c r="GB291" s="39">
        <f t="shared" si="4905"/>
        <v>0</v>
      </c>
      <c r="GC291" s="39">
        <f t="shared" si="4905"/>
        <v>0</v>
      </c>
      <c r="GD291" s="39">
        <f t="shared" ref="GD291:GH291" si="4906">GD$1*FK291/1000000</f>
        <v>0</v>
      </c>
      <c r="GE291" s="39">
        <f t="shared" si="4906"/>
        <v>0</v>
      </c>
      <c r="GF291" s="39">
        <f t="shared" si="4906"/>
        <v>0</v>
      </c>
      <c r="GG291" s="39">
        <f t="shared" si="4906"/>
        <v>0</v>
      </c>
      <c r="GH291" s="39">
        <f t="shared" si="4906"/>
        <v>0</v>
      </c>
      <c r="GI291" s="39">
        <f t="shared" ref="GI291:GJ291" si="4907">GI$1*FP291</f>
        <v>0</v>
      </c>
      <c r="GJ291" s="39">
        <f t="shared" si="4907"/>
        <v>0</v>
      </c>
      <c r="GK291" s="2"/>
      <c r="GL291" s="39">
        <f t="shared" si="4395"/>
        <v>0</v>
      </c>
      <c r="GM291" s="39">
        <f t="shared" si="4396"/>
        <v>0</v>
      </c>
      <c r="GN291" s="2" t="s">
        <v>3</v>
      </c>
      <c r="GO291" s="2">
        <f t="shared" si="4397"/>
        <v>31</v>
      </c>
      <c r="GP291" s="2">
        <f t="shared" si="4398"/>
        <v>0.59</v>
      </c>
      <c r="GQ291" s="15">
        <f t="shared" si="4399"/>
        <v>182.9</v>
      </c>
      <c r="GR291" s="15">
        <f t="shared" si="4400"/>
        <v>2398.5505999999996</v>
      </c>
      <c r="GS291" s="15">
        <f t="shared" si="4401"/>
        <v>77.372599999999991</v>
      </c>
      <c r="GT291" s="2">
        <f t="shared" si="4402"/>
        <v>0</v>
      </c>
      <c r="GU291" s="2">
        <f t="shared" si="4403"/>
        <v>0</v>
      </c>
      <c r="GV291" s="2">
        <f t="shared" si="4404"/>
        <v>182.9</v>
      </c>
      <c r="GW291" s="2">
        <f t="shared" si="4405"/>
        <v>0</v>
      </c>
      <c r="GX291" s="2"/>
      <c r="GY291" s="2"/>
      <c r="GZ291" s="2"/>
      <c r="HA291" s="2"/>
      <c r="HB291" s="2">
        <f t="shared" si="4406"/>
        <v>0</v>
      </c>
      <c r="HC291" s="2">
        <f t="shared" si="4407"/>
        <v>0</v>
      </c>
      <c r="HD291" s="2" t="s">
        <v>3</v>
      </c>
      <c r="HE291" s="2" t="s">
        <v>89</v>
      </c>
      <c r="HF291" s="2" t="s">
        <v>137</v>
      </c>
      <c r="HG291" s="2"/>
      <c r="HH291" s="2"/>
      <c r="HI291" s="2" t="s">
        <v>81</v>
      </c>
      <c r="HJ291" s="2" t="s">
        <v>3</v>
      </c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 t="s">
        <v>3</v>
      </c>
    </row>
    <row r="292" spans="1:268" ht="15.75" customHeight="1" x14ac:dyDescent="0.2">
      <c r="A292" s="16" t="s">
        <v>538</v>
      </c>
      <c r="B292" s="2" t="s">
        <v>99</v>
      </c>
      <c r="C292" s="2"/>
      <c r="D292" s="2"/>
      <c r="E292" s="2" t="s">
        <v>78</v>
      </c>
      <c r="F292" s="2" t="s">
        <v>536</v>
      </c>
      <c r="G292" s="2"/>
      <c r="H292" s="2" t="s">
        <v>181</v>
      </c>
      <c r="I292" s="2">
        <v>0</v>
      </c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>
        <v>173.3</v>
      </c>
      <c r="AE292" s="2"/>
      <c r="AF292" s="2"/>
      <c r="AG292" s="2"/>
      <c r="AH292" s="2"/>
      <c r="AI292" s="2"/>
      <c r="AJ292" s="2"/>
      <c r="AK292" s="2"/>
      <c r="AL292" s="2">
        <v>0.68</v>
      </c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>
        <v>11.9</v>
      </c>
      <c r="AZ292" s="2"/>
      <c r="BA292" s="2"/>
      <c r="BB292" s="2"/>
      <c r="BC292" s="2"/>
      <c r="BD292" s="2"/>
      <c r="BE292" s="2"/>
      <c r="BF292" s="2"/>
      <c r="BG292" s="2">
        <v>0.68</v>
      </c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>
        <v>0</v>
      </c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>
        <v>0</v>
      </c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 t="s">
        <v>81</v>
      </c>
      <c r="DK292" s="2"/>
      <c r="DL292" s="2">
        <f t="shared" si="4367"/>
        <v>0.68</v>
      </c>
      <c r="DM292" s="2">
        <f t="shared" si="4368"/>
        <v>0</v>
      </c>
      <c r="DN292" s="2" t="s">
        <v>211</v>
      </c>
      <c r="DO292" s="2" t="s">
        <v>3</v>
      </c>
      <c r="DP292" s="2">
        <f t="shared" si="4369"/>
        <v>0</v>
      </c>
      <c r="DQ292" s="2">
        <f t="shared" ref="DQ292:DR292" si="4908">K292*$I292+AF292*$AD292+BA292*$AY292</f>
        <v>0</v>
      </c>
      <c r="DR292" s="2">
        <f t="shared" si="4908"/>
        <v>0</v>
      </c>
      <c r="DS292" s="2">
        <f t="shared" ref="DS292:DX292" si="4909">(M292*$I292+AH292*$AD292+BC292*$AY292)/100</f>
        <v>0</v>
      </c>
      <c r="DT292" s="2">
        <f t="shared" si="4909"/>
        <v>0</v>
      </c>
      <c r="DU292" s="2">
        <f t="shared" si="4909"/>
        <v>0</v>
      </c>
      <c r="DV292" s="2">
        <f t="shared" si="4909"/>
        <v>0</v>
      </c>
      <c r="DW292" s="2">
        <f t="shared" si="4909"/>
        <v>1.2593600000000003</v>
      </c>
      <c r="DX292" s="2">
        <f t="shared" si="4909"/>
        <v>0</v>
      </c>
      <c r="DY292" s="2">
        <f t="shared" ref="DY292:EC292" si="4910">S292*$I292+AN292*$AD292+BI292*$AY292</f>
        <v>0</v>
      </c>
      <c r="DZ292" s="2">
        <f t="shared" si="4910"/>
        <v>0</v>
      </c>
      <c r="EA292" s="2">
        <f t="shared" si="4910"/>
        <v>0</v>
      </c>
      <c r="EB292" s="2">
        <f t="shared" si="4910"/>
        <v>0</v>
      </c>
      <c r="EC292" s="2">
        <f t="shared" si="4910"/>
        <v>0</v>
      </c>
      <c r="ED292" s="2">
        <f t="shared" ref="ED292:EE292" si="4911">(X292*$I292+AS292*$AD292+BN292*$AY292)/100</f>
        <v>0</v>
      </c>
      <c r="EE292" s="2">
        <f t="shared" si="4911"/>
        <v>0</v>
      </c>
      <c r="EF292" s="2"/>
      <c r="EG292" s="2">
        <f t="shared" si="4374"/>
        <v>0</v>
      </c>
      <c r="EH292" s="2">
        <f t="shared" si="4375"/>
        <v>0</v>
      </c>
      <c r="EI292" s="39">
        <f t="shared" si="4376"/>
        <v>0</v>
      </c>
      <c r="EJ292" s="39">
        <f t="shared" ref="EJ292:EK292" si="4912">EJ$1*DQ292/1000000</f>
        <v>0</v>
      </c>
      <c r="EK292" s="39">
        <f t="shared" si="4912"/>
        <v>0</v>
      </c>
      <c r="EL292" s="39">
        <f t="shared" ref="EL292:EQ292" si="4913">EL$1*DS292</f>
        <v>0</v>
      </c>
      <c r="EM292" s="39">
        <f t="shared" si="4913"/>
        <v>0</v>
      </c>
      <c r="EN292" s="39">
        <f t="shared" si="4913"/>
        <v>0</v>
      </c>
      <c r="EO292" s="39">
        <f t="shared" si="4913"/>
        <v>0</v>
      </c>
      <c r="EP292" s="39">
        <f t="shared" si="4913"/>
        <v>16515.247040000002</v>
      </c>
      <c r="EQ292" s="39">
        <f t="shared" si="4913"/>
        <v>0</v>
      </c>
      <c r="ER292" s="39">
        <f t="shared" ref="ER292:EV292" si="4914">ER$1*DY292/1000000</f>
        <v>0</v>
      </c>
      <c r="ES292" s="39">
        <f t="shared" si="4914"/>
        <v>0</v>
      </c>
      <c r="ET292" s="39">
        <f t="shared" si="4914"/>
        <v>0</v>
      </c>
      <c r="EU292" s="39">
        <f t="shared" si="4914"/>
        <v>0</v>
      </c>
      <c r="EV292" s="39">
        <f t="shared" si="4914"/>
        <v>0</v>
      </c>
      <c r="EW292" s="39">
        <f t="shared" ref="EW292:EX292" si="4915">EW$1*ED292</f>
        <v>0</v>
      </c>
      <c r="EX292" s="39">
        <f t="shared" si="4915"/>
        <v>0</v>
      </c>
      <c r="EY292" s="2"/>
      <c r="EZ292" s="39">
        <f t="shared" si="4381"/>
        <v>0</v>
      </c>
      <c r="FA292" s="39">
        <f t="shared" si="4382"/>
        <v>0</v>
      </c>
      <c r="FB292" s="2">
        <f t="shared" si="4383"/>
        <v>0</v>
      </c>
      <c r="FC292" s="2">
        <f t="shared" ref="FC292:FD292" si="4916">BV292*$BT292+CQ292*$CO292</f>
        <v>0</v>
      </c>
      <c r="FD292" s="2">
        <f t="shared" si="4916"/>
        <v>0</v>
      </c>
      <c r="FE292" s="2">
        <f t="shared" ref="FE292:FJ292" si="4917">(BX292*$BT292+CS292*$CO292)/100</f>
        <v>0</v>
      </c>
      <c r="FF292" s="2">
        <f t="shared" si="4917"/>
        <v>0</v>
      </c>
      <c r="FG292" s="2">
        <f t="shared" si="4917"/>
        <v>0</v>
      </c>
      <c r="FH292" s="2">
        <f t="shared" si="4917"/>
        <v>0</v>
      </c>
      <c r="FI292" s="2">
        <f t="shared" si="4917"/>
        <v>0</v>
      </c>
      <c r="FJ292" s="2">
        <f t="shared" si="4917"/>
        <v>0</v>
      </c>
      <c r="FK292" s="2">
        <f t="shared" ref="FK292:FO292" si="4918">CD292*$BT292+CY292*$CO292</f>
        <v>0</v>
      </c>
      <c r="FL292" s="2">
        <f t="shared" si="4918"/>
        <v>0</v>
      </c>
      <c r="FM292" s="2">
        <f t="shared" si="4918"/>
        <v>0</v>
      </c>
      <c r="FN292" s="2">
        <f t="shared" si="4918"/>
        <v>0</v>
      </c>
      <c r="FO292" s="2">
        <f t="shared" si="4918"/>
        <v>0</v>
      </c>
      <c r="FP292" s="2">
        <f t="shared" ref="FP292:FQ292" si="4919">(CI292*$BT292+DD292*$CO292)/100</f>
        <v>0</v>
      </c>
      <c r="FQ292" s="2">
        <f t="shared" si="4919"/>
        <v>0</v>
      </c>
      <c r="FR292" s="2"/>
      <c r="FS292" s="2">
        <f t="shared" si="4388"/>
        <v>0</v>
      </c>
      <c r="FT292" s="2">
        <f t="shared" si="4389"/>
        <v>0</v>
      </c>
      <c r="FU292" s="39">
        <f t="shared" si="4390"/>
        <v>0</v>
      </c>
      <c r="FV292" s="39">
        <f t="shared" ref="FV292:FW292" si="4920">FV$1*FC292/1000000</f>
        <v>0</v>
      </c>
      <c r="FW292" s="39">
        <f t="shared" si="4920"/>
        <v>0</v>
      </c>
      <c r="FX292" s="39">
        <f t="shared" ref="FX292:GC292" si="4921">FX$1*FE292</f>
        <v>0</v>
      </c>
      <c r="FY292" s="39">
        <f t="shared" si="4921"/>
        <v>0</v>
      </c>
      <c r="FZ292" s="39">
        <f t="shared" si="4921"/>
        <v>0</v>
      </c>
      <c r="GA292" s="39">
        <f t="shared" si="4921"/>
        <v>0</v>
      </c>
      <c r="GB292" s="39">
        <f t="shared" si="4921"/>
        <v>0</v>
      </c>
      <c r="GC292" s="39">
        <f t="shared" si="4921"/>
        <v>0</v>
      </c>
      <c r="GD292" s="39">
        <f t="shared" ref="GD292:GH292" si="4922">GD$1*FK292/1000000</f>
        <v>0</v>
      </c>
      <c r="GE292" s="39">
        <f t="shared" si="4922"/>
        <v>0</v>
      </c>
      <c r="GF292" s="39">
        <f t="shared" si="4922"/>
        <v>0</v>
      </c>
      <c r="GG292" s="39">
        <f t="shared" si="4922"/>
        <v>0</v>
      </c>
      <c r="GH292" s="39">
        <f t="shared" si="4922"/>
        <v>0</v>
      </c>
      <c r="GI292" s="39">
        <f t="shared" ref="GI292:GJ292" si="4923">GI$1*FP292</f>
        <v>0</v>
      </c>
      <c r="GJ292" s="39">
        <f t="shared" si="4923"/>
        <v>0</v>
      </c>
      <c r="GK292" s="2"/>
      <c r="GL292" s="39">
        <f t="shared" si="4395"/>
        <v>0</v>
      </c>
      <c r="GM292" s="39">
        <f t="shared" si="4396"/>
        <v>0</v>
      </c>
      <c r="GN292" s="2" t="s">
        <v>3</v>
      </c>
      <c r="GO292" s="2">
        <f t="shared" si="4397"/>
        <v>185.20000000000002</v>
      </c>
      <c r="GP292" s="2">
        <f t="shared" si="4398"/>
        <v>0.68</v>
      </c>
      <c r="GQ292" s="18">
        <f t="shared" si="4399"/>
        <v>1259.3600000000004</v>
      </c>
      <c r="GR292" s="15">
        <f t="shared" si="4400"/>
        <v>16515.247040000002</v>
      </c>
      <c r="GS292" s="15">
        <f t="shared" si="4401"/>
        <v>89.175200000000004</v>
      </c>
      <c r="GT292" s="2">
        <f t="shared" si="4402"/>
        <v>0</v>
      </c>
      <c r="GU292" s="2">
        <f t="shared" si="4403"/>
        <v>1178.4400000000003</v>
      </c>
      <c r="GV292" s="2">
        <f t="shared" si="4404"/>
        <v>80.920000000000016</v>
      </c>
      <c r="GW292" s="2">
        <f t="shared" si="4405"/>
        <v>0</v>
      </c>
      <c r="GX292" s="2"/>
      <c r="GY292" s="2"/>
      <c r="GZ292" s="2"/>
      <c r="HA292" s="2"/>
      <c r="HB292" s="2">
        <f t="shared" si="4406"/>
        <v>0</v>
      </c>
      <c r="HC292" s="2">
        <f t="shared" si="4407"/>
        <v>0</v>
      </c>
      <c r="HD292" s="2" t="s">
        <v>3</v>
      </c>
      <c r="HE292" s="2" t="s">
        <v>89</v>
      </c>
      <c r="HF292" s="2" t="s">
        <v>137</v>
      </c>
      <c r="HG292" s="2"/>
      <c r="HH292" s="2"/>
      <c r="HI292" s="2" t="s">
        <v>81</v>
      </c>
      <c r="HJ292" s="2" t="s">
        <v>3</v>
      </c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 t="s">
        <v>3</v>
      </c>
    </row>
    <row r="293" spans="1:268" ht="15.75" customHeight="1" x14ac:dyDescent="0.2">
      <c r="A293" s="16" t="s">
        <v>1233</v>
      </c>
      <c r="B293" s="2" t="s">
        <v>99</v>
      </c>
      <c r="C293" s="2"/>
      <c r="D293" s="2"/>
      <c r="E293" s="2" t="s">
        <v>78</v>
      </c>
      <c r="F293" s="2" t="s">
        <v>1234</v>
      </c>
      <c r="G293" s="2"/>
      <c r="H293" s="2" t="s">
        <v>181</v>
      </c>
      <c r="I293" s="2">
        <v>0</v>
      </c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>
        <v>0</v>
      </c>
      <c r="AE293" s="2"/>
      <c r="AF293" s="2"/>
      <c r="AG293" s="2"/>
      <c r="AH293" s="2"/>
      <c r="AI293" s="2"/>
      <c r="AJ293" s="2"/>
      <c r="AK293" s="2"/>
      <c r="AL293" s="2"/>
      <c r="AM293" s="19"/>
      <c r="AN293" s="2"/>
      <c r="AO293" s="4"/>
      <c r="AP293" s="2"/>
      <c r="AQ293" s="2"/>
      <c r="AR293" s="2"/>
      <c r="AS293" s="2"/>
      <c r="AT293" s="2"/>
      <c r="AU293" s="2"/>
      <c r="AV293" s="2"/>
      <c r="AW293" s="2"/>
      <c r="AX293" s="2"/>
      <c r="AY293" s="2">
        <v>0.68</v>
      </c>
      <c r="AZ293" s="2"/>
      <c r="BA293" s="2"/>
      <c r="BB293" s="2"/>
      <c r="BC293" s="2"/>
      <c r="BD293" s="2"/>
      <c r="BE293" s="2"/>
      <c r="BF293" s="2"/>
      <c r="BG293" s="2">
        <v>2.1</v>
      </c>
      <c r="BH293" s="19"/>
      <c r="BI293" s="2"/>
      <c r="BJ293" s="4"/>
      <c r="BK293" s="2"/>
      <c r="BL293" s="2"/>
      <c r="BM293" s="2"/>
      <c r="BN293" s="2"/>
      <c r="BO293" s="2"/>
      <c r="BP293" s="2"/>
      <c r="BQ293" s="2"/>
      <c r="BR293" s="2"/>
      <c r="BS293" s="2"/>
      <c r="BT293" s="2">
        <v>0</v>
      </c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>
        <v>0</v>
      </c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 t="s">
        <v>81</v>
      </c>
      <c r="DK293" s="2"/>
      <c r="DL293" s="2">
        <f t="shared" si="4367"/>
        <v>2.1</v>
      </c>
      <c r="DM293" s="2">
        <f t="shared" si="4368"/>
        <v>0</v>
      </c>
      <c r="DN293" s="2" t="s">
        <v>211</v>
      </c>
      <c r="DO293" s="2" t="s">
        <v>3</v>
      </c>
      <c r="DP293" s="2">
        <f t="shared" si="4369"/>
        <v>0</v>
      </c>
      <c r="DQ293" s="2">
        <f t="shared" ref="DQ293:DR293" si="4924">K293*$I293+AF293*$AD293+BA293*$AY293</f>
        <v>0</v>
      </c>
      <c r="DR293" s="2">
        <f t="shared" si="4924"/>
        <v>0</v>
      </c>
      <c r="DS293" s="2">
        <f t="shared" ref="DS293:DX293" si="4925">(M293*$I293+AH293*$AD293+BC293*$AY293)/100</f>
        <v>0</v>
      </c>
      <c r="DT293" s="2">
        <f t="shared" si="4925"/>
        <v>0</v>
      </c>
      <c r="DU293" s="2">
        <f t="shared" si="4925"/>
        <v>0</v>
      </c>
      <c r="DV293" s="2">
        <f t="shared" si="4925"/>
        <v>0</v>
      </c>
      <c r="DW293" s="2">
        <f t="shared" si="4925"/>
        <v>1.4280000000000001E-2</v>
      </c>
      <c r="DX293" s="2">
        <f t="shared" si="4925"/>
        <v>0</v>
      </c>
      <c r="DY293" s="2">
        <f t="shared" ref="DY293:EC293" si="4926">S293*$I293+AN293*$AD293+BI293*$AY293</f>
        <v>0</v>
      </c>
      <c r="DZ293" s="2">
        <f t="shared" si="4926"/>
        <v>0</v>
      </c>
      <c r="EA293" s="2">
        <f t="shared" si="4926"/>
        <v>0</v>
      </c>
      <c r="EB293" s="2">
        <f t="shared" si="4926"/>
        <v>0</v>
      </c>
      <c r="EC293" s="2">
        <f t="shared" si="4926"/>
        <v>0</v>
      </c>
      <c r="ED293" s="2">
        <f t="shared" ref="ED293:EE293" si="4927">(X293*$I293+AS293*$AD293+BN293*$AY293)/100</f>
        <v>0</v>
      </c>
      <c r="EE293" s="2">
        <f t="shared" si="4927"/>
        <v>0</v>
      </c>
      <c r="EF293" s="2"/>
      <c r="EG293" s="2">
        <f t="shared" si="4374"/>
        <v>0</v>
      </c>
      <c r="EH293" s="2">
        <f t="shared" si="4375"/>
        <v>0</v>
      </c>
      <c r="EI293" s="39">
        <f t="shared" si="4376"/>
        <v>0</v>
      </c>
      <c r="EJ293" s="39">
        <f t="shared" ref="EJ293:EK293" si="4928">EJ$1*DQ293/1000000</f>
        <v>0</v>
      </c>
      <c r="EK293" s="39">
        <f t="shared" si="4928"/>
        <v>0</v>
      </c>
      <c r="EL293" s="39">
        <f t="shared" ref="EL293:EQ293" si="4929">EL$1*DS293</f>
        <v>0</v>
      </c>
      <c r="EM293" s="39">
        <f t="shared" si="4929"/>
        <v>0</v>
      </c>
      <c r="EN293" s="39">
        <f t="shared" si="4929"/>
        <v>0</v>
      </c>
      <c r="EO293" s="39">
        <f t="shared" si="4929"/>
        <v>0</v>
      </c>
      <c r="EP293" s="39">
        <f t="shared" si="4929"/>
        <v>187.26792</v>
      </c>
      <c r="EQ293" s="39">
        <f t="shared" si="4929"/>
        <v>0</v>
      </c>
      <c r="ER293" s="39">
        <f t="shared" ref="ER293:EV293" si="4930">ER$1*DY293/1000000</f>
        <v>0</v>
      </c>
      <c r="ES293" s="39">
        <f t="shared" si="4930"/>
        <v>0</v>
      </c>
      <c r="ET293" s="39">
        <f t="shared" si="4930"/>
        <v>0</v>
      </c>
      <c r="EU293" s="39">
        <f t="shared" si="4930"/>
        <v>0</v>
      </c>
      <c r="EV293" s="39">
        <f t="shared" si="4930"/>
        <v>0</v>
      </c>
      <c r="EW293" s="39">
        <f t="shared" ref="EW293:EX293" si="4931">EW$1*ED293</f>
        <v>0</v>
      </c>
      <c r="EX293" s="39">
        <f t="shared" si="4931"/>
        <v>0</v>
      </c>
      <c r="EY293" s="2"/>
      <c r="EZ293" s="39">
        <f t="shared" si="4381"/>
        <v>0</v>
      </c>
      <c r="FA293" s="39">
        <f t="shared" si="4382"/>
        <v>0</v>
      </c>
      <c r="FB293" s="2">
        <f t="shared" si="4383"/>
        <v>0</v>
      </c>
      <c r="FC293" s="2">
        <f t="shared" ref="FC293:FD293" si="4932">BV293*$BT293+CQ293*$CO293</f>
        <v>0</v>
      </c>
      <c r="FD293" s="2">
        <f t="shared" si="4932"/>
        <v>0</v>
      </c>
      <c r="FE293" s="2">
        <f t="shared" ref="FE293:FJ293" si="4933">(BX293*$BT293+CS293*$CO293)/100</f>
        <v>0</v>
      </c>
      <c r="FF293" s="2">
        <f t="shared" si="4933"/>
        <v>0</v>
      </c>
      <c r="FG293" s="2">
        <f t="shared" si="4933"/>
        <v>0</v>
      </c>
      <c r="FH293" s="2">
        <f t="shared" si="4933"/>
        <v>0</v>
      </c>
      <c r="FI293" s="2">
        <f t="shared" si="4933"/>
        <v>0</v>
      </c>
      <c r="FJ293" s="2">
        <f t="shared" si="4933"/>
        <v>0</v>
      </c>
      <c r="FK293" s="2">
        <f t="shared" ref="FK293:FO293" si="4934">CD293*$BT293+CY293*$CO293</f>
        <v>0</v>
      </c>
      <c r="FL293" s="2">
        <f t="shared" si="4934"/>
        <v>0</v>
      </c>
      <c r="FM293" s="2">
        <f t="shared" si="4934"/>
        <v>0</v>
      </c>
      <c r="FN293" s="2">
        <f t="shared" si="4934"/>
        <v>0</v>
      </c>
      <c r="FO293" s="2">
        <f t="shared" si="4934"/>
        <v>0</v>
      </c>
      <c r="FP293" s="2">
        <f t="shared" ref="FP293:FQ293" si="4935">(CI293*$BT293+DD293*$CO293)/100</f>
        <v>0</v>
      </c>
      <c r="FQ293" s="2">
        <f t="shared" si="4935"/>
        <v>0</v>
      </c>
      <c r="FR293" s="2"/>
      <c r="FS293" s="2">
        <f t="shared" si="4388"/>
        <v>0</v>
      </c>
      <c r="FT293" s="2">
        <f t="shared" si="4389"/>
        <v>0</v>
      </c>
      <c r="FU293" s="39">
        <f t="shared" si="4390"/>
        <v>0</v>
      </c>
      <c r="FV293" s="39">
        <f t="shared" ref="FV293:FW293" si="4936">FV$1*FC293/1000000</f>
        <v>0</v>
      </c>
      <c r="FW293" s="39">
        <f t="shared" si="4936"/>
        <v>0</v>
      </c>
      <c r="FX293" s="39">
        <f t="shared" ref="FX293:GC293" si="4937">FX$1*FE293</f>
        <v>0</v>
      </c>
      <c r="FY293" s="39">
        <f t="shared" si="4937"/>
        <v>0</v>
      </c>
      <c r="FZ293" s="39">
        <f t="shared" si="4937"/>
        <v>0</v>
      </c>
      <c r="GA293" s="39">
        <f t="shared" si="4937"/>
        <v>0</v>
      </c>
      <c r="GB293" s="39">
        <f t="shared" si="4937"/>
        <v>0</v>
      </c>
      <c r="GC293" s="39">
        <f t="shared" si="4937"/>
        <v>0</v>
      </c>
      <c r="GD293" s="39">
        <f t="shared" ref="GD293:GH293" si="4938">GD$1*FK293/1000000</f>
        <v>0</v>
      </c>
      <c r="GE293" s="39">
        <f t="shared" si="4938"/>
        <v>0</v>
      </c>
      <c r="GF293" s="39">
        <f t="shared" si="4938"/>
        <v>0</v>
      </c>
      <c r="GG293" s="39">
        <f t="shared" si="4938"/>
        <v>0</v>
      </c>
      <c r="GH293" s="39">
        <f t="shared" si="4938"/>
        <v>0</v>
      </c>
      <c r="GI293" s="39">
        <f t="shared" ref="GI293:GJ293" si="4939">GI$1*FP293</f>
        <v>0</v>
      </c>
      <c r="GJ293" s="39">
        <f t="shared" si="4939"/>
        <v>0</v>
      </c>
      <c r="GK293" s="2"/>
      <c r="GL293" s="39">
        <f t="shared" si="4395"/>
        <v>0</v>
      </c>
      <c r="GM293" s="39">
        <f t="shared" si="4396"/>
        <v>0</v>
      </c>
      <c r="GN293" s="2" t="s">
        <v>3</v>
      </c>
      <c r="GO293" s="2">
        <f t="shared" si="4397"/>
        <v>0.68</v>
      </c>
      <c r="GP293" s="2">
        <f t="shared" si="4398"/>
        <v>2.1</v>
      </c>
      <c r="GQ293" s="15">
        <f t="shared" si="4399"/>
        <v>14.28</v>
      </c>
      <c r="GR293" s="15">
        <f t="shared" si="4400"/>
        <v>187.26792</v>
      </c>
      <c r="GS293" s="15">
        <f t="shared" si="4401"/>
        <v>275.39400000000001</v>
      </c>
      <c r="GT293" s="2">
        <f t="shared" si="4402"/>
        <v>0</v>
      </c>
      <c r="GU293" s="2">
        <f t="shared" si="4403"/>
        <v>0</v>
      </c>
      <c r="GV293" s="2">
        <f t="shared" si="4404"/>
        <v>14.280000000000003</v>
      </c>
      <c r="GW293" s="2">
        <f t="shared" si="4405"/>
        <v>0</v>
      </c>
      <c r="GX293" s="2"/>
      <c r="GY293" s="2"/>
      <c r="GZ293" s="2"/>
      <c r="HA293" s="2"/>
      <c r="HB293" s="2">
        <f t="shared" si="4406"/>
        <v>0</v>
      </c>
      <c r="HC293" s="2">
        <f t="shared" si="4407"/>
        <v>0</v>
      </c>
      <c r="HD293" s="2" t="s">
        <v>3</v>
      </c>
      <c r="HE293" s="2" t="s">
        <v>89</v>
      </c>
      <c r="HF293" s="2" t="s">
        <v>137</v>
      </c>
      <c r="HG293" s="2"/>
      <c r="HH293" s="2"/>
      <c r="HI293" s="2" t="s">
        <v>81</v>
      </c>
      <c r="HJ293" s="2" t="s">
        <v>3</v>
      </c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 t="s">
        <v>3</v>
      </c>
    </row>
    <row r="294" spans="1:268" ht="15.75" customHeight="1" x14ac:dyDescent="0.2">
      <c r="A294" s="16" t="s">
        <v>605</v>
      </c>
      <c r="B294" s="2" t="s">
        <v>120</v>
      </c>
      <c r="C294" s="2"/>
      <c r="D294" s="2"/>
      <c r="E294" s="2" t="s">
        <v>179</v>
      </c>
      <c r="F294" s="2" t="s">
        <v>241</v>
      </c>
      <c r="G294" s="2"/>
      <c r="H294" s="2" t="s">
        <v>181</v>
      </c>
      <c r="I294" s="2">
        <v>0</v>
      </c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19">
        <v>7.5560000000000002E-2</v>
      </c>
      <c r="AE294" s="20">
        <v>0.2</v>
      </c>
      <c r="AF294" s="2"/>
      <c r="AG294" s="2"/>
      <c r="AH294" s="2"/>
      <c r="AI294" s="2"/>
      <c r="AJ294" s="2"/>
      <c r="AK294" s="2"/>
      <c r="AL294" s="2">
        <v>4.37</v>
      </c>
      <c r="AM294" s="20">
        <v>0.03</v>
      </c>
      <c r="AN294" s="2"/>
      <c r="AO294" s="4"/>
      <c r="AP294" s="2"/>
      <c r="AQ294" s="2"/>
      <c r="AR294" s="2"/>
      <c r="AS294" s="2"/>
      <c r="AT294" s="2"/>
      <c r="AU294" s="2"/>
      <c r="AV294" s="2"/>
      <c r="AW294" s="2"/>
      <c r="AX294" s="2"/>
      <c r="AY294" s="4">
        <v>0.14715</v>
      </c>
      <c r="AZ294" s="20">
        <v>0.2</v>
      </c>
      <c r="BA294" s="2"/>
      <c r="BB294" s="2"/>
      <c r="BC294" s="2"/>
      <c r="BD294" s="2"/>
      <c r="BE294" s="2"/>
      <c r="BF294" s="2"/>
      <c r="BG294" s="2">
        <v>2.1800000000000002</v>
      </c>
      <c r="BH294" s="20">
        <v>0.03</v>
      </c>
      <c r="BI294" s="2"/>
      <c r="BJ294" s="4"/>
      <c r="BK294" s="2"/>
      <c r="BL294" s="2"/>
      <c r="BM294" s="2"/>
      <c r="BN294" s="2"/>
      <c r="BO294" s="2"/>
      <c r="BP294" s="2"/>
      <c r="BQ294" s="2"/>
      <c r="BR294" s="2"/>
      <c r="BS294" s="2"/>
      <c r="BT294" s="2">
        <v>0</v>
      </c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>
        <v>0</v>
      </c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 t="s">
        <v>81</v>
      </c>
      <c r="DK294" s="2" t="s">
        <v>81</v>
      </c>
      <c r="DL294" s="2">
        <f t="shared" si="4367"/>
        <v>2.9230128867136638</v>
      </c>
      <c r="DM294" s="2">
        <f t="shared" si="4368"/>
        <v>2.9999999999999995E-2</v>
      </c>
      <c r="DN294" s="2" t="s">
        <v>211</v>
      </c>
      <c r="DO294" s="2" t="s">
        <v>3</v>
      </c>
      <c r="DP294" s="2">
        <f t="shared" si="4369"/>
        <v>4.4541999999999997E-4</v>
      </c>
      <c r="DQ294" s="2">
        <f t="shared" ref="DQ294:DR294" si="4940">K294*$I294+AF294*$AD294+BA294*$AY294</f>
        <v>0</v>
      </c>
      <c r="DR294" s="2">
        <f t="shared" si="4940"/>
        <v>0</v>
      </c>
      <c r="DS294" s="2">
        <f t="shared" ref="DS294:DX294" si="4941">(M294*$I294+AH294*$AD294+BC294*$AY294)/100</f>
        <v>0</v>
      </c>
      <c r="DT294" s="2">
        <f t="shared" si="4941"/>
        <v>0</v>
      </c>
      <c r="DU294" s="2">
        <f t="shared" si="4941"/>
        <v>0</v>
      </c>
      <c r="DV294" s="2">
        <f t="shared" si="4941"/>
        <v>0</v>
      </c>
      <c r="DW294" s="2">
        <f t="shared" si="4941"/>
        <v>6.5098420000000009E-3</v>
      </c>
      <c r="DX294" s="2">
        <f t="shared" si="4941"/>
        <v>6.6812999999999999E-5</v>
      </c>
      <c r="DY294" s="2">
        <f t="shared" ref="DY294:EC294" si="4942">S294*$I294+AN294*$AD294+BI294*$AY294</f>
        <v>0</v>
      </c>
      <c r="DZ294" s="2">
        <f t="shared" si="4942"/>
        <v>0</v>
      </c>
      <c r="EA294" s="2">
        <f t="shared" si="4942"/>
        <v>0</v>
      </c>
      <c r="EB294" s="2">
        <f t="shared" si="4942"/>
        <v>0</v>
      </c>
      <c r="EC294" s="2">
        <f t="shared" si="4942"/>
        <v>0</v>
      </c>
      <c r="ED294" s="2">
        <f t="shared" ref="ED294:EE294" si="4943">(X294*$I294+AS294*$AD294+BN294*$AY294)/100</f>
        <v>0</v>
      </c>
      <c r="EE294" s="2">
        <f t="shared" si="4943"/>
        <v>0</v>
      </c>
      <c r="EF294" s="2"/>
      <c r="EG294" s="2">
        <f t="shared" si="4374"/>
        <v>0</v>
      </c>
      <c r="EH294" s="2">
        <f t="shared" si="4375"/>
        <v>0</v>
      </c>
      <c r="EI294" s="39">
        <f t="shared" si="4376"/>
        <v>2.9066398787199996</v>
      </c>
      <c r="EJ294" s="39">
        <f t="shared" ref="EJ294:EK294" si="4944">EJ$1*DQ294/1000000</f>
        <v>0</v>
      </c>
      <c r="EK294" s="39">
        <f t="shared" si="4944"/>
        <v>0</v>
      </c>
      <c r="EL294" s="39">
        <f t="shared" ref="EL294:EQ294" si="4945">EL$1*DS294</f>
        <v>0</v>
      </c>
      <c r="EM294" s="39">
        <f t="shared" si="4945"/>
        <v>0</v>
      </c>
      <c r="EN294" s="39">
        <f t="shared" si="4945"/>
        <v>0</v>
      </c>
      <c r="EO294" s="39">
        <f t="shared" si="4945"/>
        <v>0</v>
      </c>
      <c r="EP294" s="39">
        <f t="shared" si="4945"/>
        <v>85.370067988000017</v>
      </c>
      <c r="EQ294" s="39">
        <f t="shared" si="4945"/>
        <v>4.8519282570119993</v>
      </c>
      <c r="ER294" s="39">
        <f t="shared" ref="ER294:EV294" si="4946">ER$1*DY294/1000000</f>
        <v>0</v>
      </c>
      <c r="ES294" s="39">
        <f t="shared" si="4946"/>
        <v>0</v>
      </c>
      <c r="ET294" s="39">
        <f t="shared" si="4946"/>
        <v>0</v>
      </c>
      <c r="EU294" s="39">
        <f t="shared" si="4946"/>
        <v>0</v>
      </c>
      <c r="EV294" s="39">
        <f t="shared" si="4946"/>
        <v>0</v>
      </c>
      <c r="EW294" s="39">
        <f t="shared" ref="EW294:EX294" si="4947">EW$1*ED294</f>
        <v>0</v>
      </c>
      <c r="EX294" s="39">
        <f t="shared" si="4947"/>
        <v>0</v>
      </c>
      <c r="EY294" s="2"/>
      <c r="EZ294" s="39">
        <f t="shared" si="4381"/>
        <v>0</v>
      </c>
      <c r="FA294" s="39">
        <f t="shared" si="4382"/>
        <v>0</v>
      </c>
      <c r="FB294" s="2">
        <f t="shared" si="4383"/>
        <v>0</v>
      </c>
      <c r="FC294" s="2">
        <f t="shared" ref="FC294:FD294" si="4948">BV294*$BT294+CQ294*$CO294</f>
        <v>0</v>
      </c>
      <c r="FD294" s="2">
        <f t="shared" si="4948"/>
        <v>0</v>
      </c>
      <c r="FE294" s="2">
        <f t="shared" ref="FE294:FJ294" si="4949">(BX294*$BT294+CS294*$CO294)/100</f>
        <v>0</v>
      </c>
      <c r="FF294" s="2">
        <f t="shared" si="4949"/>
        <v>0</v>
      </c>
      <c r="FG294" s="2">
        <f t="shared" si="4949"/>
        <v>0</v>
      </c>
      <c r="FH294" s="2">
        <f t="shared" si="4949"/>
        <v>0</v>
      </c>
      <c r="FI294" s="2">
        <f t="shared" si="4949"/>
        <v>0</v>
      </c>
      <c r="FJ294" s="2">
        <f t="shared" si="4949"/>
        <v>0</v>
      </c>
      <c r="FK294" s="2">
        <f t="shared" ref="FK294:FO294" si="4950">CD294*$BT294+CY294*$CO294</f>
        <v>0</v>
      </c>
      <c r="FL294" s="2">
        <f t="shared" si="4950"/>
        <v>0</v>
      </c>
      <c r="FM294" s="2">
        <f t="shared" si="4950"/>
        <v>0</v>
      </c>
      <c r="FN294" s="2">
        <f t="shared" si="4950"/>
        <v>0</v>
      </c>
      <c r="FO294" s="2">
        <f t="shared" si="4950"/>
        <v>0</v>
      </c>
      <c r="FP294" s="2">
        <f t="shared" ref="FP294:FQ294" si="4951">(CI294*$BT294+DD294*$CO294)/100</f>
        <v>0</v>
      </c>
      <c r="FQ294" s="2">
        <f t="shared" si="4951"/>
        <v>0</v>
      </c>
      <c r="FR294" s="2"/>
      <c r="FS294" s="2">
        <f t="shared" si="4388"/>
        <v>0</v>
      </c>
      <c r="FT294" s="2">
        <f t="shared" si="4389"/>
        <v>0</v>
      </c>
      <c r="FU294" s="39">
        <f t="shared" si="4390"/>
        <v>0</v>
      </c>
      <c r="FV294" s="39">
        <f t="shared" ref="FV294:FW294" si="4952">FV$1*FC294/1000000</f>
        <v>0</v>
      </c>
      <c r="FW294" s="39">
        <f t="shared" si="4952"/>
        <v>0</v>
      </c>
      <c r="FX294" s="39">
        <f t="shared" ref="FX294:GC294" si="4953">FX$1*FE294</f>
        <v>0</v>
      </c>
      <c r="FY294" s="39">
        <f t="shared" si="4953"/>
        <v>0</v>
      </c>
      <c r="FZ294" s="39">
        <f t="shared" si="4953"/>
        <v>0</v>
      </c>
      <c r="GA294" s="39">
        <f t="shared" si="4953"/>
        <v>0</v>
      </c>
      <c r="GB294" s="39">
        <f t="shared" si="4953"/>
        <v>0</v>
      </c>
      <c r="GC294" s="39">
        <f t="shared" si="4953"/>
        <v>0</v>
      </c>
      <c r="GD294" s="39">
        <f t="shared" ref="GD294:GH294" si="4954">GD$1*FK294/1000000</f>
        <v>0</v>
      </c>
      <c r="GE294" s="39">
        <f t="shared" si="4954"/>
        <v>0</v>
      </c>
      <c r="GF294" s="39">
        <f t="shared" si="4954"/>
        <v>0</v>
      </c>
      <c r="GG294" s="39">
        <f t="shared" si="4954"/>
        <v>0</v>
      </c>
      <c r="GH294" s="39">
        <f t="shared" si="4954"/>
        <v>0</v>
      </c>
      <c r="GI294" s="39">
        <f t="shared" ref="GI294:GJ294" si="4955">GI$1*FP294</f>
        <v>0</v>
      </c>
      <c r="GJ294" s="39">
        <f t="shared" si="4955"/>
        <v>0</v>
      </c>
      <c r="GK294" s="2"/>
      <c r="GL294" s="39">
        <f t="shared" si="4395"/>
        <v>0</v>
      </c>
      <c r="GM294" s="39">
        <f t="shared" si="4396"/>
        <v>0</v>
      </c>
      <c r="GN294" s="2" t="s">
        <v>3</v>
      </c>
      <c r="GO294" s="19">
        <f t="shared" si="4397"/>
        <v>0.22271000000000002</v>
      </c>
      <c r="GP294" s="4">
        <f t="shared" si="4398"/>
        <v>2.9230128867136638</v>
      </c>
      <c r="GQ294" s="15">
        <f t="shared" si="4399"/>
        <v>6.5098420000000008</v>
      </c>
      <c r="GR294" s="15">
        <f t="shared" si="4400"/>
        <v>93.128636123732022</v>
      </c>
      <c r="GS294" s="15">
        <f t="shared" si="4401"/>
        <v>418.16099916362992</v>
      </c>
      <c r="GT294" s="2">
        <f t="shared" si="4402"/>
        <v>0</v>
      </c>
      <c r="GU294" s="2">
        <f t="shared" si="4403"/>
        <v>3.3019720000000001</v>
      </c>
      <c r="GV294" s="2">
        <f t="shared" si="4404"/>
        <v>3.2078700000000002</v>
      </c>
      <c r="GW294" s="2">
        <f t="shared" si="4405"/>
        <v>0</v>
      </c>
      <c r="GX294" s="2"/>
      <c r="GY294" s="2"/>
      <c r="GZ294" s="2"/>
      <c r="HA294" s="2"/>
      <c r="HB294" s="2">
        <f t="shared" si="4406"/>
        <v>0</v>
      </c>
      <c r="HC294" s="2">
        <f t="shared" si="4407"/>
        <v>0</v>
      </c>
      <c r="HD294" s="2" t="s">
        <v>3</v>
      </c>
      <c r="HE294" s="2" t="s">
        <v>89</v>
      </c>
      <c r="HF294" s="2" t="s">
        <v>137</v>
      </c>
      <c r="HG294" s="2"/>
      <c r="HH294" s="2"/>
      <c r="HI294" s="2" t="s">
        <v>81</v>
      </c>
      <c r="HJ294" s="2" t="s">
        <v>3</v>
      </c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 t="s">
        <v>3</v>
      </c>
    </row>
    <row r="295" spans="1:268" ht="15.75" customHeight="1" x14ac:dyDescent="0.2">
      <c r="A295" s="16" t="s">
        <v>386</v>
      </c>
      <c r="B295" s="2" t="s">
        <v>120</v>
      </c>
      <c r="C295" s="2"/>
      <c r="D295" s="2"/>
      <c r="E295" s="2" t="s">
        <v>179</v>
      </c>
      <c r="F295" s="2" t="s">
        <v>385</v>
      </c>
      <c r="G295" s="2"/>
      <c r="H295" s="2" t="s">
        <v>181</v>
      </c>
      <c r="I295" s="2">
        <v>0</v>
      </c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19">
        <f>0.479914+1.704548+4.016949+3.128943+0.14583</f>
        <v>9.4761839999999999</v>
      </c>
      <c r="AE295" s="2"/>
      <c r="AF295" s="2"/>
      <c r="AG295" s="2"/>
      <c r="AH295" s="2"/>
      <c r="AI295" s="2"/>
      <c r="AJ295" s="2"/>
      <c r="AK295" s="2"/>
      <c r="AL295" s="15">
        <f>(2.6*0.479914+2.7*1.704548+2.1*4.016949+2.6*3.128943+6.1*0.14583)/AD295</f>
        <v>2.4598998605345783</v>
      </c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19">
        <f>0.026922+0.329443+0.219641+0.225248+0.1249</f>
        <v>0.92615400000000003</v>
      </c>
      <c r="AZ295" s="2"/>
      <c r="BA295" s="2"/>
      <c r="BB295" s="2"/>
      <c r="BC295" s="2"/>
      <c r="BD295" s="2"/>
      <c r="BE295" s="2"/>
      <c r="BF295" s="2"/>
      <c r="BG295" s="15">
        <f>(1.9*0.026922+2.5*0.329443+2*0.219641+2.7*0.225248+11.2*0.1249)/AY295</f>
        <v>3.5858948943696185</v>
      </c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>
        <v>0</v>
      </c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>
        <v>0</v>
      </c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 t="s">
        <v>81</v>
      </c>
      <c r="DK295" s="2"/>
      <c r="DL295" s="2">
        <f t="shared" si="4367"/>
        <v>2.5601508622388542</v>
      </c>
      <c r="DM295" s="2">
        <f t="shared" si="4368"/>
        <v>0</v>
      </c>
      <c r="DN295" s="2" t="s">
        <v>211</v>
      </c>
      <c r="DO295" s="2" t="s">
        <v>3</v>
      </c>
      <c r="DP295" s="2">
        <f t="shared" si="4369"/>
        <v>0</v>
      </c>
      <c r="DQ295" s="2">
        <f t="shared" ref="DQ295:DR295" si="4956">K295*$I295+AF295*$AD295+BA295*$AY295</f>
        <v>0</v>
      </c>
      <c r="DR295" s="2">
        <f t="shared" si="4956"/>
        <v>0</v>
      </c>
      <c r="DS295" s="2">
        <f t="shared" ref="DS295:DX295" si="4957">(M295*$I295+AH295*$AD295+BC295*$AY295)/100</f>
        <v>0</v>
      </c>
      <c r="DT295" s="2">
        <f t="shared" si="4957"/>
        <v>0</v>
      </c>
      <c r="DU295" s="2">
        <f t="shared" si="4957"/>
        <v>0</v>
      </c>
      <c r="DV295" s="2">
        <f t="shared" si="4957"/>
        <v>0</v>
      </c>
      <c r="DW295" s="2">
        <f t="shared" si="4957"/>
        <v>0.26631554600000001</v>
      </c>
      <c r="DX295" s="2">
        <f t="shared" si="4957"/>
        <v>0</v>
      </c>
      <c r="DY295" s="2">
        <f t="shared" ref="DY295:EC295" si="4958">S295*$I295+AN295*$AD295+BI295*$AY295</f>
        <v>0</v>
      </c>
      <c r="DZ295" s="2">
        <f t="shared" si="4958"/>
        <v>0</v>
      </c>
      <c r="EA295" s="2">
        <f t="shared" si="4958"/>
        <v>0</v>
      </c>
      <c r="EB295" s="2">
        <f t="shared" si="4958"/>
        <v>0</v>
      </c>
      <c r="EC295" s="2">
        <f t="shared" si="4958"/>
        <v>0</v>
      </c>
      <c r="ED295" s="2">
        <f t="shared" ref="ED295:EE295" si="4959">(X295*$I295+AS295*$AD295+BN295*$AY295)/100</f>
        <v>0</v>
      </c>
      <c r="EE295" s="2">
        <f t="shared" si="4959"/>
        <v>0</v>
      </c>
      <c r="EF295" s="2"/>
      <c r="EG295" s="2">
        <f t="shared" si="4374"/>
        <v>0</v>
      </c>
      <c r="EH295" s="2">
        <f t="shared" si="4375"/>
        <v>0</v>
      </c>
      <c r="EI295" s="39">
        <f t="shared" si="4376"/>
        <v>0</v>
      </c>
      <c r="EJ295" s="39">
        <f t="shared" ref="EJ295:EK295" si="4960">EJ$1*DQ295/1000000</f>
        <v>0</v>
      </c>
      <c r="EK295" s="39">
        <f t="shared" si="4960"/>
        <v>0</v>
      </c>
      <c r="EL295" s="39">
        <f t="shared" ref="EL295:EQ295" si="4961">EL$1*DS295</f>
        <v>0</v>
      </c>
      <c r="EM295" s="39">
        <f t="shared" si="4961"/>
        <v>0</v>
      </c>
      <c r="EN295" s="39">
        <f t="shared" si="4961"/>
        <v>0</v>
      </c>
      <c r="EO295" s="39">
        <f t="shared" si="4961"/>
        <v>0</v>
      </c>
      <c r="EP295" s="39">
        <f t="shared" si="4961"/>
        <v>3492.4620702440002</v>
      </c>
      <c r="EQ295" s="39">
        <f t="shared" si="4961"/>
        <v>0</v>
      </c>
      <c r="ER295" s="39">
        <f t="shared" ref="ER295:EV295" si="4962">ER$1*DY295/1000000</f>
        <v>0</v>
      </c>
      <c r="ES295" s="39">
        <f t="shared" si="4962"/>
        <v>0</v>
      </c>
      <c r="ET295" s="39">
        <f t="shared" si="4962"/>
        <v>0</v>
      </c>
      <c r="EU295" s="39">
        <f t="shared" si="4962"/>
        <v>0</v>
      </c>
      <c r="EV295" s="39">
        <f t="shared" si="4962"/>
        <v>0</v>
      </c>
      <c r="EW295" s="39">
        <f t="shared" ref="EW295:EX295" si="4963">EW$1*ED295</f>
        <v>0</v>
      </c>
      <c r="EX295" s="39">
        <f t="shared" si="4963"/>
        <v>0</v>
      </c>
      <c r="EY295" s="2"/>
      <c r="EZ295" s="39">
        <f t="shared" si="4381"/>
        <v>0</v>
      </c>
      <c r="FA295" s="39">
        <f t="shared" si="4382"/>
        <v>0</v>
      </c>
      <c r="FB295" s="2">
        <f t="shared" si="4383"/>
        <v>0</v>
      </c>
      <c r="FC295" s="2">
        <f t="shared" ref="FC295:FD295" si="4964">BV295*$BT295+CQ295*$CO295</f>
        <v>0</v>
      </c>
      <c r="FD295" s="2">
        <f t="shared" si="4964"/>
        <v>0</v>
      </c>
      <c r="FE295" s="2">
        <f t="shared" ref="FE295:FJ295" si="4965">(BX295*$BT295+CS295*$CO295)/100</f>
        <v>0</v>
      </c>
      <c r="FF295" s="2">
        <f t="shared" si="4965"/>
        <v>0</v>
      </c>
      <c r="FG295" s="2">
        <f t="shared" si="4965"/>
        <v>0</v>
      </c>
      <c r="FH295" s="2">
        <f t="shared" si="4965"/>
        <v>0</v>
      </c>
      <c r="FI295" s="2">
        <f t="shared" si="4965"/>
        <v>0</v>
      </c>
      <c r="FJ295" s="2">
        <f t="shared" si="4965"/>
        <v>0</v>
      </c>
      <c r="FK295" s="2">
        <f t="shared" ref="FK295:FO295" si="4966">CD295*$BT295+CY295*$CO295</f>
        <v>0</v>
      </c>
      <c r="FL295" s="2">
        <f t="shared" si="4966"/>
        <v>0</v>
      </c>
      <c r="FM295" s="2">
        <f t="shared" si="4966"/>
        <v>0</v>
      </c>
      <c r="FN295" s="2">
        <f t="shared" si="4966"/>
        <v>0</v>
      </c>
      <c r="FO295" s="2">
        <f t="shared" si="4966"/>
        <v>0</v>
      </c>
      <c r="FP295" s="2">
        <f t="shared" ref="FP295:FQ295" si="4967">(CI295*$BT295+DD295*$CO295)/100</f>
        <v>0</v>
      </c>
      <c r="FQ295" s="2">
        <f t="shared" si="4967"/>
        <v>0</v>
      </c>
      <c r="FR295" s="2"/>
      <c r="FS295" s="2">
        <f t="shared" si="4388"/>
        <v>0</v>
      </c>
      <c r="FT295" s="2">
        <f t="shared" si="4389"/>
        <v>0</v>
      </c>
      <c r="FU295" s="39">
        <f t="shared" si="4390"/>
        <v>0</v>
      </c>
      <c r="FV295" s="39">
        <f t="shared" ref="FV295:FW295" si="4968">FV$1*FC295/1000000</f>
        <v>0</v>
      </c>
      <c r="FW295" s="39">
        <f t="shared" si="4968"/>
        <v>0</v>
      </c>
      <c r="FX295" s="39">
        <f t="shared" ref="FX295:GC295" si="4969">FX$1*FE295</f>
        <v>0</v>
      </c>
      <c r="FY295" s="39">
        <f t="shared" si="4969"/>
        <v>0</v>
      </c>
      <c r="FZ295" s="39">
        <f t="shared" si="4969"/>
        <v>0</v>
      </c>
      <c r="GA295" s="39">
        <f t="shared" si="4969"/>
        <v>0</v>
      </c>
      <c r="GB295" s="39">
        <f t="shared" si="4969"/>
        <v>0</v>
      </c>
      <c r="GC295" s="39">
        <f t="shared" si="4969"/>
        <v>0</v>
      </c>
      <c r="GD295" s="39">
        <f t="shared" ref="GD295:GH295" si="4970">GD$1*FK295/1000000</f>
        <v>0</v>
      </c>
      <c r="GE295" s="39">
        <f t="shared" si="4970"/>
        <v>0</v>
      </c>
      <c r="GF295" s="39">
        <f t="shared" si="4970"/>
        <v>0</v>
      </c>
      <c r="GG295" s="39">
        <f t="shared" si="4970"/>
        <v>0</v>
      </c>
      <c r="GH295" s="39">
        <f t="shared" si="4970"/>
        <v>0</v>
      </c>
      <c r="GI295" s="39">
        <f t="shared" ref="GI295:GJ295" si="4971">GI$1*FP295</f>
        <v>0</v>
      </c>
      <c r="GJ295" s="39">
        <f t="shared" si="4971"/>
        <v>0</v>
      </c>
      <c r="GK295" s="2"/>
      <c r="GL295" s="39">
        <f t="shared" si="4395"/>
        <v>0</v>
      </c>
      <c r="GM295" s="39">
        <f t="shared" si="4396"/>
        <v>0</v>
      </c>
      <c r="GN295" s="2" t="s">
        <v>3</v>
      </c>
      <c r="GO295" s="4">
        <f t="shared" si="4397"/>
        <v>10.402338</v>
      </c>
      <c r="GP295" s="4">
        <f t="shared" si="4398"/>
        <v>2.5601508622388542</v>
      </c>
      <c r="GQ295" s="15">
        <f t="shared" si="4399"/>
        <v>266.31554599999998</v>
      </c>
      <c r="GR295" s="15">
        <f t="shared" si="4400"/>
        <v>3492.4620702440002</v>
      </c>
      <c r="GS295" s="15">
        <f t="shared" si="4401"/>
        <v>335.73818407400336</v>
      </c>
      <c r="GT295" s="2">
        <f t="shared" si="4402"/>
        <v>0</v>
      </c>
      <c r="GU295" s="2">
        <f t="shared" si="4403"/>
        <v>233.10463700000003</v>
      </c>
      <c r="GV295" s="2">
        <f t="shared" si="4404"/>
        <v>33.210908999999994</v>
      </c>
      <c r="GW295" s="2">
        <f t="shared" si="4405"/>
        <v>0</v>
      </c>
      <c r="GX295" s="2"/>
      <c r="GY295" s="2"/>
      <c r="GZ295" s="2"/>
      <c r="HA295" s="2"/>
      <c r="HB295" s="2">
        <f t="shared" si="4406"/>
        <v>0</v>
      </c>
      <c r="HC295" s="2">
        <f t="shared" si="4407"/>
        <v>0</v>
      </c>
      <c r="HD295" s="2" t="s">
        <v>3</v>
      </c>
      <c r="HE295" s="2" t="s">
        <v>89</v>
      </c>
      <c r="HF295" s="2" t="s">
        <v>137</v>
      </c>
      <c r="HG295" s="2"/>
      <c r="HH295" s="2"/>
      <c r="HI295" s="2" t="s">
        <v>81</v>
      </c>
      <c r="HJ295" s="2" t="s">
        <v>3</v>
      </c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 t="s">
        <v>3</v>
      </c>
    </row>
    <row r="296" spans="1:268" ht="15.75" customHeight="1" x14ac:dyDescent="0.2">
      <c r="A296" s="16" t="s">
        <v>865</v>
      </c>
      <c r="B296" s="2" t="s">
        <v>99</v>
      </c>
      <c r="C296" s="2"/>
      <c r="D296" s="2"/>
      <c r="E296" s="2" t="s">
        <v>78</v>
      </c>
      <c r="F296" s="2" t="s">
        <v>385</v>
      </c>
      <c r="G296" s="2"/>
      <c r="H296" s="2" t="s">
        <v>181</v>
      </c>
      <c r="I296" s="2">
        <v>13.563000000000001</v>
      </c>
      <c r="J296" s="2"/>
      <c r="K296" s="2"/>
      <c r="L296" s="2"/>
      <c r="M296" s="2"/>
      <c r="N296" s="2"/>
      <c r="O296" s="2"/>
      <c r="P296" s="2"/>
      <c r="Q296" s="2">
        <v>0.8</v>
      </c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19">
        <v>27.363</v>
      </c>
      <c r="AE296" s="2"/>
      <c r="AF296" s="2"/>
      <c r="AG296" s="2"/>
      <c r="AH296" s="2"/>
      <c r="AI296" s="2"/>
      <c r="AJ296" s="2"/>
      <c r="AK296" s="2"/>
      <c r="AL296" s="15">
        <v>0.6</v>
      </c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19">
        <v>12.009</v>
      </c>
      <c r="AZ296" s="2"/>
      <c r="BA296" s="2"/>
      <c r="BB296" s="2"/>
      <c r="BC296" s="2"/>
      <c r="BD296" s="2"/>
      <c r="BE296" s="2"/>
      <c r="BF296" s="2"/>
      <c r="BG296" s="15">
        <v>0.5</v>
      </c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>
        <v>0</v>
      </c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>
        <v>0</v>
      </c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 t="s">
        <v>81</v>
      </c>
      <c r="DK296" s="2"/>
      <c r="DL296" s="2">
        <f t="shared" si="4367"/>
        <v>0.62855766506092381</v>
      </c>
      <c r="DM296" s="2">
        <f t="shared" si="4368"/>
        <v>0</v>
      </c>
      <c r="DN296" s="2" t="s">
        <v>211</v>
      </c>
      <c r="DO296" s="2" t="s">
        <v>3</v>
      </c>
      <c r="DP296" s="2">
        <f t="shared" si="4369"/>
        <v>0</v>
      </c>
      <c r="DQ296" s="2">
        <f t="shared" ref="DQ296:DR296" si="4972">K296*$I296+AF296*$AD296+BA296*$AY296</f>
        <v>0</v>
      </c>
      <c r="DR296" s="2">
        <f t="shared" si="4972"/>
        <v>0</v>
      </c>
      <c r="DS296" s="2">
        <f t="shared" ref="DS296:DX296" si="4973">(M296*$I296+AH296*$AD296+BC296*$AY296)/100</f>
        <v>0</v>
      </c>
      <c r="DT296" s="2">
        <f t="shared" si="4973"/>
        <v>0</v>
      </c>
      <c r="DU296" s="2">
        <f t="shared" si="4973"/>
        <v>0</v>
      </c>
      <c r="DV296" s="2">
        <f t="shared" si="4973"/>
        <v>0</v>
      </c>
      <c r="DW296" s="2">
        <f t="shared" si="4973"/>
        <v>0.33272699999999999</v>
      </c>
      <c r="DX296" s="2">
        <f t="shared" si="4973"/>
        <v>0</v>
      </c>
      <c r="DY296" s="2">
        <f t="shared" ref="DY296:EC296" si="4974">S296*$I296+AN296*$AD296+BI296*$AY296</f>
        <v>0</v>
      </c>
      <c r="DZ296" s="2">
        <f t="shared" si="4974"/>
        <v>0</v>
      </c>
      <c r="EA296" s="2">
        <f t="shared" si="4974"/>
        <v>0</v>
      </c>
      <c r="EB296" s="2">
        <f t="shared" si="4974"/>
        <v>0</v>
      </c>
      <c r="EC296" s="2">
        <f t="shared" si="4974"/>
        <v>0</v>
      </c>
      <c r="ED296" s="2">
        <f t="shared" ref="ED296:EE296" si="4975">(X296*$I296+AS296*$AD296+BN296*$AY296)/100</f>
        <v>0</v>
      </c>
      <c r="EE296" s="2">
        <f t="shared" si="4975"/>
        <v>0</v>
      </c>
      <c r="EF296" s="2"/>
      <c r="EG296" s="2">
        <f t="shared" si="4374"/>
        <v>0</v>
      </c>
      <c r="EH296" s="2">
        <f t="shared" si="4375"/>
        <v>0</v>
      </c>
      <c r="EI296" s="39">
        <f t="shared" si="4376"/>
        <v>0</v>
      </c>
      <c r="EJ296" s="39">
        <f t="shared" ref="EJ296:EK296" si="4976">EJ$1*DQ296/1000000</f>
        <v>0</v>
      </c>
      <c r="EK296" s="39">
        <f t="shared" si="4976"/>
        <v>0</v>
      </c>
      <c r="EL296" s="39">
        <f t="shared" ref="EL296:EQ296" si="4977">EL$1*DS296</f>
        <v>0</v>
      </c>
      <c r="EM296" s="39">
        <f t="shared" si="4977"/>
        <v>0</v>
      </c>
      <c r="EN296" s="39">
        <f t="shared" si="4977"/>
        <v>0</v>
      </c>
      <c r="EO296" s="39">
        <f t="shared" si="4977"/>
        <v>0</v>
      </c>
      <c r="EP296" s="39">
        <f t="shared" si="4977"/>
        <v>4363.3818780000001</v>
      </c>
      <c r="EQ296" s="39">
        <f t="shared" si="4977"/>
        <v>0</v>
      </c>
      <c r="ER296" s="39">
        <f t="shared" ref="ER296:EV296" si="4978">ER$1*DY296/1000000</f>
        <v>0</v>
      </c>
      <c r="ES296" s="39">
        <f t="shared" si="4978"/>
        <v>0</v>
      </c>
      <c r="ET296" s="39">
        <f t="shared" si="4978"/>
        <v>0</v>
      </c>
      <c r="EU296" s="39">
        <f t="shared" si="4978"/>
        <v>0</v>
      </c>
      <c r="EV296" s="39">
        <f t="shared" si="4978"/>
        <v>0</v>
      </c>
      <c r="EW296" s="39">
        <f t="shared" ref="EW296:EX296" si="4979">EW$1*ED296</f>
        <v>0</v>
      </c>
      <c r="EX296" s="39">
        <f t="shared" si="4979"/>
        <v>0</v>
      </c>
      <c r="EY296" s="2"/>
      <c r="EZ296" s="39">
        <f t="shared" si="4381"/>
        <v>0</v>
      </c>
      <c r="FA296" s="39">
        <f t="shared" si="4382"/>
        <v>0</v>
      </c>
      <c r="FB296" s="2">
        <f t="shared" si="4383"/>
        <v>0</v>
      </c>
      <c r="FC296" s="2">
        <f t="shared" ref="FC296:FD296" si="4980">BV296*$BT296+CQ296*$CO296</f>
        <v>0</v>
      </c>
      <c r="FD296" s="2">
        <f t="shared" si="4980"/>
        <v>0</v>
      </c>
      <c r="FE296" s="2">
        <f t="shared" ref="FE296:FJ296" si="4981">(BX296*$BT296+CS296*$CO296)/100</f>
        <v>0</v>
      </c>
      <c r="FF296" s="2">
        <f t="shared" si="4981"/>
        <v>0</v>
      </c>
      <c r="FG296" s="2">
        <f t="shared" si="4981"/>
        <v>0</v>
      </c>
      <c r="FH296" s="2">
        <f t="shared" si="4981"/>
        <v>0</v>
      </c>
      <c r="FI296" s="2">
        <f t="shared" si="4981"/>
        <v>0</v>
      </c>
      <c r="FJ296" s="2">
        <f t="shared" si="4981"/>
        <v>0</v>
      </c>
      <c r="FK296" s="2">
        <f t="shared" ref="FK296:FO296" si="4982">CD296*$BT296+CY296*$CO296</f>
        <v>0</v>
      </c>
      <c r="FL296" s="2">
        <f t="shared" si="4982"/>
        <v>0</v>
      </c>
      <c r="FM296" s="2">
        <f t="shared" si="4982"/>
        <v>0</v>
      </c>
      <c r="FN296" s="2">
        <f t="shared" si="4982"/>
        <v>0</v>
      </c>
      <c r="FO296" s="2">
        <f t="shared" si="4982"/>
        <v>0</v>
      </c>
      <c r="FP296" s="2">
        <f t="shared" ref="FP296:FQ296" si="4983">(CI296*$BT296+DD296*$CO296)/100</f>
        <v>0</v>
      </c>
      <c r="FQ296" s="2">
        <f t="shared" si="4983"/>
        <v>0</v>
      </c>
      <c r="FR296" s="2"/>
      <c r="FS296" s="2">
        <f t="shared" si="4388"/>
        <v>0</v>
      </c>
      <c r="FT296" s="2">
        <f t="shared" si="4389"/>
        <v>0</v>
      </c>
      <c r="FU296" s="39">
        <f t="shared" si="4390"/>
        <v>0</v>
      </c>
      <c r="FV296" s="39">
        <f t="shared" ref="FV296:FW296" si="4984">FV$1*FC296/1000000</f>
        <v>0</v>
      </c>
      <c r="FW296" s="39">
        <f t="shared" si="4984"/>
        <v>0</v>
      </c>
      <c r="FX296" s="39">
        <f t="shared" ref="FX296:GC296" si="4985">FX$1*FE296</f>
        <v>0</v>
      </c>
      <c r="FY296" s="39">
        <f t="shared" si="4985"/>
        <v>0</v>
      </c>
      <c r="FZ296" s="39">
        <f t="shared" si="4985"/>
        <v>0</v>
      </c>
      <c r="GA296" s="39">
        <f t="shared" si="4985"/>
        <v>0</v>
      </c>
      <c r="GB296" s="39">
        <f t="shared" si="4985"/>
        <v>0</v>
      </c>
      <c r="GC296" s="39">
        <f t="shared" si="4985"/>
        <v>0</v>
      </c>
      <c r="GD296" s="39">
        <f t="shared" ref="GD296:GH296" si="4986">GD$1*FK296/1000000</f>
        <v>0</v>
      </c>
      <c r="GE296" s="39">
        <f t="shared" si="4986"/>
        <v>0</v>
      </c>
      <c r="GF296" s="39">
        <f t="shared" si="4986"/>
        <v>0</v>
      </c>
      <c r="GG296" s="39">
        <f t="shared" si="4986"/>
        <v>0</v>
      </c>
      <c r="GH296" s="39">
        <f t="shared" si="4986"/>
        <v>0</v>
      </c>
      <c r="GI296" s="39">
        <f t="shared" ref="GI296:GJ296" si="4987">GI$1*FP296</f>
        <v>0</v>
      </c>
      <c r="GJ296" s="39">
        <f t="shared" si="4987"/>
        <v>0</v>
      </c>
      <c r="GK296" s="2"/>
      <c r="GL296" s="39">
        <f t="shared" si="4395"/>
        <v>0</v>
      </c>
      <c r="GM296" s="39">
        <f t="shared" si="4396"/>
        <v>0</v>
      </c>
      <c r="GN296" s="2" t="s">
        <v>3</v>
      </c>
      <c r="GO296" s="4">
        <f t="shared" si="4397"/>
        <v>52.935000000000002</v>
      </c>
      <c r="GP296" s="4">
        <f t="shared" si="4398"/>
        <v>0.62855766506092381</v>
      </c>
      <c r="GQ296" s="15">
        <f t="shared" si="4399"/>
        <v>332.72700000000003</v>
      </c>
      <c r="GR296" s="15">
        <f t="shared" si="4400"/>
        <v>4363.3818780000001</v>
      </c>
      <c r="GS296" s="15">
        <f t="shared" si="4401"/>
        <v>82.429052196089543</v>
      </c>
      <c r="GT296" s="2">
        <f t="shared" si="4402"/>
        <v>108.50399999999999</v>
      </c>
      <c r="GU296" s="2">
        <f t="shared" si="4403"/>
        <v>164.178</v>
      </c>
      <c r="GV296" s="2">
        <f t="shared" si="4404"/>
        <v>60.045000000000002</v>
      </c>
      <c r="GW296" s="2">
        <f t="shared" si="4405"/>
        <v>0</v>
      </c>
      <c r="GX296" s="2"/>
      <c r="GY296" s="2"/>
      <c r="GZ296" s="2"/>
      <c r="HA296" s="2"/>
      <c r="HB296" s="2">
        <f t="shared" si="4406"/>
        <v>0</v>
      </c>
      <c r="HC296" s="2">
        <f t="shared" si="4407"/>
        <v>0</v>
      </c>
      <c r="HD296" s="2" t="s">
        <v>3</v>
      </c>
      <c r="HE296" s="2" t="s">
        <v>89</v>
      </c>
      <c r="HF296" s="2" t="s">
        <v>137</v>
      </c>
      <c r="HG296" s="2"/>
      <c r="HH296" s="2"/>
      <c r="HI296" s="2" t="s">
        <v>81</v>
      </c>
      <c r="HJ296" s="2" t="s">
        <v>3</v>
      </c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 t="s">
        <v>3</v>
      </c>
    </row>
    <row r="297" spans="1:268" ht="15.75" customHeight="1" x14ac:dyDescent="0.2">
      <c r="A297" s="16" t="s">
        <v>612</v>
      </c>
      <c r="B297" s="2" t="s">
        <v>120</v>
      </c>
      <c r="C297" s="2"/>
      <c r="D297" s="2"/>
      <c r="E297" s="2" t="s">
        <v>179</v>
      </c>
      <c r="F297" s="2" t="s">
        <v>613</v>
      </c>
      <c r="G297" s="2"/>
      <c r="H297" s="2" t="s">
        <v>181</v>
      </c>
      <c r="I297" s="19">
        <f>0.039+0.156+(0.033/0.7)+0.002+0.025</f>
        <v>0.26914285714285718</v>
      </c>
      <c r="J297" s="20">
        <v>0.2</v>
      </c>
      <c r="K297" s="2"/>
      <c r="L297" s="2"/>
      <c r="M297" s="2"/>
      <c r="N297" s="2"/>
      <c r="O297" s="2"/>
      <c r="P297" s="2"/>
      <c r="Q297" s="15">
        <f>(4.9*0.039+3.5*0.156+3.6*(0.033/0.7)+6.9*0.002+2.7*0.025)/I297</f>
        <v>3.6713375796178345</v>
      </c>
      <c r="R297" s="20">
        <v>0.03</v>
      </c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19">
        <f>0.499+0.138+0.241+0.408+0.11+(0.04/0.7)+0.051+0.103+0.417+0.029+0.05+0.096+0.554</f>
        <v>2.7531428571428567</v>
      </c>
      <c r="AE297" s="20">
        <v>0.2</v>
      </c>
      <c r="AF297" s="2"/>
      <c r="AG297" s="2"/>
      <c r="AH297" s="2"/>
      <c r="AI297" s="2"/>
      <c r="AJ297" s="2"/>
      <c r="AK297" s="2"/>
      <c r="AL297" s="15">
        <f>(3.5*0.499+2.9*0.138+4*0.241+2.8*0.408+2.6*0.11+2.2*(0.04/0.7)+4.1*0.051+3.1*0.103+5.3*0.417+3.4*0.029+5.3*0.05+3.3*0.096+3*0.554)/AD297</f>
        <v>3.5398505603985062</v>
      </c>
      <c r="AM297" s="20">
        <v>0.03</v>
      </c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19">
        <f>0.051+0.067+0.027+0.016+0.105+0.01+0.014+0.4355</f>
        <v>0.72550000000000003</v>
      </c>
      <c r="AZ297" s="20">
        <v>0.2</v>
      </c>
      <c r="BA297" s="2"/>
      <c r="BB297" s="2"/>
      <c r="BC297" s="2"/>
      <c r="BD297" s="2"/>
      <c r="BE297" s="2"/>
      <c r="BF297" s="2"/>
      <c r="BG297" s="15">
        <f>(2.6*0.051+2.9*0.067+4.1*0.027+6.6*0.016+4.6*0.105+3.8*0.01+5*0.014+3.7*0.4355)/AY297</f>
        <v>3.7843556168159891</v>
      </c>
      <c r="BH297" s="20">
        <v>0.03</v>
      </c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>
        <v>2.8000000000000001E-2</v>
      </c>
      <c r="BU297" s="20">
        <v>0.2</v>
      </c>
      <c r="BV297" s="2"/>
      <c r="BW297" s="2"/>
      <c r="BX297" s="2"/>
      <c r="BY297" s="2"/>
      <c r="BZ297" s="2"/>
      <c r="CA297" s="2"/>
      <c r="CB297" s="2">
        <v>2.6</v>
      </c>
      <c r="CC297" s="20">
        <v>0.03</v>
      </c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>
        <v>1.1080000000000001</v>
      </c>
      <c r="CP297" s="20">
        <v>0.2</v>
      </c>
      <c r="CQ297" s="2"/>
      <c r="CR297" s="2"/>
      <c r="CS297" s="2"/>
      <c r="CT297" s="2"/>
      <c r="CU297" s="2"/>
      <c r="CV297" s="2"/>
      <c r="CW297" s="2">
        <v>2.5</v>
      </c>
      <c r="CX297" s="20">
        <v>0.03</v>
      </c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 t="s">
        <v>81</v>
      </c>
      <c r="DK297" s="2" t="s">
        <v>81</v>
      </c>
      <c r="DL297" s="2">
        <f t="shared" si="4367"/>
        <v>3.5966246736168026</v>
      </c>
      <c r="DM297" s="2">
        <f t="shared" si="4368"/>
        <v>0.03</v>
      </c>
      <c r="DN297" s="2" t="s">
        <v>211</v>
      </c>
      <c r="DO297" s="2" t="s">
        <v>3</v>
      </c>
      <c r="DP297" s="2">
        <f t="shared" si="4369"/>
        <v>7.4955714285714278E-3</v>
      </c>
      <c r="DQ297" s="2">
        <f t="shared" ref="DQ297:DR297" si="4988">K297*$I297+AF297*$AD297+BA297*$AY297</f>
        <v>0</v>
      </c>
      <c r="DR297" s="2">
        <f t="shared" si="4988"/>
        <v>0</v>
      </c>
      <c r="DS297" s="2">
        <f t="shared" ref="DS297:DX297" si="4989">(M297*$I297+AH297*$AD297+BC297*$AY297)/100</f>
        <v>0</v>
      </c>
      <c r="DT297" s="2">
        <f t="shared" si="4989"/>
        <v>0</v>
      </c>
      <c r="DU297" s="2">
        <f t="shared" si="4989"/>
        <v>0</v>
      </c>
      <c r="DV297" s="2">
        <f t="shared" si="4989"/>
        <v>0</v>
      </c>
      <c r="DW297" s="2">
        <f t="shared" si="4989"/>
        <v>0.13479378571428571</v>
      </c>
      <c r="DX297" s="2">
        <f t="shared" si="4989"/>
        <v>1.1243357142857141E-3</v>
      </c>
      <c r="DY297" s="2">
        <f t="shared" ref="DY297:EC297" si="4990">S297*$I297+AN297*$AD297+BI297*$AY297</f>
        <v>0</v>
      </c>
      <c r="DZ297" s="2">
        <f t="shared" si="4990"/>
        <v>0</v>
      </c>
      <c r="EA297" s="2">
        <f t="shared" si="4990"/>
        <v>0</v>
      </c>
      <c r="EB297" s="2">
        <f t="shared" si="4990"/>
        <v>0</v>
      </c>
      <c r="EC297" s="2">
        <f t="shared" si="4990"/>
        <v>0</v>
      </c>
      <c r="ED297" s="2">
        <f t="shared" ref="ED297:EE297" si="4991">(X297*$I297+AS297*$AD297+BN297*$AY297)/100</f>
        <v>0</v>
      </c>
      <c r="EE297" s="2">
        <f t="shared" si="4991"/>
        <v>0</v>
      </c>
      <c r="EF297" s="2"/>
      <c r="EG297" s="2">
        <f t="shared" si="4374"/>
        <v>0</v>
      </c>
      <c r="EH297" s="2">
        <f t="shared" si="4375"/>
        <v>0</v>
      </c>
      <c r="EI297" s="39">
        <f t="shared" si="4376"/>
        <v>48.913220843428569</v>
      </c>
      <c r="EJ297" s="39">
        <f t="shared" ref="EJ297:EK297" si="4992">EJ$1*DQ297/1000000</f>
        <v>0</v>
      </c>
      <c r="EK297" s="39">
        <f t="shared" si="4992"/>
        <v>0</v>
      </c>
      <c r="EL297" s="39">
        <f t="shared" ref="EL297:EQ297" si="4993">EL$1*DS297</f>
        <v>0</v>
      </c>
      <c r="EM297" s="39">
        <f t="shared" si="4993"/>
        <v>0</v>
      </c>
      <c r="EN297" s="39">
        <f t="shared" si="4993"/>
        <v>0</v>
      </c>
      <c r="EO297" s="39">
        <f t="shared" si="4993"/>
        <v>0</v>
      </c>
      <c r="EP297" s="39">
        <f t="shared" si="4993"/>
        <v>1767.6857058571429</v>
      </c>
      <c r="EQ297" s="39">
        <f t="shared" si="4993"/>
        <v>81.648724387628548</v>
      </c>
      <c r="ER297" s="39">
        <f t="shared" ref="ER297:EV297" si="4994">ER$1*DY297/1000000</f>
        <v>0</v>
      </c>
      <c r="ES297" s="39">
        <f t="shared" si="4994"/>
        <v>0</v>
      </c>
      <c r="ET297" s="39">
        <f t="shared" si="4994"/>
        <v>0</v>
      </c>
      <c r="EU297" s="39">
        <f t="shared" si="4994"/>
        <v>0</v>
      </c>
      <c r="EV297" s="39">
        <f t="shared" si="4994"/>
        <v>0</v>
      </c>
      <c r="EW297" s="39">
        <f t="shared" ref="EW297:EX297" si="4995">EW$1*ED297</f>
        <v>0</v>
      </c>
      <c r="EX297" s="39">
        <f t="shared" si="4995"/>
        <v>0</v>
      </c>
      <c r="EY297" s="2"/>
      <c r="EZ297" s="39">
        <f t="shared" si="4381"/>
        <v>0</v>
      </c>
      <c r="FA297" s="39">
        <f t="shared" si="4382"/>
        <v>0</v>
      </c>
      <c r="FB297" s="2">
        <f t="shared" si="4383"/>
        <v>2.2720000000000001E-3</v>
      </c>
      <c r="FC297" s="2">
        <f t="shared" ref="FC297:FD297" si="4996">BV297*$BT297+CQ297*$CO297</f>
        <v>0</v>
      </c>
      <c r="FD297" s="2">
        <f t="shared" si="4996"/>
        <v>0</v>
      </c>
      <c r="FE297" s="2">
        <f t="shared" ref="FE297:FJ297" si="4997">(BX297*$BT297+CS297*$CO297)/100</f>
        <v>0</v>
      </c>
      <c r="FF297" s="2">
        <f t="shared" si="4997"/>
        <v>0</v>
      </c>
      <c r="FG297" s="2">
        <f t="shared" si="4997"/>
        <v>0</v>
      </c>
      <c r="FH297" s="2">
        <f t="shared" si="4997"/>
        <v>0</v>
      </c>
      <c r="FI297" s="2">
        <f t="shared" si="4997"/>
        <v>2.8428000000000005E-2</v>
      </c>
      <c r="FJ297" s="2">
        <f t="shared" si="4997"/>
        <v>3.4079999999999999E-4</v>
      </c>
      <c r="FK297" s="2">
        <f t="shared" ref="FK297:FO297" si="4998">CD297*$BT297+CY297*$CO297</f>
        <v>0</v>
      </c>
      <c r="FL297" s="2">
        <f t="shared" si="4998"/>
        <v>0</v>
      </c>
      <c r="FM297" s="2">
        <f t="shared" si="4998"/>
        <v>0</v>
      </c>
      <c r="FN297" s="2">
        <f t="shared" si="4998"/>
        <v>0</v>
      </c>
      <c r="FO297" s="2">
        <f t="shared" si="4998"/>
        <v>0</v>
      </c>
      <c r="FP297" s="2">
        <f t="shared" ref="FP297:FQ297" si="4999">(CI297*$BT297+DD297*$CO297)/100</f>
        <v>0</v>
      </c>
      <c r="FQ297" s="2">
        <f t="shared" si="4999"/>
        <v>0</v>
      </c>
      <c r="FR297" s="2"/>
      <c r="FS297" s="2">
        <f t="shared" si="4388"/>
        <v>0</v>
      </c>
      <c r="FT297" s="2">
        <f t="shared" si="4389"/>
        <v>0</v>
      </c>
      <c r="FU297" s="39">
        <f t="shared" si="4390"/>
        <v>14.826199552</v>
      </c>
      <c r="FV297" s="39">
        <f t="shared" ref="FV297:FW297" si="5000">FV$1*FC297/1000000</f>
        <v>0</v>
      </c>
      <c r="FW297" s="39">
        <f t="shared" si="5000"/>
        <v>0</v>
      </c>
      <c r="FX297" s="39">
        <f t="shared" ref="FX297:GC297" si="5001">FX$1*FE297</f>
        <v>0</v>
      </c>
      <c r="FY297" s="39">
        <f t="shared" si="5001"/>
        <v>0</v>
      </c>
      <c r="FZ297" s="39">
        <f t="shared" si="5001"/>
        <v>0</v>
      </c>
      <c r="GA297" s="39">
        <f t="shared" si="5001"/>
        <v>0</v>
      </c>
      <c r="GB297" s="39">
        <f t="shared" si="5001"/>
        <v>372.80479200000008</v>
      </c>
      <c r="GC297" s="39">
        <f t="shared" si="5001"/>
        <v>24.748733779199995</v>
      </c>
      <c r="GD297" s="39">
        <f t="shared" ref="GD297:GH297" si="5002">GD$1*FK297/1000000</f>
        <v>0</v>
      </c>
      <c r="GE297" s="39">
        <f t="shared" si="5002"/>
        <v>0</v>
      </c>
      <c r="GF297" s="39">
        <f t="shared" si="5002"/>
        <v>0</v>
      </c>
      <c r="GG297" s="39">
        <f t="shared" si="5002"/>
        <v>0</v>
      </c>
      <c r="GH297" s="39">
        <f t="shared" si="5002"/>
        <v>0</v>
      </c>
      <c r="GI297" s="39">
        <f t="shared" ref="GI297:GJ297" si="5003">GI$1*FP297</f>
        <v>0</v>
      </c>
      <c r="GJ297" s="39">
        <f t="shared" si="5003"/>
        <v>0</v>
      </c>
      <c r="GK297" s="2"/>
      <c r="GL297" s="39">
        <f t="shared" si="4395"/>
        <v>0</v>
      </c>
      <c r="GM297" s="39">
        <f t="shared" si="4396"/>
        <v>0</v>
      </c>
      <c r="GN297" s="2" t="s">
        <v>3</v>
      </c>
      <c r="GO297" s="19">
        <f t="shared" si="4397"/>
        <v>3.7477857142857136</v>
      </c>
      <c r="GP297" s="4">
        <f t="shared" si="4398"/>
        <v>3.5966246736168026</v>
      </c>
      <c r="GQ297" s="15">
        <f t="shared" si="4399"/>
        <v>134.79378571428572</v>
      </c>
      <c r="GR297" s="15">
        <f t="shared" si="4400"/>
        <v>1898.2476510882</v>
      </c>
      <c r="GS297" s="15">
        <f t="shared" si="4401"/>
        <v>506.49844889810754</v>
      </c>
      <c r="GT297" s="2">
        <f t="shared" si="4402"/>
        <v>9.8811428571428586</v>
      </c>
      <c r="GU297" s="2">
        <f t="shared" si="4403"/>
        <v>97.457142857142856</v>
      </c>
      <c r="GV297" s="2">
        <f t="shared" si="4404"/>
        <v>27.455500000000001</v>
      </c>
      <c r="GW297" s="2">
        <f t="shared" si="4405"/>
        <v>1.1360000000000001</v>
      </c>
      <c r="GX297" s="4">
        <f t="shared" ref="GX297:GX298" si="5004">(BT297*CB297+CO297*CW297)/GW297</f>
        <v>2.5024647887323943</v>
      </c>
      <c r="GY297" s="15">
        <f t="shared" ref="GY297:GY298" si="5005">1000*GW297*GX297/100</f>
        <v>28.428000000000008</v>
      </c>
      <c r="GZ297" s="15">
        <f t="shared" ref="GZ297:GZ298" si="5006">SUM(FU297:GM297)</f>
        <v>412.37972533120006</v>
      </c>
      <c r="HA297" s="15">
        <f t="shared" ref="HA297:HA298" si="5007">GZ297/GW297</f>
        <v>363.01032159436619</v>
      </c>
      <c r="HB297" s="2">
        <f t="shared" si="4406"/>
        <v>0.72799999999999998</v>
      </c>
      <c r="HC297" s="2">
        <f t="shared" si="4407"/>
        <v>27.700000000000003</v>
      </c>
      <c r="HD297" s="2" t="s">
        <v>3</v>
      </c>
      <c r="HE297" s="2" t="s">
        <v>89</v>
      </c>
      <c r="HF297" s="2" t="s">
        <v>137</v>
      </c>
      <c r="HG297" s="2"/>
      <c r="HH297" s="2"/>
      <c r="HI297" s="2" t="s">
        <v>81</v>
      </c>
      <c r="HJ297" s="2" t="s">
        <v>3</v>
      </c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 t="s">
        <v>3</v>
      </c>
    </row>
    <row r="298" spans="1:268" ht="15.75" customHeight="1" x14ac:dyDescent="0.2">
      <c r="A298" s="16" t="s">
        <v>610</v>
      </c>
      <c r="B298" s="2" t="s">
        <v>120</v>
      </c>
      <c r="C298" s="2"/>
      <c r="D298" s="2"/>
      <c r="E298" s="2" t="s">
        <v>179</v>
      </c>
      <c r="F298" s="2" t="s">
        <v>611</v>
      </c>
      <c r="G298" s="2"/>
      <c r="H298" s="2" t="s">
        <v>181</v>
      </c>
      <c r="I298" s="2">
        <f>0.089+0.021+0.04+0.03</f>
        <v>0.18</v>
      </c>
      <c r="J298" s="20">
        <v>0.2</v>
      </c>
      <c r="K298" s="2"/>
      <c r="L298" s="2"/>
      <c r="M298" s="2"/>
      <c r="N298" s="2"/>
      <c r="O298" s="2"/>
      <c r="P298" s="2"/>
      <c r="Q298" s="4">
        <f>(2.99*0.089+4.54*0.021+4.12*0.04+4.92*0.03)/I298</f>
        <v>3.7436111111111114</v>
      </c>
      <c r="R298" s="20">
        <v>0.03</v>
      </c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>
        <f>2.018+0.029+0.055+0.047+0.28+0.023+0.051+0.014</f>
        <v>2.5170000000000003</v>
      </c>
      <c r="AE298" s="20">
        <v>0.2</v>
      </c>
      <c r="AF298" s="2"/>
      <c r="AG298" s="2"/>
      <c r="AH298" s="2"/>
      <c r="AI298" s="2"/>
      <c r="AJ298" s="2"/>
      <c r="AK298" s="2"/>
      <c r="AL298" s="4">
        <f>(1.42*2.018+2.87*0.029+4.4*0.055+3.58*0.047+1.99*0.28+3.93*0.023+5.6*0.051+4.4*0.014)/AD298</f>
        <v>1.7297735399284857</v>
      </c>
      <c r="AM298" s="20">
        <v>0.03</v>
      </c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>
        <f>0.611+0.134+0.652+0.291+0.063+0.007+0.992+0.111+0.016+0.079</f>
        <v>2.9560000000000004</v>
      </c>
      <c r="AZ298" s="20">
        <v>0.2</v>
      </c>
      <c r="BA298" s="2"/>
      <c r="BB298" s="2"/>
      <c r="BC298" s="2"/>
      <c r="BD298" s="2"/>
      <c r="BE298" s="2"/>
      <c r="BF298" s="2"/>
      <c r="BG298" s="4">
        <f>(0.79*0.611+1.7*0.134+1.63*0.652+1.42*0.291+3.49*0.063+4.16*0.007+1.49*0.992+1.35*0.111+2.95*0.016+4.8*0.079)/AY298</f>
        <v>1.5188734776725303</v>
      </c>
      <c r="BH298" s="20">
        <v>0.03</v>
      </c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>
        <v>0</v>
      </c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>
        <f>0.042+0.113+0.011+0.015+0.027</f>
        <v>0.20799999999999999</v>
      </c>
      <c r="CP298" s="20">
        <v>0.2</v>
      </c>
      <c r="CQ298" s="2"/>
      <c r="CR298" s="2"/>
      <c r="CS298" s="2"/>
      <c r="CT298" s="2"/>
      <c r="CU298" s="2"/>
      <c r="CV298" s="2"/>
      <c r="CW298" s="4">
        <f>(2.67*0.042+1.57*0.113+2.56*0.011+2.96*0.015+2.19*0.027)/CO298</f>
        <v>2.0251923076923082</v>
      </c>
      <c r="CX298" s="20">
        <v>0.03</v>
      </c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 t="s">
        <v>81</v>
      </c>
      <c r="DK298" s="2" t="s">
        <v>81</v>
      </c>
      <c r="DL298" s="2">
        <f t="shared" si="4367"/>
        <v>1.6836157792322657</v>
      </c>
      <c r="DM298" s="2">
        <f t="shared" si="4368"/>
        <v>3.0000000000000002E-2</v>
      </c>
      <c r="DN298" s="2" t="s">
        <v>211</v>
      </c>
      <c r="DO298" s="2" t="s">
        <v>3</v>
      </c>
      <c r="DP298" s="2">
        <f t="shared" si="4369"/>
        <v>1.1306000000000004E-2</v>
      </c>
      <c r="DQ298" s="2">
        <f t="shared" ref="DQ298:DR298" si="5008">K298*$I298+AF298*$AD298+BA298*$AY298</f>
        <v>0</v>
      </c>
      <c r="DR298" s="2">
        <f t="shared" si="5008"/>
        <v>0</v>
      </c>
      <c r="DS298" s="2">
        <f t="shared" ref="DS298:DX298" si="5009">(M298*$I298+AH298*$AD298+BC298*$AY298)/100</f>
        <v>0</v>
      </c>
      <c r="DT298" s="2">
        <f t="shared" si="5009"/>
        <v>0</v>
      </c>
      <c r="DU298" s="2">
        <f t="shared" si="5009"/>
        <v>0</v>
      </c>
      <c r="DV298" s="2">
        <f t="shared" si="5009"/>
        <v>0</v>
      </c>
      <c r="DW298" s="2">
        <f t="shared" si="5009"/>
        <v>9.517479999999999E-2</v>
      </c>
      <c r="DX298" s="2">
        <f t="shared" si="5009"/>
        <v>1.6959000000000002E-3</v>
      </c>
      <c r="DY298" s="2">
        <f t="shared" ref="DY298:EC298" si="5010">S298*$I298+AN298*$AD298+BI298*$AY298</f>
        <v>0</v>
      </c>
      <c r="DZ298" s="2">
        <f t="shared" si="5010"/>
        <v>0</v>
      </c>
      <c r="EA298" s="2">
        <f t="shared" si="5010"/>
        <v>0</v>
      </c>
      <c r="EB298" s="2">
        <f t="shared" si="5010"/>
        <v>0</v>
      </c>
      <c r="EC298" s="2">
        <f t="shared" si="5010"/>
        <v>0</v>
      </c>
      <c r="ED298" s="2">
        <f t="shared" ref="ED298:EE298" si="5011">(X298*$I298+AS298*$AD298+BN298*$AY298)/100</f>
        <v>0</v>
      </c>
      <c r="EE298" s="2">
        <f t="shared" si="5011"/>
        <v>0</v>
      </c>
      <c r="EF298" s="2"/>
      <c r="EG298" s="2">
        <f t="shared" si="4374"/>
        <v>0</v>
      </c>
      <c r="EH298" s="2">
        <f t="shared" si="4375"/>
        <v>0</v>
      </c>
      <c r="EI298" s="39">
        <f t="shared" si="4376"/>
        <v>73.778614496000017</v>
      </c>
      <c r="EJ298" s="39">
        <f t="shared" ref="EJ298:EK298" si="5012">EJ$1*DQ298/1000000</f>
        <v>0</v>
      </c>
      <c r="EK298" s="39">
        <f t="shared" si="5012"/>
        <v>0</v>
      </c>
      <c r="EL298" s="39">
        <f t="shared" ref="EL298:EQ298" si="5013">EL$1*DS298</f>
        <v>0</v>
      </c>
      <c r="EM298" s="39">
        <f t="shared" si="5013"/>
        <v>0</v>
      </c>
      <c r="EN298" s="39">
        <f t="shared" si="5013"/>
        <v>0</v>
      </c>
      <c r="EO298" s="39">
        <f t="shared" si="5013"/>
        <v>0</v>
      </c>
      <c r="EP298" s="39">
        <f t="shared" si="5013"/>
        <v>1248.1223272</v>
      </c>
      <c r="EQ298" s="39">
        <f t="shared" si="5013"/>
        <v>123.1554507516</v>
      </c>
      <c r="ER298" s="39">
        <f t="shared" ref="ER298:EV298" si="5014">ER$1*DY298/1000000</f>
        <v>0</v>
      </c>
      <c r="ES298" s="39">
        <f t="shared" si="5014"/>
        <v>0</v>
      </c>
      <c r="ET298" s="39">
        <f t="shared" si="5014"/>
        <v>0</v>
      </c>
      <c r="EU298" s="39">
        <f t="shared" si="5014"/>
        <v>0</v>
      </c>
      <c r="EV298" s="39">
        <f t="shared" si="5014"/>
        <v>0</v>
      </c>
      <c r="EW298" s="39">
        <f t="shared" ref="EW298:EX298" si="5015">EW$1*ED298</f>
        <v>0</v>
      </c>
      <c r="EX298" s="39">
        <f t="shared" si="5015"/>
        <v>0</v>
      </c>
      <c r="EY298" s="2"/>
      <c r="EZ298" s="39">
        <f t="shared" si="4381"/>
        <v>0</v>
      </c>
      <c r="FA298" s="39">
        <f t="shared" si="4382"/>
        <v>0</v>
      </c>
      <c r="FB298" s="2">
        <f t="shared" si="4383"/>
        <v>4.1599999999999997E-4</v>
      </c>
      <c r="FC298" s="2">
        <f t="shared" ref="FC298:FD298" si="5016">BV298*$BT298+CQ298*$CO298</f>
        <v>0</v>
      </c>
      <c r="FD298" s="2">
        <f t="shared" si="5016"/>
        <v>0</v>
      </c>
      <c r="FE298" s="2">
        <f t="shared" ref="FE298:FJ298" si="5017">(BX298*$BT298+CS298*$CO298)/100</f>
        <v>0</v>
      </c>
      <c r="FF298" s="2">
        <f t="shared" si="5017"/>
        <v>0</v>
      </c>
      <c r="FG298" s="2">
        <f t="shared" si="5017"/>
        <v>0</v>
      </c>
      <c r="FH298" s="2">
        <f t="shared" si="5017"/>
        <v>0</v>
      </c>
      <c r="FI298" s="2">
        <f t="shared" si="5017"/>
        <v>4.2124000000000007E-3</v>
      </c>
      <c r="FJ298" s="2">
        <f t="shared" si="5017"/>
        <v>6.2399999999999999E-5</v>
      </c>
      <c r="FK298" s="2">
        <f t="shared" ref="FK298:FO298" si="5018">CD298*$BT298+CY298*$CO298</f>
        <v>0</v>
      </c>
      <c r="FL298" s="2">
        <f t="shared" si="5018"/>
        <v>0</v>
      </c>
      <c r="FM298" s="2">
        <f t="shared" si="5018"/>
        <v>0</v>
      </c>
      <c r="FN298" s="2">
        <f t="shared" si="5018"/>
        <v>0</v>
      </c>
      <c r="FO298" s="2">
        <f t="shared" si="5018"/>
        <v>0</v>
      </c>
      <c r="FP298" s="2">
        <f t="shared" ref="FP298:FQ298" si="5019">(CI298*$BT298+DD298*$CO298)/100</f>
        <v>0</v>
      </c>
      <c r="FQ298" s="2">
        <f t="shared" si="5019"/>
        <v>0</v>
      </c>
      <c r="FR298" s="2"/>
      <c r="FS298" s="2">
        <f t="shared" si="4388"/>
        <v>0</v>
      </c>
      <c r="FT298" s="2">
        <f t="shared" si="4389"/>
        <v>0</v>
      </c>
      <c r="FU298" s="39">
        <f t="shared" si="4390"/>
        <v>2.714656256</v>
      </c>
      <c r="FV298" s="39">
        <f t="shared" ref="FV298:FW298" si="5020">FV$1*FC298/1000000</f>
        <v>0</v>
      </c>
      <c r="FW298" s="39">
        <f t="shared" si="5020"/>
        <v>0</v>
      </c>
      <c r="FX298" s="39">
        <f t="shared" ref="FX298:GC298" si="5021">FX$1*FE298</f>
        <v>0</v>
      </c>
      <c r="FY298" s="39">
        <f t="shared" si="5021"/>
        <v>0</v>
      </c>
      <c r="FZ298" s="39">
        <f t="shared" si="5021"/>
        <v>0</v>
      </c>
      <c r="GA298" s="39">
        <f t="shared" si="5021"/>
        <v>0</v>
      </c>
      <c r="GB298" s="39">
        <f t="shared" si="5021"/>
        <v>55.241413600000008</v>
      </c>
      <c r="GC298" s="39">
        <f t="shared" si="5021"/>
        <v>4.5314582975999995</v>
      </c>
      <c r="GD298" s="39">
        <f t="shared" ref="GD298:GH298" si="5022">GD$1*FK298/1000000</f>
        <v>0</v>
      </c>
      <c r="GE298" s="39">
        <f t="shared" si="5022"/>
        <v>0</v>
      </c>
      <c r="GF298" s="39">
        <f t="shared" si="5022"/>
        <v>0</v>
      </c>
      <c r="GG298" s="39">
        <f t="shared" si="5022"/>
        <v>0</v>
      </c>
      <c r="GH298" s="39">
        <f t="shared" si="5022"/>
        <v>0</v>
      </c>
      <c r="GI298" s="39">
        <f t="shared" ref="GI298:GJ298" si="5023">GI$1*FP298</f>
        <v>0</v>
      </c>
      <c r="GJ298" s="39">
        <f t="shared" si="5023"/>
        <v>0</v>
      </c>
      <c r="GK298" s="2"/>
      <c r="GL298" s="39">
        <f t="shared" si="4395"/>
        <v>0</v>
      </c>
      <c r="GM298" s="39">
        <f t="shared" si="4396"/>
        <v>0</v>
      </c>
      <c r="GN298" s="2" t="s">
        <v>3</v>
      </c>
      <c r="GO298" s="2">
        <f t="shared" si="4397"/>
        <v>5.6530000000000005</v>
      </c>
      <c r="GP298" s="4">
        <f t="shared" si="4398"/>
        <v>1.6836157792322657</v>
      </c>
      <c r="GQ298" s="15">
        <f t="shared" si="4399"/>
        <v>95.174799999999991</v>
      </c>
      <c r="GR298" s="15">
        <f t="shared" si="4400"/>
        <v>1445.0563924476</v>
      </c>
      <c r="GS298" s="15">
        <f t="shared" si="4401"/>
        <v>255.62646248851937</v>
      </c>
      <c r="GT298" s="2">
        <f t="shared" si="4402"/>
        <v>6.7385000000000002</v>
      </c>
      <c r="GU298" s="2">
        <f t="shared" si="4403"/>
        <v>43.538399999999996</v>
      </c>
      <c r="GV298" s="2">
        <f t="shared" si="4404"/>
        <v>44.8979</v>
      </c>
      <c r="GW298" s="2">
        <f t="shared" si="4405"/>
        <v>0.20799999999999999</v>
      </c>
      <c r="GX298" s="4">
        <f t="shared" si="5004"/>
        <v>2.0251923076923082</v>
      </c>
      <c r="GY298" s="15">
        <f t="shared" si="5005"/>
        <v>4.2124000000000015</v>
      </c>
      <c r="GZ298" s="15">
        <f t="shared" si="5006"/>
        <v>62.487528153600003</v>
      </c>
      <c r="HA298" s="15">
        <f t="shared" si="5007"/>
        <v>300.42080843076928</v>
      </c>
      <c r="HB298" s="2">
        <f t="shared" si="4406"/>
        <v>0</v>
      </c>
      <c r="HC298" s="2">
        <f t="shared" si="4407"/>
        <v>4.2124000000000006</v>
      </c>
      <c r="HD298" s="2" t="s">
        <v>3</v>
      </c>
      <c r="HE298" s="2" t="s">
        <v>89</v>
      </c>
      <c r="HF298" s="2" t="s">
        <v>137</v>
      </c>
      <c r="HG298" s="2"/>
      <c r="HH298" s="2"/>
      <c r="HI298" s="2" t="s">
        <v>81</v>
      </c>
      <c r="HJ298" s="2" t="s">
        <v>3</v>
      </c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 t="s">
        <v>3</v>
      </c>
    </row>
    <row r="299" spans="1:268" ht="15.75" customHeight="1" x14ac:dyDescent="0.2">
      <c r="A299" s="16" t="s">
        <v>604</v>
      </c>
      <c r="B299" s="2" t="s">
        <v>120</v>
      </c>
      <c r="C299" s="2"/>
      <c r="D299" s="2"/>
      <c r="E299" s="2" t="s">
        <v>179</v>
      </c>
      <c r="F299" s="2" t="s">
        <v>428</v>
      </c>
      <c r="G299" s="2"/>
      <c r="H299" s="2" t="s">
        <v>181</v>
      </c>
      <c r="I299" s="2">
        <v>9.6000000000000002E-2</v>
      </c>
      <c r="J299" s="20">
        <v>0.2</v>
      </c>
      <c r="K299" s="2"/>
      <c r="L299" s="2"/>
      <c r="M299" s="2"/>
      <c r="N299" s="2"/>
      <c r="O299" s="2"/>
      <c r="P299" s="2"/>
      <c r="Q299" s="2">
        <v>4.5999999999999996</v>
      </c>
      <c r="R299" s="20">
        <v>0.03</v>
      </c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>
        <v>0.28299999999999997</v>
      </c>
      <c r="AE299" s="20">
        <v>0.2</v>
      </c>
      <c r="AF299" s="2"/>
      <c r="AG299" s="2"/>
      <c r="AH299" s="2"/>
      <c r="AI299" s="2"/>
      <c r="AJ299" s="2"/>
      <c r="AK299" s="2"/>
      <c r="AL299" s="15">
        <v>4</v>
      </c>
      <c r="AM299" s="20">
        <v>0.03</v>
      </c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>
        <v>0.216</v>
      </c>
      <c r="AZ299" s="20">
        <v>0.2</v>
      </c>
      <c r="BA299" s="2"/>
      <c r="BB299" s="2"/>
      <c r="BC299" s="2"/>
      <c r="BD299" s="2"/>
      <c r="BE299" s="2"/>
      <c r="BF299" s="2"/>
      <c r="BG299" s="2">
        <v>3.4</v>
      </c>
      <c r="BH299" s="20">
        <v>0.03</v>
      </c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>
        <v>0</v>
      </c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>
        <v>0</v>
      </c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 t="s">
        <v>81</v>
      </c>
      <c r="DK299" s="2" t="s">
        <v>81</v>
      </c>
      <c r="DL299" s="2">
        <f t="shared" si="4367"/>
        <v>3.8789915966386554</v>
      </c>
      <c r="DM299" s="2">
        <f t="shared" si="4368"/>
        <v>0.03</v>
      </c>
      <c r="DN299" s="2" t="s">
        <v>150</v>
      </c>
      <c r="DO299" s="2" t="s">
        <v>3</v>
      </c>
      <c r="DP299" s="2">
        <f t="shared" si="4369"/>
        <v>1.1900000000000001E-3</v>
      </c>
      <c r="DQ299" s="2">
        <f t="shared" ref="DQ299:DR299" si="5024">K299*$I299+AF299*$AD299+BA299*$AY299</f>
        <v>0</v>
      </c>
      <c r="DR299" s="2">
        <f t="shared" si="5024"/>
        <v>0</v>
      </c>
      <c r="DS299" s="2">
        <f t="shared" ref="DS299:DX299" si="5025">(M299*$I299+AH299*$AD299+BC299*$AY299)/100</f>
        <v>0</v>
      </c>
      <c r="DT299" s="2">
        <f t="shared" si="5025"/>
        <v>0</v>
      </c>
      <c r="DU299" s="2">
        <f t="shared" si="5025"/>
        <v>0</v>
      </c>
      <c r="DV299" s="2">
        <f t="shared" si="5025"/>
        <v>0</v>
      </c>
      <c r="DW299" s="2">
        <f t="shared" si="5025"/>
        <v>2.308E-2</v>
      </c>
      <c r="DX299" s="2">
        <f t="shared" si="5025"/>
        <v>1.7849999999999997E-4</v>
      </c>
      <c r="DY299" s="2">
        <f t="shared" ref="DY299:EC299" si="5026">S299*$I299+AN299*$AD299+BI299*$AY299</f>
        <v>0</v>
      </c>
      <c r="DZ299" s="2">
        <f t="shared" si="5026"/>
        <v>0</v>
      </c>
      <c r="EA299" s="2">
        <f t="shared" si="5026"/>
        <v>0</v>
      </c>
      <c r="EB299" s="2">
        <f t="shared" si="5026"/>
        <v>0</v>
      </c>
      <c r="EC299" s="2">
        <f t="shared" si="5026"/>
        <v>0</v>
      </c>
      <c r="ED299" s="2">
        <f t="shared" ref="ED299:EE299" si="5027">(X299*$I299+AS299*$AD299+BN299*$AY299)/100</f>
        <v>0</v>
      </c>
      <c r="EE299" s="2">
        <f t="shared" si="5027"/>
        <v>0</v>
      </c>
      <c r="EF299" s="2"/>
      <c r="EG299" s="2">
        <f t="shared" si="4374"/>
        <v>0</v>
      </c>
      <c r="EH299" s="2">
        <f t="shared" si="4375"/>
        <v>0</v>
      </c>
      <c r="EI299" s="39">
        <f t="shared" si="4376"/>
        <v>7.7654830400000003</v>
      </c>
      <c r="EJ299" s="39">
        <f t="shared" ref="EJ299:EK299" si="5028">EJ$1*DQ299/1000000</f>
        <v>0</v>
      </c>
      <c r="EK299" s="39">
        <f t="shared" si="5028"/>
        <v>0</v>
      </c>
      <c r="EL299" s="39">
        <f t="shared" ref="EL299:EQ299" si="5029">EL$1*DS299</f>
        <v>0</v>
      </c>
      <c r="EM299" s="39">
        <f t="shared" si="5029"/>
        <v>0</v>
      </c>
      <c r="EN299" s="39">
        <f t="shared" si="5029"/>
        <v>0</v>
      </c>
      <c r="EO299" s="39">
        <f t="shared" si="5029"/>
        <v>0</v>
      </c>
      <c r="EP299" s="39">
        <f t="shared" si="5029"/>
        <v>302.67111999999997</v>
      </c>
      <c r="EQ299" s="39">
        <f t="shared" si="5029"/>
        <v>12.962585033999996</v>
      </c>
      <c r="ER299" s="39">
        <f t="shared" ref="ER299:EV299" si="5030">ER$1*DY299/1000000</f>
        <v>0</v>
      </c>
      <c r="ES299" s="39">
        <f t="shared" si="5030"/>
        <v>0</v>
      </c>
      <c r="ET299" s="39">
        <f t="shared" si="5030"/>
        <v>0</v>
      </c>
      <c r="EU299" s="39">
        <f t="shared" si="5030"/>
        <v>0</v>
      </c>
      <c r="EV299" s="39">
        <f t="shared" si="5030"/>
        <v>0</v>
      </c>
      <c r="EW299" s="39">
        <f t="shared" ref="EW299:EX299" si="5031">EW$1*ED299</f>
        <v>0</v>
      </c>
      <c r="EX299" s="39">
        <f t="shared" si="5031"/>
        <v>0</v>
      </c>
      <c r="EY299" s="2"/>
      <c r="EZ299" s="39">
        <f t="shared" si="4381"/>
        <v>0</v>
      </c>
      <c r="FA299" s="39">
        <f t="shared" si="4382"/>
        <v>0</v>
      </c>
      <c r="FB299" s="2">
        <f t="shared" si="4383"/>
        <v>0</v>
      </c>
      <c r="FC299" s="2">
        <f t="shared" ref="FC299:FD299" si="5032">BV299*$BT299+CQ299*$CO299</f>
        <v>0</v>
      </c>
      <c r="FD299" s="2">
        <f t="shared" si="5032"/>
        <v>0</v>
      </c>
      <c r="FE299" s="2">
        <f t="shared" ref="FE299:FJ299" si="5033">(BX299*$BT299+CS299*$CO299)/100</f>
        <v>0</v>
      </c>
      <c r="FF299" s="2">
        <f t="shared" si="5033"/>
        <v>0</v>
      </c>
      <c r="FG299" s="2">
        <f t="shared" si="5033"/>
        <v>0</v>
      </c>
      <c r="FH299" s="2">
        <f t="shared" si="5033"/>
        <v>0</v>
      </c>
      <c r="FI299" s="2">
        <f t="shared" si="5033"/>
        <v>0</v>
      </c>
      <c r="FJ299" s="2">
        <f t="shared" si="5033"/>
        <v>0</v>
      </c>
      <c r="FK299" s="2">
        <f t="shared" ref="FK299:FO299" si="5034">CD299*$BT299+CY299*$CO299</f>
        <v>0</v>
      </c>
      <c r="FL299" s="2">
        <f t="shared" si="5034"/>
        <v>0</v>
      </c>
      <c r="FM299" s="2">
        <f t="shared" si="5034"/>
        <v>0</v>
      </c>
      <c r="FN299" s="2">
        <f t="shared" si="5034"/>
        <v>0</v>
      </c>
      <c r="FO299" s="2">
        <f t="shared" si="5034"/>
        <v>0</v>
      </c>
      <c r="FP299" s="2">
        <f t="shared" ref="FP299:FQ299" si="5035">(CI299*$BT299+DD299*$CO299)/100</f>
        <v>0</v>
      </c>
      <c r="FQ299" s="2">
        <f t="shared" si="5035"/>
        <v>0</v>
      </c>
      <c r="FR299" s="2"/>
      <c r="FS299" s="2">
        <f t="shared" si="4388"/>
        <v>0</v>
      </c>
      <c r="FT299" s="2">
        <f t="shared" si="4389"/>
        <v>0</v>
      </c>
      <c r="FU299" s="39">
        <f t="shared" si="4390"/>
        <v>0</v>
      </c>
      <c r="FV299" s="39">
        <f t="shared" ref="FV299:FW299" si="5036">FV$1*FC299/1000000</f>
        <v>0</v>
      </c>
      <c r="FW299" s="39">
        <f t="shared" si="5036"/>
        <v>0</v>
      </c>
      <c r="FX299" s="39">
        <f t="shared" ref="FX299:GC299" si="5037">FX$1*FE299</f>
        <v>0</v>
      </c>
      <c r="FY299" s="39">
        <f t="shared" si="5037"/>
        <v>0</v>
      </c>
      <c r="FZ299" s="39">
        <f t="shared" si="5037"/>
        <v>0</v>
      </c>
      <c r="GA299" s="39">
        <f t="shared" si="5037"/>
        <v>0</v>
      </c>
      <c r="GB299" s="39">
        <f t="shared" si="5037"/>
        <v>0</v>
      </c>
      <c r="GC299" s="39">
        <f t="shared" si="5037"/>
        <v>0</v>
      </c>
      <c r="GD299" s="39">
        <f t="shared" ref="GD299:GH299" si="5038">GD$1*FK299/1000000</f>
        <v>0</v>
      </c>
      <c r="GE299" s="39">
        <f t="shared" si="5038"/>
        <v>0</v>
      </c>
      <c r="GF299" s="39">
        <f t="shared" si="5038"/>
        <v>0</v>
      </c>
      <c r="GG299" s="39">
        <f t="shared" si="5038"/>
        <v>0</v>
      </c>
      <c r="GH299" s="39">
        <f t="shared" si="5038"/>
        <v>0</v>
      </c>
      <c r="GI299" s="39">
        <f t="shared" ref="GI299:GJ299" si="5039">GI$1*FP299</f>
        <v>0</v>
      </c>
      <c r="GJ299" s="39">
        <f t="shared" si="5039"/>
        <v>0</v>
      </c>
      <c r="GK299" s="2"/>
      <c r="GL299" s="39">
        <f t="shared" si="4395"/>
        <v>0</v>
      </c>
      <c r="GM299" s="39">
        <f t="shared" si="4396"/>
        <v>0</v>
      </c>
      <c r="GN299" s="2" t="s">
        <v>3</v>
      </c>
      <c r="GO299" s="2">
        <f t="shared" si="4397"/>
        <v>0.59499999999999997</v>
      </c>
      <c r="GP299" s="4">
        <f t="shared" si="4398"/>
        <v>3.8789915966386554</v>
      </c>
      <c r="GQ299" s="15">
        <f t="shared" si="4399"/>
        <v>23.08</v>
      </c>
      <c r="GR299" s="15">
        <f t="shared" si="4400"/>
        <v>323.39918807399994</v>
      </c>
      <c r="GS299" s="15">
        <f t="shared" si="4401"/>
        <v>543.52804718319317</v>
      </c>
      <c r="GT299" s="2">
        <f t="shared" si="4402"/>
        <v>4.4159999999999995</v>
      </c>
      <c r="GU299" s="2">
        <f t="shared" si="4403"/>
        <v>11.32</v>
      </c>
      <c r="GV299" s="2">
        <f t="shared" si="4404"/>
        <v>7.3439999999999994</v>
      </c>
      <c r="GW299" s="2">
        <f t="shared" si="4405"/>
        <v>0</v>
      </c>
      <c r="GX299" s="2"/>
      <c r="GY299" s="2"/>
      <c r="GZ299" s="2"/>
      <c r="HA299" s="2"/>
      <c r="HB299" s="2">
        <f t="shared" si="4406"/>
        <v>0</v>
      </c>
      <c r="HC299" s="2">
        <f t="shared" si="4407"/>
        <v>0</v>
      </c>
      <c r="HD299" s="2" t="s">
        <v>3</v>
      </c>
      <c r="HE299" s="2" t="s">
        <v>89</v>
      </c>
      <c r="HF299" s="2" t="s">
        <v>137</v>
      </c>
      <c r="HG299" s="2"/>
      <c r="HH299" s="2"/>
      <c r="HI299" s="2" t="s">
        <v>81</v>
      </c>
      <c r="HJ299" s="2" t="s">
        <v>3</v>
      </c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 t="s">
        <v>3</v>
      </c>
    </row>
    <row r="300" spans="1:268" ht="15.75" customHeight="1" x14ac:dyDescent="0.2">
      <c r="A300" s="16" t="s">
        <v>1169</v>
      </c>
      <c r="B300" s="2" t="s">
        <v>109</v>
      </c>
      <c r="C300" s="2"/>
      <c r="D300" s="2"/>
      <c r="E300" s="2" t="s">
        <v>179</v>
      </c>
      <c r="F300" s="2" t="s">
        <v>385</v>
      </c>
      <c r="G300" s="2"/>
      <c r="H300" s="2" t="s">
        <v>181</v>
      </c>
      <c r="I300" s="19">
        <v>0.36787999999999998</v>
      </c>
      <c r="J300" s="2"/>
      <c r="K300" s="2"/>
      <c r="L300" s="2"/>
      <c r="M300" s="2"/>
      <c r="N300" s="2"/>
      <c r="O300" s="2"/>
      <c r="P300" s="2"/>
      <c r="Q300" s="2">
        <v>5.9</v>
      </c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19">
        <f>1.322173+0.48</f>
        <v>1.802173</v>
      </c>
      <c r="AE300" s="2"/>
      <c r="AF300" s="2"/>
      <c r="AG300" s="2"/>
      <c r="AH300" s="2"/>
      <c r="AI300" s="2"/>
      <c r="AJ300" s="2"/>
      <c r="AK300" s="2"/>
      <c r="AL300" s="15">
        <f>(5.9*1.322173+1.4*0.48)/AD300</f>
        <v>4.7014469199127946</v>
      </c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19">
        <v>0.18101300000000001</v>
      </c>
      <c r="AZ300" s="2"/>
      <c r="BA300" s="2"/>
      <c r="BB300" s="2"/>
      <c r="BC300" s="2"/>
      <c r="BD300" s="2"/>
      <c r="BE300" s="2"/>
      <c r="BF300" s="2"/>
      <c r="BG300" s="2">
        <v>5.6</v>
      </c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19">
        <v>8.9599999999999999E-2</v>
      </c>
      <c r="BU300" s="2"/>
      <c r="BV300" s="2"/>
      <c r="BW300" s="2"/>
      <c r="BX300" s="2"/>
      <c r="BY300" s="2"/>
      <c r="BZ300" s="2"/>
      <c r="CA300" s="2"/>
      <c r="CB300" s="2">
        <v>3.8</v>
      </c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19">
        <v>1.7084999999999999</v>
      </c>
      <c r="CP300" s="2"/>
      <c r="CQ300" s="2"/>
      <c r="CR300" s="2"/>
      <c r="CS300" s="2"/>
      <c r="CT300" s="2"/>
      <c r="CU300" s="2"/>
      <c r="CV300" s="2"/>
      <c r="CW300" s="15">
        <v>4</v>
      </c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 t="s">
        <v>81</v>
      </c>
      <c r="DK300" s="2"/>
      <c r="DL300" s="2">
        <f t="shared" si="4367"/>
        <v>4.9581702512817589</v>
      </c>
      <c r="DM300" s="2">
        <f t="shared" si="4368"/>
        <v>0</v>
      </c>
      <c r="DN300" s="2" t="s">
        <v>211</v>
      </c>
      <c r="DO300" s="2" t="s">
        <v>3</v>
      </c>
      <c r="DP300" s="2">
        <f t="shared" si="4369"/>
        <v>0</v>
      </c>
      <c r="DQ300" s="2">
        <f t="shared" ref="DQ300:DR300" si="5040">K300*$I300+AF300*$AD300+BA300*$AY300</f>
        <v>0</v>
      </c>
      <c r="DR300" s="2">
        <f t="shared" si="5040"/>
        <v>0</v>
      </c>
      <c r="DS300" s="2">
        <f t="shared" ref="DS300:DX300" si="5041">(M300*$I300+AH300*$AD300+BC300*$AY300)/100</f>
        <v>0</v>
      </c>
      <c r="DT300" s="2">
        <f t="shared" si="5041"/>
        <v>0</v>
      </c>
      <c r="DU300" s="2">
        <f t="shared" si="5041"/>
        <v>0</v>
      </c>
      <c r="DV300" s="2">
        <f t="shared" si="5041"/>
        <v>0</v>
      </c>
      <c r="DW300" s="2">
        <f t="shared" si="5041"/>
        <v>0.11656985500000001</v>
      </c>
      <c r="DX300" s="2">
        <f t="shared" si="5041"/>
        <v>0</v>
      </c>
      <c r="DY300" s="2">
        <f t="shared" ref="DY300:EC300" si="5042">S300*$I300+AN300*$AD300+BI300*$AY300</f>
        <v>0</v>
      </c>
      <c r="DZ300" s="2">
        <f t="shared" si="5042"/>
        <v>0</v>
      </c>
      <c r="EA300" s="2">
        <f t="shared" si="5042"/>
        <v>0</v>
      </c>
      <c r="EB300" s="2">
        <f t="shared" si="5042"/>
        <v>0</v>
      </c>
      <c r="EC300" s="2">
        <f t="shared" si="5042"/>
        <v>0</v>
      </c>
      <c r="ED300" s="2">
        <f t="shared" ref="ED300:EE300" si="5043">(X300*$I300+AS300*$AD300+BN300*$AY300)/100</f>
        <v>0</v>
      </c>
      <c r="EE300" s="2">
        <f t="shared" si="5043"/>
        <v>0</v>
      </c>
      <c r="EF300" s="2"/>
      <c r="EG300" s="2">
        <f t="shared" si="4374"/>
        <v>0</v>
      </c>
      <c r="EH300" s="2">
        <f t="shared" si="4375"/>
        <v>0</v>
      </c>
      <c r="EI300" s="39">
        <f t="shared" si="4376"/>
        <v>0</v>
      </c>
      <c r="EJ300" s="39">
        <f t="shared" ref="EJ300:EK300" si="5044">EJ$1*DQ300/1000000</f>
        <v>0</v>
      </c>
      <c r="EK300" s="39">
        <f t="shared" si="5044"/>
        <v>0</v>
      </c>
      <c r="EL300" s="39">
        <f t="shared" ref="EL300:EQ300" si="5045">EL$1*DS300</f>
        <v>0</v>
      </c>
      <c r="EM300" s="39">
        <f t="shared" si="5045"/>
        <v>0</v>
      </c>
      <c r="EN300" s="39">
        <f t="shared" si="5045"/>
        <v>0</v>
      </c>
      <c r="EO300" s="39">
        <f t="shared" si="5045"/>
        <v>0</v>
      </c>
      <c r="EP300" s="39">
        <f t="shared" si="5045"/>
        <v>1528.6970784700002</v>
      </c>
      <c r="EQ300" s="39">
        <f t="shared" si="5045"/>
        <v>0</v>
      </c>
      <c r="ER300" s="39">
        <f t="shared" ref="ER300:EV300" si="5046">ER$1*DY300/1000000</f>
        <v>0</v>
      </c>
      <c r="ES300" s="39">
        <f t="shared" si="5046"/>
        <v>0</v>
      </c>
      <c r="ET300" s="39">
        <f t="shared" si="5046"/>
        <v>0</v>
      </c>
      <c r="EU300" s="39">
        <f t="shared" si="5046"/>
        <v>0</v>
      </c>
      <c r="EV300" s="39">
        <f t="shared" si="5046"/>
        <v>0</v>
      </c>
      <c r="EW300" s="39">
        <f t="shared" ref="EW300:EX300" si="5047">EW$1*ED300</f>
        <v>0</v>
      </c>
      <c r="EX300" s="39">
        <f t="shared" si="5047"/>
        <v>0</v>
      </c>
      <c r="EY300" s="2"/>
      <c r="EZ300" s="39">
        <f t="shared" si="4381"/>
        <v>0</v>
      </c>
      <c r="FA300" s="39">
        <f t="shared" si="4382"/>
        <v>0</v>
      </c>
      <c r="FB300" s="2">
        <f t="shared" si="4383"/>
        <v>0</v>
      </c>
      <c r="FC300" s="2">
        <f t="shared" ref="FC300:FD300" si="5048">BV300*$BT300+CQ300*$CO300</f>
        <v>0</v>
      </c>
      <c r="FD300" s="2">
        <f t="shared" si="5048"/>
        <v>0</v>
      </c>
      <c r="FE300" s="2">
        <f t="shared" ref="FE300:FJ300" si="5049">(BX300*$BT300+CS300*$CO300)/100</f>
        <v>0</v>
      </c>
      <c r="FF300" s="2">
        <f t="shared" si="5049"/>
        <v>0</v>
      </c>
      <c r="FG300" s="2">
        <f t="shared" si="5049"/>
        <v>0</v>
      </c>
      <c r="FH300" s="2">
        <f t="shared" si="5049"/>
        <v>0</v>
      </c>
      <c r="FI300" s="2">
        <f t="shared" si="5049"/>
        <v>7.1744799999999997E-2</v>
      </c>
      <c r="FJ300" s="2">
        <f t="shared" si="5049"/>
        <v>0</v>
      </c>
      <c r="FK300" s="2">
        <f t="shared" ref="FK300:FO300" si="5050">CD300*$BT300+CY300*$CO300</f>
        <v>0</v>
      </c>
      <c r="FL300" s="2">
        <f t="shared" si="5050"/>
        <v>0</v>
      </c>
      <c r="FM300" s="2">
        <f t="shared" si="5050"/>
        <v>0</v>
      </c>
      <c r="FN300" s="2">
        <f t="shared" si="5050"/>
        <v>0</v>
      </c>
      <c r="FO300" s="2">
        <f t="shared" si="5050"/>
        <v>0</v>
      </c>
      <c r="FP300" s="2">
        <f t="shared" ref="FP300:FQ300" si="5051">(CI300*$BT300+DD300*$CO300)/100</f>
        <v>0</v>
      </c>
      <c r="FQ300" s="2">
        <f t="shared" si="5051"/>
        <v>0</v>
      </c>
      <c r="FR300" s="2"/>
      <c r="FS300" s="2">
        <f t="shared" si="4388"/>
        <v>0</v>
      </c>
      <c r="FT300" s="2">
        <f t="shared" si="4389"/>
        <v>0</v>
      </c>
      <c r="FU300" s="39">
        <f t="shared" si="4390"/>
        <v>0</v>
      </c>
      <c r="FV300" s="39">
        <f t="shared" ref="FV300:FW300" si="5052">FV$1*FC300/1000000</f>
        <v>0</v>
      </c>
      <c r="FW300" s="39">
        <f t="shared" si="5052"/>
        <v>0</v>
      </c>
      <c r="FX300" s="39">
        <f t="shared" ref="FX300:GC300" si="5053">FX$1*FE300</f>
        <v>0</v>
      </c>
      <c r="FY300" s="39">
        <f t="shared" si="5053"/>
        <v>0</v>
      </c>
      <c r="FZ300" s="39">
        <f t="shared" si="5053"/>
        <v>0</v>
      </c>
      <c r="GA300" s="39">
        <f t="shared" si="5053"/>
        <v>0</v>
      </c>
      <c r="GB300" s="39">
        <f t="shared" si="5053"/>
        <v>940.86130719999994</v>
      </c>
      <c r="GC300" s="39">
        <f t="shared" si="5053"/>
        <v>0</v>
      </c>
      <c r="GD300" s="39">
        <f t="shared" ref="GD300:GH300" si="5054">GD$1*FK300/1000000</f>
        <v>0</v>
      </c>
      <c r="GE300" s="39">
        <f t="shared" si="5054"/>
        <v>0</v>
      </c>
      <c r="GF300" s="39">
        <f t="shared" si="5054"/>
        <v>0</v>
      </c>
      <c r="GG300" s="39">
        <f t="shared" si="5054"/>
        <v>0</v>
      </c>
      <c r="GH300" s="39">
        <f t="shared" si="5054"/>
        <v>0</v>
      </c>
      <c r="GI300" s="39">
        <f t="shared" ref="GI300:GJ300" si="5055">GI$1*FP300</f>
        <v>0</v>
      </c>
      <c r="GJ300" s="39">
        <f t="shared" si="5055"/>
        <v>0</v>
      </c>
      <c r="GK300" s="2"/>
      <c r="GL300" s="39">
        <f t="shared" si="4395"/>
        <v>0</v>
      </c>
      <c r="GM300" s="39">
        <f t="shared" si="4396"/>
        <v>0</v>
      </c>
      <c r="GN300" s="2" t="s">
        <v>3</v>
      </c>
      <c r="GO300" s="19">
        <f t="shared" si="4397"/>
        <v>2.3510660000000003</v>
      </c>
      <c r="GP300" s="4">
        <f t="shared" si="4398"/>
        <v>4.9581702512817589</v>
      </c>
      <c r="GQ300" s="15">
        <f t="shared" si="4399"/>
        <v>116.569855</v>
      </c>
      <c r="GR300" s="15">
        <f t="shared" si="4400"/>
        <v>1528.6970784700002</v>
      </c>
      <c r="GS300" s="15">
        <f t="shared" si="4401"/>
        <v>650.21444675308987</v>
      </c>
      <c r="GT300" s="2">
        <f t="shared" si="4402"/>
        <v>21.704919999999998</v>
      </c>
      <c r="GU300" s="2">
        <f t="shared" si="4403"/>
        <v>84.728207000000026</v>
      </c>
      <c r="GV300" s="2">
        <f t="shared" si="4404"/>
        <v>10.136728</v>
      </c>
      <c r="GW300" s="19">
        <f t="shared" si="4405"/>
        <v>1.7980999999999998</v>
      </c>
      <c r="GX300" s="4">
        <f t="shared" ref="GX300:GX301" si="5056">(BT300*CB300+CO300*CW300)/GW300</f>
        <v>3.990033924698293</v>
      </c>
      <c r="GY300" s="15">
        <f t="shared" ref="GY300:GY301" si="5057">1000*GW300*GX300/100</f>
        <v>71.744799999999998</v>
      </c>
      <c r="GZ300" s="15">
        <f t="shared" ref="GZ300:GZ301" si="5058">SUM(FU300:GM300)</f>
        <v>940.86130719999994</v>
      </c>
      <c r="HA300" s="15">
        <f t="shared" ref="HA300:HA301" si="5059">GZ300/GW300</f>
        <v>523.25304888493417</v>
      </c>
      <c r="HB300" s="2">
        <f t="shared" si="4406"/>
        <v>3.4048000000000003</v>
      </c>
      <c r="HC300" s="2">
        <f t="shared" si="4407"/>
        <v>68.34</v>
      </c>
      <c r="HD300" s="2" t="s">
        <v>3</v>
      </c>
      <c r="HE300" s="2" t="s">
        <v>89</v>
      </c>
      <c r="HF300" s="2" t="s">
        <v>137</v>
      </c>
      <c r="HG300" s="2"/>
      <c r="HH300" s="2"/>
      <c r="HI300" s="2" t="s">
        <v>81</v>
      </c>
      <c r="HJ300" s="2" t="s">
        <v>3</v>
      </c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 t="s">
        <v>3</v>
      </c>
    </row>
    <row r="301" spans="1:268" ht="15.75" customHeight="1" x14ac:dyDescent="0.2">
      <c r="A301" s="16" t="s">
        <v>415</v>
      </c>
      <c r="B301" s="2" t="s">
        <v>109</v>
      </c>
      <c r="C301" s="2"/>
      <c r="D301" s="2"/>
      <c r="E301" s="2" t="s">
        <v>179</v>
      </c>
      <c r="F301" s="2" t="s">
        <v>385</v>
      </c>
      <c r="G301" s="2"/>
      <c r="H301" s="2" t="s">
        <v>181</v>
      </c>
      <c r="I301" s="2">
        <v>0</v>
      </c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19">
        <f>3+4.8+0.0549+0.56</f>
        <v>8.4148999999999994</v>
      </c>
      <c r="AE301" s="2"/>
      <c r="AF301" s="2"/>
      <c r="AG301" s="2"/>
      <c r="AH301" s="2"/>
      <c r="AI301" s="2"/>
      <c r="AJ301" s="2"/>
      <c r="AK301" s="2"/>
      <c r="AL301" s="15">
        <f>(1.5*3+0.7*4.8+3.7*0.0549+0.9*0.56)/AD301</f>
        <v>1.0180905298934033</v>
      </c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19">
        <f>0.1723+1.441</f>
        <v>1.6133000000000002</v>
      </c>
      <c r="AZ301" s="2"/>
      <c r="BA301" s="2"/>
      <c r="BB301" s="2"/>
      <c r="BC301" s="2"/>
      <c r="BD301" s="2"/>
      <c r="BE301" s="2"/>
      <c r="BF301" s="2"/>
      <c r="BG301" s="15">
        <f>(1.1*0.1723+0.7*1.441)/AY301</f>
        <v>0.74271989090683677</v>
      </c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>
        <v>0</v>
      </c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>
        <f>2.016+0.093</f>
        <v>2.109</v>
      </c>
      <c r="CP301" s="2"/>
      <c r="CQ301" s="2"/>
      <c r="CR301" s="2"/>
      <c r="CS301" s="2"/>
      <c r="CT301" s="2"/>
      <c r="CU301" s="2"/>
      <c r="CV301" s="2"/>
      <c r="CW301" s="15">
        <f>(1.4*2.016+2*0.093)/CO301</f>
        <v>1.4264580369843527</v>
      </c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 t="s">
        <v>81</v>
      </c>
      <c r="DK301" s="2"/>
      <c r="DL301" s="2">
        <f t="shared" si="4367"/>
        <v>0.97378991244689972</v>
      </c>
      <c r="DM301" s="2">
        <f t="shared" si="4368"/>
        <v>0</v>
      </c>
      <c r="DN301" s="2" t="s">
        <v>211</v>
      </c>
      <c r="DO301" s="2" t="s">
        <v>3</v>
      </c>
      <c r="DP301" s="2">
        <f t="shared" si="4369"/>
        <v>0</v>
      </c>
      <c r="DQ301" s="2">
        <f t="shared" ref="DQ301:DR301" si="5060">K301*$I301+AF301*$AD301+BA301*$AY301</f>
        <v>0</v>
      </c>
      <c r="DR301" s="2">
        <f t="shared" si="5060"/>
        <v>0</v>
      </c>
      <c r="DS301" s="2">
        <f t="shared" ref="DS301:DX301" si="5061">(M301*$I301+AH301*$AD301+BC301*$AY301)/100</f>
        <v>0</v>
      </c>
      <c r="DT301" s="2">
        <f t="shared" si="5061"/>
        <v>0</v>
      </c>
      <c r="DU301" s="2">
        <f t="shared" si="5061"/>
        <v>0</v>
      </c>
      <c r="DV301" s="2">
        <f t="shared" si="5061"/>
        <v>0</v>
      </c>
      <c r="DW301" s="2">
        <f t="shared" si="5061"/>
        <v>9.7653599999999993E-2</v>
      </c>
      <c r="DX301" s="2">
        <f t="shared" si="5061"/>
        <v>0</v>
      </c>
      <c r="DY301" s="2">
        <f t="shared" ref="DY301:EC301" si="5062">S301*$I301+AN301*$AD301+BI301*$AY301</f>
        <v>0</v>
      </c>
      <c r="DZ301" s="2">
        <f t="shared" si="5062"/>
        <v>0</v>
      </c>
      <c r="EA301" s="2">
        <f t="shared" si="5062"/>
        <v>0</v>
      </c>
      <c r="EB301" s="2">
        <f t="shared" si="5062"/>
        <v>0</v>
      </c>
      <c r="EC301" s="2">
        <f t="shared" si="5062"/>
        <v>0</v>
      </c>
      <c r="ED301" s="2">
        <f t="shared" ref="ED301:EE301" si="5063">(X301*$I301+AS301*$AD301+BN301*$AY301)/100</f>
        <v>0</v>
      </c>
      <c r="EE301" s="2">
        <f t="shared" si="5063"/>
        <v>0</v>
      </c>
      <c r="EF301" s="2"/>
      <c r="EG301" s="2">
        <f t="shared" si="4374"/>
        <v>0</v>
      </c>
      <c r="EH301" s="2">
        <f t="shared" si="4375"/>
        <v>0</v>
      </c>
      <c r="EI301" s="39">
        <f t="shared" si="4376"/>
        <v>0</v>
      </c>
      <c r="EJ301" s="39">
        <f t="shared" ref="EJ301:EK301" si="5064">EJ$1*DQ301/1000000</f>
        <v>0</v>
      </c>
      <c r="EK301" s="39">
        <f t="shared" si="5064"/>
        <v>0</v>
      </c>
      <c r="EL301" s="39">
        <f t="shared" ref="EL301:EQ301" si="5065">EL$1*DS301</f>
        <v>0</v>
      </c>
      <c r="EM301" s="39">
        <f t="shared" si="5065"/>
        <v>0</v>
      </c>
      <c r="EN301" s="39">
        <f t="shared" si="5065"/>
        <v>0</v>
      </c>
      <c r="EO301" s="39">
        <f t="shared" si="5065"/>
        <v>0</v>
      </c>
      <c r="EP301" s="39">
        <f t="shared" si="5065"/>
        <v>1280.6293103999999</v>
      </c>
      <c r="EQ301" s="39">
        <f t="shared" si="5065"/>
        <v>0</v>
      </c>
      <c r="ER301" s="39">
        <f t="shared" ref="ER301:EV301" si="5066">ER$1*DY301/1000000</f>
        <v>0</v>
      </c>
      <c r="ES301" s="39">
        <f t="shared" si="5066"/>
        <v>0</v>
      </c>
      <c r="ET301" s="39">
        <f t="shared" si="5066"/>
        <v>0</v>
      </c>
      <c r="EU301" s="39">
        <f t="shared" si="5066"/>
        <v>0</v>
      </c>
      <c r="EV301" s="39">
        <f t="shared" si="5066"/>
        <v>0</v>
      </c>
      <c r="EW301" s="39">
        <f t="shared" ref="EW301:EX301" si="5067">EW$1*ED301</f>
        <v>0</v>
      </c>
      <c r="EX301" s="39">
        <f t="shared" si="5067"/>
        <v>0</v>
      </c>
      <c r="EY301" s="2"/>
      <c r="EZ301" s="39">
        <f t="shared" si="4381"/>
        <v>0</v>
      </c>
      <c r="FA301" s="39">
        <f t="shared" si="4382"/>
        <v>0</v>
      </c>
      <c r="FB301" s="2">
        <f t="shared" si="4383"/>
        <v>0</v>
      </c>
      <c r="FC301" s="2">
        <f t="shared" ref="FC301:FD301" si="5068">BV301*$BT301+CQ301*$CO301</f>
        <v>0</v>
      </c>
      <c r="FD301" s="2">
        <f t="shared" si="5068"/>
        <v>0</v>
      </c>
      <c r="FE301" s="2">
        <f t="shared" ref="FE301:FJ301" si="5069">(BX301*$BT301+CS301*$CO301)/100</f>
        <v>0</v>
      </c>
      <c r="FF301" s="2">
        <f t="shared" si="5069"/>
        <v>0</v>
      </c>
      <c r="FG301" s="2">
        <f t="shared" si="5069"/>
        <v>0</v>
      </c>
      <c r="FH301" s="2">
        <f t="shared" si="5069"/>
        <v>0</v>
      </c>
      <c r="FI301" s="2">
        <f t="shared" si="5069"/>
        <v>3.0084E-2</v>
      </c>
      <c r="FJ301" s="2">
        <f t="shared" si="5069"/>
        <v>0</v>
      </c>
      <c r="FK301" s="2">
        <f t="shared" ref="FK301:FO301" si="5070">CD301*$BT301+CY301*$CO301</f>
        <v>0</v>
      </c>
      <c r="FL301" s="2">
        <f t="shared" si="5070"/>
        <v>0</v>
      </c>
      <c r="FM301" s="2">
        <f t="shared" si="5070"/>
        <v>0</v>
      </c>
      <c r="FN301" s="2">
        <f t="shared" si="5070"/>
        <v>0</v>
      </c>
      <c r="FO301" s="2">
        <f t="shared" si="5070"/>
        <v>0</v>
      </c>
      <c r="FP301" s="2">
        <f t="shared" ref="FP301:FQ301" si="5071">(CI301*$BT301+DD301*$CO301)/100</f>
        <v>0</v>
      </c>
      <c r="FQ301" s="2">
        <f t="shared" si="5071"/>
        <v>0</v>
      </c>
      <c r="FR301" s="2"/>
      <c r="FS301" s="2">
        <f t="shared" si="4388"/>
        <v>0</v>
      </c>
      <c r="FT301" s="2">
        <f t="shared" si="4389"/>
        <v>0</v>
      </c>
      <c r="FU301" s="39">
        <f t="shared" si="4390"/>
        <v>0</v>
      </c>
      <c r="FV301" s="39">
        <f t="shared" ref="FV301:FW301" si="5072">FV$1*FC301/1000000</f>
        <v>0</v>
      </c>
      <c r="FW301" s="39">
        <f t="shared" si="5072"/>
        <v>0</v>
      </c>
      <c r="FX301" s="39">
        <f t="shared" ref="FX301:GC301" si="5073">FX$1*FE301</f>
        <v>0</v>
      </c>
      <c r="FY301" s="39">
        <f t="shared" si="5073"/>
        <v>0</v>
      </c>
      <c r="FZ301" s="39">
        <f t="shared" si="5073"/>
        <v>0</v>
      </c>
      <c r="GA301" s="39">
        <f t="shared" si="5073"/>
        <v>0</v>
      </c>
      <c r="GB301" s="39">
        <f t="shared" si="5073"/>
        <v>394.52157599999998</v>
      </c>
      <c r="GC301" s="39">
        <f t="shared" si="5073"/>
        <v>0</v>
      </c>
      <c r="GD301" s="39">
        <f t="shared" ref="GD301:GH301" si="5074">GD$1*FK301/1000000</f>
        <v>0</v>
      </c>
      <c r="GE301" s="39">
        <f t="shared" si="5074"/>
        <v>0</v>
      </c>
      <c r="GF301" s="39">
        <f t="shared" si="5074"/>
        <v>0</v>
      </c>
      <c r="GG301" s="39">
        <f t="shared" si="5074"/>
        <v>0</v>
      </c>
      <c r="GH301" s="39">
        <f t="shared" si="5074"/>
        <v>0</v>
      </c>
      <c r="GI301" s="39">
        <f t="shared" ref="GI301:GJ301" si="5075">GI$1*FP301</f>
        <v>0</v>
      </c>
      <c r="GJ301" s="39">
        <f t="shared" si="5075"/>
        <v>0</v>
      </c>
      <c r="GK301" s="2"/>
      <c r="GL301" s="39">
        <f t="shared" si="4395"/>
        <v>0</v>
      </c>
      <c r="GM301" s="39">
        <f t="shared" si="4396"/>
        <v>0</v>
      </c>
      <c r="GN301" s="2" t="s">
        <v>3</v>
      </c>
      <c r="GO301" s="4">
        <f t="shared" si="4397"/>
        <v>10.0282</v>
      </c>
      <c r="GP301" s="4">
        <f t="shared" si="4398"/>
        <v>0.97378991244689972</v>
      </c>
      <c r="GQ301" s="15">
        <f t="shared" si="4399"/>
        <v>97.653600000000012</v>
      </c>
      <c r="GR301" s="15">
        <f t="shared" si="4400"/>
        <v>1280.6293103999999</v>
      </c>
      <c r="GS301" s="15">
        <f t="shared" si="4401"/>
        <v>127.70280911828642</v>
      </c>
      <c r="GT301" s="2">
        <f t="shared" si="4402"/>
        <v>0</v>
      </c>
      <c r="GU301" s="2">
        <f t="shared" si="4403"/>
        <v>85.671299999999988</v>
      </c>
      <c r="GV301" s="2">
        <f t="shared" si="4404"/>
        <v>11.9823</v>
      </c>
      <c r="GW301" s="2">
        <f t="shared" si="4405"/>
        <v>2.109</v>
      </c>
      <c r="GX301" s="4">
        <f t="shared" si="5056"/>
        <v>1.4264580369843527</v>
      </c>
      <c r="GY301" s="15">
        <f t="shared" si="5057"/>
        <v>30.083999999999996</v>
      </c>
      <c r="GZ301" s="15">
        <f t="shared" si="5058"/>
        <v>394.52157599999998</v>
      </c>
      <c r="HA301" s="15">
        <f t="shared" si="5059"/>
        <v>187.06570697012802</v>
      </c>
      <c r="HB301" s="2">
        <f t="shared" si="4406"/>
        <v>0</v>
      </c>
      <c r="HC301" s="2">
        <f t="shared" si="4407"/>
        <v>30.084</v>
      </c>
      <c r="HD301" s="2" t="s">
        <v>3</v>
      </c>
      <c r="HE301" s="2" t="s">
        <v>89</v>
      </c>
      <c r="HF301" s="2" t="s">
        <v>137</v>
      </c>
      <c r="HG301" s="2"/>
      <c r="HH301" s="2"/>
      <c r="HI301" s="2" t="s">
        <v>81</v>
      </c>
      <c r="HJ301" s="2" t="s">
        <v>3</v>
      </c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 t="s">
        <v>3</v>
      </c>
    </row>
    <row r="302" spans="1:268" ht="15.75" customHeight="1" x14ac:dyDescent="0.2">
      <c r="A302" s="16" t="s">
        <v>608</v>
      </c>
      <c r="B302" s="2" t="s">
        <v>120</v>
      </c>
      <c r="C302" s="2"/>
      <c r="D302" s="2"/>
      <c r="E302" s="2" t="s">
        <v>179</v>
      </c>
      <c r="F302" s="2" t="s">
        <v>609</v>
      </c>
      <c r="G302" s="2"/>
      <c r="H302" s="2" t="s">
        <v>181</v>
      </c>
      <c r="I302" s="2">
        <v>0</v>
      </c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>
        <v>0.4</v>
      </c>
      <c r="AE302" s="20">
        <v>0.2</v>
      </c>
      <c r="AF302" s="2"/>
      <c r="AG302" s="2"/>
      <c r="AH302" s="2"/>
      <c r="AI302" s="2"/>
      <c r="AJ302" s="2"/>
      <c r="AK302" s="2"/>
      <c r="AL302" s="2">
        <v>4.01</v>
      </c>
      <c r="AM302" s="20">
        <v>0.03</v>
      </c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>
        <v>0.35</v>
      </c>
      <c r="AZ302" s="20">
        <v>0.2</v>
      </c>
      <c r="BA302" s="2"/>
      <c r="BB302" s="2"/>
      <c r="BC302" s="2"/>
      <c r="BD302" s="2"/>
      <c r="BE302" s="2"/>
      <c r="BF302" s="2"/>
      <c r="BG302" s="2">
        <v>4.4000000000000004</v>
      </c>
      <c r="BH302" s="20">
        <v>0.03</v>
      </c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>
        <v>0</v>
      </c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>
        <v>0</v>
      </c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 t="s">
        <v>81</v>
      </c>
      <c r="DK302" s="2" t="s">
        <v>81</v>
      </c>
      <c r="DL302" s="2">
        <f t="shared" si="4367"/>
        <v>4.1920000000000002</v>
      </c>
      <c r="DM302" s="2">
        <f t="shared" si="4368"/>
        <v>0.03</v>
      </c>
      <c r="DN302" s="2" t="s">
        <v>211</v>
      </c>
      <c r="DO302" s="2" t="s">
        <v>3</v>
      </c>
      <c r="DP302" s="2">
        <f t="shared" si="4369"/>
        <v>1.5000000000000002E-3</v>
      </c>
      <c r="DQ302" s="2">
        <f t="shared" ref="DQ302:DR302" si="5076">K302*$I302+AF302*$AD302+BA302*$AY302</f>
        <v>0</v>
      </c>
      <c r="DR302" s="2">
        <f t="shared" si="5076"/>
        <v>0</v>
      </c>
      <c r="DS302" s="2">
        <f t="shared" ref="DS302:DX302" si="5077">(M302*$I302+AH302*$AD302+BC302*$AY302)/100</f>
        <v>0</v>
      </c>
      <c r="DT302" s="2">
        <f t="shared" si="5077"/>
        <v>0</v>
      </c>
      <c r="DU302" s="2">
        <f t="shared" si="5077"/>
        <v>0</v>
      </c>
      <c r="DV302" s="2">
        <f t="shared" si="5077"/>
        <v>0</v>
      </c>
      <c r="DW302" s="2">
        <f t="shared" si="5077"/>
        <v>3.1440000000000003E-2</v>
      </c>
      <c r="DX302" s="2">
        <f t="shared" si="5077"/>
        <v>2.2499999999999999E-4</v>
      </c>
      <c r="DY302" s="2">
        <f t="shared" ref="DY302:EC302" si="5078">S302*$I302+AN302*$AD302+BI302*$AY302</f>
        <v>0</v>
      </c>
      <c r="DZ302" s="2">
        <f t="shared" si="5078"/>
        <v>0</v>
      </c>
      <c r="EA302" s="2">
        <f t="shared" si="5078"/>
        <v>0</v>
      </c>
      <c r="EB302" s="2">
        <f t="shared" si="5078"/>
        <v>0</v>
      </c>
      <c r="EC302" s="2">
        <f t="shared" si="5078"/>
        <v>0</v>
      </c>
      <c r="ED302" s="2">
        <f t="shared" ref="ED302:EE302" si="5079">(X302*$I302+AS302*$AD302+BN302*$AY302)/100</f>
        <v>0</v>
      </c>
      <c r="EE302" s="2">
        <f t="shared" si="5079"/>
        <v>0</v>
      </c>
      <c r="EF302" s="2"/>
      <c r="EG302" s="2">
        <f t="shared" si="4374"/>
        <v>0</v>
      </c>
      <c r="EH302" s="2">
        <f t="shared" si="4375"/>
        <v>0</v>
      </c>
      <c r="EI302" s="39">
        <f t="shared" si="4376"/>
        <v>9.7884240000000009</v>
      </c>
      <c r="EJ302" s="39">
        <f t="shared" ref="EJ302:EK302" si="5080">EJ$1*DQ302/1000000</f>
        <v>0</v>
      </c>
      <c r="EK302" s="39">
        <f t="shared" si="5080"/>
        <v>0</v>
      </c>
      <c r="EL302" s="39">
        <f t="shared" ref="EL302:EQ302" si="5081">EL$1*DS302</f>
        <v>0</v>
      </c>
      <c r="EM302" s="39">
        <f t="shared" si="5081"/>
        <v>0</v>
      </c>
      <c r="EN302" s="39">
        <f t="shared" si="5081"/>
        <v>0</v>
      </c>
      <c r="EO302" s="39">
        <f t="shared" si="5081"/>
        <v>0</v>
      </c>
      <c r="EP302" s="39">
        <f t="shared" si="5081"/>
        <v>412.30416000000002</v>
      </c>
      <c r="EQ302" s="39">
        <f t="shared" si="5081"/>
        <v>16.339392899999996</v>
      </c>
      <c r="ER302" s="39">
        <f t="shared" ref="ER302:EV302" si="5082">ER$1*DY302/1000000</f>
        <v>0</v>
      </c>
      <c r="ES302" s="39">
        <f t="shared" si="5082"/>
        <v>0</v>
      </c>
      <c r="ET302" s="39">
        <f t="shared" si="5082"/>
        <v>0</v>
      </c>
      <c r="EU302" s="39">
        <f t="shared" si="5082"/>
        <v>0</v>
      </c>
      <c r="EV302" s="39">
        <f t="shared" si="5082"/>
        <v>0</v>
      </c>
      <c r="EW302" s="39">
        <f t="shared" ref="EW302:EX302" si="5083">EW$1*ED302</f>
        <v>0</v>
      </c>
      <c r="EX302" s="39">
        <f t="shared" si="5083"/>
        <v>0</v>
      </c>
      <c r="EY302" s="2"/>
      <c r="EZ302" s="39">
        <f t="shared" si="4381"/>
        <v>0</v>
      </c>
      <c r="FA302" s="39">
        <f t="shared" si="4382"/>
        <v>0</v>
      </c>
      <c r="FB302" s="2">
        <f t="shared" si="4383"/>
        <v>0</v>
      </c>
      <c r="FC302" s="2">
        <f t="shared" ref="FC302:FD302" si="5084">BV302*$BT302+CQ302*$CO302</f>
        <v>0</v>
      </c>
      <c r="FD302" s="2">
        <f t="shared" si="5084"/>
        <v>0</v>
      </c>
      <c r="FE302" s="2">
        <f t="shared" ref="FE302:FJ302" si="5085">(BX302*$BT302+CS302*$CO302)/100</f>
        <v>0</v>
      </c>
      <c r="FF302" s="2">
        <f t="shared" si="5085"/>
        <v>0</v>
      </c>
      <c r="FG302" s="2">
        <f t="shared" si="5085"/>
        <v>0</v>
      </c>
      <c r="FH302" s="2">
        <f t="shared" si="5085"/>
        <v>0</v>
      </c>
      <c r="FI302" s="2">
        <f t="shared" si="5085"/>
        <v>0</v>
      </c>
      <c r="FJ302" s="2">
        <f t="shared" si="5085"/>
        <v>0</v>
      </c>
      <c r="FK302" s="2">
        <f t="shared" ref="FK302:FO302" si="5086">CD302*$BT302+CY302*$CO302</f>
        <v>0</v>
      </c>
      <c r="FL302" s="2">
        <f t="shared" si="5086"/>
        <v>0</v>
      </c>
      <c r="FM302" s="2">
        <f t="shared" si="5086"/>
        <v>0</v>
      </c>
      <c r="FN302" s="2">
        <f t="shared" si="5086"/>
        <v>0</v>
      </c>
      <c r="FO302" s="2">
        <f t="shared" si="5086"/>
        <v>0</v>
      </c>
      <c r="FP302" s="2">
        <f t="shared" ref="FP302:FQ302" si="5087">(CI302*$BT302+DD302*$CO302)/100</f>
        <v>0</v>
      </c>
      <c r="FQ302" s="2">
        <f t="shared" si="5087"/>
        <v>0</v>
      </c>
      <c r="FR302" s="2"/>
      <c r="FS302" s="2">
        <f t="shared" si="4388"/>
        <v>0</v>
      </c>
      <c r="FT302" s="2">
        <f t="shared" si="4389"/>
        <v>0</v>
      </c>
      <c r="FU302" s="39">
        <f t="shared" si="4390"/>
        <v>0</v>
      </c>
      <c r="FV302" s="39">
        <f t="shared" ref="FV302:FW302" si="5088">FV$1*FC302/1000000</f>
        <v>0</v>
      </c>
      <c r="FW302" s="39">
        <f t="shared" si="5088"/>
        <v>0</v>
      </c>
      <c r="FX302" s="39">
        <f t="shared" ref="FX302:GC302" si="5089">FX$1*FE302</f>
        <v>0</v>
      </c>
      <c r="FY302" s="39">
        <f t="shared" si="5089"/>
        <v>0</v>
      </c>
      <c r="FZ302" s="39">
        <f t="shared" si="5089"/>
        <v>0</v>
      </c>
      <c r="GA302" s="39">
        <f t="shared" si="5089"/>
        <v>0</v>
      </c>
      <c r="GB302" s="39">
        <f t="shared" si="5089"/>
        <v>0</v>
      </c>
      <c r="GC302" s="39">
        <f t="shared" si="5089"/>
        <v>0</v>
      </c>
      <c r="GD302" s="39">
        <f t="shared" ref="GD302:GH302" si="5090">GD$1*FK302/1000000</f>
        <v>0</v>
      </c>
      <c r="GE302" s="39">
        <f t="shared" si="5090"/>
        <v>0</v>
      </c>
      <c r="GF302" s="39">
        <f t="shared" si="5090"/>
        <v>0</v>
      </c>
      <c r="GG302" s="39">
        <f t="shared" si="5090"/>
        <v>0</v>
      </c>
      <c r="GH302" s="39">
        <f t="shared" si="5090"/>
        <v>0</v>
      </c>
      <c r="GI302" s="39">
        <f t="shared" ref="GI302:GJ302" si="5091">GI$1*FP302</f>
        <v>0</v>
      </c>
      <c r="GJ302" s="39">
        <f t="shared" si="5091"/>
        <v>0</v>
      </c>
      <c r="GK302" s="2"/>
      <c r="GL302" s="39">
        <f t="shared" si="4395"/>
        <v>0</v>
      </c>
      <c r="GM302" s="39">
        <f t="shared" si="4396"/>
        <v>0</v>
      </c>
      <c r="GN302" s="2" t="s">
        <v>3</v>
      </c>
      <c r="GO302" s="2">
        <f t="shared" si="4397"/>
        <v>0.75</v>
      </c>
      <c r="GP302" s="4">
        <f t="shared" si="4398"/>
        <v>4.1920000000000002</v>
      </c>
      <c r="GQ302" s="15">
        <f t="shared" si="4399"/>
        <v>31.44</v>
      </c>
      <c r="GR302" s="15">
        <f t="shared" si="4400"/>
        <v>438.43197690000005</v>
      </c>
      <c r="GS302" s="15">
        <f t="shared" si="4401"/>
        <v>584.57596920000003</v>
      </c>
      <c r="GT302" s="2">
        <f t="shared" si="4402"/>
        <v>0</v>
      </c>
      <c r="GU302" s="2">
        <f t="shared" si="4403"/>
        <v>16.04</v>
      </c>
      <c r="GV302" s="2">
        <f t="shared" si="4404"/>
        <v>15.4</v>
      </c>
      <c r="GW302" s="2">
        <f t="shared" si="4405"/>
        <v>0</v>
      </c>
      <c r="GX302" s="2"/>
      <c r="GY302" s="2"/>
      <c r="GZ302" s="2"/>
      <c r="HA302" s="2"/>
      <c r="HB302" s="2">
        <f t="shared" si="4406"/>
        <v>0</v>
      </c>
      <c r="HC302" s="2">
        <f t="shared" si="4407"/>
        <v>0</v>
      </c>
      <c r="HD302" s="2" t="s">
        <v>3</v>
      </c>
      <c r="HE302" s="2" t="s">
        <v>89</v>
      </c>
      <c r="HF302" s="2" t="s">
        <v>137</v>
      </c>
      <c r="HG302" s="2"/>
      <c r="HH302" s="2"/>
      <c r="HI302" s="2" t="s">
        <v>81</v>
      </c>
      <c r="HJ302" s="2" t="s">
        <v>3</v>
      </c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 t="s">
        <v>3</v>
      </c>
    </row>
    <row r="303" spans="1:268" ht="15.75" customHeight="1" x14ac:dyDescent="0.2">
      <c r="A303" s="16" t="s">
        <v>468</v>
      </c>
      <c r="B303" s="2" t="s">
        <v>109</v>
      </c>
      <c r="C303" s="2"/>
      <c r="D303" s="2"/>
      <c r="E303" s="2" t="s">
        <v>179</v>
      </c>
      <c r="F303" s="2" t="s">
        <v>385</v>
      </c>
      <c r="G303" s="2"/>
      <c r="H303" s="2" t="s">
        <v>181</v>
      </c>
      <c r="I303" s="2">
        <v>0</v>
      </c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19">
        <f>0.132279+0.055779+0.162338+0.191535+0.901865+0.075707+0.1972+4.428</f>
        <v>6.1447029999999998</v>
      </c>
      <c r="AE303" s="2"/>
      <c r="AF303" s="2"/>
      <c r="AG303" s="2"/>
      <c r="AH303" s="2"/>
      <c r="AI303" s="2"/>
      <c r="AJ303" s="2"/>
      <c r="AK303" s="2"/>
      <c r="AL303" s="15">
        <f>(4.6*0.132279+5.9*0.055779+4*0.162338+5.5*0.191535+5.6*0.901865+5.2*0.075707+0.8*0.1972+0.8*4.428)/AD303</f>
        <v>1.9178558182551706</v>
      </c>
      <c r="AM303" s="19">
        <f>(0*0.132279+0*0.055779+0*0.162338+0*0.191535+0*0.901865+0*0.075707+0.028*0.1972+0.028*4.428)/(0.132279+0.055779+0.162338+0.191535+0.901865+0.075707+0.1972+4.428)</f>
        <v>2.1075973891659206E-2</v>
      </c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19">
        <f>0.055219+0.02056+0.256977+0.3578</f>
        <v>0.69055599999999995</v>
      </c>
      <c r="AZ303" s="2"/>
      <c r="BA303" s="2"/>
      <c r="BB303" s="2"/>
      <c r="BC303" s="2"/>
      <c r="BD303" s="2"/>
      <c r="BE303" s="2"/>
      <c r="BF303" s="2"/>
      <c r="BG303" s="15">
        <f>(3.9*0.055219+4.1*0.02056+2.1*0.256977+1*0.3578)/AY303</f>
        <v>1.7335332688442358</v>
      </c>
      <c r="BH303" s="19">
        <f>(0*0.132279+0*0.055779+0*0.162338+0*0.191535+0*0.901865+0*0.075707+0.028*0.1972+0.028*4.428)/(0.132279+0.055779+0.162338+0.191535+0.901865+0.075707+0.1972+4.428)</f>
        <v>2.1075973891659206E-2</v>
      </c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>
        <v>0</v>
      </c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19">
        <v>0.74960000000000004</v>
      </c>
      <c r="CP303" s="2"/>
      <c r="CQ303" s="2"/>
      <c r="CR303" s="2"/>
      <c r="CS303" s="2"/>
      <c r="CT303" s="2"/>
      <c r="CU303" s="2"/>
      <c r="CV303" s="2"/>
      <c r="CW303" s="2">
        <v>3.9</v>
      </c>
      <c r="CX303" s="19">
        <f>(0*0.132279+0*0.055779+0*0.162338+0*0.191535+0*0.901865+0*0.075707+0.028*0.1972+0.028*4.428)/(0.132279+0.055779+0.162338+0.191535+0.901865+0.075707+0.1972+4.428)</f>
        <v>2.1075973891659206E-2</v>
      </c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 t="s">
        <v>81</v>
      </c>
      <c r="DK303" s="2" t="s">
        <v>81</v>
      </c>
      <c r="DL303" s="2">
        <f t="shared" si="4367"/>
        <v>1.899233986598021</v>
      </c>
      <c r="DM303" s="2">
        <f t="shared" si="4368"/>
        <v>2.1075973891659206E-2</v>
      </c>
      <c r="DN303" s="2" t="s">
        <v>211</v>
      </c>
      <c r="DO303" s="2" t="s">
        <v>3</v>
      </c>
      <c r="DP303" s="2">
        <f t="shared" si="4369"/>
        <v>0</v>
      </c>
      <c r="DQ303" s="2">
        <f t="shared" ref="DQ303:DR303" si="5092">K303*$I303+AF303*$AD303+BA303*$AY303</f>
        <v>0</v>
      </c>
      <c r="DR303" s="2">
        <f t="shared" si="5092"/>
        <v>0</v>
      </c>
      <c r="DS303" s="2">
        <f t="shared" ref="DS303:DX303" si="5093">(M303*$I303+AH303*$AD303+BC303*$AY303)/100</f>
        <v>0</v>
      </c>
      <c r="DT303" s="2">
        <f t="shared" si="5093"/>
        <v>0</v>
      </c>
      <c r="DU303" s="2">
        <f t="shared" si="5093"/>
        <v>0</v>
      </c>
      <c r="DV303" s="2">
        <f t="shared" si="5093"/>
        <v>0</v>
      </c>
      <c r="DW303" s="2">
        <f t="shared" si="5093"/>
        <v>0.12981756200000003</v>
      </c>
      <c r="DX303" s="2">
        <f t="shared" si="5093"/>
        <v>1.4405974022672859E-3</v>
      </c>
      <c r="DY303" s="2">
        <f t="shared" ref="DY303:EC303" si="5094">S303*$I303+AN303*$AD303+BI303*$AY303</f>
        <v>0</v>
      </c>
      <c r="DZ303" s="2">
        <f t="shared" si="5094"/>
        <v>0</v>
      </c>
      <c r="EA303" s="2">
        <f t="shared" si="5094"/>
        <v>0</v>
      </c>
      <c r="EB303" s="2">
        <f t="shared" si="5094"/>
        <v>0</v>
      </c>
      <c r="EC303" s="2">
        <f t="shared" si="5094"/>
        <v>0</v>
      </c>
      <c r="ED303" s="2">
        <f t="shared" ref="ED303:EE303" si="5095">(X303*$I303+AS303*$AD303+BN303*$AY303)/100</f>
        <v>0</v>
      </c>
      <c r="EE303" s="2">
        <f t="shared" si="5095"/>
        <v>0</v>
      </c>
      <c r="EF303" s="2"/>
      <c r="EG303" s="2">
        <f t="shared" si="4374"/>
        <v>0</v>
      </c>
      <c r="EH303" s="2">
        <f t="shared" si="4375"/>
        <v>0</v>
      </c>
      <c r="EI303" s="39">
        <f t="shared" si="4376"/>
        <v>0</v>
      </c>
      <c r="EJ303" s="39">
        <f t="shared" ref="EJ303:EK303" si="5096">EJ$1*DQ303/1000000</f>
        <v>0</v>
      </c>
      <c r="EK303" s="39">
        <f t="shared" si="5096"/>
        <v>0</v>
      </c>
      <c r="EL303" s="39">
        <f t="shared" ref="EL303:EQ303" si="5097">EL$1*DS303</f>
        <v>0</v>
      </c>
      <c r="EM303" s="39">
        <f t="shared" si="5097"/>
        <v>0</v>
      </c>
      <c r="EN303" s="39">
        <f t="shared" si="5097"/>
        <v>0</v>
      </c>
      <c r="EO303" s="39">
        <f t="shared" si="5097"/>
        <v>0</v>
      </c>
      <c r="EP303" s="39">
        <f t="shared" si="5097"/>
        <v>1702.4275080680004</v>
      </c>
      <c r="EQ303" s="39">
        <f t="shared" si="5097"/>
        <v>104.61549762828682</v>
      </c>
      <c r="ER303" s="39">
        <f t="shared" ref="ER303:EV303" si="5098">ER$1*DY303/1000000</f>
        <v>0</v>
      </c>
      <c r="ES303" s="39">
        <f t="shared" si="5098"/>
        <v>0</v>
      </c>
      <c r="ET303" s="39">
        <f t="shared" si="5098"/>
        <v>0</v>
      </c>
      <c r="EU303" s="39">
        <f t="shared" si="5098"/>
        <v>0</v>
      </c>
      <c r="EV303" s="39">
        <f t="shared" si="5098"/>
        <v>0</v>
      </c>
      <c r="EW303" s="39">
        <f t="shared" ref="EW303:EX303" si="5099">EW$1*ED303</f>
        <v>0</v>
      </c>
      <c r="EX303" s="39">
        <f t="shared" si="5099"/>
        <v>0</v>
      </c>
      <c r="EY303" s="2"/>
      <c r="EZ303" s="39">
        <f t="shared" si="4381"/>
        <v>0</v>
      </c>
      <c r="FA303" s="39">
        <f t="shared" si="4382"/>
        <v>0</v>
      </c>
      <c r="FB303" s="2">
        <f t="shared" si="4383"/>
        <v>0</v>
      </c>
      <c r="FC303" s="2">
        <f t="shared" ref="FC303:FD303" si="5100">BV303*$BT303+CQ303*$CO303</f>
        <v>0</v>
      </c>
      <c r="FD303" s="2">
        <f t="shared" si="5100"/>
        <v>0</v>
      </c>
      <c r="FE303" s="2">
        <f t="shared" ref="FE303:FJ303" si="5101">(BX303*$BT303+CS303*$CO303)/100</f>
        <v>0</v>
      </c>
      <c r="FF303" s="2">
        <f t="shared" si="5101"/>
        <v>0</v>
      </c>
      <c r="FG303" s="2">
        <f t="shared" si="5101"/>
        <v>0</v>
      </c>
      <c r="FH303" s="2">
        <f t="shared" si="5101"/>
        <v>0</v>
      </c>
      <c r="FI303" s="2">
        <f t="shared" si="5101"/>
        <v>2.9234400000000004E-2</v>
      </c>
      <c r="FJ303" s="2">
        <f t="shared" si="5101"/>
        <v>1.579855002918774E-4</v>
      </c>
      <c r="FK303" s="2">
        <f t="shared" ref="FK303:FO303" si="5102">CD303*$BT303+CY303*$CO303</f>
        <v>0</v>
      </c>
      <c r="FL303" s="2">
        <f t="shared" si="5102"/>
        <v>0</v>
      </c>
      <c r="FM303" s="2">
        <f t="shared" si="5102"/>
        <v>0</v>
      </c>
      <c r="FN303" s="2">
        <f t="shared" si="5102"/>
        <v>0</v>
      </c>
      <c r="FO303" s="2">
        <f t="shared" si="5102"/>
        <v>0</v>
      </c>
      <c r="FP303" s="2">
        <f t="shared" ref="FP303:FQ303" si="5103">(CI303*$BT303+DD303*$CO303)/100</f>
        <v>0</v>
      </c>
      <c r="FQ303" s="2">
        <f t="shared" si="5103"/>
        <v>0</v>
      </c>
      <c r="FR303" s="2"/>
      <c r="FS303" s="2">
        <f t="shared" si="4388"/>
        <v>0</v>
      </c>
      <c r="FT303" s="2">
        <f t="shared" si="4389"/>
        <v>0</v>
      </c>
      <c r="FU303" s="39">
        <f t="shared" si="4390"/>
        <v>0</v>
      </c>
      <c r="FV303" s="39">
        <f t="shared" ref="FV303:FW303" si="5104">FV$1*FC303/1000000</f>
        <v>0</v>
      </c>
      <c r="FW303" s="39">
        <f t="shared" si="5104"/>
        <v>0</v>
      </c>
      <c r="FX303" s="39">
        <f t="shared" ref="FX303:GC303" si="5105">FX$1*FE303</f>
        <v>0</v>
      </c>
      <c r="FY303" s="39">
        <f t="shared" si="5105"/>
        <v>0</v>
      </c>
      <c r="FZ303" s="39">
        <f t="shared" si="5105"/>
        <v>0</v>
      </c>
      <c r="GA303" s="39">
        <f t="shared" si="5105"/>
        <v>0</v>
      </c>
      <c r="GB303" s="39">
        <f t="shared" si="5105"/>
        <v>383.37992160000005</v>
      </c>
      <c r="GC303" s="39">
        <f t="shared" si="5105"/>
        <v>11.472831830097997</v>
      </c>
      <c r="GD303" s="39">
        <f t="shared" ref="GD303:GH303" si="5106">GD$1*FK303/1000000</f>
        <v>0</v>
      </c>
      <c r="GE303" s="39">
        <f t="shared" si="5106"/>
        <v>0</v>
      </c>
      <c r="GF303" s="39">
        <f t="shared" si="5106"/>
        <v>0</v>
      </c>
      <c r="GG303" s="39">
        <f t="shared" si="5106"/>
        <v>0</v>
      </c>
      <c r="GH303" s="39">
        <f t="shared" si="5106"/>
        <v>0</v>
      </c>
      <c r="GI303" s="39">
        <f t="shared" ref="GI303:GJ303" si="5107">GI$1*FP303</f>
        <v>0</v>
      </c>
      <c r="GJ303" s="39">
        <f t="shared" si="5107"/>
        <v>0</v>
      </c>
      <c r="GK303" s="2"/>
      <c r="GL303" s="39">
        <f t="shared" si="4395"/>
        <v>0</v>
      </c>
      <c r="GM303" s="39">
        <f t="shared" si="4396"/>
        <v>0</v>
      </c>
      <c r="GN303" s="2" t="s">
        <v>3</v>
      </c>
      <c r="GO303" s="19">
        <f t="shared" si="4397"/>
        <v>6.8352589999999998</v>
      </c>
      <c r="GP303" s="4">
        <f t="shared" si="4398"/>
        <v>1.899233986598021</v>
      </c>
      <c r="GQ303" s="15">
        <f t="shared" si="4399"/>
        <v>129.81756200000001</v>
      </c>
      <c r="GR303" s="15">
        <f t="shared" si="4400"/>
        <v>1807.0430056962873</v>
      </c>
      <c r="GS303" s="15">
        <f t="shared" si="4401"/>
        <v>264.37081692095171</v>
      </c>
      <c r="GT303" s="2">
        <f t="shared" si="4402"/>
        <v>0</v>
      </c>
      <c r="GU303" s="2">
        <f t="shared" si="4403"/>
        <v>117.84654400000001</v>
      </c>
      <c r="GV303" s="2">
        <f t="shared" si="4404"/>
        <v>11.971017999999999</v>
      </c>
      <c r="GW303" s="19">
        <f t="shared" si="4405"/>
        <v>0.74960000000000004</v>
      </c>
      <c r="GX303" s="4">
        <f>(BT303*CB303+CO303*CW303)/GW303</f>
        <v>3.9</v>
      </c>
      <c r="GY303" s="15">
        <f>1000*GW303*GX303/100</f>
        <v>29.234400000000001</v>
      </c>
      <c r="GZ303" s="15">
        <f>SUM(FU303:GM303)</f>
        <v>394.85275343009806</v>
      </c>
      <c r="HA303" s="15">
        <f>GZ303/GW303</f>
        <v>526.75127191848719</v>
      </c>
      <c r="HB303" s="2">
        <f t="shared" si="4406"/>
        <v>0</v>
      </c>
      <c r="HC303" s="2">
        <f t="shared" si="4407"/>
        <v>29.234400000000001</v>
      </c>
      <c r="HD303" s="2" t="s">
        <v>3</v>
      </c>
      <c r="HE303" s="2" t="s">
        <v>89</v>
      </c>
      <c r="HF303" s="2" t="s">
        <v>137</v>
      </c>
      <c r="HG303" s="2"/>
      <c r="HH303" s="2"/>
      <c r="HI303" s="2" t="s">
        <v>81</v>
      </c>
      <c r="HJ303" s="2" t="s">
        <v>3</v>
      </c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 t="s">
        <v>3</v>
      </c>
    </row>
    <row r="304" spans="1:268" ht="15.75" customHeight="1" x14ac:dyDescent="0.2">
      <c r="A304" s="16" t="s">
        <v>1314</v>
      </c>
      <c r="B304" s="2" t="s">
        <v>120</v>
      </c>
      <c r="C304" s="2"/>
      <c r="D304" s="2"/>
      <c r="E304" s="2" t="s">
        <v>179</v>
      </c>
      <c r="F304" s="2" t="s">
        <v>250</v>
      </c>
      <c r="G304" s="2"/>
      <c r="H304" s="2" t="s">
        <v>181</v>
      </c>
      <c r="I304" s="2">
        <v>0</v>
      </c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>
        <f>0.922+0.772+2.773</f>
        <v>4.4670000000000005</v>
      </c>
      <c r="AE304" s="4">
        <f>(0.13*4.358+0*0.772+0.08*4.551)/(4.358+0.772+4.551)</f>
        <v>9.612849912199152E-2</v>
      </c>
      <c r="AF304" s="2"/>
      <c r="AG304" s="2"/>
      <c r="AH304" s="2"/>
      <c r="AI304" s="2"/>
      <c r="AJ304" s="2"/>
      <c r="AK304" s="2"/>
      <c r="AL304" s="4">
        <f>(1.56*0.922+0.98*0.772+1.25*2.773)/AD304</f>
        <v>1.267322587866577</v>
      </c>
      <c r="AM304" s="19">
        <f>(0.03*4.358+0*0.772+0*4.551)/(4.358+0.772+4.551)</f>
        <v>1.350480322280756E-2</v>
      </c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>
        <f>3.436+1.778</f>
        <v>5.2140000000000004</v>
      </c>
      <c r="AZ304" s="4">
        <f>(0.13*4.358+0*0.772+0.08*4.551)/(4.358+0.772+4.551)</f>
        <v>9.612849912199152E-2</v>
      </c>
      <c r="BA304" s="2"/>
      <c r="BB304" s="2"/>
      <c r="BC304" s="2"/>
      <c r="BD304" s="2"/>
      <c r="BE304" s="2"/>
      <c r="BF304" s="2"/>
      <c r="BG304" s="4">
        <f>(1.66*3.436+1.91*1.778)/AY304</f>
        <v>1.7452512466436516</v>
      </c>
      <c r="BH304" s="19">
        <f>(0.03*4.358+0*0.772+0*4.551)/(4.358+0.772+4.551)</f>
        <v>1.350480322280756E-2</v>
      </c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>
        <v>0</v>
      </c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>
        <v>0</v>
      </c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 t="s">
        <v>81</v>
      </c>
      <c r="DK304" s="2" t="s">
        <v>81</v>
      </c>
      <c r="DL304" s="2">
        <f t="shared" si="4367"/>
        <v>1.5247257514719552</v>
      </c>
      <c r="DM304" s="2">
        <f t="shared" si="4368"/>
        <v>1.350480322280756E-2</v>
      </c>
      <c r="DN304" s="2" t="s">
        <v>251</v>
      </c>
      <c r="DO304" s="2" t="s">
        <v>3</v>
      </c>
      <c r="DP304" s="2">
        <f t="shared" si="4369"/>
        <v>9.3062000000000006E-3</v>
      </c>
      <c r="DQ304" s="2">
        <f t="shared" ref="DQ304:DR304" si="5108">K304*$I304+AF304*$AD304+BA304*$AY304</f>
        <v>0</v>
      </c>
      <c r="DR304" s="2">
        <f t="shared" si="5108"/>
        <v>0</v>
      </c>
      <c r="DS304" s="2">
        <f t="shared" ref="DS304:DX304" si="5109">(M304*$I304+AH304*$AD304+BC304*$AY304)/100</f>
        <v>0</v>
      </c>
      <c r="DT304" s="2">
        <f t="shared" si="5109"/>
        <v>0</v>
      </c>
      <c r="DU304" s="2">
        <f t="shared" si="5109"/>
        <v>0</v>
      </c>
      <c r="DV304" s="2">
        <f t="shared" si="5109"/>
        <v>0</v>
      </c>
      <c r="DW304" s="2">
        <f t="shared" si="5109"/>
        <v>0.14760870000000001</v>
      </c>
      <c r="DX304" s="2">
        <f t="shared" si="5109"/>
        <v>1.3074E-3</v>
      </c>
      <c r="DY304" s="2">
        <f t="shared" ref="DY304:EC304" si="5110">S304*$I304+AN304*$AD304+BI304*$AY304</f>
        <v>0</v>
      </c>
      <c r="DZ304" s="2">
        <f t="shared" si="5110"/>
        <v>0</v>
      </c>
      <c r="EA304" s="2">
        <f t="shared" si="5110"/>
        <v>0</v>
      </c>
      <c r="EB304" s="2">
        <f t="shared" si="5110"/>
        <v>0</v>
      </c>
      <c r="EC304" s="2">
        <f t="shared" si="5110"/>
        <v>0</v>
      </c>
      <c r="ED304" s="2">
        <f t="shared" ref="ED304:EE304" si="5111">(X304*$I304+AS304*$AD304+BN304*$AY304)/100</f>
        <v>0</v>
      </c>
      <c r="EE304" s="2">
        <f t="shared" si="5111"/>
        <v>0</v>
      </c>
      <c r="EF304" s="2"/>
      <c r="EG304" s="2">
        <f t="shared" si="4374"/>
        <v>0</v>
      </c>
      <c r="EH304" s="2">
        <f t="shared" si="4375"/>
        <v>0</v>
      </c>
      <c r="EI304" s="39">
        <f t="shared" si="4376"/>
        <v>60.728687619200002</v>
      </c>
      <c r="EJ304" s="39">
        <f t="shared" ref="EJ304:EK304" si="5112">EJ$1*DQ304/1000000</f>
        <v>0</v>
      </c>
      <c r="EK304" s="39">
        <f t="shared" si="5112"/>
        <v>0</v>
      </c>
      <c r="EL304" s="39">
        <f t="shared" ref="EL304:EQ304" si="5113">EL$1*DS304</f>
        <v>0</v>
      </c>
      <c r="EM304" s="39">
        <f t="shared" si="5113"/>
        <v>0</v>
      </c>
      <c r="EN304" s="39">
        <f t="shared" si="5113"/>
        <v>0</v>
      </c>
      <c r="EO304" s="39">
        <f t="shared" si="5113"/>
        <v>0</v>
      </c>
      <c r="EP304" s="39">
        <f t="shared" si="5113"/>
        <v>1935.7404918000002</v>
      </c>
      <c r="EQ304" s="39">
        <f t="shared" si="5113"/>
        <v>94.942765677599994</v>
      </c>
      <c r="ER304" s="39">
        <f t="shared" ref="ER304:EV304" si="5114">ER$1*DY304/1000000</f>
        <v>0</v>
      </c>
      <c r="ES304" s="39">
        <f t="shared" si="5114"/>
        <v>0</v>
      </c>
      <c r="ET304" s="39">
        <f t="shared" si="5114"/>
        <v>0</v>
      </c>
      <c r="EU304" s="39">
        <f t="shared" si="5114"/>
        <v>0</v>
      </c>
      <c r="EV304" s="39">
        <f t="shared" si="5114"/>
        <v>0</v>
      </c>
      <c r="EW304" s="39">
        <f t="shared" ref="EW304:EX304" si="5115">EW$1*ED304</f>
        <v>0</v>
      </c>
      <c r="EX304" s="39">
        <f t="shared" si="5115"/>
        <v>0</v>
      </c>
      <c r="EY304" s="2"/>
      <c r="EZ304" s="39">
        <f t="shared" si="4381"/>
        <v>0</v>
      </c>
      <c r="FA304" s="39">
        <f t="shared" si="4382"/>
        <v>0</v>
      </c>
      <c r="FB304" s="2">
        <f t="shared" si="4383"/>
        <v>0</v>
      </c>
      <c r="FC304" s="2">
        <f t="shared" ref="FC304:FD304" si="5116">BV304*$BT304+CQ304*$CO304</f>
        <v>0</v>
      </c>
      <c r="FD304" s="2">
        <f t="shared" si="5116"/>
        <v>0</v>
      </c>
      <c r="FE304" s="2">
        <f t="shared" ref="FE304:FJ304" si="5117">(BX304*$BT304+CS304*$CO304)/100</f>
        <v>0</v>
      </c>
      <c r="FF304" s="2">
        <f t="shared" si="5117"/>
        <v>0</v>
      </c>
      <c r="FG304" s="2">
        <f t="shared" si="5117"/>
        <v>0</v>
      </c>
      <c r="FH304" s="2">
        <f t="shared" si="5117"/>
        <v>0</v>
      </c>
      <c r="FI304" s="2">
        <f t="shared" si="5117"/>
        <v>0</v>
      </c>
      <c r="FJ304" s="2">
        <f t="shared" si="5117"/>
        <v>0</v>
      </c>
      <c r="FK304" s="2">
        <f t="shared" ref="FK304:FO304" si="5118">CD304*$BT304+CY304*$CO304</f>
        <v>0</v>
      </c>
      <c r="FL304" s="2">
        <f t="shared" si="5118"/>
        <v>0</v>
      </c>
      <c r="FM304" s="2">
        <f t="shared" si="5118"/>
        <v>0</v>
      </c>
      <c r="FN304" s="2">
        <f t="shared" si="5118"/>
        <v>0</v>
      </c>
      <c r="FO304" s="2">
        <f t="shared" si="5118"/>
        <v>0</v>
      </c>
      <c r="FP304" s="2">
        <f t="shared" ref="FP304:FQ304" si="5119">(CI304*$BT304+DD304*$CO304)/100</f>
        <v>0</v>
      </c>
      <c r="FQ304" s="2">
        <f t="shared" si="5119"/>
        <v>0</v>
      </c>
      <c r="FR304" s="2"/>
      <c r="FS304" s="2">
        <f t="shared" si="4388"/>
        <v>0</v>
      </c>
      <c r="FT304" s="2">
        <f t="shared" si="4389"/>
        <v>0</v>
      </c>
      <c r="FU304" s="39">
        <f t="shared" si="4390"/>
        <v>0</v>
      </c>
      <c r="FV304" s="39">
        <f t="shared" ref="FV304:FW304" si="5120">FV$1*FC304/1000000</f>
        <v>0</v>
      </c>
      <c r="FW304" s="39">
        <f t="shared" si="5120"/>
        <v>0</v>
      </c>
      <c r="FX304" s="39">
        <f t="shared" ref="FX304:GC304" si="5121">FX$1*FE304</f>
        <v>0</v>
      </c>
      <c r="FY304" s="39">
        <f t="shared" si="5121"/>
        <v>0</v>
      </c>
      <c r="FZ304" s="39">
        <f t="shared" si="5121"/>
        <v>0</v>
      </c>
      <c r="GA304" s="39">
        <f t="shared" si="5121"/>
        <v>0</v>
      </c>
      <c r="GB304" s="39">
        <f t="shared" si="5121"/>
        <v>0</v>
      </c>
      <c r="GC304" s="39">
        <f t="shared" si="5121"/>
        <v>0</v>
      </c>
      <c r="GD304" s="39">
        <f t="shared" ref="GD304:GH304" si="5122">GD$1*FK304/1000000</f>
        <v>0</v>
      </c>
      <c r="GE304" s="39">
        <f t="shared" si="5122"/>
        <v>0</v>
      </c>
      <c r="GF304" s="39">
        <f t="shared" si="5122"/>
        <v>0</v>
      </c>
      <c r="GG304" s="39">
        <f t="shared" si="5122"/>
        <v>0</v>
      </c>
      <c r="GH304" s="39">
        <f t="shared" si="5122"/>
        <v>0</v>
      </c>
      <c r="GI304" s="39">
        <f t="shared" ref="GI304:GJ304" si="5123">GI$1*FP304</f>
        <v>0</v>
      </c>
      <c r="GJ304" s="39">
        <f t="shared" si="5123"/>
        <v>0</v>
      </c>
      <c r="GK304" s="2"/>
      <c r="GL304" s="39">
        <f t="shared" si="4395"/>
        <v>0</v>
      </c>
      <c r="GM304" s="39">
        <f t="shared" si="4396"/>
        <v>0</v>
      </c>
      <c r="GN304" s="2" t="s">
        <v>3</v>
      </c>
      <c r="GO304" s="2">
        <f t="shared" si="4397"/>
        <v>9.6810000000000009</v>
      </c>
      <c r="GP304" s="4">
        <f t="shared" si="4398"/>
        <v>1.5247257514719552</v>
      </c>
      <c r="GQ304" s="15">
        <f t="shared" si="4399"/>
        <v>147.6087</v>
      </c>
      <c r="GR304" s="15">
        <f t="shared" si="4400"/>
        <v>2091.4119450968001</v>
      </c>
      <c r="GS304" s="15">
        <f t="shared" si="4401"/>
        <v>216.03263558483627</v>
      </c>
      <c r="GT304" s="2">
        <f t="shared" si="4402"/>
        <v>0</v>
      </c>
      <c r="GU304" s="2">
        <f t="shared" si="4403"/>
        <v>56.6113</v>
      </c>
      <c r="GV304" s="2">
        <f t="shared" si="4404"/>
        <v>90.997399999999999</v>
      </c>
      <c r="GW304" s="2">
        <f t="shared" si="4405"/>
        <v>0</v>
      </c>
      <c r="GX304" s="2"/>
      <c r="GY304" s="2"/>
      <c r="GZ304" s="2"/>
      <c r="HA304" s="2"/>
      <c r="HB304" s="2">
        <f t="shared" si="4406"/>
        <v>0</v>
      </c>
      <c r="HC304" s="2">
        <f t="shared" si="4407"/>
        <v>0</v>
      </c>
      <c r="HD304" s="2" t="s">
        <v>3</v>
      </c>
      <c r="HE304" s="2" t="s">
        <v>89</v>
      </c>
      <c r="HF304" s="2" t="s">
        <v>137</v>
      </c>
      <c r="HG304" s="2"/>
      <c r="HH304" s="2"/>
      <c r="HI304" s="2" t="s">
        <v>81</v>
      </c>
      <c r="HJ304" s="2" t="s">
        <v>3</v>
      </c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 t="s">
        <v>3</v>
      </c>
    </row>
    <row r="305" spans="1:268" ht="15.75" customHeight="1" x14ac:dyDescent="0.2">
      <c r="A305" s="16" t="s">
        <v>1031</v>
      </c>
      <c r="B305" s="2" t="s">
        <v>120</v>
      </c>
      <c r="C305" s="2"/>
      <c r="D305" s="2"/>
      <c r="E305" s="2" t="s">
        <v>78</v>
      </c>
      <c r="F305" s="2" t="s">
        <v>1032</v>
      </c>
      <c r="G305" s="2"/>
      <c r="H305" s="2" t="s">
        <v>781</v>
      </c>
      <c r="I305" s="2">
        <v>0</v>
      </c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>
        <v>1.98</v>
      </c>
      <c r="AE305" s="2">
        <v>1.04</v>
      </c>
      <c r="AF305" s="2"/>
      <c r="AG305" s="2"/>
      <c r="AH305" s="2"/>
      <c r="AI305" s="2"/>
      <c r="AJ305" s="2"/>
      <c r="AK305" s="2"/>
      <c r="AL305" s="2">
        <v>0.61</v>
      </c>
      <c r="AM305" s="2">
        <v>0.04</v>
      </c>
      <c r="AN305" s="2"/>
      <c r="AO305" s="2">
        <v>0.5</v>
      </c>
      <c r="AP305" s="2"/>
      <c r="AQ305" s="2"/>
      <c r="AR305" s="2"/>
      <c r="AS305" s="2"/>
      <c r="AT305" s="2"/>
      <c r="AU305" s="2"/>
      <c r="AV305" s="2"/>
      <c r="AW305" s="2"/>
      <c r="AX305" s="2"/>
      <c r="AY305" s="2">
        <v>2.04</v>
      </c>
      <c r="AZ305" s="2">
        <v>0.73</v>
      </c>
      <c r="BA305" s="2"/>
      <c r="BB305" s="2"/>
      <c r="BC305" s="2"/>
      <c r="BD305" s="2"/>
      <c r="BE305" s="2"/>
      <c r="BF305" s="2"/>
      <c r="BG305" s="2">
        <v>0.42</v>
      </c>
      <c r="BH305" s="2">
        <v>0.04</v>
      </c>
      <c r="BI305" s="2"/>
      <c r="BJ305" s="2">
        <v>0.5</v>
      </c>
      <c r="BK305" s="2"/>
      <c r="BL305" s="2"/>
      <c r="BM305" s="2"/>
      <c r="BN305" s="2"/>
      <c r="BO305" s="2"/>
      <c r="BP305" s="2"/>
      <c r="BQ305" s="2"/>
      <c r="BR305" s="2"/>
      <c r="BS305" s="2"/>
      <c r="BT305" s="2">
        <v>0</v>
      </c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>
        <v>0</v>
      </c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 t="s">
        <v>81</v>
      </c>
      <c r="DK305" s="2" t="s">
        <v>81</v>
      </c>
      <c r="DL305" s="2">
        <f t="shared" si="4367"/>
        <v>0.51358208955223883</v>
      </c>
      <c r="DM305" s="2">
        <f t="shared" si="4368"/>
        <v>0.04</v>
      </c>
      <c r="DN305" s="2" t="s">
        <v>211</v>
      </c>
      <c r="DO305" s="2" t="s">
        <v>3</v>
      </c>
      <c r="DP305" s="2">
        <f t="shared" si="4369"/>
        <v>3.5484000000000002E-2</v>
      </c>
      <c r="DQ305" s="2">
        <f t="shared" ref="DQ305:DR305" si="5124">K305*$I305+AF305*$AD305+BA305*$AY305</f>
        <v>0</v>
      </c>
      <c r="DR305" s="2">
        <f t="shared" si="5124"/>
        <v>0</v>
      </c>
      <c r="DS305" s="2">
        <f t="shared" ref="DS305:DX305" si="5125">(M305*$I305+AH305*$AD305+BC305*$AY305)/100</f>
        <v>0</v>
      </c>
      <c r="DT305" s="2">
        <f t="shared" si="5125"/>
        <v>0</v>
      </c>
      <c r="DU305" s="2">
        <f t="shared" si="5125"/>
        <v>0</v>
      </c>
      <c r="DV305" s="2">
        <f t="shared" si="5125"/>
        <v>0</v>
      </c>
      <c r="DW305" s="2">
        <f t="shared" si="5125"/>
        <v>2.0646000000000001E-2</v>
      </c>
      <c r="DX305" s="2">
        <f t="shared" si="5125"/>
        <v>1.6080000000000001E-3</v>
      </c>
      <c r="DY305" s="2">
        <f t="shared" ref="DY305:EC305" si="5126">S305*$I305+AN305*$AD305+BI305*$AY305</f>
        <v>0</v>
      </c>
      <c r="DZ305" s="2">
        <f t="shared" si="5126"/>
        <v>2.0099999999999998</v>
      </c>
      <c r="EA305" s="2">
        <f t="shared" si="5126"/>
        <v>0</v>
      </c>
      <c r="EB305" s="2">
        <f t="shared" si="5126"/>
        <v>0</v>
      </c>
      <c r="EC305" s="2">
        <f t="shared" si="5126"/>
        <v>0</v>
      </c>
      <c r="ED305" s="2">
        <f t="shared" ref="ED305:EE305" si="5127">(X305*$I305+AS305*$AD305+BN305*$AY305)/100</f>
        <v>0</v>
      </c>
      <c r="EE305" s="2">
        <f t="shared" si="5127"/>
        <v>0</v>
      </c>
      <c r="EF305" s="2"/>
      <c r="EG305" s="2">
        <f t="shared" si="4374"/>
        <v>0</v>
      </c>
      <c r="EH305" s="2">
        <f t="shared" si="4375"/>
        <v>0</v>
      </c>
      <c r="EI305" s="39">
        <f t="shared" si="4376"/>
        <v>231.55495814400001</v>
      </c>
      <c r="EJ305" s="39">
        <f t="shared" ref="EJ305:EK305" si="5128">EJ$1*DQ305/1000000</f>
        <v>0</v>
      </c>
      <c r="EK305" s="39">
        <f t="shared" si="5128"/>
        <v>0</v>
      </c>
      <c r="EL305" s="39">
        <f t="shared" ref="EL305:EQ305" si="5129">EL$1*DS305</f>
        <v>0</v>
      </c>
      <c r="EM305" s="39">
        <f t="shared" si="5129"/>
        <v>0</v>
      </c>
      <c r="EN305" s="39">
        <f t="shared" si="5129"/>
        <v>0</v>
      </c>
      <c r="EO305" s="39">
        <f t="shared" si="5129"/>
        <v>0</v>
      </c>
      <c r="EP305" s="39">
        <f t="shared" si="5129"/>
        <v>270.751644</v>
      </c>
      <c r="EQ305" s="39">
        <f t="shared" si="5129"/>
        <v>116.77219459199999</v>
      </c>
      <c r="ER305" s="39">
        <f t="shared" ref="ER305:EV305" si="5130">ER$1*DY305/1000000</f>
        <v>0</v>
      </c>
      <c r="ES305" s="39">
        <f t="shared" si="5130"/>
        <v>66.984704180064313</v>
      </c>
      <c r="ET305" s="39">
        <f t="shared" si="5130"/>
        <v>0</v>
      </c>
      <c r="EU305" s="39">
        <f t="shared" si="5130"/>
        <v>0</v>
      </c>
      <c r="EV305" s="39">
        <f t="shared" si="5130"/>
        <v>0</v>
      </c>
      <c r="EW305" s="39">
        <f t="shared" ref="EW305:EX305" si="5131">EW$1*ED305</f>
        <v>0</v>
      </c>
      <c r="EX305" s="39">
        <f t="shared" si="5131"/>
        <v>0</v>
      </c>
      <c r="EY305" s="2"/>
      <c r="EZ305" s="39">
        <f t="shared" si="4381"/>
        <v>0</v>
      </c>
      <c r="FA305" s="39">
        <f t="shared" si="4382"/>
        <v>0</v>
      </c>
      <c r="FB305" s="2">
        <f t="shared" si="4383"/>
        <v>0</v>
      </c>
      <c r="FC305" s="2">
        <f t="shared" ref="FC305:FD305" si="5132">BV305*$BT305+CQ305*$CO305</f>
        <v>0</v>
      </c>
      <c r="FD305" s="2">
        <f t="shared" si="5132"/>
        <v>0</v>
      </c>
      <c r="FE305" s="2">
        <f t="shared" ref="FE305:FJ305" si="5133">(BX305*$BT305+CS305*$CO305)/100</f>
        <v>0</v>
      </c>
      <c r="FF305" s="2">
        <f t="shared" si="5133"/>
        <v>0</v>
      </c>
      <c r="FG305" s="2">
        <f t="shared" si="5133"/>
        <v>0</v>
      </c>
      <c r="FH305" s="2">
        <f t="shared" si="5133"/>
        <v>0</v>
      </c>
      <c r="FI305" s="2">
        <f t="shared" si="5133"/>
        <v>0</v>
      </c>
      <c r="FJ305" s="2">
        <f t="shared" si="5133"/>
        <v>0</v>
      </c>
      <c r="FK305" s="2">
        <f t="shared" ref="FK305:FO305" si="5134">CD305*$BT305+CY305*$CO305</f>
        <v>0</v>
      </c>
      <c r="FL305" s="2">
        <f t="shared" si="5134"/>
        <v>0</v>
      </c>
      <c r="FM305" s="2">
        <f t="shared" si="5134"/>
        <v>0</v>
      </c>
      <c r="FN305" s="2">
        <f t="shared" si="5134"/>
        <v>0</v>
      </c>
      <c r="FO305" s="2">
        <f t="shared" si="5134"/>
        <v>0</v>
      </c>
      <c r="FP305" s="2">
        <f t="shared" ref="FP305:FQ305" si="5135">(CI305*$BT305+DD305*$CO305)/100</f>
        <v>0</v>
      </c>
      <c r="FQ305" s="2">
        <f t="shared" si="5135"/>
        <v>0</v>
      </c>
      <c r="FR305" s="2"/>
      <c r="FS305" s="2">
        <f t="shared" si="4388"/>
        <v>0</v>
      </c>
      <c r="FT305" s="2">
        <f t="shared" si="4389"/>
        <v>0</v>
      </c>
      <c r="FU305" s="39">
        <f t="shared" si="4390"/>
        <v>0</v>
      </c>
      <c r="FV305" s="39">
        <f t="shared" ref="FV305:FW305" si="5136">FV$1*FC305/1000000</f>
        <v>0</v>
      </c>
      <c r="FW305" s="39">
        <f t="shared" si="5136"/>
        <v>0</v>
      </c>
      <c r="FX305" s="39">
        <f t="shared" ref="FX305:GC305" si="5137">FX$1*FE305</f>
        <v>0</v>
      </c>
      <c r="FY305" s="39">
        <f t="shared" si="5137"/>
        <v>0</v>
      </c>
      <c r="FZ305" s="39">
        <f t="shared" si="5137"/>
        <v>0</v>
      </c>
      <c r="GA305" s="39">
        <f t="shared" si="5137"/>
        <v>0</v>
      </c>
      <c r="GB305" s="39">
        <f t="shared" si="5137"/>
        <v>0</v>
      </c>
      <c r="GC305" s="39">
        <f t="shared" si="5137"/>
        <v>0</v>
      </c>
      <c r="GD305" s="39">
        <f t="shared" ref="GD305:GH305" si="5138">GD$1*FK305/1000000</f>
        <v>0</v>
      </c>
      <c r="GE305" s="39">
        <f t="shared" si="5138"/>
        <v>0</v>
      </c>
      <c r="GF305" s="39">
        <f t="shared" si="5138"/>
        <v>0</v>
      </c>
      <c r="GG305" s="39">
        <f t="shared" si="5138"/>
        <v>0</v>
      </c>
      <c r="GH305" s="39">
        <f t="shared" si="5138"/>
        <v>0</v>
      </c>
      <c r="GI305" s="39">
        <f t="shared" ref="GI305:GJ305" si="5139">GI$1*FP305</f>
        <v>0</v>
      </c>
      <c r="GJ305" s="39">
        <f t="shared" si="5139"/>
        <v>0</v>
      </c>
      <c r="GK305" s="2"/>
      <c r="GL305" s="39">
        <f t="shared" si="4395"/>
        <v>0</v>
      </c>
      <c r="GM305" s="39">
        <f t="shared" si="4396"/>
        <v>0</v>
      </c>
      <c r="GN305" s="2" t="s">
        <v>3</v>
      </c>
      <c r="GO305" s="2">
        <f t="shared" si="4397"/>
        <v>4.0199999999999996</v>
      </c>
      <c r="GP305" s="4">
        <f t="shared" si="4398"/>
        <v>0.51358208955223883</v>
      </c>
      <c r="GQ305" s="15">
        <f t="shared" si="4399"/>
        <v>20.646000000000001</v>
      </c>
      <c r="GR305" s="15">
        <f t="shared" si="4400"/>
        <v>686.0635009160643</v>
      </c>
      <c r="GS305" s="15">
        <f t="shared" si="4401"/>
        <v>170.66256241693142</v>
      </c>
      <c r="GT305" s="2">
        <f t="shared" si="4402"/>
        <v>0</v>
      </c>
      <c r="GU305" s="2">
        <f t="shared" si="4403"/>
        <v>12.077999999999999</v>
      </c>
      <c r="GV305" s="2">
        <f t="shared" si="4404"/>
        <v>8.5679999999999996</v>
      </c>
      <c r="GW305" s="2">
        <f t="shared" si="4405"/>
        <v>0</v>
      </c>
      <c r="GX305" s="2"/>
      <c r="GY305" s="2"/>
      <c r="GZ305" s="2"/>
      <c r="HA305" s="2"/>
      <c r="HB305" s="2">
        <f t="shared" si="4406"/>
        <v>0</v>
      </c>
      <c r="HC305" s="2">
        <f t="shared" si="4407"/>
        <v>0</v>
      </c>
      <c r="HD305" s="2" t="s">
        <v>3</v>
      </c>
      <c r="HE305" s="2" t="s">
        <v>89</v>
      </c>
      <c r="HF305" s="2" t="s">
        <v>137</v>
      </c>
      <c r="HG305" s="2"/>
      <c r="HH305" s="2"/>
      <c r="HI305" s="2" t="s">
        <v>81</v>
      </c>
      <c r="HJ305" s="2" t="s">
        <v>3</v>
      </c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 t="s">
        <v>3</v>
      </c>
    </row>
    <row r="306" spans="1:268" ht="15.75" customHeight="1" x14ac:dyDescent="0.2">
      <c r="A306" s="16" t="s">
        <v>249</v>
      </c>
      <c r="B306" s="2" t="s">
        <v>120</v>
      </c>
      <c r="C306" s="2"/>
      <c r="D306" s="2"/>
      <c r="E306" s="2" t="s">
        <v>179</v>
      </c>
      <c r="F306" s="2" t="s">
        <v>250</v>
      </c>
      <c r="G306" s="2"/>
      <c r="H306" s="2" t="s">
        <v>181</v>
      </c>
      <c r="I306" s="2">
        <v>0</v>
      </c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>
        <f>9.6+0.052</f>
        <v>9.6519999999999992</v>
      </c>
      <c r="AE306" s="19">
        <f>(0*30.7+0.45*0.136)/(30.7+0.136)</f>
        <v>1.9846932157218835E-3</v>
      </c>
      <c r="AF306" s="2"/>
      <c r="AG306" s="2"/>
      <c r="AH306" s="2"/>
      <c r="AI306" s="2"/>
      <c r="AJ306" s="2"/>
      <c r="AK306" s="2"/>
      <c r="AL306" s="4">
        <f>(0.68*9.6+9.19*0.052)/AD306</f>
        <v>0.72584749274761717</v>
      </c>
      <c r="AM306" s="19">
        <f>(0.01*30.7+0.17*0.136)/(30.7+0.136)</f>
        <v>1.0705668698923336E-2</v>
      </c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>
        <f>21.1+0.084</f>
        <v>21.184000000000001</v>
      </c>
      <c r="AZ306" s="19">
        <f>(0*30.7+0.45*0.136)/(30.7+0.136)</f>
        <v>1.9846932157218835E-3</v>
      </c>
      <c r="BA306" s="2"/>
      <c r="BB306" s="2"/>
      <c r="BC306" s="2"/>
      <c r="BD306" s="2"/>
      <c r="BE306" s="2"/>
      <c r="BF306" s="2"/>
      <c r="BG306" s="4">
        <f>(0.54*21.1+9.01*0.084)/AY306</f>
        <v>0.57358572507552874</v>
      </c>
      <c r="BH306" s="19">
        <f>(0.01*30.7+0.17*0.136)/(30.7+0.136)</f>
        <v>1.0705668698923336E-2</v>
      </c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>
        <v>0</v>
      </c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>
        <v>3.427</v>
      </c>
      <c r="CP306" s="2">
        <v>0.26</v>
      </c>
      <c r="CQ306" s="2"/>
      <c r="CR306" s="2"/>
      <c r="CS306" s="2"/>
      <c r="CT306" s="2"/>
      <c r="CU306" s="2"/>
      <c r="CV306" s="2"/>
      <c r="CW306" s="2">
        <v>0.72</v>
      </c>
      <c r="CX306" s="2">
        <v>0.11</v>
      </c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 t="s">
        <v>81</v>
      </c>
      <c r="DK306" s="2" t="s">
        <v>81</v>
      </c>
      <c r="DL306" s="2">
        <f t="shared" si="4367"/>
        <v>0.62124529770398251</v>
      </c>
      <c r="DM306" s="2">
        <f t="shared" si="4368"/>
        <v>1.0705668698923336E-2</v>
      </c>
      <c r="DN306" s="2" t="s">
        <v>251</v>
      </c>
      <c r="DO306" s="2" t="s">
        <v>3</v>
      </c>
      <c r="DP306" s="2">
        <f t="shared" si="4369"/>
        <v>6.1200000000000002E-4</v>
      </c>
      <c r="DQ306" s="2">
        <f t="shared" ref="DQ306:DR306" si="5140">K306*$I306+AF306*$AD306+BA306*$AY306</f>
        <v>0</v>
      </c>
      <c r="DR306" s="2">
        <f t="shared" si="5140"/>
        <v>0</v>
      </c>
      <c r="DS306" s="2">
        <f t="shared" ref="DS306:DX306" si="5141">(M306*$I306+AH306*$AD306+BC306*$AY306)/100</f>
        <v>0</v>
      </c>
      <c r="DT306" s="2">
        <f t="shared" si="5141"/>
        <v>0</v>
      </c>
      <c r="DU306" s="2">
        <f t="shared" si="5141"/>
        <v>0</v>
      </c>
      <c r="DV306" s="2">
        <f t="shared" si="5141"/>
        <v>0</v>
      </c>
      <c r="DW306" s="2">
        <f t="shared" si="5141"/>
        <v>0.19156720000000005</v>
      </c>
      <c r="DX306" s="2">
        <f t="shared" si="5141"/>
        <v>3.3011999999999998E-3</v>
      </c>
      <c r="DY306" s="2">
        <f t="shared" ref="DY306:EC306" si="5142">S306*$I306+AN306*$AD306+BI306*$AY306</f>
        <v>0</v>
      </c>
      <c r="DZ306" s="2">
        <f t="shared" si="5142"/>
        <v>0</v>
      </c>
      <c r="EA306" s="2">
        <f t="shared" si="5142"/>
        <v>0</v>
      </c>
      <c r="EB306" s="2">
        <f t="shared" si="5142"/>
        <v>0</v>
      </c>
      <c r="EC306" s="2">
        <f t="shared" si="5142"/>
        <v>0</v>
      </c>
      <c r="ED306" s="2">
        <f t="shared" ref="ED306:EE306" si="5143">(X306*$I306+AS306*$AD306+BN306*$AY306)/100</f>
        <v>0</v>
      </c>
      <c r="EE306" s="2">
        <f t="shared" si="5143"/>
        <v>0</v>
      </c>
      <c r="EF306" s="2"/>
      <c r="EG306" s="2">
        <f t="shared" si="4374"/>
        <v>0</v>
      </c>
      <c r="EH306" s="2">
        <f t="shared" si="4375"/>
        <v>0</v>
      </c>
      <c r="EI306" s="39">
        <f t="shared" si="4376"/>
        <v>3.9936769920000001</v>
      </c>
      <c r="EJ306" s="39">
        <f t="shared" ref="EJ306:EK306" si="5144">EJ$1*DQ306/1000000</f>
        <v>0</v>
      </c>
      <c r="EK306" s="39">
        <f t="shared" si="5144"/>
        <v>0</v>
      </c>
      <c r="EL306" s="39">
        <f t="shared" ref="EL306:EQ306" si="5145">EL$1*DS306</f>
        <v>0</v>
      </c>
      <c r="EM306" s="39">
        <f t="shared" si="5145"/>
        <v>0</v>
      </c>
      <c r="EN306" s="39">
        <f t="shared" si="5145"/>
        <v>0</v>
      </c>
      <c r="EO306" s="39">
        <f t="shared" si="5145"/>
        <v>0</v>
      </c>
      <c r="EP306" s="39">
        <f t="shared" si="5145"/>
        <v>2512.2122608000004</v>
      </c>
      <c r="EQ306" s="39">
        <f t="shared" si="5145"/>
        <v>239.73157262879997</v>
      </c>
      <c r="ER306" s="39">
        <f t="shared" ref="ER306:EV306" si="5146">ER$1*DY306/1000000</f>
        <v>0</v>
      </c>
      <c r="ES306" s="39">
        <f t="shared" si="5146"/>
        <v>0</v>
      </c>
      <c r="ET306" s="39">
        <f t="shared" si="5146"/>
        <v>0</v>
      </c>
      <c r="EU306" s="39">
        <f t="shared" si="5146"/>
        <v>0</v>
      </c>
      <c r="EV306" s="39">
        <f t="shared" si="5146"/>
        <v>0</v>
      </c>
      <c r="EW306" s="39">
        <f t="shared" ref="EW306:EX306" si="5147">EW$1*ED306</f>
        <v>0</v>
      </c>
      <c r="EX306" s="39">
        <f t="shared" si="5147"/>
        <v>0</v>
      </c>
      <c r="EY306" s="2"/>
      <c r="EZ306" s="39">
        <f t="shared" si="4381"/>
        <v>0</v>
      </c>
      <c r="FA306" s="39">
        <f t="shared" si="4382"/>
        <v>0</v>
      </c>
      <c r="FB306" s="2">
        <f t="shared" si="4383"/>
        <v>8.9102000000000001E-3</v>
      </c>
      <c r="FC306" s="2">
        <f t="shared" ref="FC306:FD306" si="5148">BV306*$BT306+CQ306*$CO306</f>
        <v>0</v>
      </c>
      <c r="FD306" s="2">
        <f t="shared" si="5148"/>
        <v>0</v>
      </c>
      <c r="FE306" s="2">
        <f t="shared" ref="FE306:FJ306" si="5149">(BX306*$BT306+CS306*$CO306)/100</f>
        <v>0</v>
      </c>
      <c r="FF306" s="2">
        <f t="shared" si="5149"/>
        <v>0</v>
      </c>
      <c r="FG306" s="2">
        <f t="shared" si="5149"/>
        <v>0</v>
      </c>
      <c r="FH306" s="2">
        <f t="shared" si="5149"/>
        <v>0</v>
      </c>
      <c r="FI306" s="2">
        <f t="shared" si="5149"/>
        <v>2.4674399999999999E-2</v>
      </c>
      <c r="FJ306" s="2">
        <f t="shared" si="5149"/>
        <v>3.7697000000000004E-3</v>
      </c>
      <c r="FK306" s="2">
        <f t="shared" ref="FK306:FO306" si="5150">CD306*$BT306+CY306*$CO306</f>
        <v>0</v>
      </c>
      <c r="FL306" s="2">
        <f t="shared" si="5150"/>
        <v>0</v>
      </c>
      <c r="FM306" s="2">
        <f t="shared" si="5150"/>
        <v>0</v>
      </c>
      <c r="FN306" s="2">
        <f t="shared" si="5150"/>
        <v>0</v>
      </c>
      <c r="FO306" s="2">
        <f t="shared" si="5150"/>
        <v>0</v>
      </c>
      <c r="FP306" s="2">
        <f t="shared" ref="FP306:FQ306" si="5151">(CI306*$BT306+DD306*$CO306)/100</f>
        <v>0</v>
      </c>
      <c r="FQ306" s="2">
        <f t="shared" si="5151"/>
        <v>0</v>
      </c>
      <c r="FR306" s="2"/>
      <c r="FS306" s="2">
        <f t="shared" si="4388"/>
        <v>0</v>
      </c>
      <c r="FT306" s="2">
        <f t="shared" si="4389"/>
        <v>0</v>
      </c>
      <c r="FU306" s="39">
        <f t="shared" si="4390"/>
        <v>58.144543683199998</v>
      </c>
      <c r="FV306" s="39">
        <f t="shared" ref="FV306:FW306" si="5152">FV$1*FC306/1000000</f>
        <v>0</v>
      </c>
      <c r="FW306" s="39">
        <f t="shared" si="5152"/>
        <v>0</v>
      </c>
      <c r="FX306" s="39">
        <f t="shared" ref="FX306:GC306" si="5153">FX$1*FE306</f>
        <v>0</v>
      </c>
      <c r="FY306" s="39">
        <f t="shared" si="5153"/>
        <v>0</v>
      </c>
      <c r="FZ306" s="39">
        <f t="shared" si="5153"/>
        <v>0</v>
      </c>
      <c r="GA306" s="39">
        <f t="shared" si="5153"/>
        <v>0</v>
      </c>
      <c r="GB306" s="39">
        <f t="shared" si="5153"/>
        <v>323.58008159999997</v>
      </c>
      <c r="GC306" s="39">
        <f t="shared" si="5153"/>
        <v>273.75381962279999</v>
      </c>
      <c r="GD306" s="39">
        <f t="shared" ref="GD306:GH306" si="5154">GD$1*FK306/1000000</f>
        <v>0</v>
      </c>
      <c r="GE306" s="39">
        <f t="shared" si="5154"/>
        <v>0</v>
      </c>
      <c r="GF306" s="39">
        <f t="shared" si="5154"/>
        <v>0</v>
      </c>
      <c r="GG306" s="39">
        <f t="shared" si="5154"/>
        <v>0</v>
      </c>
      <c r="GH306" s="39">
        <f t="shared" si="5154"/>
        <v>0</v>
      </c>
      <c r="GI306" s="39">
        <f t="shared" ref="GI306:GJ306" si="5155">GI$1*FP306</f>
        <v>0</v>
      </c>
      <c r="GJ306" s="39">
        <f t="shared" si="5155"/>
        <v>0</v>
      </c>
      <c r="GK306" s="2"/>
      <c r="GL306" s="39">
        <f t="shared" si="4395"/>
        <v>0</v>
      </c>
      <c r="GM306" s="39">
        <f t="shared" si="4396"/>
        <v>0</v>
      </c>
      <c r="GN306" s="2" t="s">
        <v>3</v>
      </c>
      <c r="GO306" s="4">
        <f t="shared" si="4397"/>
        <v>30.835999999999999</v>
      </c>
      <c r="GP306" s="4">
        <f t="shared" si="4398"/>
        <v>0.62124529770398251</v>
      </c>
      <c r="GQ306" s="15">
        <f t="shared" si="4399"/>
        <v>191.56720000000004</v>
      </c>
      <c r="GR306" s="15">
        <f t="shared" si="4400"/>
        <v>2755.9375104208002</v>
      </c>
      <c r="GS306" s="15">
        <f t="shared" si="4401"/>
        <v>89.374027449111438</v>
      </c>
      <c r="GT306" s="2">
        <f t="shared" si="4402"/>
        <v>0</v>
      </c>
      <c r="GU306" s="2">
        <f t="shared" si="4403"/>
        <v>70.058800000000005</v>
      </c>
      <c r="GV306" s="2">
        <f t="shared" si="4404"/>
        <v>121.50840000000002</v>
      </c>
      <c r="GW306" s="2">
        <f t="shared" si="4405"/>
        <v>3.427</v>
      </c>
      <c r="GX306" s="4">
        <f>(BT306*CB306+CO306*CW306)/GW306</f>
        <v>0.72</v>
      </c>
      <c r="GY306" s="15">
        <f>1000*GW306*GX306/100</f>
        <v>24.674400000000002</v>
      </c>
      <c r="GZ306" s="15">
        <f>SUM(FU306:GM306)</f>
        <v>655.47844490600005</v>
      </c>
      <c r="HA306" s="15">
        <f>GZ306/GW306</f>
        <v>191.268878</v>
      </c>
      <c r="HB306" s="2">
        <f t="shared" si="4406"/>
        <v>0</v>
      </c>
      <c r="HC306" s="2">
        <f t="shared" si="4407"/>
        <v>24.674400000000002</v>
      </c>
      <c r="HD306" s="2" t="s">
        <v>3</v>
      </c>
      <c r="HE306" s="2" t="s">
        <v>89</v>
      </c>
      <c r="HF306" s="2" t="s">
        <v>137</v>
      </c>
      <c r="HG306" s="2"/>
      <c r="HH306" s="2"/>
      <c r="HI306" s="2" t="s">
        <v>81</v>
      </c>
      <c r="HJ306" s="2" t="s">
        <v>3</v>
      </c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 t="s">
        <v>3</v>
      </c>
    </row>
    <row r="307" spans="1:268" ht="15.75" customHeight="1" x14ac:dyDescent="0.2">
      <c r="A307" s="16" t="s">
        <v>711</v>
      </c>
      <c r="B307" s="2" t="s">
        <v>120</v>
      </c>
      <c r="C307" s="2"/>
      <c r="D307" s="2"/>
      <c r="E307" s="2" t="s">
        <v>179</v>
      </c>
      <c r="F307" s="2" t="s">
        <v>250</v>
      </c>
      <c r="G307" s="2"/>
      <c r="H307" s="2" t="s">
        <v>181</v>
      </c>
      <c r="I307" s="2">
        <v>0</v>
      </c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>
        <v>2.6</v>
      </c>
      <c r="AE307" s="4">
        <v>0.1</v>
      </c>
      <c r="AF307" s="2"/>
      <c r="AG307" s="2"/>
      <c r="AH307" s="2"/>
      <c r="AI307" s="2"/>
      <c r="AJ307" s="2"/>
      <c r="AK307" s="2"/>
      <c r="AL307" s="4">
        <v>1.6</v>
      </c>
      <c r="AM307" s="2">
        <v>0.05</v>
      </c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>
        <v>0.9</v>
      </c>
      <c r="AZ307" s="4">
        <v>0.1</v>
      </c>
      <c r="BA307" s="2"/>
      <c r="BB307" s="2"/>
      <c r="BC307" s="2"/>
      <c r="BD307" s="2"/>
      <c r="BE307" s="2"/>
      <c r="BF307" s="2"/>
      <c r="BG307" s="4">
        <v>1.17</v>
      </c>
      <c r="BH307" s="2">
        <v>0.05</v>
      </c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>
        <v>0</v>
      </c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>
        <v>0</v>
      </c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 t="s">
        <v>81</v>
      </c>
      <c r="DK307" s="2" t="s">
        <v>81</v>
      </c>
      <c r="DL307" s="2">
        <f t="shared" si="4367"/>
        <v>1.4894285714285715</v>
      </c>
      <c r="DM307" s="2">
        <f t="shared" si="4368"/>
        <v>0.05</v>
      </c>
      <c r="DN307" s="2" t="s">
        <v>251</v>
      </c>
      <c r="DO307" s="2" t="s">
        <v>3</v>
      </c>
      <c r="DP307" s="2">
        <f t="shared" si="4369"/>
        <v>3.5000000000000005E-3</v>
      </c>
      <c r="DQ307" s="2">
        <f t="shared" ref="DQ307:DR307" si="5156">K307*$I307+AF307*$AD307+BA307*$AY307</f>
        <v>0</v>
      </c>
      <c r="DR307" s="2">
        <f t="shared" si="5156"/>
        <v>0</v>
      </c>
      <c r="DS307" s="2">
        <f t="shared" ref="DS307:DX307" si="5157">(M307*$I307+AH307*$AD307+BC307*$AY307)/100</f>
        <v>0</v>
      </c>
      <c r="DT307" s="2">
        <f t="shared" si="5157"/>
        <v>0</v>
      </c>
      <c r="DU307" s="2">
        <f t="shared" si="5157"/>
        <v>0</v>
      </c>
      <c r="DV307" s="2">
        <f t="shared" si="5157"/>
        <v>0</v>
      </c>
      <c r="DW307" s="2">
        <f t="shared" si="5157"/>
        <v>5.2130000000000003E-2</v>
      </c>
      <c r="DX307" s="2">
        <f t="shared" si="5157"/>
        <v>1.7500000000000003E-3</v>
      </c>
      <c r="DY307" s="2">
        <f t="shared" ref="DY307:EC307" si="5158">S307*$I307+AN307*$AD307+BI307*$AY307</f>
        <v>0</v>
      </c>
      <c r="DZ307" s="2">
        <f t="shared" si="5158"/>
        <v>0</v>
      </c>
      <c r="EA307" s="2">
        <f t="shared" si="5158"/>
        <v>0</v>
      </c>
      <c r="EB307" s="2">
        <f t="shared" si="5158"/>
        <v>0</v>
      </c>
      <c r="EC307" s="2">
        <f t="shared" si="5158"/>
        <v>0</v>
      </c>
      <c r="ED307" s="2">
        <f t="shared" ref="ED307:EE307" si="5159">(X307*$I307+AS307*$AD307+BN307*$AY307)/100</f>
        <v>0</v>
      </c>
      <c r="EE307" s="2">
        <f t="shared" si="5159"/>
        <v>0</v>
      </c>
      <c r="EF307" s="2"/>
      <c r="EG307" s="2">
        <f t="shared" si="4374"/>
        <v>0</v>
      </c>
      <c r="EH307" s="2">
        <f t="shared" si="4375"/>
        <v>0</v>
      </c>
      <c r="EI307" s="39">
        <f t="shared" si="4376"/>
        <v>22.839656000000002</v>
      </c>
      <c r="EJ307" s="39">
        <f t="shared" ref="EJ307:EK307" si="5160">EJ$1*DQ307/1000000</f>
        <v>0</v>
      </c>
      <c r="EK307" s="39">
        <f t="shared" si="5160"/>
        <v>0</v>
      </c>
      <c r="EL307" s="39">
        <f t="shared" ref="EL307:EQ307" si="5161">EL$1*DS307</f>
        <v>0</v>
      </c>
      <c r="EM307" s="39">
        <f t="shared" si="5161"/>
        <v>0</v>
      </c>
      <c r="EN307" s="39">
        <f t="shared" si="5161"/>
        <v>0</v>
      </c>
      <c r="EO307" s="39">
        <f t="shared" si="5161"/>
        <v>0</v>
      </c>
      <c r="EP307" s="39">
        <f t="shared" si="5161"/>
        <v>683.63282000000004</v>
      </c>
      <c r="EQ307" s="39">
        <f t="shared" si="5161"/>
        <v>127.08416700000001</v>
      </c>
      <c r="ER307" s="39">
        <f t="shared" ref="ER307:EV307" si="5162">ER$1*DY307/1000000</f>
        <v>0</v>
      </c>
      <c r="ES307" s="39">
        <f t="shared" si="5162"/>
        <v>0</v>
      </c>
      <c r="ET307" s="39">
        <f t="shared" si="5162"/>
        <v>0</v>
      </c>
      <c r="EU307" s="39">
        <f t="shared" si="5162"/>
        <v>0</v>
      </c>
      <c r="EV307" s="39">
        <f t="shared" si="5162"/>
        <v>0</v>
      </c>
      <c r="EW307" s="39">
        <f t="shared" ref="EW307:EX307" si="5163">EW$1*ED307</f>
        <v>0</v>
      </c>
      <c r="EX307" s="39">
        <f t="shared" si="5163"/>
        <v>0</v>
      </c>
      <c r="EY307" s="2"/>
      <c r="EZ307" s="39">
        <f t="shared" si="4381"/>
        <v>0</v>
      </c>
      <c r="FA307" s="39">
        <f t="shared" si="4382"/>
        <v>0</v>
      </c>
      <c r="FB307" s="2">
        <f t="shared" si="4383"/>
        <v>0</v>
      </c>
      <c r="FC307" s="2">
        <f t="shared" ref="FC307:FD307" si="5164">BV307*$BT307+CQ307*$CO307</f>
        <v>0</v>
      </c>
      <c r="FD307" s="2">
        <f t="shared" si="5164"/>
        <v>0</v>
      </c>
      <c r="FE307" s="2">
        <f t="shared" ref="FE307:FJ307" si="5165">(BX307*$BT307+CS307*$CO307)/100</f>
        <v>0</v>
      </c>
      <c r="FF307" s="2">
        <f t="shared" si="5165"/>
        <v>0</v>
      </c>
      <c r="FG307" s="2">
        <f t="shared" si="5165"/>
        <v>0</v>
      </c>
      <c r="FH307" s="2">
        <f t="shared" si="5165"/>
        <v>0</v>
      </c>
      <c r="FI307" s="2">
        <f t="shared" si="5165"/>
        <v>0</v>
      </c>
      <c r="FJ307" s="2">
        <f t="shared" si="5165"/>
        <v>0</v>
      </c>
      <c r="FK307" s="2">
        <f t="shared" ref="FK307:FO307" si="5166">CD307*$BT307+CY307*$CO307</f>
        <v>0</v>
      </c>
      <c r="FL307" s="2">
        <f t="shared" si="5166"/>
        <v>0</v>
      </c>
      <c r="FM307" s="2">
        <f t="shared" si="5166"/>
        <v>0</v>
      </c>
      <c r="FN307" s="2">
        <f t="shared" si="5166"/>
        <v>0</v>
      </c>
      <c r="FO307" s="2">
        <f t="shared" si="5166"/>
        <v>0</v>
      </c>
      <c r="FP307" s="2">
        <f t="shared" ref="FP307:FQ307" si="5167">(CI307*$BT307+DD307*$CO307)/100</f>
        <v>0</v>
      </c>
      <c r="FQ307" s="2">
        <f t="shared" si="5167"/>
        <v>0</v>
      </c>
      <c r="FR307" s="2"/>
      <c r="FS307" s="2">
        <f t="shared" si="4388"/>
        <v>0</v>
      </c>
      <c r="FT307" s="2">
        <f t="shared" si="4389"/>
        <v>0</v>
      </c>
      <c r="FU307" s="39">
        <f t="shared" si="4390"/>
        <v>0</v>
      </c>
      <c r="FV307" s="39">
        <f t="shared" ref="FV307:FW307" si="5168">FV$1*FC307/1000000</f>
        <v>0</v>
      </c>
      <c r="FW307" s="39">
        <f t="shared" si="5168"/>
        <v>0</v>
      </c>
      <c r="FX307" s="39">
        <f t="shared" ref="FX307:GC307" si="5169">FX$1*FE307</f>
        <v>0</v>
      </c>
      <c r="FY307" s="39">
        <f t="shared" si="5169"/>
        <v>0</v>
      </c>
      <c r="FZ307" s="39">
        <f t="shared" si="5169"/>
        <v>0</v>
      </c>
      <c r="GA307" s="39">
        <f t="shared" si="5169"/>
        <v>0</v>
      </c>
      <c r="GB307" s="39">
        <f t="shared" si="5169"/>
        <v>0</v>
      </c>
      <c r="GC307" s="39">
        <f t="shared" si="5169"/>
        <v>0</v>
      </c>
      <c r="GD307" s="39">
        <f t="shared" ref="GD307:GH307" si="5170">GD$1*FK307/1000000</f>
        <v>0</v>
      </c>
      <c r="GE307" s="39">
        <f t="shared" si="5170"/>
        <v>0</v>
      </c>
      <c r="GF307" s="39">
        <f t="shared" si="5170"/>
        <v>0</v>
      </c>
      <c r="GG307" s="39">
        <f t="shared" si="5170"/>
        <v>0</v>
      </c>
      <c r="GH307" s="39">
        <f t="shared" si="5170"/>
        <v>0</v>
      </c>
      <c r="GI307" s="39">
        <f t="shared" ref="GI307:GJ307" si="5171">GI$1*FP307</f>
        <v>0</v>
      </c>
      <c r="GJ307" s="39">
        <f t="shared" si="5171"/>
        <v>0</v>
      </c>
      <c r="GK307" s="2"/>
      <c r="GL307" s="39">
        <f t="shared" si="4395"/>
        <v>0</v>
      </c>
      <c r="GM307" s="39">
        <f t="shared" si="4396"/>
        <v>0</v>
      </c>
      <c r="GN307" s="2" t="s">
        <v>3</v>
      </c>
      <c r="GO307" s="2">
        <f t="shared" si="4397"/>
        <v>3.5</v>
      </c>
      <c r="GP307" s="4">
        <f t="shared" si="4398"/>
        <v>1.4894285714285715</v>
      </c>
      <c r="GQ307" s="15">
        <f t="shared" si="4399"/>
        <v>52.13</v>
      </c>
      <c r="GR307" s="15">
        <f t="shared" si="4400"/>
        <v>833.55664300000001</v>
      </c>
      <c r="GS307" s="15">
        <f t="shared" si="4401"/>
        <v>238.15904085714286</v>
      </c>
      <c r="GT307" s="2">
        <f t="shared" si="4402"/>
        <v>0</v>
      </c>
      <c r="GU307" s="2">
        <f t="shared" si="4403"/>
        <v>41.6</v>
      </c>
      <c r="GV307" s="2">
        <f t="shared" si="4404"/>
        <v>10.53</v>
      </c>
      <c r="GW307" s="2">
        <f t="shared" si="4405"/>
        <v>0</v>
      </c>
      <c r="GX307" s="2"/>
      <c r="GY307" s="2"/>
      <c r="GZ307" s="2"/>
      <c r="HA307" s="2"/>
      <c r="HB307" s="2">
        <f t="shared" si="4406"/>
        <v>0</v>
      </c>
      <c r="HC307" s="2">
        <f t="shared" si="4407"/>
        <v>0</v>
      </c>
      <c r="HD307" s="2" t="s">
        <v>3</v>
      </c>
      <c r="HE307" s="2" t="s">
        <v>89</v>
      </c>
      <c r="HF307" s="2" t="s">
        <v>137</v>
      </c>
      <c r="HG307" s="2"/>
      <c r="HH307" s="2"/>
      <c r="HI307" s="2" t="s">
        <v>81</v>
      </c>
      <c r="HJ307" s="2" t="s">
        <v>3</v>
      </c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 t="s">
        <v>3</v>
      </c>
    </row>
    <row r="308" spans="1:268" ht="15.75" customHeight="1" x14ac:dyDescent="0.2">
      <c r="A308" s="16" t="s">
        <v>907</v>
      </c>
      <c r="B308" s="2" t="s">
        <v>99</v>
      </c>
      <c r="C308" s="2"/>
      <c r="D308" s="2"/>
      <c r="E308" s="2" t="s">
        <v>179</v>
      </c>
      <c r="F308" s="2" t="s">
        <v>385</v>
      </c>
      <c r="G308" s="2"/>
      <c r="H308" s="2" t="s">
        <v>181</v>
      </c>
      <c r="I308" s="2">
        <v>0</v>
      </c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19">
        <f>0.340126+3.318468</f>
        <v>3.6585940000000003</v>
      </c>
      <c r="AE308" s="2"/>
      <c r="AF308" s="2"/>
      <c r="AG308" s="2"/>
      <c r="AH308" s="2"/>
      <c r="AI308" s="2"/>
      <c r="AJ308" s="2"/>
      <c r="AK308" s="2"/>
      <c r="AL308" s="15">
        <f>(3.3*0.340126+1.2*3.318468)/AD308</f>
        <v>1.3952292602021432</v>
      </c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19">
        <f>0.078067+2.496658</f>
        <v>2.5747249999999999</v>
      </c>
      <c r="AZ308" s="2"/>
      <c r="BA308" s="2"/>
      <c r="BB308" s="2"/>
      <c r="BC308" s="2"/>
      <c r="BD308" s="2"/>
      <c r="BE308" s="2"/>
      <c r="BF308" s="2"/>
      <c r="BG308" s="15">
        <f>(3.9*0.078067+1.3*2.496658)/AY308</f>
        <v>1.3788333511345872</v>
      </c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>
        <v>0</v>
      </c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>
        <v>0</v>
      </c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 t="s">
        <v>81</v>
      </c>
      <c r="DK308" s="2"/>
      <c r="DL308" s="2">
        <f t="shared" si="4367"/>
        <v>1.3884567916386119</v>
      </c>
      <c r="DM308" s="2">
        <f t="shared" si="4368"/>
        <v>0</v>
      </c>
      <c r="DN308" s="2" t="s">
        <v>211</v>
      </c>
      <c r="DO308" s="2" t="s">
        <v>3</v>
      </c>
      <c r="DP308" s="2">
        <f t="shared" si="4369"/>
        <v>0</v>
      </c>
      <c r="DQ308" s="2">
        <f t="shared" ref="DQ308:DR308" si="5172">K308*$I308+AF308*$AD308+BA308*$AY308</f>
        <v>0</v>
      </c>
      <c r="DR308" s="2">
        <f t="shared" si="5172"/>
        <v>0</v>
      </c>
      <c r="DS308" s="2">
        <f t="shared" ref="DS308:DX308" si="5173">(M308*$I308+AH308*$AD308+BC308*$AY308)/100</f>
        <v>0</v>
      </c>
      <c r="DT308" s="2">
        <f t="shared" si="5173"/>
        <v>0</v>
      </c>
      <c r="DU308" s="2">
        <f t="shared" si="5173"/>
        <v>0</v>
      </c>
      <c r="DV308" s="2">
        <f t="shared" si="5173"/>
        <v>0</v>
      </c>
      <c r="DW308" s="2">
        <f t="shared" si="5173"/>
        <v>8.6546941000000002E-2</v>
      </c>
      <c r="DX308" s="2">
        <f t="shared" si="5173"/>
        <v>0</v>
      </c>
      <c r="DY308" s="2">
        <f t="shared" ref="DY308:EC308" si="5174">S308*$I308+AN308*$AD308+BI308*$AY308</f>
        <v>0</v>
      </c>
      <c r="DZ308" s="2">
        <f t="shared" si="5174"/>
        <v>0</v>
      </c>
      <c r="EA308" s="2">
        <f t="shared" si="5174"/>
        <v>0</v>
      </c>
      <c r="EB308" s="2">
        <f t="shared" si="5174"/>
        <v>0</v>
      </c>
      <c r="EC308" s="2">
        <f t="shared" si="5174"/>
        <v>0</v>
      </c>
      <c r="ED308" s="2">
        <f t="shared" ref="ED308:EE308" si="5175">(X308*$I308+AS308*$AD308+BN308*$AY308)/100</f>
        <v>0</v>
      </c>
      <c r="EE308" s="2">
        <f t="shared" si="5175"/>
        <v>0</v>
      </c>
      <c r="EF308" s="2"/>
      <c r="EG308" s="2">
        <f t="shared" si="4374"/>
        <v>0</v>
      </c>
      <c r="EH308" s="2">
        <f t="shared" si="4375"/>
        <v>0</v>
      </c>
      <c r="EI308" s="39">
        <f t="shared" si="4376"/>
        <v>0</v>
      </c>
      <c r="EJ308" s="39">
        <f t="shared" ref="EJ308:EK308" si="5176">EJ$1*DQ308/1000000</f>
        <v>0</v>
      </c>
      <c r="EK308" s="39">
        <f t="shared" si="5176"/>
        <v>0</v>
      </c>
      <c r="EL308" s="39">
        <f t="shared" ref="EL308:EQ308" si="5177">EL$1*DS308</f>
        <v>0</v>
      </c>
      <c r="EM308" s="39">
        <f t="shared" si="5177"/>
        <v>0</v>
      </c>
      <c r="EN308" s="39">
        <f t="shared" si="5177"/>
        <v>0</v>
      </c>
      <c r="EO308" s="39">
        <f t="shared" si="5177"/>
        <v>0</v>
      </c>
      <c r="EP308" s="39">
        <f t="shared" si="5177"/>
        <v>1134.9765842740001</v>
      </c>
      <c r="EQ308" s="39">
        <f t="shared" si="5177"/>
        <v>0</v>
      </c>
      <c r="ER308" s="39">
        <f t="shared" ref="ER308:EV308" si="5178">ER$1*DY308/1000000</f>
        <v>0</v>
      </c>
      <c r="ES308" s="39">
        <f t="shared" si="5178"/>
        <v>0</v>
      </c>
      <c r="ET308" s="39">
        <f t="shared" si="5178"/>
        <v>0</v>
      </c>
      <c r="EU308" s="39">
        <f t="shared" si="5178"/>
        <v>0</v>
      </c>
      <c r="EV308" s="39">
        <f t="shared" si="5178"/>
        <v>0</v>
      </c>
      <c r="EW308" s="39">
        <f t="shared" ref="EW308:EX308" si="5179">EW$1*ED308</f>
        <v>0</v>
      </c>
      <c r="EX308" s="39">
        <f t="shared" si="5179"/>
        <v>0</v>
      </c>
      <c r="EY308" s="2"/>
      <c r="EZ308" s="39">
        <f t="shared" si="4381"/>
        <v>0</v>
      </c>
      <c r="FA308" s="39">
        <f t="shared" si="4382"/>
        <v>0</v>
      </c>
      <c r="FB308" s="2">
        <f t="shared" si="4383"/>
        <v>0</v>
      </c>
      <c r="FC308" s="2">
        <f t="shared" ref="FC308:FD308" si="5180">BV308*$BT308+CQ308*$CO308</f>
        <v>0</v>
      </c>
      <c r="FD308" s="2">
        <f t="shared" si="5180"/>
        <v>0</v>
      </c>
      <c r="FE308" s="2">
        <f t="shared" ref="FE308:FJ308" si="5181">(BX308*$BT308+CS308*$CO308)/100</f>
        <v>0</v>
      </c>
      <c r="FF308" s="2">
        <f t="shared" si="5181"/>
        <v>0</v>
      </c>
      <c r="FG308" s="2">
        <f t="shared" si="5181"/>
        <v>0</v>
      </c>
      <c r="FH308" s="2">
        <f t="shared" si="5181"/>
        <v>0</v>
      </c>
      <c r="FI308" s="2">
        <f t="shared" si="5181"/>
        <v>0</v>
      </c>
      <c r="FJ308" s="2">
        <f t="shared" si="5181"/>
        <v>0</v>
      </c>
      <c r="FK308" s="2">
        <f t="shared" ref="FK308:FO308" si="5182">CD308*$BT308+CY308*$CO308</f>
        <v>0</v>
      </c>
      <c r="FL308" s="2">
        <f t="shared" si="5182"/>
        <v>0</v>
      </c>
      <c r="FM308" s="2">
        <f t="shared" si="5182"/>
        <v>0</v>
      </c>
      <c r="FN308" s="2">
        <f t="shared" si="5182"/>
        <v>0</v>
      </c>
      <c r="FO308" s="2">
        <f t="shared" si="5182"/>
        <v>0</v>
      </c>
      <c r="FP308" s="2">
        <f t="shared" ref="FP308:FQ308" si="5183">(CI308*$BT308+DD308*$CO308)/100</f>
        <v>0</v>
      </c>
      <c r="FQ308" s="2">
        <f t="shared" si="5183"/>
        <v>0</v>
      </c>
      <c r="FR308" s="2"/>
      <c r="FS308" s="2">
        <f t="shared" si="4388"/>
        <v>0</v>
      </c>
      <c r="FT308" s="2">
        <f t="shared" si="4389"/>
        <v>0</v>
      </c>
      <c r="FU308" s="39">
        <f t="shared" si="4390"/>
        <v>0</v>
      </c>
      <c r="FV308" s="39">
        <f t="shared" ref="FV308:FW308" si="5184">FV$1*FC308/1000000</f>
        <v>0</v>
      </c>
      <c r="FW308" s="39">
        <f t="shared" si="5184"/>
        <v>0</v>
      </c>
      <c r="FX308" s="39">
        <f t="shared" ref="FX308:GC308" si="5185">FX$1*FE308</f>
        <v>0</v>
      </c>
      <c r="FY308" s="39">
        <f t="shared" si="5185"/>
        <v>0</v>
      </c>
      <c r="FZ308" s="39">
        <f t="shared" si="5185"/>
        <v>0</v>
      </c>
      <c r="GA308" s="39">
        <f t="shared" si="5185"/>
        <v>0</v>
      </c>
      <c r="GB308" s="39">
        <f t="shared" si="5185"/>
        <v>0</v>
      </c>
      <c r="GC308" s="39">
        <f t="shared" si="5185"/>
        <v>0</v>
      </c>
      <c r="GD308" s="39">
        <f t="shared" ref="GD308:GH308" si="5186">GD$1*FK308/1000000</f>
        <v>0</v>
      </c>
      <c r="GE308" s="39">
        <f t="shared" si="5186"/>
        <v>0</v>
      </c>
      <c r="GF308" s="39">
        <f t="shared" si="5186"/>
        <v>0</v>
      </c>
      <c r="GG308" s="39">
        <f t="shared" si="5186"/>
        <v>0</v>
      </c>
      <c r="GH308" s="39">
        <f t="shared" si="5186"/>
        <v>0</v>
      </c>
      <c r="GI308" s="39">
        <f t="shared" ref="GI308:GJ308" si="5187">GI$1*FP308</f>
        <v>0</v>
      </c>
      <c r="GJ308" s="39">
        <f t="shared" si="5187"/>
        <v>0</v>
      </c>
      <c r="GK308" s="2"/>
      <c r="GL308" s="39">
        <f t="shared" si="4395"/>
        <v>0</v>
      </c>
      <c r="GM308" s="39">
        <f t="shared" si="4396"/>
        <v>0</v>
      </c>
      <c r="GN308" s="2" t="s">
        <v>3</v>
      </c>
      <c r="GO308" s="19">
        <f t="shared" si="4397"/>
        <v>6.2333189999999998</v>
      </c>
      <c r="GP308" s="4">
        <f t="shared" si="4398"/>
        <v>1.3884567916386119</v>
      </c>
      <c r="GQ308" s="15">
        <f t="shared" si="4399"/>
        <v>86.546941000000004</v>
      </c>
      <c r="GR308" s="15">
        <f t="shared" si="4400"/>
        <v>1134.9765842740001</v>
      </c>
      <c r="GS308" s="15">
        <f t="shared" si="4401"/>
        <v>182.08222365548755</v>
      </c>
      <c r="GT308" s="2">
        <f t="shared" si="4402"/>
        <v>0</v>
      </c>
      <c r="GU308" s="2">
        <f t="shared" si="4403"/>
        <v>51.045774000000002</v>
      </c>
      <c r="GV308" s="2">
        <f t="shared" si="4404"/>
        <v>35.501166999999995</v>
      </c>
      <c r="GW308" s="2">
        <f t="shared" si="4405"/>
        <v>0</v>
      </c>
      <c r="GX308" s="2"/>
      <c r="GY308" s="2"/>
      <c r="GZ308" s="2"/>
      <c r="HA308" s="2"/>
      <c r="HB308" s="2">
        <f t="shared" si="4406"/>
        <v>0</v>
      </c>
      <c r="HC308" s="2">
        <f t="shared" si="4407"/>
        <v>0</v>
      </c>
      <c r="HD308" s="2" t="s">
        <v>3</v>
      </c>
      <c r="HE308" s="2" t="s">
        <v>89</v>
      </c>
      <c r="HF308" s="2" t="s">
        <v>137</v>
      </c>
      <c r="HG308" s="2"/>
      <c r="HH308" s="2"/>
      <c r="HI308" s="2" t="s">
        <v>81</v>
      </c>
      <c r="HJ308" s="2" t="s">
        <v>3</v>
      </c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 t="s">
        <v>3</v>
      </c>
    </row>
    <row r="309" spans="1:268" ht="15.75" customHeight="1" x14ac:dyDescent="0.2">
      <c r="A309" s="16" t="s">
        <v>906</v>
      </c>
      <c r="B309" s="2" t="s">
        <v>120</v>
      </c>
      <c r="C309" s="2"/>
      <c r="D309" s="2"/>
      <c r="E309" s="2" t="s">
        <v>179</v>
      </c>
      <c r="F309" s="2" t="s">
        <v>828</v>
      </c>
      <c r="G309" s="2"/>
      <c r="H309" s="2" t="s">
        <v>181</v>
      </c>
      <c r="I309" s="2">
        <v>0</v>
      </c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>
        <v>0</v>
      </c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19">
        <v>0.59130000000000005</v>
      </c>
      <c r="AZ309" s="2"/>
      <c r="BA309" s="2"/>
      <c r="BB309" s="2"/>
      <c r="BC309" s="2"/>
      <c r="BD309" s="2"/>
      <c r="BE309" s="2"/>
      <c r="BF309" s="2"/>
      <c r="BG309" s="2">
        <v>2.2000000000000002</v>
      </c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>
        <v>0</v>
      </c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>
        <v>0</v>
      </c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 t="s">
        <v>81</v>
      </c>
      <c r="DK309" s="2"/>
      <c r="DL309" s="2">
        <f t="shared" si="4367"/>
        <v>2.2000000000000002</v>
      </c>
      <c r="DM309" s="2">
        <f t="shared" si="4368"/>
        <v>0</v>
      </c>
      <c r="DN309" s="2" t="s">
        <v>175</v>
      </c>
      <c r="DO309" s="2" t="s">
        <v>3</v>
      </c>
      <c r="DP309" s="2">
        <f t="shared" si="4369"/>
        <v>0</v>
      </c>
      <c r="DQ309" s="2">
        <f t="shared" ref="DQ309:DR309" si="5188">K309*$I309+AF309*$AD309+BA309*$AY309</f>
        <v>0</v>
      </c>
      <c r="DR309" s="2">
        <f t="shared" si="5188"/>
        <v>0</v>
      </c>
      <c r="DS309" s="2">
        <f t="shared" ref="DS309:DX309" si="5189">(M309*$I309+AH309*$AD309+BC309*$AY309)/100</f>
        <v>0</v>
      </c>
      <c r="DT309" s="2">
        <f t="shared" si="5189"/>
        <v>0</v>
      </c>
      <c r="DU309" s="2">
        <f t="shared" si="5189"/>
        <v>0</v>
      </c>
      <c r="DV309" s="2">
        <f t="shared" si="5189"/>
        <v>0</v>
      </c>
      <c r="DW309" s="2">
        <f t="shared" si="5189"/>
        <v>1.3008600000000002E-2</v>
      </c>
      <c r="DX309" s="2">
        <f t="shared" si="5189"/>
        <v>0</v>
      </c>
      <c r="DY309" s="2">
        <f t="shared" ref="DY309:EC309" si="5190">S309*$I309+AN309*$AD309+BI309*$AY309</f>
        <v>0</v>
      </c>
      <c r="DZ309" s="2">
        <f t="shared" si="5190"/>
        <v>0</v>
      </c>
      <c r="EA309" s="2">
        <f t="shared" si="5190"/>
        <v>0</v>
      </c>
      <c r="EB309" s="2">
        <f t="shared" si="5190"/>
        <v>0</v>
      </c>
      <c r="EC309" s="2">
        <f t="shared" si="5190"/>
        <v>0</v>
      </c>
      <c r="ED309" s="2">
        <f t="shared" ref="ED309:EE309" si="5191">(X309*$I309+AS309*$AD309+BN309*$AY309)/100</f>
        <v>0</v>
      </c>
      <c r="EE309" s="2">
        <f t="shared" si="5191"/>
        <v>0</v>
      </c>
      <c r="EF309" s="2"/>
      <c r="EG309" s="2">
        <f t="shared" si="4374"/>
        <v>0</v>
      </c>
      <c r="EH309" s="2">
        <f t="shared" si="4375"/>
        <v>0</v>
      </c>
      <c r="EI309" s="39">
        <f t="shared" si="4376"/>
        <v>0</v>
      </c>
      <c r="EJ309" s="39">
        <f t="shared" ref="EJ309:EK309" si="5192">EJ$1*DQ309/1000000</f>
        <v>0</v>
      </c>
      <c r="EK309" s="39">
        <f t="shared" si="5192"/>
        <v>0</v>
      </c>
      <c r="EL309" s="39">
        <f t="shared" ref="EL309:EQ309" si="5193">EL$1*DS309</f>
        <v>0</v>
      </c>
      <c r="EM309" s="39">
        <f t="shared" si="5193"/>
        <v>0</v>
      </c>
      <c r="EN309" s="39">
        <f t="shared" si="5193"/>
        <v>0</v>
      </c>
      <c r="EO309" s="39">
        <f t="shared" si="5193"/>
        <v>0</v>
      </c>
      <c r="EP309" s="39">
        <f t="shared" si="5193"/>
        <v>170.59478040000002</v>
      </c>
      <c r="EQ309" s="39">
        <f t="shared" si="5193"/>
        <v>0</v>
      </c>
      <c r="ER309" s="39">
        <f t="shared" ref="ER309:EV309" si="5194">ER$1*DY309/1000000</f>
        <v>0</v>
      </c>
      <c r="ES309" s="39">
        <f t="shared" si="5194"/>
        <v>0</v>
      </c>
      <c r="ET309" s="39">
        <f t="shared" si="5194"/>
        <v>0</v>
      </c>
      <c r="EU309" s="39">
        <f t="shared" si="5194"/>
        <v>0</v>
      </c>
      <c r="EV309" s="39">
        <f t="shared" si="5194"/>
        <v>0</v>
      </c>
      <c r="EW309" s="39">
        <f t="shared" ref="EW309:EX309" si="5195">EW$1*ED309</f>
        <v>0</v>
      </c>
      <c r="EX309" s="39">
        <f t="shared" si="5195"/>
        <v>0</v>
      </c>
      <c r="EY309" s="2"/>
      <c r="EZ309" s="39">
        <f t="shared" si="4381"/>
        <v>0</v>
      </c>
      <c r="FA309" s="39">
        <f t="shared" si="4382"/>
        <v>0</v>
      </c>
      <c r="FB309" s="2">
        <f t="shared" si="4383"/>
        <v>0</v>
      </c>
      <c r="FC309" s="2">
        <f t="shared" ref="FC309:FD309" si="5196">BV309*$BT309+CQ309*$CO309</f>
        <v>0</v>
      </c>
      <c r="FD309" s="2">
        <f t="shared" si="5196"/>
        <v>0</v>
      </c>
      <c r="FE309" s="2">
        <f t="shared" ref="FE309:FJ309" si="5197">(BX309*$BT309+CS309*$CO309)/100</f>
        <v>0</v>
      </c>
      <c r="FF309" s="2">
        <f t="shared" si="5197"/>
        <v>0</v>
      </c>
      <c r="FG309" s="2">
        <f t="shared" si="5197"/>
        <v>0</v>
      </c>
      <c r="FH309" s="2">
        <f t="shared" si="5197"/>
        <v>0</v>
      </c>
      <c r="FI309" s="2">
        <f t="shared" si="5197"/>
        <v>0</v>
      </c>
      <c r="FJ309" s="2">
        <f t="shared" si="5197"/>
        <v>0</v>
      </c>
      <c r="FK309" s="2">
        <f t="shared" ref="FK309:FO309" si="5198">CD309*$BT309+CY309*$CO309</f>
        <v>0</v>
      </c>
      <c r="FL309" s="2">
        <f t="shared" si="5198"/>
        <v>0</v>
      </c>
      <c r="FM309" s="2">
        <f t="shared" si="5198"/>
        <v>0</v>
      </c>
      <c r="FN309" s="2">
        <f t="shared" si="5198"/>
        <v>0</v>
      </c>
      <c r="FO309" s="2">
        <f t="shared" si="5198"/>
        <v>0</v>
      </c>
      <c r="FP309" s="2">
        <f t="shared" ref="FP309:FQ309" si="5199">(CI309*$BT309+DD309*$CO309)/100</f>
        <v>0</v>
      </c>
      <c r="FQ309" s="2">
        <f t="shared" si="5199"/>
        <v>0</v>
      </c>
      <c r="FR309" s="2"/>
      <c r="FS309" s="2">
        <f t="shared" si="4388"/>
        <v>0</v>
      </c>
      <c r="FT309" s="2">
        <f t="shared" si="4389"/>
        <v>0</v>
      </c>
      <c r="FU309" s="39">
        <f t="shared" si="4390"/>
        <v>0</v>
      </c>
      <c r="FV309" s="39">
        <f t="shared" ref="FV309:FW309" si="5200">FV$1*FC309/1000000</f>
        <v>0</v>
      </c>
      <c r="FW309" s="39">
        <f t="shared" si="5200"/>
        <v>0</v>
      </c>
      <c r="FX309" s="39">
        <f t="shared" ref="FX309:GC309" si="5201">FX$1*FE309</f>
        <v>0</v>
      </c>
      <c r="FY309" s="39">
        <f t="shared" si="5201"/>
        <v>0</v>
      </c>
      <c r="FZ309" s="39">
        <f t="shared" si="5201"/>
        <v>0</v>
      </c>
      <c r="GA309" s="39">
        <f t="shared" si="5201"/>
        <v>0</v>
      </c>
      <c r="GB309" s="39">
        <f t="shared" si="5201"/>
        <v>0</v>
      </c>
      <c r="GC309" s="39">
        <f t="shared" si="5201"/>
        <v>0</v>
      </c>
      <c r="GD309" s="39">
        <f t="shared" ref="GD309:GH309" si="5202">GD$1*FK309/1000000</f>
        <v>0</v>
      </c>
      <c r="GE309" s="39">
        <f t="shared" si="5202"/>
        <v>0</v>
      </c>
      <c r="GF309" s="39">
        <f t="shared" si="5202"/>
        <v>0</v>
      </c>
      <c r="GG309" s="39">
        <f t="shared" si="5202"/>
        <v>0</v>
      </c>
      <c r="GH309" s="39">
        <f t="shared" si="5202"/>
        <v>0</v>
      </c>
      <c r="GI309" s="39">
        <f t="shared" ref="GI309:GJ309" si="5203">GI$1*FP309</f>
        <v>0</v>
      </c>
      <c r="GJ309" s="39">
        <f t="shared" si="5203"/>
        <v>0</v>
      </c>
      <c r="GK309" s="2"/>
      <c r="GL309" s="39">
        <f t="shared" si="4395"/>
        <v>0</v>
      </c>
      <c r="GM309" s="39">
        <f t="shared" si="4396"/>
        <v>0</v>
      </c>
      <c r="GN309" s="2" t="s">
        <v>3</v>
      </c>
      <c r="GO309" s="19">
        <f t="shared" si="4397"/>
        <v>0.59130000000000005</v>
      </c>
      <c r="GP309" s="2">
        <f t="shared" si="4398"/>
        <v>2.2000000000000002</v>
      </c>
      <c r="GQ309" s="15">
        <f t="shared" si="4399"/>
        <v>13.008600000000003</v>
      </c>
      <c r="GR309" s="15">
        <f t="shared" si="4400"/>
        <v>170.59478040000002</v>
      </c>
      <c r="GS309" s="15">
        <f t="shared" si="4401"/>
        <v>288.50799999999998</v>
      </c>
      <c r="GT309" s="2">
        <f t="shared" si="4402"/>
        <v>0</v>
      </c>
      <c r="GU309" s="2">
        <f t="shared" si="4403"/>
        <v>0</v>
      </c>
      <c r="GV309" s="2">
        <f t="shared" si="4404"/>
        <v>13.008600000000001</v>
      </c>
      <c r="GW309" s="2">
        <f t="shared" si="4405"/>
        <v>0</v>
      </c>
      <c r="GX309" s="2"/>
      <c r="GY309" s="2"/>
      <c r="GZ309" s="2"/>
      <c r="HA309" s="2"/>
      <c r="HB309" s="2">
        <f t="shared" si="4406"/>
        <v>0</v>
      </c>
      <c r="HC309" s="2">
        <f t="shared" si="4407"/>
        <v>0</v>
      </c>
      <c r="HD309" s="2" t="s">
        <v>3</v>
      </c>
      <c r="HE309" s="2" t="s">
        <v>89</v>
      </c>
      <c r="HF309" s="2" t="s">
        <v>137</v>
      </c>
      <c r="HG309" s="2"/>
      <c r="HH309" s="2"/>
      <c r="HI309" s="2" t="s">
        <v>81</v>
      </c>
      <c r="HJ309" s="2" t="s">
        <v>3</v>
      </c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 t="s">
        <v>3</v>
      </c>
    </row>
    <row r="310" spans="1:268" ht="15.75" customHeight="1" x14ac:dyDescent="0.2">
      <c r="A310" s="16" t="s">
        <v>384</v>
      </c>
      <c r="B310" s="2" t="s">
        <v>120</v>
      </c>
      <c r="C310" s="2"/>
      <c r="D310" s="2"/>
      <c r="E310" s="2" t="s">
        <v>179</v>
      </c>
      <c r="F310" s="2" t="s">
        <v>385</v>
      </c>
      <c r="G310" s="2"/>
      <c r="H310" s="2" t="s">
        <v>181</v>
      </c>
      <c r="I310" s="2">
        <v>0</v>
      </c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19">
        <f>0.1809+0.195</f>
        <v>0.37590000000000001</v>
      </c>
      <c r="AE310" s="2"/>
      <c r="AF310" s="2"/>
      <c r="AG310" s="2"/>
      <c r="AH310" s="2"/>
      <c r="AI310" s="2"/>
      <c r="AJ310" s="2"/>
      <c r="AK310" s="2"/>
      <c r="AL310" s="15">
        <f>(2.8*0.1809+2*0.195)/AD310</f>
        <v>2.3849960095770149</v>
      </c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>
        <v>0</v>
      </c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>
        <v>0</v>
      </c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>
        <v>0</v>
      </c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 t="s">
        <v>81</v>
      </c>
      <c r="DK310" s="2"/>
      <c r="DL310" s="2">
        <f t="shared" si="4367"/>
        <v>2.3849960095770149</v>
      </c>
      <c r="DM310" s="2">
        <f t="shared" si="4368"/>
        <v>0</v>
      </c>
      <c r="DN310" s="2" t="s">
        <v>211</v>
      </c>
      <c r="DO310" s="2" t="s">
        <v>3</v>
      </c>
      <c r="DP310" s="2">
        <f t="shared" si="4369"/>
        <v>0</v>
      </c>
      <c r="DQ310" s="2">
        <f t="shared" ref="DQ310:DR310" si="5204">K310*$I310+AF310*$AD310+BA310*$AY310</f>
        <v>0</v>
      </c>
      <c r="DR310" s="2">
        <f t="shared" si="5204"/>
        <v>0</v>
      </c>
      <c r="DS310" s="2">
        <f t="shared" ref="DS310:DX310" si="5205">(M310*$I310+AH310*$AD310+BC310*$AY310)/100</f>
        <v>0</v>
      </c>
      <c r="DT310" s="2">
        <f t="shared" si="5205"/>
        <v>0</v>
      </c>
      <c r="DU310" s="2">
        <f t="shared" si="5205"/>
        <v>0</v>
      </c>
      <c r="DV310" s="2">
        <f t="shared" si="5205"/>
        <v>0</v>
      </c>
      <c r="DW310" s="2">
        <f t="shared" si="5205"/>
        <v>8.9651999999999996E-3</v>
      </c>
      <c r="DX310" s="2">
        <f t="shared" si="5205"/>
        <v>0</v>
      </c>
      <c r="DY310" s="2">
        <f t="shared" ref="DY310:EC310" si="5206">S310*$I310+AN310*$AD310+BI310*$AY310</f>
        <v>0</v>
      </c>
      <c r="DZ310" s="2">
        <f t="shared" si="5206"/>
        <v>0</v>
      </c>
      <c r="EA310" s="2">
        <f t="shared" si="5206"/>
        <v>0</v>
      </c>
      <c r="EB310" s="2">
        <f t="shared" si="5206"/>
        <v>0</v>
      </c>
      <c r="EC310" s="2">
        <f t="shared" si="5206"/>
        <v>0</v>
      </c>
      <c r="ED310" s="2">
        <f t="shared" ref="ED310:EE310" si="5207">(X310*$I310+AS310*$AD310+BN310*$AY310)/100</f>
        <v>0</v>
      </c>
      <c r="EE310" s="2">
        <f t="shared" si="5207"/>
        <v>0</v>
      </c>
      <c r="EF310" s="2"/>
      <c r="EG310" s="2">
        <f t="shared" si="4374"/>
        <v>0</v>
      </c>
      <c r="EH310" s="2">
        <f t="shared" si="4375"/>
        <v>0</v>
      </c>
      <c r="EI310" s="39">
        <f t="shared" si="4376"/>
        <v>0</v>
      </c>
      <c r="EJ310" s="39">
        <f t="shared" ref="EJ310:EK310" si="5208">EJ$1*DQ310/1000000</f>
        <v>0</v>
      </c>
      <c r="EK310" s="39">
        <f t="shared" si="5208"/>
        <v>0</v>
      </c>
      <c r="EL310" s="39">
        <f t="shared" ref="EL310:EQ310" si="5209">EL$1*DS310</f>
        <v>0</v>
      </c>
      <c r="EM310" s="39">
        <f t="shared" si="5209"/>
        <v>0</v>
      </c>
      <c r="EN310" s="39">
        <f t="shared" si="5209"/>
        <v>0</v>
      </c>
      <c r="EO310" s="39">
        <f t="shared" si="5209"/>
        <v>0</v>
      </c>
      <c r="EP310" s="39">
        <f t="shared" si="5209"/>
        <v>117.56963279999999</v>
      </c>
      <c r="EQ310" s="39">
        <f t="shared" si="5209"/>
        <v>0</v>
      </c>
      <c r="ER310" s="39">
        <f t="shared" ref="ER310:EV310" si="5210">ER$1*DY310/1000000</f>
        <v>0</v>
      </c>
      <c r="ES310" s="39">
        <f t="shared" si="5210"/>
        <v>0</v>
      </c>
      <c r="ET310" s="39">
        <f t="shared" si="5210"/>
        <v>0</v>
      </c>
      <c r="EU310" s="39">
        <f t="shared" si="5210"/>
        <v>0</v>
      </c>
      <c r="EV310" s="39">
        <f t="shared" si="5210"/>
        <v>0</v>
      </c>
      <c r="EW310" s="39">
        <f t="shared" ref="EW310:EX310" si="5211">EW$1*ED310</f>
        <v>0</v>
      </c>
      <c r="EX310" s="39">
        <f t="shared" si="5211"/>
        <v>0</v>
      </c>
      <c r="EY310" s="2"/>
      <c r="EZ310" s="39">
        <f t="shared" si="4381"/>
        <v>0</v>
      </c>
      <c r="FA310" s="39">
        <f t="shared" si="4382"/>
        <v>0</v>
      </c>
      <c r="FB310" s="2">
        <f t="shared" si="4383"/>
        <v>0</v>
      </c>
      <c r="FC310" s="2">
        <f t="shared" ref="FC310:FD310" si="5212">BV310*$BT310+CQ310*$CO310</f>
        <v>0</v>
      </c>
      <c r="FD310" s="2">
        <f t="shared" si="5212"/>
        <v>0</v>
      </c>
      <c r="FE310" s="2">
        <f t="shared" ref="FE310:FJ310" si="5213">(BX310*$BT310+CS310*$CO310)/100</f>
        <v>0</v>
      </c>
      <c r="FF310" s="2">
        <f t="shared" si="5213"/>
        <v>0</v>
      </c>
      <c r="FG310" s="2">
        <f t="shared" si="5213"/>
        <v>0</v>
      </c>
      <c r="FH310" s="2">
        <f t="shared" si="5213"/>
        <v>0</v>
      </c>
      <c r="FI310" s="2">
        <f t="shared" si="5213"/>
        <v>0</v>
      </c>
      <c r="FJ310" s="2">
        <f t="shared" si="5213"/>
        <v>0</v>
      </c>
      <c r="FK310" s="2">
        <f t="shared" ref="FK310:FO310" si="5214">CD310*$BT310+CY310*$CO310</f>
        <v>0</v>
      </c>
      <c r="FL310" s="2">
        <f t="shared" si="5214"/>
        <v>0</v>
      </c>
      <c r="FM310" s="2">
        <f t="shared" si="5214"/>
        <v>0</v>
      </c>
      <c r="FN310" s="2">
        <f t="shared" si="5214"/>
        <v>0</v>
      </c>
      <c r="FO310" s="2">
        <f t="shared" si="5214"/>
        <v>0</v>
      </c>
      <c r="FP310" s="2">
        <f t="shared" ref="FP310:FQ310" si="5215">(CI310*$BT310+DD310*$CO310)/100</f>
        <v>0</v>
      </c>
      <c r="FQ310" s="2">
        <f t="shared" si="5215"/>
        <v>0</v>
      </c>
      <c r="FR310" s="2"/>
      <c r="FS310" s="2">
        <f t="shared" si="4388"/>
        <v>0</v>
      </c>
      <c r="FT310" s="2">
        <f t="shared" si="4389"/>
        <v>0</v>
      </c>
      <c r="FU310" s="39">
        <f t="shared" si="4390"/>
        <v>0</v>
      </c>
      <c r="FV310" s="39">
        <f t="shared" ref="FV310:FW310" si="5216">FV$1*FC310/1000000</f>
        <v>0</v>
      </c>
      <c r="FW310" s="39">
        <f t="shared" si="5216"/>
        <v>0</v>
      </c>
      <c r="FX310" s="39">
        <f t="shared" ref="FX310:GC310" si="5217">FX$1*FE310</f>
        <v>0</v>
      </c>
      <c r="FY310" s="39">
        <f t="shared" si="5217"/>
        <v>0</v>
      </c>
      <c r="FZ310" s="39">
        <f t="shared" si="5217"/>
        <v>0</v>
      </c>
      <c r="GA310" s="39">
        <f t="shared" si="5217"/>
        <v>0</v>
      </c>
      <c r="GB310" s="39">
        <f t="shared" si="5217"/>
        <v>0</v>
      </c>
      <c r="GC310" s="39">
        <f t="shared" si="5217"/>
        <v>0</v>
      </c>
      <c r="GD310" s="39">
        <f t="shared" ref="GD310:GH310" si="5218">GD$1*FK310/1000000</f>
        <v>0</v>
      </c>
      <c r="GE310" s="39">
        <f t="shared" si="5218"/>
        <v>0</v>
      </c>
      <c r="GF310" s="39">
        <f t="shared" si="5218"/>
        <v>0</v>
      </c>
      <c r="GG310" s="39">
        <f t="shared" si="5218"/>
        <v>0</v>
      </c>
      <c r="GH310" s="39">
        <f t="shared" si="5218"/>
        <v>0</v>
      </c>
      <c r="GI310" s="39">
        <f t="shared" ref="GI310:GJ310" si="5219">GI$1*FP310</f>
        <v>0</v>
      </c>
      <c r="GJ310" s="39">
        <f t="shared" si="5219"/>
        <v>0</v>
      </c>
      <c r="GK310" s="2"/>
      <c r="GL310" s="39">
        <f t="shared" si="4395"/>
        <v>0</v>
      </c>
      <c r="GM310" s="39">
        <f t="shared" si="4396"/>
        <v>0</v>
      </c>
      <c r="GN310" s="2" t="s">
        <v>3</v>
      </c>
      <c r="GO310" s="19">
        <f t="shared" si="4397"/>
        <v>0.37590000000000001</v>
      </c>
      <c r="GP310" s="4">
        <f t="shared" si="4398"/>
        <v>2.3849960095770149</v>
      </c>
      <c r="GQ310" s="15">
        <f t="shared" si="4399"/>
        <v>8.9651999999999994</v>
      </c>
      <c r="GR310" s="15">
        <f t="shared" si="4400"/>
        <v>117.56963279999999</v>
      </c>
      <c r="GS310" s="15">
        <f t="shared" si="4401"/>
        <v>312.76837669592976</v>
      </c>
      <c r="GT310" s="2">
        <f t="shared" si="4402"/>
        <v>0</v>
      </c>
      <c r="GU310" s="2">
        <f t="shared" si="4403"/>
        <v>8.9651999999999994</v>
      </c>
      <c r="GV310" s="2">
        <f t="shared" si="4404"/>
        <v>0</v>
      </c>
      <c r="GW310" s="2">
        <f t="shared" si="4405"/>
        <v>0</v>
      </c>
      <c r="GX310" s="2"/>
      <c r="GY310" s="2"/>
      <c r="GZ310" s="2"/>
      <c r="HA310" s="2"/>
      <c r="HB310" s="2">
        <f t="shared" si="4406"/>
        <v>0</v>
      </c>
      <c r="HC310" s="2">
        <f t="shared" si="4407"/>
        <v>0</v>
      </c>
      <c r="HD310" s="2" t="s">
        <v>3</v>
      </c>
      <c r="HE310" s="2" t="s">
        <v>89</v>
      </c>
      <c r="HF310" s="2" t="s">
        <v>137</v>
      </c>
      <c r="HG310" s="2"/>
      <c r="HH310" s="2"/>
      <c r="HI310" s="2" t="s">
        <v>81</v>
      </c>
      <c r="HJ310" s="2" t="s">
        <v>3</v>
      </c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 t="s">
        <v>3</v>
      </c>
    </row>
    <row r="311" spans="1:268" ht="15.75" customHeight="1" x14ac:dyDescent="0.2">
      <c r="A311" s="16" t="s">
        <v>1312</v>
      </c>
      <c r="B311" s="2" t="s">
        <v>99</v>
      </c>
      <c r="C311" s="2"/>
      <c r="D311" s="2"/>
      <c r="E311" s="2" t="s">
        <v>179</v>
      </c>
      <c r="F311" s="2" t="s">
        <v>1084</v>
      </c>
      <c r="G311" s="2"/>
      <c r="H311" s="2" t="s">
        <v>181</v>
      </c>
      <c r="I311" s="2">
        <v>0</v>
      </c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>
        <v>0</v>
      </c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>
        <v>0.6</v>
      </c>
      <c r="AZ311" s="2">
        <v>0.3</v>
      </c>
      <c r="BA311" s="2"/>
      <c r="BB311" s="2"/>
      <c r="BC311" s="2"/>
      <c r="BD311" s="2"/>
      <c r="BE311" s="2"/>
      <c r="BF311" s="2"/>
      <c r="BG311" s="2">
        <v>1.39</v>
      </c>
      <c r="BH311" s="2"/>
      <c r="BI311" s="20">
        <v>0.15</v>
      </c>
      <c r="BJ311" s="20">
        <v>0.3</v>
      </c>
      <c r="BK311" s="20">
        <v>0.05</v>
      </c>
      <c r="BL311" s="20"/>
      <c r="BM311" s="20"/>
      <c r="BN311" s="2"/>
      <c r="BO311" s="2"/>
      <c r="BP311" s="2"/>
      <c r="BQ311" s="2"/>
      <c r="BR311" s="2"/>
      <c r="BS311" s="2"/>
      <c r="BT311" s="2">
        <v>0</v>
      </c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>
        <v>0</v>
      </c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 t="s">
        <v>81</v>
      </c>
      <c r="DK311" s="2"/>
      <c r="DL311" s="2">
        <f t="shared" si="4367"/>
        <v>1.39</v>
      </c>
      <c r="DM311" s="2">
        <f t="shared" si="4368"/>
        <v>0</v>
      </c>
      <c r="DN311" s="2" t="s">
        <v>175</v>
      </c>
      <c r="DO311" s="2" t="s">
        <v>3</v>
      </c>
      <c r="DP311" s="2">
        <f t="shared" si="4369"/>
        <v>1.8E-3</v>
      </c>
      <c r="DQ311" s="2">
        <f t="shared" ref="DQ311:DR311" si="5220">K311*$I311+AF311*$AD311+BA311*$AY311</f>
        <v>0</v>
      </c>
      <c r="DR311" s="2">
        <f t="shared" si="5220"/>
        <v>0</v>
      </c>
      <c r="DS311" s="2">
        <f t="shared" ref="DS311:DX311" si="5221">(M311*$I311+AH311*$AD311+BC311*$AY311)/100</f>
        <v>0</v>
      </c>
      <c r="DT311" s="2">
        <f t="shared" si="5221"/>
        <v>0</v>
      </c>
      <c r="DU311" s="2">
        <f t="shared" si="5221"/>
        <v>0</v>
      </c>
      <c r="DV311" s="2">
        <f t="shared" si="5221"/>
        <v>0</v>
      </c>
      <c r="DW311" s="2">
        <f t="shared" si="5221"/>
        <v>8.3400000000000002E-3</v>
      </c>
      <c r="DX311" s="2">
        <f t="shared" si="5221"/>
        <v>0</v>
      </c>
      <c r="DY311" s="2">
        <f t="shared" ref="DY311:EC311" si="5222">S311*$I311+AN311*$AD311+BI311*$AY311</f>
        <v>0.09</v>
      </c>
      <c r="DZ311" s="2">
        <f t="shared" si="5222"/>
        <v>0.18</v>
      </c>
      <c r="EA311" s="2">
        <f t="shared" si="5222"/>
        <v>0.03</v>
      </c>
      <c r="EB311" s="2">
        <f t="shared" si="5222"/>
        <v>0</v>
      </c>
      <c r="EC311" s="2">
        <f t="shared" si="5222"/>
        <v>0</v>
      </c>
      <c r="ED311" s="2">
        <f t="shared" ref="ED311:EE311" si="5223">(X311*$I311+AS311*$AD311+BN311*$AY311)/100</f>
        <v>0</v>
      </c>
      <c r="EE311" s="2">
        <f t="shared" si="5223"/>
        <v>0</v>
      </c>
      <c r="EF311" s="2"/>
      <c r="EG311" s="2">
        <f t="shared" si="4374"/>
        <v>0</v>
      </c>
      <c r="EH311" s="2">
        <f t="shared" si="4375"/>
        <v>0</v>
      </c>
      <c r="EI311" s="39">
        <f t="shared" si="4376"/>
        <v>11.7461088</v>
      </c>
      <c r="EJ311" s="39">
        <f t="shared" ref="EJ311:EK311" si="5224">EJ$1*DQ311/1000000</f>
        <v>0</v>
      </c>
      <c r="EK311" s="39">
        <f t="shared" si="5224"/>
        <v>0</v>
      </c>
      <c r="EL311" s="39">
        <f t="shared" ref="EL311:EQ311" si="5225">EL$1*DS311</f>
        <v>0</v>
      </c>
      <c r="EM311" s="39">
        <f t="shared" si="5225"/>
        <v>0</v>
      </c>
      <c r="EN311" s="39">
        <f t="shared" si="5225"/>
        <v>0</v>
      </c>
      <c r="EO311" s="39">
        <f t="shared" si="5225"/>
        <v>0</v>
      </c>
      <c r="EP311" s="39">
        <f t="shared" si="5225"/>
        <v>109.37076</v>
      </c>
      <c r="EQ311" s="39">
        <f t="shared" si="5225"/>
        <v>0</v>
      </c>
      <c r="ER311" s="39">
        <f t="shared" ref="ER311:EV311" si="5226">ER$1*DY311/1000000</f>
        <v>2.5543215434083599</v>
      </c>
      <c r="ES311" s="39">
        <f t="shared" si="5226"/>
        <v>5.9986302250803858</v>
      </c>
      <c r="ET311" s="39">
        <f t="shared" si="5226"/>
        <v>2.1465916398713825</v>
      </c>
      <c r="EU311" s="39">
        <f t="shared" si="5226"/>
        <v>0</v>
      </c>
      <c r="EV311" s="39">
        <f t="shared" si="5226"/>
        <v>0</v>
      </c>
      <c r="EW311" s="39">
        <f t="shared" ref="EW311:EX311" si="5227">EW$1*ED311</f>
        <v>0</v>
      </c>
      <c r="EX311" s="39">
        <f t="shared" si="5227"/>
        <v>0</v>
      </c>
      <c r="EY311" s="2"/>
      <c r="EZ311" s="39">
        <f t="shared" si="4381"/>
        <v>0</v>
      </c>
      <c r="FA311" s="39">
        <f t="shared" si="4382"/>
        <v>0</v>
      </c>
      <c r="FB311" s="2">
        <f t="shared" si="4383"/>
        <v>0</v>
      </c>
      <c r="FC311" s="2">
        <f t="shared" ref="FC311:FD311" si="5228">BV311*$BT311+CQ311*$CO311</f>
        <v>0</v>
      </c>
      <c r="FD311" s="2">
        <f t="shared" si="5228"/>
        <v>0</v>
      </c>
      <c r="FE311" s="2">
        <f t="shared" ref="FE311:FJ311" si="5229">(BX311*$BT311+CS311*$CO311)/100</f>
        <v>0</v>
      </c>
      <c r="FF311" s="2">
        <f t="shared" si="5229"/>
        <v>0</v>
      </c>
      <c r="FG311" s="2">
        <f t="shared" si="5229"/>
        <v>0</v>
      </c>
      <c r="FH311" s="2">
        <f t="shared" si="5229"/>
        <v>0</v>
      </c>
      <c r="FI311" s="2">
        <f t="shared" si="5229"/>
        <v>0</v>
      </c>
      <c r="FJ311" s="2">
        <f t="shared" si="5229"/>
        <v>0</v>
      </c>
      <c r="FK311" s="2">
        <f t="shared" ref="FK311:FO311" si="5230">CD311*$BT311+CY311*$CO311</f>
        <v>0</v>
      </c>
      <c r="FL311" s="2">
        <f t="shared" si="5230"/>
        <v>0</v>
      </c>
      <c r="FM311" s="2">
        <f t="shared" si="5230"/>
        <v>0</v>
      </c>
      <c r="FN311" s="2">
        <f t="shared" si="5230"/>
        <v>0</v>
      </c>
      <c r="FO311" s="2">
        <f t="shared" si="5230"/>
        <v>0</v>
      </c>
      <c r="FP311" s="2">
        <f t="shared" ref="FP311:FQ311" si="5231">(CI311*$BT311+DD311*$CO311)/100</f>
        <v>0</v>
      </c>
      <c r="FQ311" s="2">
        <f t="shared" si="5231"/>
        <v>0</v>
      </c>
      <c r="FR311" s="2"/>
      <c r="FS311" s="2">
        <f t="shared" si="4388"/>
        <v>0</v>
      </c>
      <c r="FT311" s="2">
        <f t="shared" si="4389"/>
        <v>0</v>
      </c>
      <c r="FU311" s="39">
        <f t="shared" si="4390"/>
        <v>0</v>
      </c>
      <c r="FV311" s="39">
        <f t="shared" ref="FV311:FW311" si="5232">FV$1*FC311/1000000</f>
        <v>0</v>
      </c>
      <c r="FW311" s="39">
        <f t="shared" si="5232"/>
        <v>0</v>
      </c>
      <c r="FX311" s="39">
        <f t="shared" ref="FX311:GC311" si="5233">FX$1*FE311</f>
        <v>0</v>
      </c>
      <c r="FY311" s="39">
        <f t="shared" si="5233"/>
        <v>0</v>
      </c>
      <c r="FZ311" s="39">
        <f t="shared" si="5233"/>
        <v>0</v>
      </c>
      <c r="GA311" s="39">
        <f t="shared" si="5233"/>
        <v>0</v>
      </c>
      <c r="GB311" s="39">
        <f t="shared" si="5233"/>
        <v>0</v>
      </c>
      <c r="GC311" s="39">
        <f t="shared" si="5233"/>
        <v>0</v>
      </c>
      <c r="GD311" s="39">
        <f t="shared" ref="GD311:GH311" si="5234">GD$1*FK311/1000000</f>
        <v>0</v>
      </c>
      <c r="GE311" s="39">
        <f t="shared" si="5234"/>
        <v>0</v>
      </c>
      <c r="GF311" s="39">
        <f t="shared" si="5234"/>
        <v>0</v>
      </c>
      <c r="GG311" s="39">
        <f t="shared" si="5234"/>
        <v>0</v>
      </c>
      <c r="GH311" s="39">
        <f t="shared" si="5234"/>
        <v>0</v>
      </c>
      <c r="GI311" s="39">
        <f t="shared" ref="GI311:GJ311" si="5235">GI$1*FP311</f>
        <v>0</v>
      </c>
      <c r="GJ311" s="39">
        <f t="shared" si="5235"/>
        <v>0</v>
      </c>
      <c r="GK311" s="2"/>
      <c r="GL311" s="39">
        <f t="shared" si="4395"/>
        <v>0</v>
      </c>
      <c r="GM311" s="39">
        <f t="shared" si="4396"/>
        <v>0</v>
      </c>
      <c r="GN311" s="2" t="s">
        <v>3</v>
      </c>
      <c r="GO311" s="2">
        <f t="shared" si="4397"/>
        <v>0.6</v>
      </c>
      <c r="GP311" s="2">
        <f t="shared" si="4398"/>
        <v>1.39</v>
      </c>
      <c r="GQ311" s="15">
        <f t="shared" si="4399"/>
        <v>8.3399999999999981</v>
      </c>
      <c r="GR311" s="15">
        <f t="shared" si="4400"/>
        <v>131.81641220836013</v>
      </c>
      <c r="GS311" s="15">
        <f t="shared" si="4401"/>
        <v>219.6940203472669</v>
      </c>
      <c r="GT311" s="2">
        <f t="shared" si="4402"/>
        <v>0</v>
      </c>
      <c r="GU311" s="2">
        <f t="shared" si="4403"/>
        <v>0</v>
      </c>
      <c r="GV311" s="2">
        <f t="shared" si="4404"/>
        <v>8.34</v>
      </c>
      <c r="GW311" s="2">
        <f t="shared" si="4405"/>
        <v>0</v>
      </c>
      <c r="GX311" s="2"/>
      <c r="GY311" s="2"/>
      <c r="GZ311" s="2"/>
      <c r="HA311" s="2"/>
      <c r="HB311" s="2">
        <f t="shared" si="4406"/>
        <v>0</v>
      </c>
      <c r="HC311" s="2">
        <f t="shared" si="4407"/>
        <v>0</v>
      </c>
      <c r="HD311" s="2" t="s">
        <v>3</v>
      </c>
      <c r="HE311" s="2" t="s">
        <v>89</v>
      </c>
      <c r="HF311" s="2" t="s">
        <v>137</v>
      </c>
      <c r="HG311" s="2"/>
      <c r="HH311" s="2"/>
      <c r="HI311" s="2" t="s">
        <v>81</v>
      </c>
      <c r="HJ311" s="2" t="s">
        <v>3</v>
      </c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 t="s">
        <v>3</v>
      </c>
    </row>
    <row r="312" spans="1:268" ht="15.75" customHeight="1" x14ac:dyDescent="0.2">
      <c r="A312" s="16" t="s">
        <v>1112</v>
      </c>
      <c r="B312" s="2" t="s">
        <v>120</v>
      </c>
      <c r="C312" s="2"/>
      <c r="D312" s="2"/>
      <c r="E312" s="2" t="s">
        <v>179</v>
      </c>
      <c r="F312" s="2" t="s">
        <v>1084</v>
      </c>
      <c r="G312" s="2"/>
      <c r="H312" s="2" t="s">
        <v>181</v>
      </c>
      <c r="I312" s="2">
        <v>0</v>
      </c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>
        <v>0</v>
      </c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>
        <f>0.086+0.135</f>
        <v>0.221</v>
      </c>
      <c r="AZ312" s="2"/>
      <c r="BA312" s="2"/>
      <c r="BB312" s="2"/>
      <c r="BC312" s="2"/>
      <c r="BD312" s="2"/>
      <c r="BE312" s="2"/>
      <c r="BF312" s="2"/>
      <c r="BG312" s="15">
        <f>(2*0.086+3.7*0.135)/AY312</f>
        <v>3.0384615384615383</v>
      </c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>
        <v>0</v>
      </c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>
        <v>0</v>
      </c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 t="s">
        <v>81</v>
      </c>
      <c r="DK312" s="2"/>
      <c r="DL312" s="2">
        <f t="shared" si="4367"/>
        <v>3.0384615384615383</v>
      </c>
      <c r="DM312" s="2">
        <f t="shared" si="4368"/>
        <v>0</v>
      </c>
      <c r="DN312" s="2" t="s">
        <v>175</v>
      </c>
      <c r="DO312" s="2" t="s">
        <v>3</v>
      </c>
      <c r="DP312" s="2">
        <f t="shared" si="4369"/>
        <v>0</v>
      </c>
      <c r="DQ312" s="2">
        <f t="shared" ref="DQ312:DR312" si="5236">K312*$I312+AF312*$AD312+BA312*$AY312</f>
        <v>0</v>
      </c>
      <c r="DR312" s="2">
        <f t="shared" si="5236"/>
        <v>0</v>
      </c>
      <c r="DS312" s="2">
        <f t="shared" ref="DS312:DX312" si="5237">(M312*$I312+AH312*$AD312+BC312*$AY312)/100</f>
        <v>0</v>
      </c>
      <c r="DT312" s="2">
        <f t="shared" si="5237"/>
        <v>0</v>
      </c>
      <c r="DU312" s="2">
        <f t="shared" si="5237"/>
        <v>0</v>
      </c>
      <c r="DV312" s="2">
        <f t="shared" si="5237"/>
        <v>0</v>
      </c>
      <c r="DW312" s="2">
        <f t="shared" si="5237"/>
        <v>6.7149999999999996E-3</v>
      </c>
      <c r="DX312" s="2">
        <f t="shared" si="5237"/>
        <v>0</v>
      </c>
      <c r="DY312" s="2">
        <f t="shared" ref="DY312:EC312" si="5238">S312*$I312+AN312*$AD312+BI312*$AY312</f>
        <v>0</v>
      </c>
      <c r="DZ312" s="2">
        <f t="shared" si="5238"/>
        <v>0</v>
      </c>
      <c r="EA312" s="2">
        <f t="shared" si="5238"/>
        <v>0</v>
      </c>
      <c r="EB312" s="2">
        <f t="shared" si="5238"/>
        <v>0</v>
      </c>
      <c r="EC312" s="2">
        <f t="shared" si="5238"/>
        <v>0</v>
      </c>
      <c r="ED312" s="2">
        <f t="shared" ref="ED312:EE312" si="5239">(X312*$I312+AS312*$AD312+BN312*$AY312)/100</f>
        <v>0</v>
      </c>
      <c r="EE312" s="2">
        <f t="shared" si="5239"/>
        <v>0</v>
      </c>
      <c r="EF312" s="2"/>
      <c r="EG312" s="2">
        <f t="shared" si="4374"/>
        <v>0</v>
      </c>
      <c r="EH312" s="2">
        <f t="shared" si="4375"/>
        <v>0</v>
      </c>
      <c r="EI312" s="39">
        <f t="shared" si="4376"/>
        <v>0</v>
      </c>
      <c r="EJ312" s="39">
        <f t="shared" ref="EJ312:EK312" si="5240">EJ$1*DQ312/1000000</f>
        <v>0</v>
      </c>
      <c r="EK312" s="39">
        <f t="shared" si="5240"/>
        <v>0</v>
      </c>
      <c r="EL312" s="39">
        <f t="shared" ref="EL312:EQ312" si="5241">EL$1*DS312</f>
        <v>0</v>
      </c>
      <c r="EM312" s="39">
        <f t="shared" si="5241"/>
        <v>0</v>
      </c>
      <c r="EN312" s="39">
        <f t="shared" si="5241"/>
        <v>0</v>
      </c>
      <c r="EO312" s="39">
        <f t="shared" si="5241"/>
        <v>0</v>
      </c>
      <c r="EP312" s="39">
        <f t="shared" si="5241"/>
        <v>88.060509999999994</v>
      </c>
      <c r="EQ312" s="39">
        <f t="shared" si="5241"/>
        <v>0</v>
      </c>
      <c r="ER312" s="39">
        <f t="shared" ref="ER312:EV312" si="5242">ER$1*DY312/1000000</f>
        <v>0</v>
      </c>
      <c r="ES312" s="39">
        <f t="shared" si="5242"/>
        <v>0</v>
      </c>
      <c r="ET312" s="39">
        <f t="shared" si="5242"/>
        <v>0</v>
      </c>
      <c r="EU312" s="39">
        <f t="shared" si="5242"/>
        <v>0</v>
      </c>
      <c r="EV312" s="39">
        <f t="shared" si="5242"/>
        <v>0</v>
      </c>
      <c r="EW312" s="39">
        <f t="shared" ref="EW312:EX312" si="5243">EW$1*ED312</f>
        <v>0</v>
      </c>
      <c r="EX312" s="39">
        <f t="shared" si="5243"/>
        <v>0</v>
      </c>
      <c r="EY312" s="2"/>
      <c r="EZ312" s="39">
        <f t="shared" si="4381"/>
        <v>0</v>
      </c>
      <c r="FA312" s="39">
        <f t="shared" si="4382"/>
        <v>0</v>
      </c>
      <c r="FB312" s="2">
        <f t="shared" si="4383"/>
        <v>0</v>
      </c>
      <c r="FC312" s="2">
        <f t="shared" ref="FC312:FD312" si="5244">BV312*$BT312+CQ312*$CO312</f>
        <v>0</v>
      </c>
      <c r="FD312" s="2">
        <f t="shared" si="5244"/>
        <v>0</v>
      </c>
      <c r="FE312" s="2">
        <f t="shared" ref="FE312:FJ312" si="5245">(BX312*$BT312+CS312*$CO312)/100</f>
        <v>0</v>
      </c>
      <c r="FF312" s="2">
        <f t="shared" si="5245"/>
        <v>0</v>
      </c>
      <c r="FG312" s="2">
        <f t="shared" si="5245"/>
        <v>0</v>
      </c>
      <c r="FH312" s="2">
        <f t="shared" si="5245"/>
        <v>0</v>
      </c>
      <c r="FI312" s="2">
        <f t="shared" si="5245"/>
        <v>0</v>
      </c>
      <c r="FJ312" s="2">
        <f t="shared" si="5245"/>
        <v>0</v>
      </c>
      <c r="FK312" s="2">
        <f t="shared" ref="FK312:FO312" si="5246">CD312*$BT312+CY312*$CO312</f>
        <v>0</v>
      </c>
      <c r="FL312" s="2">
        <f t="shared" si="5246"/>
        <v>0</v>
      </c>
      <c r="FM312" s="2">
        <f t="shared" si="5246"/>
        <v>0</v>
      </c>
      <c r="FN312" s="2">
        <f t="shared" si="5246"/>
        <v>0</v>
      </c>
      <c r="FO312" s="2">
        <f t="shared" si="5246"/>
        <v>0</v>
      </c>
      <c r="FP312" s="2">
        <f t="shared" ref="FP312:FQ312" si="5247">(CI312*$BT312+DD312*$CO312)/100</f>
        <v>0</v>
      </c>
      <c r="FQ312" s="2">
        <f t="shared" si="5247"/>
        <v>0</v>
      </c>
      <c r="FR312" s="2"/>
      <c r="FS312" s="2">
        <f t="shared" si="4388"/>
        <v>0</v>
      </c>
      <c r="FT312" s="2">
        <f t="shared" si="4389"/>
        <v>0</v>
      </c>
      <c r="FU312" s="39">
        <f t="shared" si="4390"/>
        <v>0</v>
      </c>
      <c r="FV312" s="39">
        <f t="shared" ref="FV312:FW312" si="5248">FV$1*FC312/1000000</f>
        <v>0</v>
      </c>
      <c r="FW312" s="39">
        <f t="shared" si="5248"/>
        <v>0</v>
      </c>
      <c r="FX312" s="39">
        <f t="shared" ref="FX312:GC312" si="5249">FX$1*FE312</f>
        <v>0</v>
      </c>
      <c r="FY312" s="39">
        <f t="shared" si="5249"/>
        <v>0</v>
      </c>
      <c r="FZ312" s="39">
        <f t="shared" si="5249"/>
        <v>0</v>
      </c>
      <c r="GA312" s="39">
        <f t="shared" si="5249"/>
        <v>0</v>
      </c>
      <c r="GB312" s="39">
        <f t="shared" si="5249"/>
        <v>0</v>
      </c>
      <c r="GC312" s="39">
        <f t="shared" si="5249"/>
        <v>0</v>
      </c>
      <c r="GD312" s="39">
        <f t="shared" ref="GD312:GH312" si="5250">GD$1*FK312/1000000</f>
        <v>0</v>
      </c>
      <c r="GE312" s="39">
        <f t="shared" si="5250"/>
        <v>0</v>
      </c>
      <c r="GF312" s="39">
        <f t="shared" si="5250"/>
        <v>0</v>
      </c>
      <c r="GG312" s="39">
        <f t="shared" si="5250"/>
        <v>0</v>
      </c>
      <c r="GH312" s="39">
        <f t="shared" si="5250"/>
        <v>0</v>
      </c>
      <c r="GI312" s="39">
        <f t="shared" ref="GI312:GJ312" si="5251">GI$1*FP312</f>
        <v>0</v>
      </c>
      <c r="GJ312" s="39">
        <f t="shared" si="5251"/>
        <v>0</v>
      </c>
      <c r="GK312" s="2"/>
      <c r="GL312" s="39">
        <f t="shared" si="4395"/>
        <v>0</v>
      </c>
      <c r="GM312" s="39">
        <f t="shared" si="4396"/>
        <v>0</v>
      </c>
      <c r="GN312" s="2" t="s">
        <v>3</v>
      </c>
      <c r="GO312" s="2">
        <f t="shared" si="4397"/>
        <v>0.221</v>
      </c>
      <c r="GP312" s="4">
        <f t="shared" si="4398"/>
        <v>3.0384615384615383</v>
      </c>
      <c r="GQ312" s="15">
        <f t="shared" si="4399"/>
        <v>6.7149999999999999</v>
      </c>
      <c r="GR312" s="15">
        <f t="shared" si="4400"/>
        <v>88.060509999999994</v>
      </c>
      <c r="GS312" s="15">
        <f t="shared" si="4401"/>
        <v>398.46384615384613</v>
      </c>
      <c r="GT312" s="2">
        <f t="shared" si="4402"/>
        <v>0</v>
      </c>
      <c r="GU312" s="2">
        <f t="shared" si="4403"/>
        <v>0</v>
      </c>
      <c r="GV312" s="2">
        <f t="shared" si="4404"/>
        <v>6.7149999999999999</v>
      </c>
      <c r="GW312" s="2">
        <f t="shared" si="4405"/>
        <v>0</v>
      </c>
      <c r="GX312" s="2"/>
      <c r="GY312" s="2"/>
      <c r="GZ312" s="2"/>
      <c r="HA312" s="2"/>
      <c r="HB312" s="2">
        <f t="shared" si="4406"/>
        <v>0</v>
      </c>
      <c r="HC312" s="2">
        <f t="shared" si="4407"/>
        <v>0</v>
      </c>
      <c r="HD312" s="2" t="s">
        <v>3</v>
      </c>
      <c r="HE312" s="2" t="s">
        <v>89</v>
      </c>
      <c r="HF312" s="2" t="s">
        <v>137</v>
      </c>
      <c r="HG312" s="2"/>
      <c r="HH312" s="2"/>
      <c r="HI312" s="2" t="s">
        <v>81</v>
      </c>
      <c r="HJ312" s="2" t="s">
        <v>3</v>
      </c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 t="s">
        <v>3</v>
      </c>
    </row>
    <row r="313" spans="1:268" ht="15.75" customHeight="1" x14ac:dyDescent="0.2">
      <c r="A313" s="16" t="s">
        <v>1083</v>
      </c>
      <c r="B313" s="2" t="s">
        <v>99</v>
      </c>
      <c r="C313" s="2"/>
      <c r="D313" s="2"/>
      <c r="E313" s="2" t="s">
        <v>179</v>
      </c>
      <c r="F313" s="2" t="s">
        <v>1084</v>
      </c>
      <c r="G313" s="2"/>
      <c r="H313" s="2" t="s">
        <v>181</v>
      </c>
      <c r="I313" s="2">
        <v>0</v>
      </c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>
        <v>0</v>
      </c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>
        <v>1.05</v>
      </c>
      <c r="AZ313" s="15">
        <v>0.2</v>
      </c>
      <c r="BA313" s="2"/>
      <c r="BB313" s="2"/>
      <c r="BC313" s="2"/>
      <c r="BD313" s="2"/>
      <c r="BE313" s="2"/>
      <c r="BF313" s="2"/>
      <c r="BG313" s="15">
        <v>2</v>
      </c>
      <c r="BH313" s="4">
        <v>0.06</v>
      </c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>
        <v>0</v>
      </c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>
        <v>0</v>
      </c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 t="s">
        <v>81</v>
      </c>
      <c r="DK313" s="2" t="s">
        <v>81</v>
      </c>
      <c r="DL313" s="2">
        <f t="shared" si="4367"/>
        <v>2</v>
      </c>
      <c r="DM313" s="2">
        <f t="shared" si="4368"/>
        <v>0.06</v>
      </c>
      <c r="DN313" s="2" t="s">
        <v>1085</v>
      </c>
      <c r="DO313" s="2" t="s">
        <v>3</v>
      </c>
      <c r="DP313" s="2">
        <f t="shared" si="4369"/>
        <v>2.1000000000000003E-3</v>
      </c>
      <c r="DQ313" s="2">
        <f t="shared" ref="DQ313:DR313" si="5252">K313*$I313+AF313*$AD313+BA313*$AY313</f>
        <v>0</v>
      </c>
      <c r="DR313" s="2">
        <f t="shared" si="5252"/>
        <v>0</v>
      </c>
      <c r="DS313" s="2">
        <f t="shared" ref="DS313:DX313" si="5253">(M313*$I313+AH313*$AD313+BC313*$AY313)/100</f>
        <v>0</v>
      </c>
      <c r="DT313" s="2">
        <f t="shared" si="5253"/>
        <v>0</v>
      </c>
      <c r="DU313" s="2">
        <f t="shared" si="5253"/>
        <v>0</v>
      </c>
      <c r="DV313" s="2">
        <f t="shared" si="5253"/>
        <v>0</v>
      </c>
      <c r="DW313" s="2">
        <f t="shared" si="5253"/>
        <v>2.1000000000000001E-2</v>
      </c>
      <c r="DX313" s="2">
        <f t="shared" si="5253"/>
        <v>6.3000000000000003E-4</v>
      </c>
      <c r="DY313" s="2">
        <f t="shared" ref="DY313:EC313" si="5254">S313*$I313+AN313*$AD313+BI313*$AY313</f>
        <v>0</v>
      </c>
      <c r="DZ313" s="2">
        <f t="shared" si="5254"/>
        <v>0</v>
      </c>
      <c r="EA313" s="2">
        <f t="shared" si="5254"/>
        <v>0</v>
      </c>
      <c r="EB313" s="2">
        <f t="shared" si="5254"/>
        <v>0</v>
      </c>
      <c r="EC313" s="2">
        <f t="shared" si="5254"/>
        <v>0</v>
      </c>
      <c r="ED313" s="2">
        <f t="shared" ref="ED313:EE313" si="5255">(X313*$I313+AS313*$AD313+BN313*$AY313)/100</f>
        <v>0</v>
      </c>
      <c r="EE313" s="2">
        <f t="shared" si="5255"/>
        <v>0</v>
      </c>
      <c r="EF313" s="2"/>
      <c r="EG313" s="2">
        <f t="shared" si="4374"/>
        <v>0</v>
      </c>
      <c r="EH313" s="2">
        <f t="shared" si="4375"/>
        <v>0</v>
      </c>
      <c r="EI313" s="39">
        <f t="shared" si="4376"/>
        <v>13.703793600000003</v>
      </c>
      <c r="EJ313" s="39">
        <f t="shared" ref="EJ313:EK313" si="5256">EJ$1*DQ313/1000000</f>
        <v>0</v>
      </c>
      <c r="EK313" s="39">
        <f t="shared" si="5256"/>
        <v>0</v>
      </c>
      <c r="EL313" s="39">
        <f t="shared" ref="EL313:EQ313" si="5257">EL$1*DS313</f>
        <v>0</v>
      </c>
      <c r="EM313" s="39">
        <f t="shared" si="5257"/>
        <v>0</v>
      </c>
      <c r="EN313" s="39">
        <f t="shared" si="5257"/>
        <v>0</v>
      </c>
      <c r="EO313" s="39">
        <f t="shared" si="5257"/>
        <v>0</v>
      </c>
      <c r="EP313" s="39">
        <f t="shared" si="5257"/>
        <v>275.39400000000001</v>
      </c>
      <c r="EQ313" s="39">
        <f t="shared" si="5257"/>
        <v>45.750300119999999</v>
      </c>
      <c r="ER313" s="39">
        <f t="shared" ref="ER313:EV313" si="5258">ER$1*DY313/1000000</f>
        <v>0</v>
      </c>
      <c r="ES313" s="39">
        <f t="shared" si="5258"/>
        <v>0</v>
      </c>
      <c r="ET313" s="39">
        <f t="shared" si="5258"/>
        <v>0</v>
      </c>
      <c r="EU313" s="39">
        <f t="shared" si="5258"/>
        <v>0</v>
      </c>
      <c r="EV313" s="39">
        <f t="shared" si="5258"/>
        <v>0</v>
      </c>
      <c r="EW313" s="39">
        <f t="shared" ref="EW313:EX313" si="5259">EW$1*ED313</f>
        <v>0</v>
      </c>
      <c r="EX313" s="39">
        <f t="shared" si="5259"/>
        <v>0</v>
      </c>
      <c r="EY313" s="2"/>
      <c r="EZ313" s="39">
        <f t="shared" si="4381"/>
        <v>0</v>
      </c>
      <c r="FA313" s="39">
        <f t="shared" si="4382"/>
        <v>0</v>
      </c>
      <c r="FB313" s="2">
        <f t="shared" si="4383"/>
        <v>0</v>
      </c>
      <c r="FC313" s="2">
        <f t="shared" ref="FC313:FD313" si="5260">BV313*$BT313+CQ313*$CO313</f>
        <v>0</v>
      </c>
      <c r="FD313" s="2">
        <f t="shared" si="5260"/>
        <v>0</v>
      </c>
      <c r="FE313" s="2">
        <f t="shared" ref="FE313:FJ313" si="5261">(BX313*$BT313+CS313*$CO313)/100</f>
        <v>0</v>
      </c>
      <c r="FF313" s="2">
        <f t="shared" si="5261"/>
        <v>0</v>
      </c>
      <c r="FG313" s="2">
        <f t="shared" si="5261"/>
        <v>0</v>
      </c>
      <c r="FH313" s="2">
        <f t="shared" si="5261"/>
        <v>0</v>
      </c>
      <c r="FI313" s="2">
        <f t="shared" si="5261"/>
        <v>0</v>
      </c>
      <c r="FJ313" s="2">
        <f t="shared" si="5261"/>
        <v>0</v>
      </c>
      <c r="FK313" s="2">
        <f t="shared" ref="FK313:FO313" si="5262">CD313*$BT313+CY313*$CO313</f>
        <v>0</v>
      </c>
      <c r="FL313" s="2">
        <f t="shared" si="5262"/>
        <v>0</v>
      </c>
      <c r="FM313" s="2">
        <f t="shared" si="5262"/>
        <v>0</v>
      </c>
      <c r="FN313" s="2">
        <f t="shared" si="5262"/>
        <v>0</v>
      </c>
      <c r="FO313" s="2">
        <f t="shared" si="5262"/>
        <v>0</v>
      </c>
      <c r="FP313" s="2">
        <f t="shared" ref="FP313:FQ313" si="5263">(CI313*$BT313+DD313*$CO313)/100</f>
        <v>0</v>
      </c>
      <c r="FQ313" s="2">
        <f t="shared" si="5263"/>
        <v>0</v>
      </c>
      <c r="FR313" s="2"/>
      <c r="FS313" s="2">
        <f t="shared" si="4388"/>
        <v>0</v>
      </c>
      <c r="FT313" s="2">
        <f t="shared" si="4389"/>
        <v>0</v>
      </c>
      <c r="FU313" s="39">
        <f t="shared" si="4390"/>
        <v>0</v>
      </c>
      <c r="FV313" s="39">
        <f t="shared" ref="FV313:FW313" si="5264">FV$1*FC313/1000000</f>
        <v>0</v>
      </c>
      <c r="FW313" s="39">
        <f t="shared" si="5264"/>
        <v>0</v>
      </c>
      <c r="FX313" s="39">
        <f t="shared" ref="FX313:GC313" si="5265">FX$1*FE313</f>
        <v>0</v>
      </c>
      <c r="FY313" s="39">
        <f t="shared" si="5265"/>
        <v>0</v>
      </c>
      <c r="FZ313" s="39">
        <f t="shared" si="5265"/>
        <v>0</v>
      </c>
      <c r="GA313" s="39">
        <f t="shared" si="5265"/>
        <v>0</v>
      </c>
      <c r="GB313" s="39">
        <f t="shared" si="5265"/>
        <v>0</v>
      </c>
      <c r="GC313" s="39">
        <f t="shared" si="5265"/>
        <v>0</v>
      </c>
      <c r="GD313" s="39">
        <f t="shared" ref="GD313:GH313" si="5266">GD$1*FK313/1000000</f>
        <v>0</v>
      </c>
      <c r="GE313" s="39">
        <f t="shared" si="5266"/>
        <v>0</v>
      </c>
      <c r="GF313" s="39">
        <f t="shared" si="5266"/>
        <v>0</v>
      </c>
      <c r="GG313" s="39">
        <f t="shared" si="5266"/>
        <v>0</v>
      </c>
      <c r="GH313" s="39">
        <f t="shared" si="5266"/>
        <v>0</v>
      </c>
      <c r="GI313" s="39">
        <f t="shared" ref="GI313:GJ313" si="5267">GI$1*FP313</f>
        <v>0</v>
      </c>
      <c r="GJ313" s="39">
        <f t="shared" si="5267"/>
        <v>0</v>
      </c>
      <c r="GK313" s="2"/>
      <c r="GL313" s="39">
        <f t="shared" si="4395"/>
        <v>0</v>
      </c>
      <c r="GM313" s="39">
        <f t="shared" si="4396"/>
        <v>0</v>
      </c>
      <c r="GN313" s="2" t="s">
        <v>3</v>
      </c>
      <c r="GO313" s="2">
        <f t="shared" si="4397"/>
        <v>1.05</v>
      </c>
      <c r="GP313" s="2">
        <f t="shared" si="4398"/>
        <v>2</v>
      </c>
      <c r="GQ313" s="15">
        <f t="shared" si="4399"/>
        <v>21</v>
      </c>
      <c r="GR313" s="15">
        <f t="shared" si="4400"/>
        <v>334.84809372000001</v>
      </c>
      <c r="GS313" s="15">
        <f t="shared" si="4401"/>
        <v>318.90294640000002</v>
      </c>
      <c r="GT313" s="2">
        <f t="shared" si="4402"/>
        <v>0</v>
      </c>
      <c r="GU313" s="2">
        <f t="shared" si="4403"/>
        <v>0</v>
      </c>
      <c r="GV313" s="2">
        <f t="shared" si="4404"/>
        <v>21</v>
      </c>
      <c r="GW313" s="2">
        <f t="shared" si="4405"/>
        <v>0</v>
      </c>
      <c r="GX313" s="2"/>
      <c r="GY313" s="2"/>
      <c r="GZ313" s="2"/>
      <c r="HA313" s="2"/>
      <c r="HB313" s="2">
        <f t="shared" si="4406"/>
        <v>0</v>
      </c>
      <c r="HC313" s="2">
        <f t="shared" si="4407"/>
        <v>0</v>
      </c>
      <c r="HD313" s="2" t="s">
        <v>3</v>
      </c>
      <c r="HE313" s="2" t="s">
        <v>89</v>
      </c>
      <c r="HF313" s="2" t="s">
        <v>137</v>
      </c>
      <c r="HG313" s="2"/>
      <c r="HH313" s="2"/>
      <c r="HI313" s="2" t="s">
        <v>81</v>
      </c>
      <c r="HJ313" s="2" t="s">
        <v>3</v>
      </c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 t="s">
        <v>3</v>
      </c>
    </row>
    <row r="314" spans="1:268" ht="15.75" customHeight="1" x14ac:dyDescent="0.2">
      <c r="A314" s="16" t="s">
        <v>887</v>
      </c>
      <c r="B314" s="2" t="s">
        <v>99</v>
      </c>
      <c r="C314" s="2"/>
      <c r="D314" s="2"/>
      <c r="E314" s="2" t="s">
        <v>179</v>
      </c>
      <c r="F314" s="2" t="s">
        <v>314</v>
      </c>
      <c r="G314" s="2"/>
      <c r="H314" s="2" t="s">
        <v>181</v>
      </c>
      <c r="I314" s="2">
        <v>0</v>
      </c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>
        <v>0</v>
      </c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>
        <v>0.24</v>
      </c>
      <c r="AZ314" s="2"/>
      <c r="BA314" s="2"/>
      <c r="BB314" s="2"/>
      <c r="BC314" s="2"/>
      <c r="BD314" s="2"/>
      <c r="BE314" s="2"/>
      <c r="BF314" s="2"/>
      <c r="BG314" s="2">
        <v>2.36</v>
      </c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>
        <v>0</v>
      </c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>
        <v>0</v>
      </c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 t="s">
        <v>81</v>
      </c>
      <c r="DK314" s="2"/>
      <c r="DL314" s="2">
        <f t="shared" si="4367"/>
        <v>2.36</v>
      </c>
      <c r="DM314" s="2">
        <f t="shared" si="4368"/>
        <v>0</v>
      </c>
      <c r="DN314" s="2" t="s">
        <v>211</v>
      </c>
      <c r="DO314" s="2" t="s">
        <v>3</v>
      </c>
      <c r="DP314" s="2">
        <f t="shared" si="4369"/>
        <v>0</v>
      </c>
      <c r="DQ314" s="2">
        <f t="shared" ref="DQ314:DR314" si="5268">K314*$I314+AF314*$AD314+BA314*$AY314</f>
        <v>0</v>
      </c>
      <c r="DR314" s="2">
        <f t="shared" si="5268"/>
        <v>0</v>
      </c>
      <c r="DS314" s="2">
        <f t="shared" ref="DS314:DX314" si="5269">(M314*$I314+AH314*$AD314+BC314*$AY314)/100</f>
        <v>0</v>
      </c>
      <c r="DT314" s="2">
        <f t="shared" si="5269"/>
        <v>0</v>
      </c>
      <c r="DU314" s="2">
        <f t="shared" si="5269"/>
        <v>0</v>
      </c>
      <c r="DV314" s="2">
        <f t="shared" si="5269"/>
        <v>0</v>
      </c>
      <c r="DW314" s="2">
        <f t="shared" si="5269"/>
        <v>5.6639999999999989E-3</v>
      </c>
      <c r="DX314" s="2">
        <f t="shared" si="5269"/>
        <v>0</v>
      </c>
      <c r="DY314" s="2">
        <f t="shared" ref="DY314:EC314" si="5270">S314*$I314+AN314*$AD314+BI314*$AY314</f>
        <v>0</v>
      </c>
      <c r="DZ314" s="2">
        <f t="shared" si="5270"/>
        <v>0</v>
      </c>
      <c r="EA314" s="2">
        <f t="shared" si="5270"/>
        <v>0</v>
      </c>
      <c r="EB314" s="2">
        <f t="shared" si="5270"/>
        <v>0</v>
      </c>
      <c r="EC314" s="2">
        <f t="shared" si="5270"/>
        <v>0</v>
      </c>
      <c r="ED314" s="2">
        <f t="shared" ref="ED314:EE314" si="5271">(X314*$I314+AS314*$AD314+BN314*$AY314)/100</f>
        <v>0</v>
      </c>
      <c r="EE314" s="2">
        <f t="shared" si="5271"/>
        <v>0</v>
      </c>
      <c r="EF314" s="2"/>
      <c r="EG314" s="2">
        <f t="shared" si="4374"/>
        <v>0</v>
      </c>
      <c r="EH314" s="2">
        <f t="shared" si="4375"/>
        <v>0</v>
      </c>
      <c r="EI314" s="39">
        <f t="shared" si="4376"/>
        <v>0</v>
      </c>
      <c r="EJ314" s="39">
        <f t="shared" ref="EJ314:EK314" si="5272">EJ$1*DQ314/1000000</f>
        <v>0</v>
      </c>
      <c r="EK314" s="39">
        <f t="shared" si="5272"/>
        <v>0</v>
      </c>
      <c r="EL314" s="39">
        <f t="shared" ref="EL314:EQ314" si="5273">EL$1*DS314</f>
        <v>0</v>
      </c>
      <c r="EM314" s="39">
        <f t="shared" si="5273"/>
        <v>0</v>
      </c>
      <c r="EN314" s="39">
        <f t="shared" si="5273"/>
        <v>0</v>
      </c>
      <c r="EO314" s="39">
        <f t="shared" si="5273"/>
        <v>0</v>
      </c>
      <c r="EP314" s="39">
        <f t="shared" si="5273"/>
        <v>74.277695999999992</v>
      </c>
      <c r="EQ314" s="39">
        <f t="shared" si="5273"/>
        <v>0</v>
      </c>
      <c r="ER314" s="39">
        <f t="shared" ref="ER314:EV314" si="5274">ER$1*DY314/1000000</f>
        <v>0</v>
      </c>
      <c r="ES314" s="39">
        <f t="shared" si="5274"/>
        <v>0</v>
      </c>
      <c r="ET314" s="39">
        <f t="shared" si="5274"/>
        <v>0</v>
      </c>
      <c r="EU314" s="39">
        <f t="shared" si="5274"/>
        <v>0</v>
      </c>
      <c r="EV314" s="39">
        <f t="shared" si="5274"/>
        <v>0</v>
      </c>
      <c r="EW314" s="39">
        <f t="shared" ref="EW314:EX314" si="5275">EW$1*ED314</f>
        <v>0</v>
      </c>
      <c r="EX314" s="39">
        <f t="shared" si="5275"/>
        <v>0</v>
      </c>
      <c r="EY314" s="2"/>
      <c r="EZ314" s="39">
        <f t="shared" si="4381"/>
        <v>0</v>
      </c>
      <c r="FA314" s="39">
        <f t="shared" si="4382"/>
        <v>0</v>
      </c>
      <c r="FB314" s="2">
        <f t="shared" si="4383"/>
        <v>0</v>
      </c>
      <c r="FC314" s="2">
        <f t="shared" ref="FC314:FD314" si="5276">BV314*$BT314+CQ314*$CO314</f>
        <v>0</v>
      </c>
      <c r="FD314" s="2">
        <f t="shared" si="5276"/>
        <v>0</v>
      </c>
      <c r="FE314" s="2">
        <f t="shared" ref="FE314:FJ314" si="5277">(BX314*$BT314+CS314*$CO314)/100</f>
        <v>0</v>
      </c>
      <c r="FF314" s="2">
        <f t="shared" si="5277"/>
        <v>0</v>
      </c>
      <c r="FG314" s="2">
        <f t="shared" si="5277"/>
        <v>0</v>
      </c>
      <c r="FH314" s="2">
        <f t="shared" si="5277"/>
        <v>0</v>
      </c>
      <c r="FI314" s="2">
        <f t="shared" si="5277"/>
        <v>0</v>
      </c>
      <c r="FJ314" s="2">
        <f t="shared" si="5277"/>
        <v>0</v>
      </c>
      <c r="FK314" s="2">
        <f t="shared" ref="FK314:FO314" si="5278">CD314*$BT314+CY314*$CO314</f>
        <v>0</v>
      </c>
      <c r="FL314" s="2">
        <f t="shared" si="5278"/>
        <v>0</v>
      </c>
      <c r="FM314" s="2">
        <f t="shared" si="5278"/>
        <v>0</v>
      </c>
      <c r="FN314" s="2">
        <f t="shared" si="5278"/>
        <v>0</v>
      </c>
      <c r="FO314" s="2">
        <f t="shared" si="5278"/>
        <v>0</v>
      </c>
      <c r="FP314" s="2">
        <f t="shared" ref="FP314:FQ314" si="5279">(CI314*$BT314+DD314*$CO314)/100</f>
        <v>0</v>
      </c>
      <c r="FQ314" s="2">
        <f t="shared" si="5279"/>
        <v>0</v>
      </c>
      <c r="FR314" s="2"/>
      <c r="FS314" s="2">
        <f t="shared" si="4388"/>
        <v>0</v>
      </c>
      <c r="FT314" s="2">
        <f t="shared" si="4389"/>
        <v>0</v>
      </c>
      <c r="FU314" s="39">
        <f t="shared" si="4390"/>
        <v>0</v>
      </c>
      <c r="FV314" s="39">
        <f t="shared" ref="FV314:FW314" si="5280">FV$1*FC314/1000000</f>
        <v>0</v>
      </c>
      <c r="FW314" s="39">
        <f t="shared" si="5280"/>
        <v>0</v>
      </c>
      <c r="FX314" s="39">
        <f t="shared" ref="FX314:GC314" si="5281">FX$1*FE314</f>
        <v>0</v>
      </c>
      <c r="FY314" s="39">
        <f t="shared" si="5281"/>
        <v>0</v>
      </c>
      <c r="FZ314" s="39">
        <f t="shared" si="5281"/>
        <v>0</v>
      </c>
      <c r="GA314" s="39">
        <f t="shared" si="5281"/>
        <v>0</v>
      </c>
      <c r="GB314" s="39">
        <f t="shared" si="5281"/>
        <v>0</v>
      </c>
      <c r="GC314" s="39">
        <f t="shared" si="5281"/>
        <v>0</v>
      </c>
      <c r="GD314" s="39">
        <f t="shared" ref="GD314:GH314" si="5282">GD$1*FK314/1000000</f>
        <v>0</v>
      </c>
      <c r="GE314" s="39">
        <f t="shared" si="5282"/>
        <v>0</v>
      </c>
      <c r="GF314" s="39">
        <f t="shared" si="5282"/>
        <v>0</v>
      </c>
      <c r="GG314" s="39">
        <f t="shared" si="5282"/>
        <v>0</v>
      </c>
      <c r="GH314" s="39">
        <f t="shared" si="5282"/>
        <v>0</v>
      </c>
      <c r="GI314" s="39">
        <f t="shared" ref="GI314:GJ314" si="5283">GI$1*FP314</f>
        <v>0</v>
      </c>
      <c r="GJ314" s="39">
        <f t="shared" si="5283"/>
        <v>0</v>
      </c>
      <c r="GK314" s="2"/>
      <c r="GL314" s="39">
        <f t="shared" si="4395"/>
        <v>0</v>
      </c>
      <c r="GM314" s="39">
        <f t="shared" si="4396"/>
        <v>0</v>
      </c>
      <c r="GN314" s="2" t="s">
        <v>3</v>
      </c>
      <c r="GO314" s="2">
        <f t="shared" si="4397"/>
        <v>0.24</v>
      </c>
      <c r="GP314" s="2">
        <f t="shared" si="4398"/>
        <v>2.36</v>
      </c>
      <c r="GQ314" s="15">
        <f t="shared" si="4399"/>
        <v>5.6639999999999997</v>
      </c>
      <c r="GR314" s="15">
        <f t="shared" si="4400"/>
        <v>74.277695999999992</v>
      </c>
      <c r="GS314" s="15">
        <f t="shared" si="4401"/>
        <v>309.49039999999997</v>
      </c>
      <c r="GT314" s="2">
        <f t="shared" si="4402"/>
        <v>0</v>
      </c>
      <c r="GU314" s="2">
        <f t="shared" si="4403"/>
        <v>0</v>
      </c>
      <c r="GV314" s="2">
        <f t="shared" si="4404"/>
        <v>5.6639999999999988</v>
      </c>
      <c r="GW314" s="2">
        <f t="shared" si="4405"/>
        <v>0</v>
      </c>
      <c r="GX314" s="2"/>
      <c r="GY314" s="2"/>
      <c r="GZ314" s="2"/>
      <c r="HA314" s="2"/>
      <c r="HB314" s="2">
        <f t="shared" si="4406"/>
        <v>0</v>
      </c>
      <c r="HC314" s="2">
        <f t="shared" si="4407"/>
        <v>0</v>
      </c>
      <c r="HD314" s="2" t="s">
        <v>3</v>
      </c>
      <c r="HE314" s="2" t="s">
        <v>89</v>
      </c>
      <c r="HF314" s="2" t="s">
        <v>137</v>
      </c>
      <c r="HG314" s="2"/>
      <c r="HH314" s="2"/>
      <c r="HI314" s="2" t="s">
        <v>81</v>
      </c>
      <c r="HJ314" s="2" t="s">
        <v>3</v>
      </c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 t="s">
        <v>3</v>
      </c>
    </row>
    <row r="315" spans="1:268" ht="15.75" customHeight="1" x14ac:dyDescent="0.2">
      <c r="A315" s="16" t="s">
        <v>827</v>
      </c>
      <c r="B315" s="2" t="s">
        <v>99</v>
      </c>
      <c r="C315" s="2"/>
      <c r="D315" s="2"/>
      <c r="E315" s="2" t="s">
        <v>179</v>
      </c>
      <c r="F315" s="2" t="s">
        <v>828</v>
      </c>
      <c r="G315" s="2"/>
      <c r="H315" s="2" t="s">
        <v>181</v>
      </c>
      <c r="I315" s="2">
        <v>0</v>
      </c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>
        <v>0</v>
      </c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>
        <v>0.22700000000000001</v>
      </c>
      <c r="AZ315" s="2">
        <v>0.06</v>
      </c>
      <c r="BA315" s="2"/>
      <c r="BB315" s="2"/>
      <c r="BC315" s="2"/>
      <c r="BD315" s="2"/>
      <c r="BE315" s="2"/>
      <c r="BF315" s="2"/>
      <c r="BG315" s="2">
        <v>1.7</v>
      </c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>
        <v>0</v>
      </c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>
        <v>0</v>
      </c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 t="s">
        <v>81</v>
      </c>
      <c r="DK315" s="2"/>
      <c r="DL315" s="2">
        <f t="shared" si="4367"/>
        <v>1.7</v>
      </c>
      <c r="DM315" s="2">
        <f t="shared" si="4368"/>
        <v>0</v>
      </c>
      <c r="DN315" s="2" t="s">
        <v>175</v>
      </c>
      <c r="DO315" s="2" t="s">
        <v>3</v>
      </c>
      <c r="DP315" s="2">
        <f t="shared" si="4369"/>
        <v>1.362E-4</v>
      </c>
      <c r="DQ315" s="2">
        <f t="shared" ref="DQ315:DR315" si="5284">K315*$I315+AF315*$AD315+BA315*$AY315</f>
        <v>0</v>
      </c>
      <c r="DR315" s="2">
        <f t="shared" si="5284"/>
        <v>0</v>
      </c>
      <c r="DS315" s="2">
        <f t="shared" ref="DS315:DX315" si="5285">(M315*$I315+AH315*$AD315+BC315*$AY315)/100</f>
        <v>0</v>
      </c>
      <c r="DT315" s="2">
        <f t="shared" si="5285"/>
        <v>0</v>
      </c>
      <c r="DU315" s="2">
        <f t="shared" si="5285"/>
        <v>0</v>
      </c>
      <c r="DV315" s="2">
        <f t="shared" si="5285"/>
        <v>0</v>
      </c>
      <c r="DW315" s="2">
        <f t="shared" si="5285"/>
        <v>3.859E-3</v>
      </c>
      <c r="DX315" s="2">
        <f t="shared" si="5285"/>
        <v>0</v>
      </c>
      <c r="DY315" s="2">
        <f t="shared" ref="DY315:EC315" si="5286">S315*$I315+AN315*$AD315+BI315*$AY315</f>
        <v>0</v>
      </c>
      <c r="DZ315" s="2">
        <f t="shared" si="5286"/>
        <v>0</v>
      </c>
      <c r="EA315" s="2">
        <f t="shared" si="5286"/>
        <v>0</v>
      </c>
      <c r="EB315" s="2">
        <f t="shared" si="5286"/>
        <v>0</v>
      </c>
      <c r="EC315" s="2">
        <f t="shared" si="5286"/>
        <v>0</v>
      </c>
      <c r="ED315" s="2">
        <f t="shared" ref="ED315:EE315" si="5287">(X315*$I315+AS315*$AD315+BN315*$AY315)/100</f>
        <v>0</v>
      </c>
      <c r="EE315" s="2">
        <f t="shared" si="5287"/>
        <v>0</v>
      </c>
      <c r="EF315" s="2"/>
      <c r="EG315" s="2">
        <f t="shared" si="4374"/>
        <v>0</v>
      </c>
      <c r="EH315" s="2">
        <f t="shared" si="4375"/>
        <v>0</v>
      </c>
      <c r="EI315" s="39">
        <f t="shared" si="4376"/>
        <v>0.88878889920000004</v>
      </c>
      <c r="EJ315" s="39">
        <f t="shared" ref="EJ315:EK315" si="5288">EJ$1*DQ315/1000000</f>
        <v>0</v>
      </c>
      <c r="EK315" s="39">
        <f t="shared" si="5288"/>
        <v>0</v>
      </c>
      <c r="EL315" s="39">
        <f t="shared" ref="EL315:EQ315" si="5289">EL$1*DS315</f>
        <v>0</v>
      </c>
      <c r="EM315" s="39">
        <f t="shared" si="5289"/>
        <v>0</v>
      </c>
      <c r="EN315" s="39">
        <f t="shared" si="5289"/>
        <v>0</v>
      </c>
      <c r="EO315" s="39">
        <f t="shared" si="5289"/>
        <v>0</v>
      </c>
      <c r="EP315" s="39">
        <f t="shared" si="5289"/>
        <v>50.606926000000001</v>
      </c>
      <c r="EQ315" s="39">
        <f t="shared" si="5289"/>
        <v>0</v>
      </c>
      <c r="ER315" s="39">
        <f t="shared" ref="ER315:EV315" si="5290">ER$1*DY315/1000000</f>
        <v>0</v>
      </c>
      <c r="ES315" s="39">
        <f t="shared" si="5290"/>
        <v>0</v>
      </c>
      <c r="ET315" s="39">
        <f t="shared" si="5290"/>
        <v>0</v>
      </c>
      <c r="EU315" s="39">
        <f t="shared" si="5290"/>
        <v>0</v>
      </c>
      <c r="EV315" s="39">
        <f t="shared" si="5290"/>
        <v>0</v>
      </c>
      <c r="EW315" s="39">
        <f t="shared" ref="EW315:EX315" si="5291">EW$1*ED315</f>
        <v>0</v>
      </c>
      <c r="EX315" s="39">
        <f t="shared" si="5291"/>
        <v>0</v>
      </c>
      <c r="EY315" s="2"/>
      <c r="EZ315" s="39">
        <f t="shared" si="4381"/>
        <v>0</v>
      </c>
      <c r="FA315" s="39">
        <f t="shared" si="4382"/>
        <v>0</v>
      </c>
      <c r="FB315" s="2">
        <f t="shared" si="4383"/>
        <v>0</v>
      </c>
      <c r="FC315" s="2">
        <f t="shared" ref="FC315:FD315" si="5292">BV315*$BT315+CQ315*$CO315</f>
        <v>0</v>
      </c>
      <c r="FD315" s="2">
        <f t="shared" si="5292"/>
        <v>0</v>
      </c>
      <c r="FE315" s="2">
        <f t="shared" ref="FE315:FJ315" si="5293">(BX315*$BT315+CS315*$CO315)/100</f>
        <v>0</v>
      </c>
      <c r="FF315" s="2">
        <f t="shared" si="5293"/>
        <v>0</v>
      </c>
      <c r="FG315" s="2">
        <f t="shared" si="5293"/>
        <v>0</v>
      </c>
      <c r="FH315" s="2">
        <f t="shared" si="5293"/>
        <v>0</v>
      </c>
      <c r="FI315" s="2">
        <f t="shared" si="5293"/>
        <v>0</v>
      </c>
      <c r="FJ315" s="2">
        <f t="shared" si="5293"/>
        <v>0</v>
      </c>
      <c r="FK315" s="2">
        <f t="shared" ref="FK315:FO315" si="5294">CD315*$BT315+CY315*$CO315</f>
        <v>0</v>
      </c>
      <c r="FL315" s="2">
        <f t="shared" si="5294"/>
        <v>0</v>
      </c>
      <c r="FM315" s="2">
        <f t="shared" si="5294"/>
        <v>0</v>
      </c>
      <c r="FN315" s="2">
        <f t="shared" si="5294"/>
        <v>0</v>
      </c>
      <c r="FO315" s="2">
        <f t="shared" si="5294"/>
        <v>0</v>
      </c>
      <c r="FP315" s="2">
        <f t="shared" ref="FP315:FQ315" si="5295">(CI315*$BT315+DD315*$CO315)/100</f>
        <v>0</v>
      </c>
      <c r="FQ315" s="2">
        <f t="shared" si="5295"/>
        <v>0</v>
      </c>
      <c r="FR315" s="2"/>
      <c r="FS315" s="2">
        <f t="shared" si="4388"/>
        <v>0</v>
      </c>
      <c r="FT315" s="2">
        <f t="shared" si="4389"/>
        <v>0</v>
      </c>
      <c r="FU315" s="39">
        <f t="shared" si="4390"/>
        <v>0</v>
      </c>
      <c r="FV315" s="39">
        <f t="shared" ref="FV315:FW315" si="5296">FV$1*FC315/1000000</f>
        <v>0</v>
      </c>
      <c r="FW315" s="39">
        <f t="shared" si="5296"/>
        <v>0</v>
      </c>
      <c r="FX315" s="39">
        <f t="shared" ref="FX315:GC315" si="5297">FX$1*FE315</f>
        <v>0</v>
      </c>
      <c r="FY315" s="39">
        <f t="shared" si="5297"/>
        <v>0</v>
      </c>
      <c r="FZ315" s="39">
        <f t="shared" si="5297"/>
        <v>0</v>
      </c>
      <c r="GA315" s="39">
        <f t="shared" si="5297"/>
        <v>0</v>
      </c>
      <c r="GB315" s="39">
        <f t="shared" si="5297"/>
        <v>0</v>
      </c>
      <c r="GC315" s="39">
        <f t="shared" si="5297"/>
        <v>0</v>
      </c>
      <c r="GD315" s="39">
        <f t="shared" ref="GD315:GH315" si="5298">GD$1*FK315/1000000</f>
        <v>0</v>
      </c>
      <c r="GE315" s="39">
        <f t="shared" si="5298"/>
        <v>0</v>
      </c>
      <c r="GF315" s="39">
        <f t="shared" si="5298"/>
        <v>0</v>
      </c>
      <c r="GG315" s="39">
        <f t="shared" si="5298"/>
        <v>0</v>
      </c>
      <c r="GH315" s="39">
        <f t="shared" si="5298"/>
        <v>0</v>
      </c>
      <c r="GI315" s="39">
        <f t="shared" ref="GI315:GJ315" si="5299">GI$1*FP315</f>
        <v>0</v>
      </c>
      <c r="GJ315" s="39">
        <f t="shared" si="5299"/>
        <v>0</v>
      </c>
      <c r="GK315" s="2"/>
      <c r="GL315" s="39">
        <f t="shared" si="4395"/>
        <v>0</v>
      </c>
      <c r="GM315" s="39">
        <f t="shared" si="4396"/>
        <v>0</v>
      </c>
      <c r="GN315" s="2" t="s">
        <v>3</v>
      </c>
      <c r="GO315" s="2">
        <f t="shared" si="4397"/>
        <v>0.22700000000000001</v>
      </c>
      <c r="GP315" s="2">
        <f t="shared" si="4398"/>
        <v>1.7</v>
      </c>
      <c r="GQ315" s="15">
        <f t="shared" si="4399"/>
        <v>3.859</v>
      </c>
      <c r="GR315" s="15">
        <f t="shared" si="4400"/>
        <v>51.495714899200003</v>
      </c>
      <c r="GS315" s="15">
        <f t="shared" si="4401"/>
        <v>226.85336960000001</v>
      </c>
      <c r="GT315" s="2">
        <f t="shared" si="4402"/>
        <v>0</v>
      </c>
      <c r="GU315" s="2">
        <f t="shared" si="4403"/>
        <v>0</v>
      </c>
      <c r="GV315" s="2">
        <f t="shared" si="4404"/>
        <v>3.8590000000000004</v>
      </c>
      <c r="GW315" s="2">
        <f t="shared" si="4405"/>
        <v>0</v>
      </c>
      <c r="GX315" s="2"/>
      <c r="GY315" s="2"/>
      <c r="GZ315" s="2"/>
      <c r="HA315" s="2"/>
      <c r="HB315" s="2">
        <f t="shared" si="4406"/>
        <v>0</v>
      </c>
      <c r="HC315" s="2">
        <f t="shared" si="4407"/>
        <v>0</v>
      </c>
      <c r="HD315" s="2" t="s">
        <v>3</v>
      </c>
      <c r="HE315" s="2" t="s">
        <v>89</v>
      </c>
      <c r="HF315" s="2" t="s">
        <v>137</v>
      </c>
      <c r="HG315" s="2"/>
      <c r="HH315" s="2"/>
      <c r="HI315" s="2" t="s">
        <v>81</v>
      </c>
      <c r="HJ315" s="2" t="s">
        <v>3</v>
      </c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 t="s">
        <v>3</v>
      </c>
    </row>
    <row r="316" spans="1:268" ht="15.75" customHeight="1" x14ac:dyDescent="0.2">
      <c r="A316" s="16" t="s">
        <v>1158</v>
      </c>
      <c r="B316" s="2" t="s">
        <v>99</v>
      </c>
      <c r="C316" s="2"/>
      <c r="D316" s="2"/>
      <c r="E316" s="2" t="s">
        <v>179</v>
      </c>
      <c r="F316" s="2" t="s">
        <v>1159</v>
      </c>
      <c r="G316" s="2"/>
      <c r="H316" s="2" t="s">
        <v>181</v>
      </c>
      <c r="I316" s="2">
        <v>0</v>
      </c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>
        <v>0</v>
      </c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>
        <v>0.35</v>
      </c>
      <c r="AZ316" s="2"/>
      <c r="BA316" s="2"/>
      <c r="BB316" s="2"/>
      <c r="BC316" s="2"/>
      <c r="BD316" s="2"/>
      <c r="BE316" s="2"/>
      <c r="BF316" s="2"/>
      <c r="BG316" s="2">
        <v>0.9</v>
      </c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>
        <v>0</v>
      </c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>
        <v>0</v>
      </c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 t="s">
        <v>81</v>
      </c>
      <c r="DK316" s="2"/>
      <c r="DL316" s="2">
        <f t="shared" si="4367"/>
        <v>0.9</v>
      </c>
      <c r="DM316" s="2">
        <f t="shared" si="4368"/>
        <v>0</v>
      </c>
      <c r="DN316" s="2" t="s">
        <v>175</v>
      </c>
      <c r="DO316" s="2" t="s">
        <v>3</v>
      </c>
      <c r="DP316" s="2">
        <f t="shared" si="4369"/>
        <v>0</v>
      </c>
      <c r="DQ316" s="2">
        <f t="shared" ref="DQ316:DR316" si="5300">K316*$I316+AF316*$AD316+BA316*$AY316</f>
        <v>0</v>
      </c>
      <c r="DR316" s="2">
        <f t="shared" si="5300"/>
        <v>0</v>
      </c>
      <c r="DS316" s="2">
        <f t="shared" ref="DS316:DX316" si="5301">(M316*$I316+AH316*$AD316+BC316*$AY316)/100</f>
        <v>0</v>
      </c>
      <c r="DT316" s="2">
        <f t="shared" si="5301"/>
        <v>0</v>
      </c>
      <c r="DU316" s="2">
        <f t="shared" si="5301"/>
        <v>0</v>
      </c>
      <c r="DV316" s="2">
        <f t="shared" si="5301"/>
        <v>0</v>
      </c>
      <c r="DW316" s="2">
        <f t="shared" si="5301"/>
        <v>3.15E-3</v>
      </c>
      <c r="DX316" s="2">
        <f t="shared" si="5301"/>
        <v>0</v>
      </c>
      <c r="DY316" s="2">
        <f t="shared" ref="DY316:EC316" si="5302">S316*$I316+AN316*$AD316+BI316*$AY316</f>
        <v>0</v>
      </c>
      <c r="DZ316" s="2">
        <f t="shared" si="5302"/>
        <v>0</v>
      </c>
      <c r="EA316" s="2">
        <f t="shared" si="5302"/>
        <v>0</v>
      </c>
      <c r="EB316" s="2">
        <f t="shared" si="5302"/>
        <v>0</v>
      </c>
      <c r="EC316" s="2">
        <f t="shared" si="5302"/>
        <v>0</v>
      </c>
      <c r="ED316" s="2">
        <f t="shared" ref="ED316:EE316" si="5303">(X316*$I316+AS316*$AD316+BN316*$AY316)/100</f>
        <v>0</v>
      </c>
      <c r="EE316" s="2">
        <f t="shared" si="5303"/>
        <v>0</v>
      </c>
      <c r="EF316" s="2"/>
      <c r="EG316" s="2">
        <f t="shared" si="4374"/>
        <v>0</v>
      </c>
      <c r="EH316" s="2">
        <f t="shared" si="4375"/>
        <v>0</v>
      </c>
      <c r="EI316" s="39">
        <f t="shared" si="4376"/>
        <v>0</v>
      </c>
      <c r="EJ316" s="39">
        <f t="shared" ref="EJ316:EK316" si="5304">EJ$1*DQ316/1000000</f>
        <v>0</v>
      </c>
      <c r="EK316" s="39">
        <f t="shared" si="5304"/>
        <v>0</v>
      </c>
      <c r="EL316" s="39">
        <f t="shared" ref="EL316:EQ316" si="5305">EL$1*DS316</f>
        <v>0</v>
      </c>
      <c r="EM316" s="39">
        <f t="shared" si="5305"/>
        <v>0</v>
      </c>
      <c r="EN316" s="39">
        <f t="shared" si="5305"/>
        <v>0</v>
      </c>
      <c r="EO316" s="39">
        <f t="shared" si="5305"/>
        <v>0</v>
      </c>
      <c r="EP316" s="39">
        <f t="shared" si="5305"/>
        <v>41.309100000000001</v>
      </c>
      <c r="EQ316" s="39">
        <f t="shared" si="5305"/>
        <v>0</v>
      </c>
      <c r="ER316" s="39">
        <f t="shared" ref="ER316:EV316" si="5306">ER$1*DY316/1000000</f>
        <v>0</v>
      </c>
      <c r="ES316" s="39">
        <f t="shared" si="5306"/>
        <v>0</v>
      </c>
      <c r="ET316" s="39">
        <f t="shared" si="5306"/>
        <v>0</v>
      </c>
      <c r="EU316" s="39">
        <f t="shared" si="5306"/>
        <v>0</v>
      </c>
      <c r="EV316" s="39">
        <f t="shared" si="5306"/>
        <v>0</v>
      </c>
      <c r="EW316" s="39">
        <f t="shared" ref="EW316:EX316" si="5307">EW$1*ED316</f>
        <v>0</v>
      </c>
      <c r="EX316" s="39">
        <f t="shared" si="5307"/>
        <v>0</v>
      </c>
      <c r="EY316" s="2"/>
      <c r="EZ316" s="39">
        <f t="shared" si="4381"/>
        <v>0</v>
      </c>
      <c r="FA316" s="39">
        <f t="shared" si="4382"/>
        <v>0</v>
      </c>
      <c r="FB316" s="2">
        <f t="shared" si="4383"/>
        <v>0</v>
      </c>
      <c r="FC316" s="2">
        <f t="shared" ref="FC316:FD316" si="5308">BV316*$BT316+CQ316*$CO316</f>
        <v>0</v>
      </c>
      <c r="FD316" s="2">
        <f t="shared" si="5308"/>
        <v>0</v>
      </c>
      <c r="FE316" s="2">
        <f t="shared" ref="FE316:FJ316" si="5309">(BX316*$BT316+CS316*$CO316)/100</f>
        <v>0</v>
      </c>
      <c r="FF316" s="2">
        <f t="shared" si="5309"/>
        <v>0</v>
      </c>
      <c r="FG316" s="2">
        <f t="shared" si="5309"/>
        <v>0</v>
      </c>
      <c r="FH316" s="2">
        <f t="shared" si="5309"/>
        <v>0</v>
      </c>
      <c r="FI316" s="2">
        <f t="shared" si="5309"/>
        <v>0</v>
      </c>
      <c r="FJ316" s="2">
        <f t="shared" si="5309"/>
        <v>0</v>
      </c>
      <c r="FK316" s="2">
        <f t="shared" ref="FK316:FO316" si="5310">CD316*$BT316+CY316*$CO316</f>
        <v>0</v>
      </c>
      <c r="FL316" s="2">
        <f t="shared" si="5310"/>
        <v>0</v>
      </c>
      <c r="FM316" s="2">
        <f t="shared" si="5310"/>
        <v>0</v>
      </c>
      <c r="FN316" s="2">
        <f t="shared" si="5310"/>
        <v>0</v>
      </c>
      <c r="FO316" s="2">
        <f t="shared" si="5310"/>
        <v>0</v>
      </c>
      <c r="FP316" s="2">
        <f t="shared" ref="FP316:FQ316" si="5311">(CI316*$BT316+DD316*$CO316)/100</f>
        <v>0</v>
      </c>
      <c r="FQ316" s="2">
        <f t="shared" si="5311"/>
        <v>0</v>
      </c>
      <c r="FR316" s="2"/>
      <c r="FS316" s="2">
        <f t="shared" si="4388"/>
        <v>0</v>
      </c>
      <c r="FT316" s="2">
        <f t="shared" si="4389"/>
        <v>0</v>
      </c>
      <c r="FU316" s="39">
        <f t="shared" si="4390"/>
        <v>0</v>
      </c>
      <c r="FV316" s="39">
        <f t="shared" ref="FV316:FW316" si="5312">FV$1*FC316/1000000</f>
        <v>0</v>
      </c>
      <c r="FW316" s="39">
        <f t="shared" si="5312"/>
        <v>0</v>
      </c>
      <c r="FX316" s="39">
        <f t="shared" ref="FX316:GC316" si="5313">FX$1*FE316</f>
        <v>0</v>
      </c>
      <c r="FY316" s="39">
        <f t="shared" si="5313"/>
        <v>0</v>
      </c>
      <c r="FZ316" s="39">
        <f t="shared" si="5313"/>
        <v>0</v>
      </c>
      <c r="GA316" s="39">
        <f t="shared" si="5313"/>
        <v>0</v>
      </c>
      <c r="GB316" s="39">
        <f t="shared" si="5313"/>
        <v>0</v>
      </c>
      <c r="GC316" s="39">
        <f t="shared" si="5313"/>
        <v>0</v>
      </c>
      <c r="GD316" s="39">
        <f t="shared" ref="GD316:GH316" si="5314">GD$1*FK316/1000000</f>
        <v>0</v>
      </c>
      <c r="GE316" s="39">
        <f t="shared" si="5314"/>
        <v>0</v>
      </c>
      <c r="GF316" s="39">
        <f t="shared" si="5314"/>
        <v>0</v>
      </c>
      <c r="GG316" s="39">
        <f t="shared" si="5314"/>
        <v>0</v>
      </c>
      <c r="GH316" s="39">
        <f t="shared" si="5314"/>
        <v>0</v>
      </c>
      <c r="GI316" s="39">
        <f t="shared" ref="GI316:GJ316" si="5315">GI$1*FP316</f>
        <v>0</v>
      </c>
      <c r="GJ316" s="39">
        <f t="shared" si="5315"/>
        <v>0</v>
      </c>
      <c r="GK316" s="2"/>
      <c r="GL316" s="39">
        <f t="shared" si="4395"/>
        <v>0</v>
      </c>
      <c r="GM316" s="39">
        <f t="shared" si="4396"/>
        <v>0</v>
      </c>
      <c r="GN316" s="2" t="s">
        <v>3</v>
      </c>
      <c r="GO316" s="2">
        <f t="shared" si="4397"/>
        <v>0.35</v>
      </c>
      <c r="GP316" s="2">
        <f t="shared" si="4398"/>
        <v>0.9</v>
      </c>
      <c r="GQ316" s="15">
        <f t="shared" si="4399"/>
        <v>3.15</v>
      </c>
      <c r="GR316" s="15">
        <f t="shared" si="4400"/>
        <v>41.309100000000001</v>
      </c>
      <c r="GS316" s="15">
        <f t="shared" si="4401"/>
        <v>118.02600000000001</v>
      </c>
      <c r="GT316" s="2">
        <f t="shared" si="4402"/>
        <v>0</v>
      </c>
      <c r="GU316" s="2">
        <f t="shared" si="4403"/>
        <v>0</v>
      </c>
      <c r="GV316" s="2">
        <f t="shared" si="4404"/>
        <v>3.15</v>
      </c>
      <c r="GW316" s="2">
        <f t="shared" si="4405"/>
        <v>0</v>
      </c>
      <c r="GX316" s="2"/>
      <c r="GY316" s="2"/>
      <c r="GZ316" s="2"/>
      <c r="HA316" s="2"/>
      <c r="HB316" s="2">
        <f t="shared" si="4406"/>
        <v>0</v>
      </c>
      <c r="HC316" s="2">
        <f t="shared" si="4407"/>
        <v>0</v>
      </c>
      <c r="HD316" s="2" t="s">
        <v>3</v>
      </c>
      <c r="HE316" s="2" t="s">
        <v>89</v>
      </c>
      <c r="HF316" s="2" t="s">
        <v>137</v>
      </c>
      <c r="HG316" s="2"/>
      <c r="HH316" s="2"/>
      <c r="HI316" s="2" t="s">
        <v>81</v>
      </c>
      <c r="HJ316" s="2" t="s">
        <v>3</v>
      </c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 t="s">
        <v>3</v>
      </c>
    </row>
    <row r="317" spans="1:268" ht="15.75" customHeight="1" x14ac:dyDescent="0.2">
      <c r="A317" s="16" t="s">
        <v>617</v>
      </c>
      <c r="B317" s="2" t="s">
        <v>120</v>
      </c>
      <c r="C317" s="2"/>
      <c r="D317" s="2"/>
      <c r="E317" s="2" t="s">
        <v>78</v>
      </c>
      <c r="F317" s="2" t="s">
        <v>314</v>
      </c>
      <c r="G317" s="2"/>
      <c r="H317" s="2" t="s">
        <v>181</v>
      </c>
      <c r="I317" s="2">
        <v>0</v>
      </c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19">
        <f>0.0013+0.0192+0.0087+0.1</f>
        <v>0.12920000000000001</v>
      </c>
      <c r="AE317" s="20">
        <v>0.2</v>
      </c>
      <c r="AF317" s="2"/>
      <c r="AG317" s="2"/>
      <c r="AH317" s="2"/>
      <c r="AI317" s="2"/>
      <c r="AJ317" s="2"/>
      <c r="AK317" s="2"/>
      <c r="AL317" s="15">
        <f>(1.52*0.0013+3.28*0.0192+4.8*0.0087+2*0.1)/AD317</f>
        <v>2.3739318885448912</v>
      </c>
      <c r="AM317" s="2">
        <v>0.03</v>
      </c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19">
        <f>0.0753+0.142</f>
        <v>0.21729999999999999</v>
      </c>
      <c r="AZ317" s="20">
        <v>0.2</v>
      </c>
      <c r="BA317" s="2"/>
      <c r="BB317" s="2"/>
      <c r="BC317" s="2"/>
      <c r="BD317" s="2"/>
      <c r="BE317" s="2"/>
      <c r="BF317" s="2"/>
      <c r="BG317" s="15">
        <f>(3.07*0.0753+2*0.142)/AY317</f>
        <v>2.3707823285780032</v>
      </c>
      <c r="BH317" s="2">
        <v>0.03</v>
      </c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>
        <v>0</v>
      </c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>
        <v>0</v>
      </c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 t="s">
        <v>81</v>
      </c>
      <c r="DK317" s="2" t="s">
        <v>81</v>
      </c>
      <c r="DL317" s="2">
        <f t="shared" si="4367"/>
        <v>2.3719567099567098</v>
      </c>
      <c r="DM317" s="2">
        <f t="shared" si="4368"/>
        <v>2.9999999999999995E-2</v>
      </c>
      <c r="DN317" s="2" t="s">
        <v>175</v>
      </c>
      <c r="DO317" s="2" t="s">
        <v>3</v>
      </c>
      <c r="DP317" s="2">
        <f t="shared" si="4369"/>
        <v>6.9300000000000004E-4</v>
      </c>
      <c r="DQ317" s="2">
        <f t="shared" ref="DQ317:DR317" si="5316">K317*$I317+AF317*$AD317+BA317*$AY317</f>
        <v>0</v>
      </c>
      <c r="DR317" s="2">
        <f t="shared" si="5316"/>
        <v>0</v>
      </c>
      <c r="DS317" s="2">
        <f t="shared" ref="DS317:DX317" si="5317">(M317*$I317+AH317*$AD317+BC317*$AY317)/100</f>
        <v>0</v>
      </c>
      <c r="DT317" s="2">
        <f t="shared" si="5317"/>
        <v>0</v>
      </c>
      <c r="DU317" s="2">
        <f t="shared" si="5317"/>
        <v>0</v>
      </c>
      <c r="DV317" s="2">
        <f t="shared" si="5317"/>
        <v>0</v>
      </c>
      <c r="DW317" s="2">
        <f t="shared" si="5317"/>
        <v>8.2188299999999999E-3</v>
      </c>
      <c r="DX317" s="2">
        <f t="shared" si="5317"/>
        <v>1.0394999999999999E-4</v>
      </c>
      <c r="DY317" s="2">
        <f t="shared" ref="DY317:EC317" si="5318">S317*$I317+AN317*$AD317+BI317*$AY317</f>
        <v>0</v>
      </c>
      <c r="DZ317" s="2">
        <f t="shared" si="5318"/>
        <v>0</v>
      </c>
      <c r="EA317" s="2">
        <f t="shared" si="5318"/>
        <v>0</v>
      </c>
      <c r="EB317" s="2">
        <f t="shared" si="5318"/>
        <v>0</v>
      </c>
      <c r="EC317" s="2">
        <f t="shared" si="5318"/>
        <v>0</v>
      </c>
      <c r="ED317" s="2">
        <f t="shared" ref="ED317:EE317" si="5319">(X317*$I317+AS317*$AD317+BN317*$AY317)/100</f>
        <v>0</v>
      </c>
      <c r="EE317" s="2">
        <f t="shared" si="5319"/>
        <v>0</v>
      </c>
      <c r="EF317" s="2"/>
      <c r="EG317" s="2">
        <f t="shared" si="4374"/>
        <v>0</v>
      </c>
      <c r="EH317" s="2">
        <f t="shared" si="4375"/>
        <v>0</v>
      </c>
      <c r="EI317" s="39">
        <f t="shared" si="4376"/>
        <v>4.5222518880000004</v>
      </c>
      <c r="EJ317" s="39">
        <f t="shared" ref="EJ317:EK317" si="5320">EJ$1*DQ317/1000000</f>
        <v>0</v>
      </c>
      <c r="EK317" s="39">
        <f t="shared" si="5320"/>
        <v>0</v>
      </c>
      <c r="EL317" s="39">
        <f t="shared" ref="EL317:EQ317" si="5321">EL$1*DS317</f>
        <v>0</v>
      </c>
      <c r="EM317" s="39">
        <f t="shared" si="5321"/>
        <v>0</v>
      </c>
      <c r="EN317" s="39">
        <f t="shared" si="5321"/>
        <v>0</v>
      </c>
      <c r="EO317" s="39">
        <f t="shared" si="5321"/>
        <v>0</v>
      </c>
      <c r="EP317" s="39">
        <f t="shared" si="5321"/>
        <v>107.78173662</v>
      </c>
      <c r="EQ317" s="39">
        <f t="shared" si="5321"/>
        <v>7.5487995197999984</v>
      </c>
      <c r="ER317" s="39">
        <f t="shared" ref="ER317:EV317" si="5322">ER$1*DY317/1000000</f>
        <v>0</v>
      </c>
      <c r="ES317" s="39">
        <f t="shared" si="5322"/>
        <v>0</v>
      </c>
      <c r="ET317" s="39">
        <f t="shared" si="5322"/>
        <v>0</v>
      </c>
      <c r="EU317" s="39">
        <f t="shared" si="5322"/>
        <v>0</v>
      </c>
      <c r="EV317" s="39">
        <f t="shared" si="5322"/>
        <v>0</v>
      </c>
      <c r="EW317" s="39">
        <f t="shared" ref="EW317:EX317" si="5323">EW$1*ED317</f>
        <v>0</v>
      </c>
      <c r="EX317" s="39">
        <f t="shared" si="5323"/>
        <v>0</v>
      </c>
      <c r="EY317" s="2"/>
      <c r="EZ317" s="39">
        <f t="shared" si="4381"/>
        <v>0</v>
      </c>
      <c r="FA317" s="39">
        <f t="shared" si="4382"/>
        <v>0</v>
      </c>
      <c r="FB317" s="2">
        <f t="shared" si="4383"/>
        <v>0</v>
      </c>
      <c r="FC317" s="2">
        <f t="shared" ref="FC317:FD317" si="5324">BV317*$BT317+CQ317*$CO317</f>
        <v>0</v>
      </c>
      <c r="FD317" s="2">
        <f t="shared" si="5324"/>
        <v>0</v>
      </c>
      <c r="FE317" s="2">
        <f t="shared" ref="FE317:FJ317" si="5325">(BX317*$BT317+CS317*$CO317)/100</f>
        <v>0</v>
      </c>
      <c r="FF317" s="2">
        <f t="shared" si="5325"/>
        <v>0</v>
      </c>
      <c r="FG317" s="2">
        <f t="shared" si="5325"/>
        <v>0</v>
      </c>
      <c r="FH317" s="2">
        <f t="shared" si="5325"/>
        <v>0</v>
      </c>
      <c r="FI317" s="2">
        <f t="shared" si="5325"/>
        <v>0</v>
      </c>
      <c r="FJ317" s="2">
        <f t="shared" si="5325"/>
        <v>0</v>
      </c>
      <c r="FK317" s="2">
        <f t="shared" ref="FK317:FO317" si="5326">CD317*$BT317+CY317*$CO317</f>
        <v>0</v>
      </c>
      <c r="FL317" s="2">
        <f t="shared" si="5326"/>
        <v>0</v>
      </c>
      <c r="FM317" s="2">
        <f t="shared" si="5326"/>
        <v>0</v>
      </c>
      <c r="FN317" s="2">
        <f t="shared" si="5326"/>
        <v>0</v>
      </c>
      <c r="FO317" s="2">
        <f t="shared" si="5326"/>
        <v>0</v>
      </c>
      <c r="FP317" s="2">
        <f t="shared" ref="FP317:FQ317" si="5327">(CI317*$BT317+DD317*$CO317)/100</f>
        <v>0</v>
      </c>
      <c r="FQ317" s="2">
        <f t="shared" si="5327"/>
        <v>0</v>
      </c>
      <c r="FR317" s="2"/>
      <c r="FS317" s="2">
        <f t="shared" si="4388"/>
        <v>0</v>
      </c>
      <c r="FT317" s="2">
        <f t="shared" si="4389"/>
        <v>0</v>
      </c>
      <c r="FU317" s="39">
        <f t="shared" si="4390"/>
        <v>0</v>
      </c>
      <c r="FV317" s="39">
        <f t="shared" ref="FV317:FW317" si="5328">FV$1*FC317/1000000</f>
        <v>0</v>
      </c>
      <c r="FW317" s="39">
        <f t="shared" si="5328"/>
        <v>0</v>
      </c>
      <c r="FX317" s="39">
        <f t="shared" ref="FX317:GC317" si="5329">FX$1*FE317</f>
        <v>0</v>
      </c>
      <c r="FY317" s="39">
        <f t="shared" si="5329"/>
        <v>0</v>
      </c>
      <c r="FZ317" s="39">
        <f t="shared" si="5329"/>
        <v>0</v>
      </c>
      <c r="GA317" s="39">
        <f t="shared" si="5329"/>
        <v>0</v>
      </c>
      <c r="GB317" s="39">
        <f t="shared" si="5329"/>
        <v>0</v>
      </c>
      <c r="GC317" s="39">
        <f t="shared" si="5329"/>
        <v>0</v>
      </c>
      <c r="GD317" s="39">
        <f t="shared" ref="GD317:GH317" si="5330">GD$1*FK317/1000000</f>
        <v>0</v>
      </c>
      <c r="GE317" s="39">
        <f t="shared" si="5330"/>
        <v>0</v>
      </c>
      <c r="GF317" s="39">
        <f t="shared" si="5330"/>
        <v>0</v>
      </c>
      <c r="GG317" s="39">
        <f t="shared" si="5330"/>
        <v>0</v>
      </c>
      <c r="GH317" s="39">
        <f t="shared" si="5330"/>
        <v>0</v>
      </c>
      <c r="GI317" s="39">
        <f t="shared" ref="GI317:GJ317" si="5331">GI$1*FP317</f>
        <v>0</v>
      </c>
      <c r="GJ317" s="39">
        <f t="shared" si="5331"/>
        <v>0</v>
      </c>
      <c r="GK317" s="2"/>
      <c r="GL317" s="39">
        <f t="shared" si="4395"/>
        <v>0</v>
      </c>
      <c r="GM317" s="39">
        <f t="shared" si="4396"/>
        <v>0</v>
      </c>
      <c r="GN317" s="2" t="s">
        <v>3</v>
      </c>
      <c r="GO317" s="19">
        <f t="shared" si="4397"/>
        <v>0.34650000000000003</v>
      </c>
      <c r="GP317" s="4">
        <f t="shared" si="4398"/>
        <v>2.3719567099567098</v>
      </c>
      <c r="GQ317" s="15">
        <f t="shared" si="4399"/>
        <v>8.2188300000000005</v>
      </c>
      <c r="GR317" s="15">
        <f t="shared" si="4400"/>
        <v>119.8527880278</v>
      </c>
      <c r="GS317" s="15">
        <f t="shared" si="4401"/>
        <v>345.89549214372295</v>
      </c>
      <c r="GT317" s="2">
        <f t="shared" si="4402"/>
        <v>0</v>
      </c>
      <c r="GU317" s="2">
        <f t="shared" si="4403"/>
        <v>3.0671200000000001</v>
      </c>
      <c r="GV317" s="2">
        <f t="shared" si="4404"/>
        <v>5.1517100000000005</v>
      </c>
      <c r="GW317" s="2">
        <f t="shared" si="4405"/>
        <v>0</v>
      </c>
      <c r="GX317" s="2"/>
      <c r="GY317" s="2"/>
      <c r="GZ317" s="2"/>
      <c r="HA317" s="2"/>
      <c r="HB317" s="2">
        <f t="shared" si="4406"/>
        <v>0</v>
      </c>
      <c r="HC317" s="2">
        <f t="shared" si="4407"/>
        <v>0</v>
      </c>
      <c r="HD317" s="2" t="s">
        <v>3</v>
      </c>
      <c r="HE317" s="2" t="s">
        <v>89</v>
      </c>
      <c r="HF317" s="2" t="s">
        <v>137</v>
      </c>
      <c r="HG317" s="2"/>
      <c r="HH317" s="2"/>
      <c r="HI317" s="2" t="s">
        <v>81</v>
      </c>
      <c r="HJ317" s="2" t="s">
        <v>3</v>
      </c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 t="s">
        <v>3</v>
      </c>
    </row>
    <row r="318" spans="1:268" ht="15.75" customHeight="1" x14ac:dyDescent="0.2">
      <c r="A318" s="16" t="s">
        <v>866</v>
      </c>
      <c r="B318" s="2" t="s">
        <v>99</v>
      </c>
      <c r="C318" s="2"/>
      <c r="D318" s="2"/>
      <c r="E318" s="2" t="s">
        <v>179</v>
      </c>
      <c r="F318" s="2" t="s">
        <v>867</v>
      </c>
      <c r="G318" s="2"/>
      <c r="H318" s="2" t="s">
        <v>181</v>
      </c>
      <c r="I318" s="2">
        <v>0</v>
      </c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>
        <v>0</v>
      </c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>
        <v>8.5999999999999993E-2</v>
      </c>
      <c r="AZ318" s="2"/>
      <c r="BA318" s="2"/>
      <c r="BB318" s="2"/>
      <c r="BC318" s="2"/>
      <c r="BD318" s="2"/>
      <c r="BE318" s="2"/>
      <c r="BF318" s="2"/>
      <c r="BG318" s="2">
        <v>2</v>
      </c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>
        <v>0</v>
      </c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>
        <v>0</v>
      </c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 t="s">
        <v>81</v>
      </c>
      <c r="DK318" s="2"/>
      <c r="DL318" s="2">
        <f t="shared" si="4367"/>
        <v>2</v>
      </c>
      <c r="DM318" s="2">
        <f t="shared" si="4368"/>
        <v>0</v>
      </c>
      <c r="DN318" s="2" t="s">
        <v>175</v>
      </c>
      <c r="DO318" s="2" t="s">
        <v>3</v>
      </c>
      <c r="DP318" s="2">
        <f t="shared" si="4369"/>
        <v>0</v>
      </c>
      <c r="DQ318" s="2">
        <f t="shared" ref="DQ318:DR318" si="5332">K318*$I318+AF318*$AD318+BA318*$AY318</f>
        <v>0</v>
      </c>
      <c r="DR318" s="2">
        <f t="shared" si="5332"/>
        <v>0</v>
      </c>
      <c r="DS318" s="2">
        <f t="shared" ref="DS318:DX318" si="5333">(M318*$I318+AH318*$AD318+BC318*$AY318)/100</f>
        <v>0</v>
      </c>
      <c r="DT318" s="2">
        <f t="shared" si="5333"/>
        <v>0</v>
      </c>
      <c r="DU318" s="2">
        <f t="shared" si="5333"/>
        <v>0</v>
      </c>
      <c r="DV318" s="2">
        <f t="shared" si="5333"/>
        <v>0</v>
      </c>
      <c r="DW318" s="2">
        <f t="shared" si="5333"/>
        <v>1.72E-3</v>
      </c>
      <c r="DX318" s="2">
        <f t="shared" si="5333"/>
        <v>0</v>
      </c>
      <c r="DY318" s="2">
        <f t="shared" ref="DY318:EC318" si="5334">S318*$I318+AN318*$AD318+BI318*$AY318</f>
        <v>0</v>
      </c>
      <c r="DZ318" s="2">
        <f t="shared" si="5334"/>
        <v>0</v>
      </c>
      <c r="EA318" s="2">
        <f t="shared" si="5334"/>
        <v>0</v>
      </c>
      <c r="EB318" s="2">
        <f t="shared" si="5334"/>
        <v>0</v>
      </c>
      <c r="EC318" s="2">
        <f t="shared" si="5334"/>
        <v>0</v>
      </c>
      <c r="ED318" s="2">
        <f t="shared" ref="ED318:EE318" si="5335">(X318*$I318+AS318*$AD318+BN318*$AY318)/100</f>
        <v>0</v>
      </c>
      <c r="EE318" s="2">
        <f t="shared" si="5335"/>
        <v>0</v>
      </c>
      <c r="EF318" s="2"/>
      <c r="EG318" s="2">
        <f t="shared" si="4374"/>
        <v>0</v>
      </c>
      <c r="EH318" s="2">
        <f t="shared" si="4375"/>
        <v>0</v>
      </c>
      <c r="EI318" s="39">
        <f t="shared" si="4376"/>
        <v>0</v>
      </c>
      <c r="EJ318" s="39">
        <f t="shared" ref="EJ318:EK318" si="5336">EJ$1*DQ318/1000000</f>
        <v>0</v>
      </c>
      <c r="EK318" s="39">
        <f t="shared" si="5336"/>
        <v>0</v>
      </c>
      <c r="EL318" s="39">
        <f t="shared" ref="EL318:EQ318" si="5337">EL$1*DS318</f>
        <v>0</v>
      </c>
      <c r="EM318" s="39">
        <f t="shared" si="5337"/>
        <v>0</v>
      </c>
      <c r="EN318" s="39">
        <f t="shared" si="5337"/>
        <v>0</v>
      </c>
      <c r="EO318" s="39">
        <f t="shared" si="5337"/>
        <v>0</v>
      </c>
      <c r="EP318" s="39">
        <f t="shared" si="5337"/>
        <v>22.556079999999998</v>
      </c>
      <c r="EQ318" s="39">
        <f t="shared" si="5337"/>
        <v>0</v>
      </c>
      <c r="ER318" s="39">
        <f t="shared" ref="ER318:EV318" si="5338">ER$1*DY318/1000000</f>
        <v>0</v>
      </c>
      <c r="ES318" s="39">
        <f t="shared" si="5338"/>
        <v>0</v>
      </c>
      <c r="ET318" s="39">
        <f t="shared" si="5338"/>
        <v>0</v>
      </c>
      <c r="EU318" s="39">
        <f t="shared" si="5338"/>
        <v>0</v>
      </c>
      <c r="EV318" s="39">
        <f t="shared" si="5338"/>
        <v>0</v>
      </c>
      <c r="EW318" s="39">
        <f t="shared" ref="EW318:EX318" si="5339">EW$1*ED318</f>
        <v>0</v>
      </c>
      <c r="EX318" s="39">
        <f t="shared" si="5339"/>
        <v>0</v>
      </c>
      <c r="EY318" s="2"/>
      <c r="EZ318" s="39">
        <f t="shared" si="4381"/>
        <v>0</v>
      </c>
      <c r="FA318" s="39">
        <f t="shared" si="4382"/>
        <v>0</v>
      </c>
      <c r="FB318" s="2">
        <f t="shared" si="4383"/>
        <v>0</v>
      </c>
      <c r="FC318" s="2">
        <f t="shared" ref="FC318:FD318" si="5340">BV318*$BT318+CQ318*$CO318</f>
        <v>0</v>
      </c>
      <c r="FD318" s="2">
        <f t="shared" si="5340"/>
        <v>0</v>
      </c>
      <c r="FE318" s="2">
        <f t="shared" ref="FE318:FJ318" si="5341">(BX318*$BT318+CS318*$CO318)/100</f>
        <v>0</v>
      </c>
      <c r="FF318" s="2">
        <f t="shared" si="5341"/>
        <v>0</v>
      </c>
      <c r="FG318" s="2">
        <f t="shared" si="5341"/>
        <v>0</v>
      </c>
      <c r="FH318" s="2">
        <f t="shared" si="5341"/>
        <v>0</v>
      </c>
      <c r="FI318" s="2">
        <f t="shared" si="5341"/>
        <v>0</v>
      </c>
      <c r="FJ318" s="2">
        <f t="shared" si="5341"/>
        <v>0</v>
      </c>
      <c r="FK318" s="2">
        <f t="shared" ref="FK318:FO318" si="5342">CD318*$BT318+CY318*$CO318</f>
        <v>0</v>
      </c>
      <c r="FL318" s="2">
        <f t="shared" si="5342"/>
        <v>0</v>
      </c>
      <c r="FM318" s="2">
        <f t="shared" si="5342"/>
        <v>0</v>
      </c>
      <c r="FN318" s="2">
        <f t="shared" si="5342"/>
        <v>0</v>
      </c>
      <c r="FO318" s="2">
        <f t="shared" si="5342"/>
        <v>0</v>
      </c>
      <c r="FP318" s="2">
        <f t="shared" ref="FP318:FQ318" si="5343">(CI318*$BT318+DD318*$CO318)/100</f>
        <v>0</v>
      </c>
      <c r="FQ318" s="2">
        <f t="shared" si="5343"/>
        <v>0</v>
      </c>
      <c r="FR318" s="2"/>
      <c r="FS318" s="2">
        <f t="shared" si="4388"/>
        <v>0</v>
      </c>
      <c r="FT318" s="2">
        <f t="shared" si="4389"/>
        <v>0</v>
      </c>
      <c r="FU318" s="39">
        <f t="shared" si="4390"/>
        <v>0</v>
      </c>
      <c r="FV318" s="39">
        <f t="shared" ref="FV318:FW318" si="5344">FV$1*FC318/1000000</f>
        <v>0</v>
      </c>
      <c r="FW318" s="39">
        <f t="shared" si="5344"/>
        <v>0</v>
      </c>
      <c r="FX318" s="39">
        <f t="shared" ref="FX318:GC318" si="5345">FX$1*FE318</f>
        <v>0</v>
      </c>
      <c r="FY318" s="39">
        <f t="shared" si="5345"/>
        <v>0</v>
      </c>
      <c r="FZ318" s="39">
        <f t="shared" si="5345"/>
        <v>0</v>
      </c>
      <c r="GA318" s="39">
        <f t="shared" si="5345"/>
        <v>0</v>
      </c>
      <c r="GB318" s="39">
        <f t="shared" si="5345"/>
        <v>0</v>
      </c>
      <c r="GC318" s="39">
        <f t="shared" si="5345"/>
        <v>0</v>
      </c>
      <c r="GD318" s="39">
        <f t="shared" ref="GD318:GH318" si="5346">GD$1*FK318/1000000</f>
        <v>0</v>
      </c>
      <c r="GE318" s="39">
        <f t="shared" si="5346"/>
        <v>0</v>
      </c>
      <c r="GF318" s="39">
        <f t="shared" si="5346"/>
        <v>0</v>
      </c>
      <c r="GG318" s="39">
        <f t="shared" si="5346"/>
        <v>0</v>
      </c>
      <c r="GH318" s="39">
        <f t="shared" si="5346"/>
        <v>0</v>
      </c>
      <c r="GI318" s="39">
        <f t="shared" ref="GI318:GJ318" si="5347">GI$1*FP318</f>
        <v>0</v>
      </c>
      <c r="GJ318" s="39">
        <f t="shared" si="5347"/>
        <v>0</v>
      </c>
      <c r="GK318" s="2"/>
      <c r="GL318" s="39">
        <f t="shared" si="4395"/>
        <v>0</v>
      </c>
      <c r="GM318" s="39">
        <f t="shared" si="4396"/>
        <v>0</v>
      </c>
      <c r="GN318" s="2" t="s">
        <v>3</v>
      </c>
      <c r="GO318" s="2">
        <f t="shared" si="4397"/>
        <v>8.5999999999999993E-2</v>
      </c>
      <c r="GP318" s="2">
        <f t="shared" si="4398"/>
        <v>2</v>
      </c>
      <c r="GQ318" s="15">
        <f t="shared" si="4399"/>
        <v>1.72</v>
      </c>
      <c r="GR318" s="15">
        <f t="shared" si="4400"/>
        <v>22.556079999999998</v>
      </c>
      <c r="GS318" s="15">
        <f t="shared" si="4401"/>
        <v>262.27999999999997</v>
      </c>
      <c r="GT318" s="2">
        <f t="shared" si="4402"/>
        <v>0</v>
      </c>
      <c r="GU318" s="2">
        <f t="shared" si="4403"/>
        <v>0</v>
      </c>
      <c r="GV318" s="2">
        <f t="shared" si="4404"/>
        <v>1.72</v>
      </c>
      <c r="GW318" s="2">
        <f t="shared" si="4405"/>
        <v>0</v>
      </c>
      <c r="GX318" s="2"/>
      <c r="GY318" s="2"/>
      <c r="GZ318" s="2"/>
      <c r="HA318" s="2"/>
      <c r="HB318" s="2">
        <f t="shared" si="4406"/>
        <v>0</v>
      </c>
      <c r="HC318" s="2">
        <f t="shared" si="4407"/>
        <v>0</v>
      </c>
      <c r="HD318" s="2" t="s">
        <v>3</v>
      </c>
      <c r="HE318" s="2" t="s">
        <v>89</v>
      </c>
      <c r="HF318" s="2" t="s">
        <v>137</v>
      </c>
      <c r="HG318" s="2"/>
      <c r="HH318" s="2"/>
      <c r="HI318" s="2" t="s">
        <v>81</v>
      </c>
      <c r="HJ318" s="2" t="s">
        <v>3</v>
      </c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 t="s">
        <v>3</v>
      </c>
    </row>
    <row r="319" spans="1:268" ht="15.75" customHeight="1" x14ac:dyDescent="0.2">
      <c r="A319" s="16" t="s">
        <v>1045</v>
      </c>
      <c r="B319" s="2" t="s">
        <v>99</v>
      </c>
      <c r="C319" s="2"/>
      <c r="D319" s="2"/>
      <c r="E319" s="2" t="s">
        <v>179</v>
      </c>
      <c r="F319" s="2" t="s">
        <v>922</v>
      </c>
      <c r="G319" s="2"/>
      <c r="H319" s="2" t="s">
        <v>181</v>
      </c>
      <c r="I319" s="2">
        <v>0</v>
      </c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>
        <v>0</v>
      </c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4">
        <f>0.637+0.835+0.141+0.092605</f>
        <v>1.705605</v>
      </c>
      <c r="AZ319" s="2"/>
      <c r="BA319" s="2"/>
      <c r="BB319" s="2"/>
      <c r="BC319" s="2"/>
      <c r="BD319" s="2"/>
      <c r="BE319" s="2"/>
      <c r="BF319" s="2"/>
      <c r="BG319" s="15">
        <f>(1*0.637+0.7*0.835+1.6*0.141+2.87*0.092605)/AY319</f>
        <v>1.004263208656166</v>
      </c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>
        <v>0</v>
      </c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19">
        <v>3.8934999999999997E-2</v>
      </c>
      <c r="CP319" s="2"/>
      <c r="CQ319" s="2"/>
      <c r="CR319" s="2"/>
      <c r="CS319" s="2"/>
      <c r="CT319" s="2"/>
      <c r="CU319" s="2"/>
      <c r="CV319" s="2"/>
      <c r="CW319" s="2">
        <v>2.94</v>
      </c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 t="s">
        <v>81</v>
      </c>
      <c r="DK319" s="2"/>
      <c r="DL319" s="2">
        <f t="shared" si="4367"/>
        <v>1.004263208656166</v>
      </c>
      <c r="DM319" s="2">
        <f t="shared" si="4368"/>
        <v>0</v>
      </c>
      <c r="DN319" s="2" t="s">
        <v>175</v>
      </c>
      <c r="DO319" s="2" t="s">
        <v>3</v>
      </c>
      <c r="DP319" s="2">
        <f t="shared" si="4369"/>
        <v>0</v>
      </c>
      <c r="DQ319" s="2">
        <f t="shared" ref="DQ319:DR319" si="5348">K319*$I319+AF319*$AD319+BA319*$AY319</f>
        <v>0</v>
      </c>
      <c r="DR319" s="2">
        <f t="shared" si="5348"/>
        <v>0</v>
      </c>
      <c r="DS319" s="2">
        <f t="shared" ref="DS319:DX319" si="5349">(M319*$I319+AH319*$AD319+BC319*$AY319)/100</f>
        <v>0</v>
      </c>
      <c r="DT319" s="2">
        <f t="shared" si="5349"/>
        <v>0</v>
      </c>
      <c r="DU319" s="2">
        <f t="shared" si="5349"/>
        <v>0</v>
      </c>
      <c r="DV319" s="2">
        <f t="shared" si="5349"/>
        <v>0</v>
      </c>
      <c r="DW319" s="2">
        <f t="shared" si="5349"/>
        <v>1.7128763500000001E-2</v>
      </c>
      <c r="DX319" s="2">
        <f t="shared" si="5349"/>
        <v>0</v>
      </c>
      <c r="DY319" s="2">
        <f t="shared" ref="DY319:EC319" si="5350">S319*$I319+AN319*$AD319+BI319*$AY319</f>
        <v>0</v>
      </c>
      <c r="DZ319" s="2">
        <f t="shared" si="5350"/>
        <v>0</v>
      </c>
      <c r="EA319" s="2">
        <f t="shared" si="5350"/>
        <v>0</v>
      </c>
      <c r="EB319" s="2">
        <f t="shared" si="5350"/>
        <v>0</v>
      </c>
      <c r="EC319" s="2">
        <f t="shared" si="5350"/>
        <v>0</v>
      </c>
      <c r="ED319" s="2">
        <f t="shared" ref="ED319:EE319" si="5351">(X319*$I319+AS319*$AD319+BN319*$AY319)/100</f>
        <v>0</v>
      </c>
      <c r="EE319" s="2">
        <f t="shared" si="5351"/>
        <v>0</v>
      </c>
      <c r="EF319" s="2"/>
      <c r="EG319" s="2">
        <f t="shared" si="4374"/>
        <v>0</v>
      </c>
      <c r="EH319" s="2">
        <f t="shared" si="4375"/>
        <v>0</v>
      </c>
      <c r="EI319" s="39">
        <f t="shared" si="4376"/>
        <v>0</v>
      </c>
      <c r="EJ319" s="39">
        <f t="shared" ref="EJ319:EK319" si="5352">EJ$1*DQ319/1000000</f>
        <v>0</v>
      </c>
      <c r="EK319" s="39">
        <f t="shared" si="5352"/>
        <v>0</v>
      </c>
      <c r="EL319" s="39">
        <f t="shared" ref="EL319:EQ319" si="5353">EL$1*DS319</f>
        <v>0</v>
      </c>
      <c r="EM319" s="39">
        <f t="shared" si="5353"/>
        <v>0</v>
      </c>
      <c r="EN319" s="39">
        <f t="shared" si="5353"/>
        <v>0</v>
      </c>
      <c r="EO319" s="39">
        <f t="shared" si="5353"/>
        <v>0</v>
      </c>
      <c r="EP319" s="39">
        <f t="shared" si="5353"/>
        <v>224.62660453900003</v>
      </c>
      <c r="EQ319" s="39">
        <f t="shared" si="5353"/>
        <v>0</v>
      </c>
      <c r="ER319" s="39">
        <f t="shared" ref="ER319:EV319" si="5354">ER$1*DY319/1000000</f>
        <v>0</v>
      </c>
      <c r="ES319" s="39">
        <f t="shared" si="5354"/>
        <v>0</v>
      </c>
      <c r="ET319" s="39">
        <f t="shared" si="5354"/>
        <v>0</v>
      </c>
      <c r="EU319" s="39">
        <f t="shared" si="5354"/>
        <v>0</v>
      </c>
      <c r="EV319" s="39">
        <f t="shared" si="5354"/>
        <v>0</v>
      </c>
      <c r="EW319" s="39">
        <f t="shared" ref="EW319:EX319" si="5355">EW$1*ED319</f>
        <v>0</v>
      </c>
      <c r="EX319" s="39">
        <f t="shared" si="5355"/>
        <v>0</v>
      </c>
      <c r="EY319" s="2"/>
      <c r="EZ319" s="39">
        <f t="shared" si="4381"/>
        <v>0</v>
      </c>
      <c r="FA319" s="39">
        <f t="shared" si="4382"/>
        <v>0</v>
      </c>
      <c r="FB319" s="2">
        <f t="shared" si="4383"/>
        <v>0</v>
      </c>
      <c r="FC319" s="2">
        <f t="shared" ref="FC319:FD319" si="5356">BV319*$BT319+CQ319*$CO319</f>
        <v>0</v>
      </c>
      <c r="FD319" s="2">
        <f t="shared" si="5356"/>
        <v>0</v>
      </c>
      <c r="FE319" s="2">
        <f t="shared" ref="FE319:FJ319" si="5357">(BX319*$BT319+CS319*$CO319)/100</f>
        <v>0</v>
      </c>
      <c r="FF319" s="2">
        <f t="shared" si="5357"/>
        <v>0</v>
      </c>
      <c r="FG319" s="2">
        <f t="shared" si="5357"/>
        <v>0</v>
      </c>
      <c r="FH319" s="2">
        <f t="shared" si="5357"/>
        <v>0</v>
      </c>
      <c r="FI319" s="2">
        <f t="shared" si="5357"/>
        <v>1.1446889999999999E-3</v>
      </c>
      <c r="FJ319" s="2">
        <f t="shared" si="5357"/>
        <v>0</v>
      </c>
      <c r="FK319" s="2">
        <f t="shared" ref="FK319:FO319" si="5358">CD319*$BT319+CY319*$CO319</f>
        <v>0</v>
      </c>
      <c r="FL319" s="2">
        <f t="shared" si="5358"/>
        <v>0</v>
      </c>
      <c r="FM319" s="2">
        <f t="shared" si="5358"/>
        <v>0</v>
      </c>
      <c r="FN319" s="2">
        <f t="shared" si="5358"/>
        <v>0</v>
      </c>
      <c r="FO319" s="2">
        <f t="shared" si="5358"/>
        <v>0</v>
      </c>
      <c r="FP319" s="2">
        <f t="shared" ref="FP319:FQ319" si="5359">(CI319*$BT319+DD319*$CO319)/100</f>
        <v>0</v>
      </c>
      <c r="FQ319" s="2">
        <f t="shared" si="5359"/>
        <v>0</v>
      </c>
      <c r="FR319" s="2"/>
      <c r="FS319" s="2">
        <f t="shared" si="4388"/>
        <v>0</v>
      </c>
      <c r="FT319" s="2">
        <f t="shared" si="4389"/>
        <v>0</v>
      </c>
      <c r="FU319" s="39">
        <f t="shared" si="4390"/>
        <v>0</v>
      </c>
      <c r="FV319" s="39">
        <f t="shared" ref="FV319:FW319" si="5360">FV$1*FC319/1000000</f>
        <v>0</v>
      </c>
      <c r="FW319" s="39">
        <f t="shared" si="5360"/>
        <v>0</v>
      </c>
      <c r="FX319" s="39">
        <f t="shared" ref="FX319:GC319" si="5361">FX$1*FE319</f>
        <v>0</v>
      </c>
      <c r="FY319" s="39">
        <f t="shared" si="5361"/>
        <v>0</v>
      </c>
      <c r="FZ319" s="39">
        <f t="shared" si="5361"/>
        <v>0</v>
      </c>
      <c r="GA319" s="39">
        <f t="shared" si="5361"/>
        <v>0</v>
      </c>
      <c r="GB319" s="39">
        <f t="shared" si="5361"/>
        <v>15.011451546</v>
      </c>
      <c r="GC319" s="39">
        <f t="shared" si="5361"/>
        <v>0</v>
      </c>
      <c r="GD319" s="39">
        <f t="shared" ref="GD319:GH319" si="5362">GD$1*FK319/1000000</f>
        <v>0</v>
      </c>
      <c r="GE319" s="39">
        <f t="shared" si="5362"/>
        <v>0</v>
      </c>
      <c r="GF319" s="39">
        <f t="shared" si="5362"/>
        <v>0</v>
      </c>
      <c r="GG319" s="39">
        <f t="shared" si="5362"/>
        <v>0</v>
      </c>
      <c r="GH319" s="39">
        <f t="shared" si="5362"/>
        <v>0</v>
      </c>
      <c r="GI319" s="39">
        <f t="shared" ref="GI319:GJ319" si="5363">GI$1*FP319</f>
        <v>0</v>
      </c>
      <c r="GJ319" s="39">
        <f t="shared" si="5363"/>
        <v>0</v>
      </c>
      <c r="GK319" s="2"/>
      <c r="GL319" s="39">
        <f t="shared" si="4395"/>
        <v>0</v>
      </c>
      <c r="GM319" s="39">
        <f t="shared" si="4396"/>
        <v>0</v>
      </c>
      <c r="GN319" s="2" t="s">
        <v>3</v>
      </c>
      <c r="GO319" s="19">
        <f t="shared" si="4397"/>
        <v>1.705605</v>
      </c>
      <c r="GP319" s="4">
        <f t="shared" si="4398"/>
        <v>1.004263208656166</v>
      </c>
      <c r="GQ319" s="15">
        <f t="shared" si="4399"/>
        <v>17.128763500000002</v>
      </c>
      <c r="GR319" s="15">
        <f t="shared" si="4400"/>
        <v>224.62660453900003</v>
      </c>
      <c r="GS319" s="15">
        <f t="shared" si="4401"/>
        <v>131.69907718316963</v>
      </c>
      <c r="GT319" s="2">
        <f t="shared" si="4402"/>
        <v>0</v>
      </c>
      <c r="GU319" s="2">
        <f t="shared" si="4403"/>
        <v>0</v>
      </c>
      <c r="GV319" s="2">
        <f t="shared" si="4404"/>
        <v>17.128763500000002</v>
      </c>
      <c r="GW319" s="19">
        <f t="shared" si="4405"/>
        <v>3.8934999999999997E-2</v>
      </c>
      <c r="GX319" s="4">
        <f>(BT319*CB319+CO319*CW319)/GW319</f>
        <v>2.94</v>
      </c>
      <c r="GY319" s="15">
        <f>1000*GW319*GX319/100</f>
        <v>1.1446889999999998</v>
      </c>
      <c r="GZ319" s="15">
        <f>SUM(FU319:GM319)</f>
        <v>15.011451546</v>
      </c>
      <c r="HA319" s="15">
        <f>GZ319/GW319</f>
        <v>385.55160000000001</v>
      </c>
      <c r="HB319" s="2">
        <f t="shared" si="4406"/>
        <v>0</v>
      </c>
      <c r="HC319" s="2">
        <f t="shared" si="4407"/>
        <v>1.1446889999999998</v>
      </c>
      <c r="HD319" s="2" t="s">
        <v>3</v>
      </c>
      <c r="HE319" s="2" t="s">
        <v>89</v>
      </c>
      <c r="HF319" s="2" t="s">
        <v>137</v>
      </c>
      <c r="HG319" s="2"/>
      <c r="HH319" s="2"/>
      <c r="HI319" s="2" t="s">
        <v>81</v>
      </c>
      <c r="HJ319" s="2" t="s">
        <v>3</v>
      </c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 t="s">
        <v>3</v>
      </c>
    </row>
    <row r="320" spans="1:268" ht="15.75" customHeight="1" x14ac:dyDescent="0.2">
      <c r="A320" s="16" t="s">
        <v>465</v>
      </c>
      <c r="B320" s="2" t="s">
        <v>99</v>
      </c>
      <c r="C320" s="2"/>
      <c r="D320" s="2"/>
      <c r="E320" s="2" t="s">
        <v>179</v>
      </c>
      <c r="F320" s="2" t="s">
        <v>375</v>
      </c>
      <c r="G320" s="2"/>
      <c r="H320" s="2" t="s">
        <v>181</v>
      </c>
      <c r="I320" s="2">
        <v>0</v>
      </c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>
        <f>1.7+0.24+1.8</f>
        <v>3.74</v>
      </c>
      <c r="AE320" s="2"/>
      <c r="AF320" s="2"/>
      <c r="AG320" s="2"/>
      <c r="AH320" s="2"/>
      <c r="AI320" s="2"/>
      <c r="AJ320" s="2"/>
      <c r="AK320" s="2"/>
      <c r="AL320" s="15">
        <f>(2*1.7+2.9*0.24+1.7*1.8)/AD320</f>
        <v>1.9133689839572192</v>
      </c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>
        <f>0.3+0.02+0.1</f>
        <v>0.42000000000000004</v>
      </c>
      <c r="AZ320" s="2"/>
      <c r="BA320" s="2"/>
      <c r="BB320" s="2"/>
      <c r="BC320" s="2"/>
      <c r="BD320" s="2"/>
      <c r="BE320" s="2"/>
      <c r="BF320" s="2"/>
      <c r="BG320" s="15">
        <f>(1.5*0.3+1.9*0.02+1.5*0.1)/AY320</f>
        <v>1.5190476190476188</v>
      </c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>
        <v>0</v>
      </c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>
        <v>0</v>
      </c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 t="s">
        <v>81</v>
      </c>
      <c r="DK320" s="2"/>
      <c r="DL320" s="2">
        <f t="shared" si="4367"/>
        <v>1.8735576923076924</v>
      </c>
      <c r="DM320" s="2">
        <f t="shared" si="4368"/>
        <v>0</v>
      </c>
      <c r="DN320" s="2" t="s">
        <v>211</v>
      </c>
      <c r="DO320" s="2" t="s">
        <v>3</v>
      </c>
      <c r="DP320" s="2">
        <f t="shared" si="4369"/>
        <v>0</v>
      </c>
      <c r="DQ320" s="2">
        <f t="shared" ref="DQ320:DR320" si="5364">K320*$I320+AF320*$AD320+BA320*$AY320</f>
        <v>0</v>
      </c>
      <c r="DR320" s="2">
        <f t="shared" si="5364"/>
        <v>0</v>
      </c>
      <c r="DS320" s="2">
        <f t="shared" ref="DS320:DX320" si="5365">(M320*$I320+AH320*$AD320+BC320*$AY320)/100</f>
        <v>0</v>
      </c>
      <c r="DT320" s="2">
        <f t="shared" si="5365"/>
        <v>0</v>
      </c>
      <c r="DU320" s="2">
        <f t="shared" si="5365"/>
        <v>0</v>
      </c>
      <c r="DV320" s="2">
        <f t="shared" si="5365"/>
        <v>0</v>
      </c>
      <c r="DW320" s="2">
        <f t="shared" si="5365"/>
        <v>7.7940000000000009E-2</v>
      </c>
      <c r="DX320" s="2">
        <f t="shared" si="5365"/>
        <v>0</v>
      </c>
      <c r="DY320" s="2">
        <f t="shared" ref="DY320:EC320" si="5366">S320*$I320+AN320*$AD320+BI320*$AY320</f>
        <v>0</v>
      </c>
      <c r="DZ320" s="2">
        <f t="shared" si="5366"/>
        <v>0</v>
      </c>
      <c r="EA320" s="2">
        <f t="shared" si="5366"/>
        <v>0</v>
      </c>
      <c r="EB320" s="2">
        <f t="shared" si="5366"/>
        <v>0</v>
      </c>
      <c r="EC320" s="2">
        <f t="shared" si="5366"/>
        <v>0</v>
      </c>
      <c r="ED320" s="2">
        <f t="shared" ref="ED320:EE320" si="5367">(X320*$I320+AS320*$AD320+BN320*$AY320)/100</f>
        <v>0</v>
      </c>
      <c r="EE320" s="2">
        <f t="shared" si="5367"/>
        <v>0</v>
      </c>
      <c r="EF320" s="2"/>
      <c r="EG320" s="2">
        <f t="shared" si="4374"/>
        <v>0</v>
      </c>
      <c r="EH320" s="2">
        <f t="shared" si="4375"/>
        <v>0</v>
      </c>
      <c r="EI320" s="39">
        <f t="shared" si="4376"/>
        <v>0</v>
      </c>
      <c r="EJ320" s="39">
        <f t="shared" ref="EJ320:EK320" si="5368">EJ$1*DQ320/1000000</f>
        <v>0</v>
      </c>
      <c r="EK320" s="39">
        <f t="shared" si="5368"/>
        <v>0</v>
      </c>
      <c r="EL320" s="39">
        <f t="shared" ref="EL320:EQ320" si="5369">EL$1*DS320</f>
        <v>0</v>
      </c>
      <c r="EM320" s="39">
        <f t="shared" si="5369"/>
        <v>0</v>
      </c>
      <c r="EN320" s="39">
        <f t="shared" si="5369"/>
        <v>0</v>
      </c>
      <c r="EO320" s="39">
        <f t="shared" si="5369"/>
        <v>0</v>
      </c>
      <c r="EP320" s="39">
        <f t="shared" si="5369"/>
        <v>1022.1051600000001</v>
      </c>
      <c r="EQ320" s="39">
        <f t="shared" si="5369"/>
        <v>0</v>
      </c>
      <c r="ER320" s="39">
        <f t="shared" ref="ER320:EV320" si="5370">ER$1*DY320/1000000</f>
        <v>0</v>
      </c>
      <c r="ES320" s="39">
        <f t="shared" si="5370"/>
        <v>0</v>
      </c>
      <c r="ET320" s="39">
        <f t="shared" si="5370"/>
        <v>0</v>
      </c>
      <c r="EU320" s="39">
        <f t="shared" si="5370"/>
        <v>0</v>
      </c>
      <c r="EV320" s="39">
        <f t="shared" si="5370"/>
        <v>0</v>
      </c>
      <c r="EW320" s="39">
        <f t="shared" ref="EW320:EX320" si="5371">EW$1*ED320</f>
        <v>0</v>
      </c>
      <c r="EX320" s="39">
        <f t="shared" si="5371"/>
        <v>0</v>
      </c>
      <c r="EY320" s="2"/>
      <c r="EZ320" s="39">
        <f t="shared" si="4381"/>
        <v>0</v>
      </c>
      <c r="FA320" s="39">
        <f t="shared" si="4382"/>
        <v>0</v>
      </c>
      <c r="FB320" s="2">
        <f t="shared" si="4383"/>
        <v>0</v>
      </c>
      <c r="FC320" s="2">
        <f t="shared" ref="FC320:FD320" si="5372">BV320*$BT320+CQ320*$CO320</f>
        <v>0</v>
      </c>
      <c r="FD320" s="2">
        <f t="shared" si="5372"/>
        <v>0</v>
      </c>
      <c r="FE320" s="2">
        <f t="shared" ref="FE320:FJ320" si="5373">(BX320*$BT320+CS320*$CO320)/100</f>
        <v>0</v>
      </c>
      <c r="FF320" s="2">
        <f t="shared" si="5373"/>
        <v>0</v>
      </c>
      <c r="FG320" s="2">
        <f t="shared" si="5373"/>
        <v>0</v>
      </c>
      <c r="FH320" s="2">
        <f t="shared" si="5373"/>
        <v>0</v>
      </c>
      <c r="FI320" s="2">
        <f t="shared" si="5373"/>
        <v>0</v>
      </c>
      <c r="FJ320" s="2">
        <f t="shared" si="5373"/>
        <v>0</v>
      </c>
      <c r="FK320" s="2">
        <f t="shared" ref="FK320:FO320" si="5374">CD320*$BT320+CY320*$CO320</f>
        <v>0</v>
      </c>
      <c r="FL320" s="2">
        <f t="shared" si="5374"/>
        <v>0</v>
      </c>
      <c r="FM320" s="2">
        <f t="shared" si="5374"/>
        <v>0</v>
      </c>
      <c r="FN320" s="2">
        <f t="shared" si="5374"/>
        <v>0</v>
      </c>
      <c r="FO320" s="2">
        <f t="shared" si="5374"/>
        <v>0</v>
      </c>
      <c r="FP320" s="2">
        <f t="shared" ref="FP320:FQ320" si="5375">(CI320*$BT320+DD320*$CO320)/100</f>
        <v>0</v>
      </c>
      <c r="FQ320" s="2">
        <f t="shared" si="5375"/>
        <v>0</v>
      </c>
      <c r="FR320" s="2"/>
      <c r="FS320" s="2">
        <f t="shared" si="4388"/>
        <v>0</v>
      </c>
      <c r="FT320" s="2">
        <f t="shared" si="4389"/>
        <v>0</v>
      </c>
      <c r="FU320" s="39">
        <f t="shared" si="4390"/>
        <v>0</v>
      </c>
      <c r="FV320" s="39">
        <f t="shared" ref="FV320:FW320" si="5376">FV$1*FC320/1000000</f>
        <v>0</v>
      </c>
      <c r="FW320" s="39">
        <f t="shared" si="5376"/>
        <v>0</v>
      </c>
      <c r="FX320" s="39">
        <f t="shared" ref="FX320:GC320" si="5377">FX$1*FE320</f>
        <v>0</v>
      </c>
      <c r="FY320" s="39">
        <f t="shared" si="5377"/>
        <v>0</v>
      </c>
      <c r="FZ320" s="39">
        <f t="shared" si="5377"/>
        <v>0</v>
      </c>
      <c r="GA320" s="39">
        <f t="shared" si="5377"/>
        <v>0</v>
      </c>
      <c r="GB320" s="39">
        <f t="shared" si="5377"/>
        <v>0</v>
      </c>
      <c r="GC320" s="39">
        <f t="shared" si="5377"/>
        <v>0</v>
      </c>
      <c r="GD320" s="39">
        <f t="shared" ref="GD320:GH320" si="5378">GD$1*FK320/1000000</f>
        <v>0</v>
      </c>
      <c r="GE320" s="39">
        <f t="shared" si="5378"/>
        <v>0</v>
      </c>
      <c r="GF320" s="39">
        <f t="shared" si="5378"/>
        <v>0</v>
      </c>
      <c r="GG320" s="39">
        <f t="shared" si="5378"/>
        <v>0</v>
      </c>
      <c r="GH320" s="39">
        <f t="shared" si="5378"/>
        <v>0</v>
      </c>
      <c r="GI320" s="39">
        <f t="shared" ref="GI320:GJ320" si="5379">GI$1*FP320</f>
        <v>0</v>
      </c>
      <c r="GJ320" s="39">
        <f t="shared" si="5379"/>
        <v>0</v>
      </c>
      <c r="GK320" s="2"/>
      <c r="GL320" s="39">
        <f t="shared" si="4395"/>
        <v>0</v>
      </c>
      <c r="GM320" s="39">
        <f t="shared" si="4396"/>
        <v>0</v>
      </c>
      <c r="GN320" s="2" t="s">
        <v>3</v>
      </c>
      <c r="GO320" s="2">
        <f t="shared" si="4397"/>
        <v>4.16</v>
      </c>
      <c r="GP320" s="4">
        <f t="shared" si="4398"/>
        <v>1.8735576923076924</v>
      </c>
      <c r="GQ320" s="15">
        <f t="shared" si="4399"/>
        <v>77.940000000000012</v>
      </c>
      <c r="GR320" s="15">
        <f t="shared" si="4400"/>
        <v>1022.1051600000001</v>
      </c>
      <c r="GS320" s="15">
        <f t="shared" si="4401"/>
        <v>245.69835576923077</v>
      </c>
      <c r="GT320" s="2">
        <f t="shared" si="4402"/>
        <v>0</v>
      </c>
      <c r="GU320" s="2">
        <f t="shared" si="4403"/>
        <v>71.56</v>
      </c>
      <c r="GV320" s="2">
        <f t="shared" si="4404"/>
        <v>6.379999999999999</v>
      </c>
      <c r="GW320" s="2">
        <f t="shared" si="4405"/>
        <v>0</v>
      </c>
      <c r="GX320" s="2"/>
      <c r="GY320" s="2"/>
      <c r="GZ320" s="2"/>
      <c r="HA320" s="2"/>
      <c r="HB320" s="2">
        <f t="shared" si="4406"/>
        <v>0</v>
      </c>
      <c r="HC320" s="2">
        <f t="shared" si="4407"/>
        <v>0</v>
      </c>
      <c r="HD320" s="2" t="s">
        <v>3</v>
      </c>
      <c r="HE320" s="2" t="s">
        <v>89</v>
      </c>
      <c r="HF320" s="2" t="s">
        <v>137</v>
      </c>
      <c r="HG320" s="2"/>
      <c r="HH320" s="2"/>
      <c r="HI320" s="2" t="s">
        <v>81</v>
      </c>
      <c r="HJ320" s="2" t="s">
        <v>3</v>
      </c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 t="s">
        <v>3</v>
      </c>
    </row>
    <row r="321" spans="1:268" ht="15.75" customHeight="1" x14ac:dyDescent="0.2">
      <c r="A321" s="16" t="s">
        <v>374</v>
      </c>
      <c r="B321" s="2" t="s">
        <v>99</v>
      </c>
      <c r="C321" s="2"/>
      <c r="D321" s="2"/>
      <c r="E321" s="2" t="s">
        <v>179</v>
      </c>
      <c r="F321" s="2" t="s">
        <v>375</v>
      </c>
      <c r="G321" s="2"/>
      <c r="H321" s="2" t="s">
        <v>181</v>
      </c>
      <c r="I321" s="2">
        <v>0</v>
      </c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>
        <v>0</v>
      </c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>
        <v>0.57299999999999995</v>
      </c>
      <c r="AZ321" s="2">
        <v>1.19</v>
      </c>
      <c r="BA321" s="2"/>
      <c r="BB321" s="2"/>
      <c r="BC321" s="2"/>
      <c r="BD321" s="2"/>
      <c r="BE321" s="2"/>
      <c r="BF321" s="2"/>
      <c r="BG321" s="2">
        <v>1.63</v>
      </c>
      <c r="BH321" s="2">
        <v>8.2000000000000003E-2</v>
      </c>
      <c r="BI321" s="2">
        <v>0.85</v>
      </c>
      <c r="BJ321" s="2">
        <v>1.49</v>
      </c>
      <c r="BK321" s="2"/>
      <c r="BL321" s="2"/>
      <c r="BM321" s="2"/>
      <c r="BN321" s="2"/>
      <c r="BO321" s="2"/>
      <c r="BP321" s="2"/>
      <c r="BQ321" s="2"/>
      <c r="BR321" s="2"/>
      <c r="BS321" s="2"/>
      <c r="BT321" s="2">
        <v>0</v>
      </c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>
        <v>0</v>
      </c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 t="s">
        <v>81</v>
      </c>
      <c r="DK321" s="2" t="s">
        <v>81</v>
      </c>
      <c r="DL321" s="2">
        <f t="shared" si="4367"/>
        <v>1.63</v>
      </c>
      <c r="DM321" s="2">
        <f t="shared" si="4368"/>
        <v>8.2000000000000003E-2</v>
      </c>
      <c r="DN321" s="2" t="s">
        <v>211</v>
      </c>
      <c r="DO321" s="2" t="s">
        <v>3</v>
      </c>
      <c r="DP321" s="2">
        <f t="shared" si="4369"/>
        <v>6.8186999999999987E-3</v>
      </c>
      <c r="DQ321" s="2">
        <f t="shared" ref="DQ321:DR321" si="5380">K321*$I321+AF321*$AD321+BA321*$AY321</f>
        <v>0</v>
      </c>
      <c r="DR321" s="2">
        <f t="shared" si="5380"/>
        <v>0</v>
      </c>
      <c r="DS321" s="2">
        <f t="shared" ref="DS321:DX321" si="5381">(M321*$I321+AH321*$AD321+BC321*$AY321)/100</f>
        <v>0</v>
      </c>
      <c r="DT321" s="2">
        <f t="shared" si="5381"/>
        <v>0</v>
      </c>
      <c r="DU321" s="2">
        <f t="shared" si="5381"/>
        <v>0</v>
      </c>
      <c r="DV321" s="2">
        <f t="shared" si="5381"/>
        <v>0</v>
      </c>
      <c r="DW321" s="2">
        <f t="shared" si="5381"/>
        <v>9.3398999999999982E-3</v>
      </c>
      <c r="DX321" s="2">
        <f t="shared" si="5381"/>
        <v>4.6986E-4</v>
      </c>
      <c r="DY321" s="2">
        <f t="shared" ref="DY321:EC321" si="5382">S321*$I321+AN321*$AD321+BI321*$AY321</f>
        <v>0.48704999999999993</v>
      </c>
      <c r="DZ321" s="2">
        <f t="shared" si="5382"/>
        <v>0.85376999999999992</v>
      </c>
      <c r="EA321" s="2">
        <f t="shared" si="5382"/>
        <v>0</v>
      </c>
      <c r="EB321" s="2">
        <f t="shared" si="5382"/>
        <v>0</v>
      </c>
      <c r="EC321" s="2">
        <f t="shared" si="5382"/>
        <v>0</v>
      </c>
      <c r="ED321" s="2">
        <f t="shared" ref="ED321:EE321" si="5383">(X321*$I321+AS321*$AD321+BN321*$AY321)/100</f>
        <v>0</v>
      </c>
      <c r="EE321" s="2">
        <f t="shared" si="5383"/>
        <v>0</v>
      </c>
      <c r="EF321" s="2"/>
      <c r="EG321" s="2">
        <f t="shared" si="4374"/>
        <v>0</v>
      </c>
      <c r="EH321" s="2">
        <f t="shared" si="4375"/>
        <v>0</v>
      </c>
      <c r="EI321" s="39">
        <f t="shared" si="4376"/>
        <v>44.496217819199991</v>
      </c>
      <c r="EJ321" s="39">
        <f t="shared" ref="EJ321:EK321" si="5384">EJ$1*DQ321/1000000</f>
        <v>0</v>
      </c>
      <c r="EK321" s="39">
        <f t="shared" si="5384"/>
        <v>0</v>
      </c>
      <c r="EL321" s="39">
        <f t="shared" ref="EL321:EQ321" si="5385">EL$1*DS321</f>
        <v>0</v>
      </c>
      <c r="EM321" s="39">
        <f t="shared" si="5385"/>
        <v>0</v>
      </c>
      <c r="EN321" s="39">
        <f t="shared" si="5385"/>
        <v>0</v>
      </c>
      <c r="EO321" s="39">
        <f t="shared" si="5385"/>
        <v>0</v>
      </c>
      <c r="EP321" s="39">
        <f t="shared" si="5385"/>
        <v>122.48344859999997</v>
      </c>
      <c r="EQ321" s="39">
        <f t="shared" si="5385"/>
        <v>34.121009546639996</v>
      </c>
      <c r="ER321" s="39">
        <f t="shared" ref="ER321:EV321" si="5386">ER$1*DY321/1000000</f>
        <v>13.823136752411573</v>
      </c>
      <c r="ES321" s="39">
        <f t="shared" si="5386"/>
        <v>28.452502929260447</v>
      </c>
      <c r="ET321" s="39">
        <f t="shared" si="5386"/>
        <v>0</v>
      </c>
      <c r="EU321" s="39">
        <f t="shared" si="5386"/>
        <v>0</v>
      </c>
      <c r="EV321" s="39">
        <f t="shared" si="5386"/>
        <v>0</v>
      </c>
      <c r="EW321" s="39">
        <f t="shared" ref="EW321:EX321" si="5387">EW$1*ED321</f>
        <v>0</v>
      </c>
      <c r="EX321" s="39">
        <f t="shared" si="5387"/>
        <v>0</v>
      </c>
      <c r="EY321" s="2"/>
      <c r="EZ321" s="39">
        <f t="shared" si="4381"/>
        <v>0</v>
      </c>
      <c r="FA321" s="39">
        <f t="shared" si="4382"/>
        <v>0</v>
      </c>
      <c r="FB321" s="2">
        <f t="shared" si="4383"/>
        <v>0</v>
      </c>
      <c r="FC321" s="2">
        <f t="shared" ref="FC321:FD321" si="5388">BV321*$BT321+CQ321*$CO321</f>
        <v>0</v>
      </c>
      <c r="FD321" s="2">
        <f t="shared" si="5388"/>
        <v>0</v>
      </c>
      <c r="FE321" s="2">
        <f t="shared" ref="FE321:FJ321" si="5389">(BX321*$BT321+CS321*$CO321)/100</f>
        <v>0</v>
      </c>
      <c r="FF321" s="2">
        <f t="shared" si="5389"/>
        <v>0</v>
      </c>
      <c r="FG321" s="2">
        <f t="shared" si="5389"/>
        <v>0</v>
      </c>
      <c r="FH321" s="2">
        <f t="shared" si="5389"/>
        <v>0</v>
      </c>
      <c r="FI321" s="2">
        <f t="shared" si="5389"/>
        <v>0</v>
      </c>
      <c r="FJ321" s="2">
        <f t="shared" si="5389"/>
        <v>0</v>
      </c>
      <c r="FK321" s="2">
        <f t="shared" ref="FK321:FO321" si="5390">CD321*$BT321+CY321*$CO321</f>
        <v>0</v>
      </c>
      <c r="FL321" s="2">
        <f t="shared" si="5390"/>
        <v>0</v>
      </c>
      <c r="FM321" s="2">
        <f t="shared" si="5390"/>
        <v>0</v>
      </c>
      <c r="FN321" s="2">
        <f t="shared" si="5390"/>
        <v>0</v>
      </c>
      <c r="FO321" s="2">
        <f t="shared" si="5390"/>
        <v>0</v>
      </c>
      <c r="FP321" s="2">
        <f t="shared" ref="FP321:FQ321" si="5391">(CI321*$BT321+DD321*$CO321)/100</f>
        <v>0</v>
      </c>
      <c r="FQ321" s="2">
        <f t="shared" si="5391"/>
        <v>0</v>
      </c>
      <c r="FR321" s="2"/>
      <c r="FS321" s="2">
        <f t="shared" si="4388"/>
        <v>0</v>
      </c>
      <c r="FT321" s="2">
        <f t="shared" si="4389"/>
        <v>0</v>
      </c>
      <c r="FU321" s="39">
        <f t="shared" si="4390"/>
        <v>0</v>
      </c>
      <c r="FV321" s="39">
        <f t="shared" ref="FV321:FW321" si="5392">FV$1*FC321/1000000</f>
        <v>0</v>
      </c>
      <c r="FW321" s="39">
        <f t="shared" si="5392"/>
        <v>0</v>
      </c>
      <c r="FX321" s="39">
        <f t="shared" ref="FX321:GC321" si="5393">FX$1*FE321</f>
        <v>0</v>
      </c>
      <c r="FY321" s="39">
        <f t="shared" si="5393"/>
        <v>0</v>
      </c>
      <c r="FZ321" s="39">
        <f t="shared" si="5393"/>
        <v>0</v>
      </c>
      <c r="GA321" s="39">
        <f t="shared" si="5393"/>
        <v>0</v>
      </c>
      <c r="GB321" s="39">
        <f t="shared" si="5393"/>
        <v>0</v>
      </c>
      <c r="GC321" s="39">
        <f t="shared" si="5393"/>
        <v>0</v>
      </c>
      <c r="GD321" s="39">
        <f t="shared" ref="GD321:GH321" si="5394">GD$1*FK321/1000000</f>
        <v>0</v>
      </c>
      <c r="GE321" s="39">
        <f t="shared" si="5394"/>
        <v>0</v>
      </c>
      <c r="GF321" s="39">
        <f t="shared" si="5394"/>
        <v>0</v>
      </c>
      <c r="GG321" s="39">
        <f t="shared" si="5394"/>
        <v>0</v>
      </c>
      <c r="GH321" s="39">
        <f t="shared" si="5394"/>
        <v>0</v>
      </c>
      <c r="GI321" s="39">
        <f t="shared" ref="GI321:GJ321" si="5395">GI$1*FP321</f>
        <v>0</v>
      </c>
      <c r="GJ321" s="39">
        <f t="shared" si="5395"/>
        <v>0</v>
      </c>
      <c r="GK321" s="2"/>
      <c r="GL321" s="39">
        <f t="shared" si="4395"/>
        <v>0</v>
      </c>
      <c r="GM321" s="39">
        <f t="shared" si="4396"/>
        <v>0</v>
      </c>
      <c r="GN321" s="2" t="s">
        <v>3</v>
      </c>
      <c r="GO321" s="2">
        <f t="shared" si="4397"/>
        <v>0.57299999999999995</v>
      </c>
      <c r="GP321" s="2">
        <f t="shared" si="4398"/>
        <v>1.63</v>
      </c>
      <c r="GQ321" s="15">
        <f t="shared" si="4399"/>
        <v>9.3398999999999983</v>
      </c>
      <c r="GR321" s="15">
        <f t="shared" si="4400"/>
        <v>243.376315647512</v>
      </c>
      <c r="GS321" s="15">
        <f t="shared" si="4401"/>
        <v>424.74051596424437</v>
      </c>
      <c r="GT321" s="2">
        <f t="shared" si="4402"/>
        <v>0</v>
      </c>
      <c r="GU321" s="2">
        <f t="shared" si="4403"/>
        <v>0</v>
      </c>
      <c r="GV321" s="2">
        <f t="shared" si="4404"/>
        <v>9.3398999999999983</v>
      </c>
      <c r="GW321" s="2">
        <f t="shared" si="4405"/>
        <v>0</v>
      </c>
      <c r="GX321" s="2"/>
      <c r="GY321" s="2"/>
      <c r="GZ321" s="2"/>
      <c r="HA321" s="2"/>
      <c r="HB321" s="2">
        <f t="shared" si="4406"/>
        <v>0</v>
      </c>
      <c r="HC321" s="2">
        <f t="shared" si="4407"/>
        <v>0</v>
      </c>
      <c r="HD321" s="2" t="s">
        <v>3</v>
      </c>
      <c r="HE321" s="2" t="s">
        <v>89</v>
      </c>
      <c r="HF321" s="2" t="s">
        <v>137</v>
      </c>
      <c r="HG321" s="2"/>
      <c r="HH321" s="2"/>
      <c r="HI321" s="2" t="s">
        <v>81</v>
      </c>
      <c r="HJ321" s="2" t="s">
        <v>3</v>
      </c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 t="s">
        <v>3</v>
      </c>
    </row>
    <row r="322" spans="1:268" ht="15.75" customHeight="1" x14ac:dyDescent="0.2">
      <c r="A322" s="16" t="s">
        <v>614</v>
      </c>
      <c r="B322" s="2" t="s">
        <v>120</v>
      </c>
      <c r="C322" s="2"/>
      <c r="D322" s="2"/>
      <c r="E322" s="2" t="s">
        <v>615</v>
      </c>
      <c r="F322" s="2" t="s">
        <v>616</v>
      </c>
      <c r="G322" s="2"/>
      <c r="H322" s="2" t="s">
        <v>181</v>
      </c>
      <c r="I322" s="2">
        <v>0</v>
      </c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>
        <v>2.58</v>
      </c>
      <c r="AE322" s="20">
        <v>0.2</v>
      </c>
      <c r="AF322" s="2"/>
      <c r="AG322" s="2"/>
      <c r="AH322" s="2"/>
      <c r="AI322" s="2"/>
      <c r="AJ322" s="2"/>
      <c r="AK322" s="2"/>
      <c r="AL322" s="15">
        <v>2</v>
      </c>
      <c r="AM322" s="20">
        <v>0.03</v>
      </c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>
        <v>4.8049999999999997</v>
      </c>
      <c r="AZ322" s="20">
        <v>0.2</v>
      </c>
      <c r="BA322" s="2"/>
      <c r="BB322" s="2"/>
      <c r="BC322" s="2"/>
      <c r="BD322" s="2"/>
      <c r="BE322" s="2"/>
      <c r="BF322" s="2"/>
      <c r="BG322" s="2">
        <v>1.5</v>
      </c>
      <c r="BH322" s="20">
        <v>0.03</v>
      </c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>
        <v>0</v>
      </c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>
        <v>0</v>
      </c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 t="s">
        <v>81</v>
      </c>
      <c r="DK322" s="2" t="s">
        <v>81</v>
      </c>
      <c r="DL322" s="2">
        <f t="shared" si="4367"/>
        <v>1.6746784021665537</v>
      </c>
      <c r="DM322" s="2">
        <f t="shared" si="4368"/>
        <v>2.9999999999999995E-2</v>
      </c>
      <c r="DN322" s="2" t="s">
        <v>211</v>
      </c>
      <c r="DO322" s="2" t="s">
        <v>3</v>
      </c>
      <c r="DP322" s="2">
        <f t="shared" si="4369"/>
        <v>1.4769999999999998E-2</v>
      </c>
      <c r="DQ322" s="2">
        <f t="shared" ref="DQ322:DR322" si="5396">K322*$I322+AF322*$AD322+BA322*$AY322</f>
        <v>0</v>
      </c>
      <c r="DR322" s="2">
        <f t="shared" si="5396"/>
        <v>0</v>
      </c>
      <c r="DS322" s="2">
        <f t="shared" ref="DS322:DX322" si="5397">(M322*$I322+AH322*$AD322+BC322*$AY322)/100</f>
        <v>0</v>
      </c>
      <c r="DT322" s="2">
        <f t="shared" si="5397"/>
        <v>0</v>
      </c>
      <c r="DU322" s="2">
        <f t="shared" si="5397"/>
        <v>0</v>
      </c>
      <c r="DV322" s="2">
        <f t="shared" si="5397"/>
        <v>0</v>
      </c>
      <c r="DW322" s="2">
        <f t="shared" si="5397"/>
        <v>0.12367499999999999</v>
      </c>
      <c r="DX322" s="2">
        <f t="shared" si="5397"/>
        <v>2.2154999999999996E-3</v>
      </c>
      <c r="DY322" s="2">
        <f t="shared" ref="DY322:EC322" si="5398">S322*$I322+AN322*$AD322+BI322*$AY322</f>
        <v>0</v>
      </c>
      <c r="DZ322" s="2">
        <f t="shared" si="5398"/>
        <v>0</v>
      </c>
      <c r="EA322" s="2">
        <f t="shared" si="5398"/>
        <v>0</v>
      </c>
      <c r="EB322" s="2">
        <f t="shared" si="5398"/>
        <v>0</v>
      </c>
      <c r="EC322" s="2">
        <f t="shared" si="5398"/>
        <v>0</v>
      </c>
      <c r="ED322" s="2">
        <f t="shared" ref="ED322:EE322" si="5399">(X322*$I322+AS322*$AD322+BN322*$AY322)/100</f>
        <v>0</v>
      </c>
      <c r="EE322" s="2">
        <f t="shared" si="5399"/>
        <v>0</v>
      </c>
      <c r="EF322" s="2"/>
      <c r="EG322" s="2">
        <f t="shared" si="4374"/>
        <v>0</v>
      </c>
      <c r="EH322" s="2">
        <f t="shared" si="4375"/>
        <v>0</v>
      </c>
      <c r="EI322" s="39">
        <f t="shared" si="4376"/>
        <v>96.383348319999996</v>
      </c>
      <c r="EJ322" s="39">
        <f t="shared" ref="EJ322:EK322" si="5400">EJ$1*DQ322/1000000</f>
        <v>0</v>
      </c>
      <c r="EK322" s="39">
        <f t="shared" si="5400"/>
        <v>0</v>
      </c>
      <c r="EL322" s="39">
        <f t="shared" ref="EL322:EQ322" si="5401">EL$1*DS322</f>
        <v>0</v>
      </c>
      <c r="EM322" s="39">
        <f t="shared" si="5401"/>
        <v>0</v>
      </c>
      <c r="EN322" s="39">
        <f t="shared" si="5401"/>
        <v>0</v>
      </c>
      <c r="EO322" s="39">
        <f t="shared" si="5401"/>
        <v>0</v>
      </c>
      <c r="EP322" s="39">
        <f t="shared" si="5401"/>
        <v>1621.8739499999999</v>
      </c>
      <c r="EQ322" s="39">
        <f t="shared" si="5401"/>
        <v>160.88855542199994</v>
      </c>
      <c r="ER322" s="39">
        <f t="shared" ref="ER322:EV322" si="5402">ER$1*DY322/1000000</f>
        <v>0</v>
      </c>
      <c r="ES322" s="39">
        <f t="shared" si="5402"/>
        <v>0</v>
      </c>
      <c r="ET322" s="39">
        <f t="shared" si="5402"/>
        <v>0</v>
      </c>
      <c r="EU322" s="39">
        <f t="shared" si="5402"/>
        <v>0</v>
      </c>
      <c r="EV322" s="39">
        <f t="shared" si="5402"/>
        <v>0</v>
      </c>
      <c r="EW322" s="39">
        <f t="shared" ref="EW322:EX322" si="5403">EW$1*ED322</f>
        <v>0</v>
      </c>
      <c r="EX322" s="39">
        <f t="shared" si="5403"/>
        <v>0</v>
      </c>
      <c r="EY322" s="2"/>
      <c r="EZ322" s="39">
        <f t="shared" si="4381"/>
        <v>0</v>
      </c>
      <c r="FA322" s="39">
        <f t="shared" si="4382"/>
        <v>0</v>
      </c>
      <c r="FB322" s="2">
        <f t="shared" si="4383"/>
        <v>0</v>
      </c>
      <c r="FC322" s="2">
        <f t="shared" ref="FC322:FD322" si="5404">BV322*$BT322+CQ322*$CO322</f>
        <v>0</v>
      </c>
      <c r="FD322" s="2">
        <f t="shared" si="5404"/>
        <v>0</v>
      </c>
      <c r="FE322" s="2">
        <f t="shared" ref="FE322:FJ322" si="5405">(BX322*$BT322+CS322*$CO322)/100</f>
        <v>0</v>
      </c>
      <c r="FF322" s="2">
        <f t="shared" si="5405"/>
        <v>0</v>
      </c>
      <c r="FG322" s="2">
        <f t="shared" si="5405"/>
        <v>0</v>
      </c>
      <c r="FH322" s="2">
        <f t="shared" si="5405"/>
        <v>0</v>
      </c>
      <c r="FI322" s="2">
        <f t="shared" si="5405"/>
        <v>0</v>
      </c>
      <c r="FJ322" s="2">
        <f t="shared" si="5405"/>
        <v>0</v>
      </c>
      <c r="FK322" s="2">
        <f t="shared" ref="FK322:FO322" si="5406">CD322*$BT322+CY322*$CO322</f>
        <v>0</v>
      </c>
      <c r="FL322" s="2">
        <f t="shared" si="5406"/>
        <v>0</v>
      </c>
      <c r="FM322" s="2">
        <f t="shared" si="5406"/>
        <v>0</v>
      </c>
      <c r="FN322" s="2">
        <f t="shared" si="5406"/>
        <v>0</v>
      </c>
      <c r="FO322" s="2">
        <f t="shared" si="5406"/>
        <v>0</v>
      </c>
      <c r="FP322" s="2">
        <f t="shared" ref="FP322:FQ322" si="5407">(CI322*$BT322+DD322*$CO322)/100</f>
        <v>0</v>
      </c>
      <c r="FQ322" s="2">
        <f t="shared" si="5407"/>
        <v>0</v>
      </c>
      <c r="FR322" s="2"/>
      <c r="FS322" s="2">
        <f t="shared" si="4388"/>
        <v>0</v>
      </c>
      <c r="FT322" s="2">
        <f t="shared" si="4389"/>
        <v>0</v>
      </c>
      <c r="FU322" s="39">
        <f t="shared" si="4390"/>
        <v>0</v>
      </c>
      <c r="FV322" s="39">
        <f t="shared" ref="FV322:FW322" si="5408">FV$1*FC322/1000000</f>
        <v>0</v>
      </c>
      <c r="FW322" s="39">
        <f t="shared" si="5408"/>
        <v>0</v>
      </c>
      <c r="FX322" s="39">
        <f t="shared" ref="FX322:GC322" si="5409">FX$1*FE322</f>
        <v>0</v>
      </c>
      <c r="FY322" s="39">
        <f t="shared" si="5409"/>
        <v>0</v>
      </c>
      <c r="FZ322" s="39">
        <f t="shared" si="5409"/>
        <v>0</v>
      </c>
      <c r="GA322" s="39">
        <f t="shared" si="5409"/>
        <v>0</v>
      </c>
      <c r="GB322" s="39">
        <f t="shared" si="5409"/>
        <v>0</v>
      </c>
      <c r="GC322" s="39">
        <f t="shared" si="5409"/>
        <v>0</v>
      </c>
      <c r="GD322" s="39">
        <f t="shared" ref="GD322:GH322" si="5410">GD$1*FK322/1000000</f>
        <v>0</v>
      </c>
      <c r="GE322" s="39">
        <f t="shared" si="5410"/>
        <v>0</v>
      </c>
      <c r="GF322" s="39">
        <f t="shared" si="5410"/>
        <v>0</v>
      </c>
      <c r="GG322" s="39">
        <f t="shared" si="5410"/>
        <v>0</v>
      </c>
      <c r="GH322" s="39">
        <f t="shared" si="5410"/>
        <v>0</v>
      </c>
      <c r="GI322" s="39">
        <f t="shared" ref="GI322:GJ322" si="5411">GI$1*FP322</f>
        <v>0</v>
      </c>
      <c r="GJ322" s="39">
        <f t="shared" si="5411"/>
        <v>0</v>
      </c>
      <c r="GK322" s="2"/>
      <c r="GL322" s="39">
        <f t="shared" si="4395"/>
        <v>0</v>
      </c>
      <c r="GM322" s="39">
        <f t="shared" si="4396"/>
        <v>0</v>
      </c>
      <c r="GN322" s="2" t="s">
        <v>3</v>
      </c>
      <c r="GO322" s="2">
        <f t="shared" si="4397"/>
        <v>7.3849999999999998</v>
      </c>
      <c r="GP322" s="4">
        <f t="shared" si="4398"/>
        <v>1.6746784021665537</v>
      </c>
      <c r="GQ322" s="15">
        <f t="shared" si="4399"/>
        <v>123.675</v>
      </c>
      <c r="GR322" s="15">
        <f t="shared" si="4400"/>
        <v>1879.1458537419999</v>
      </c>
      <c r="GS322" s="15">
        <f t="shared" si="4401"/>
        <v>254.45441486012186</v>
      </c>
      <c r="GT322" s="2">
        <f t="shared" si="4402"/>
        <v>0</v>
      </c>
      <c r="GU322" s="2">
        <f t="shared" si="4403"/>
        <v>51.6</v>
      </c>
      <c r="GV322" s="2">
        <f t="shared" si="4404"/>
        <v>72.075000000000003</v>
      </c>
      <c r="GW322" s="2">
        <f t="shared" si="4405"/>
        <v>0</v>
      </c>
      <c r="GX322" s="2"/>
      <c r="GY322" s="2"/>
      <c r="GZ322" s="2"/>
      <c r="HA322" s="2"/>
      <c r="HB322" s="2">
        <f t="shared" si="4406"/>
        <v>0</v>
      </c>
      <c r="HC322" s="2">
        <f t="shared" si="4407"/>
        <v>0</v>
      </c>
      <c r="HD322" s="2" t="s">
        <v>3</v>
      </c>
      <c r="HE322" s="2" t="s">
        <v>89</v>
      </c>
      <c r="HF322" s="2" t="s">
        <v>137</v>
      </c>
      <c r="HG322" s="2"/>
      <c r="HH322" s="2"/>
      <c r="HI322" s="2" t="s">
        <v>81</v>
      </c>
      <c r="HJ322" s="2" t="s">
        <v>3</v>
      </c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 t="s">
        <v>3</v>
      </c>
    </row>
    <row r="323" spans="1:268" ht="15.75" customHeight="1" x14ac:dyDescent="0.2">
      <c r="A323" s="16" t="s">
        <v>1081</v>
      </c>
      <c r="B323" s="2" t="s">
        <v>99</v>
      </c>
      <c r="C323" s="2"/>
      <c r="D323" s="2"/>
      <c r="E323" s="2" t="s">
        <v>179</v>
      </c>
      <c r="F323" s="2" t="s">
        <v>1032</v>
      </c>
      <c r="G323" s="2"/>
      <c r="H323" s="2" t="s">
        <v>181</v>
      </c>
      <c r="I323" s="2">
        <v>0</v>
      </c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>
        <v>0.06</v>
      </c>
      <c r="AE323" s="2">
        <v>0.87</v>
      </c>
      <c r="AF323" s="2"/>
      <c r="AG323" s="2"/>
      <c r="AH323" s="2"/>
      <c r="AI323" s="2"/>
      <c r="AJ323" s="2"/>
      <c r="AK323" s="2"/>
      <c r="AL323" s="2">
        <v>0.99</v>
      </c>
      <c r="AM323" s="2">
        <v>0.04</v>
      </c>
      <c r="AN323" s="2"/>
      <c r="AO323" s="2">
        <v>0.24</v>
      </c>
      <c r="AP323" s="2"/>
      <c r="AQ323" s="2"/>
      <c r="AR323" s="2"/>
      <c r="AS323" s="2"/>
      <c r="AT323" s="2"/>
      <c r="AU323" s="2"/>
      <c r="AV323" s="2"/>
      <c r="AW323" s="2"/>
      <c r="AX323" s="2"/>
      <c r="AY323" s="2">
        <v>0.09</v>
      </c>
      <c r="AZ323" s="2">
        <v>0.87</v>
      </c>
      <c r="BA323" s="2"/>
      <c r="BB323" s="2"/>
      <c r="BC323" s="2"/>
      <c r="BD323" s="2"/>
      <c r="BE323" s="2"/>
      <c r="BF323" s="2"/>
      <c r="BG323" s="2">
        <v>1.05</v>
      </c>
      <c r="BH323" s="2">
        <v>0.04</v>
      </c>
      <c r="BI323" s="2"/>
      <c r="BJ323" s="2">
        <v>0.24</v>
      </c>
      <c r="BK323" s="2"/>
      <c r="BL323" s="2"/>
      <c r="BM323" s="2"/>
      <c r="BN323" s="2"/>
      <c r="BO323" s="2"/>
      <c r="BP323" s="2"/>
      <c r="BQ323" s="2"/>
      <c r="BR323" s="2"/>
      <c r="BS323" s="2"/>
      <c r="BT323" s="2">
        <v>0</v>
      </c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>
        <v>0</v>
      </c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 t="s">
        <v>81</v>
      </c>
      <c r="DK323" s="2" t="s">
        <v>81</v>
      </c>
      <c r="DL323" s="2">
        <f t="shared" si="4367"/>
        <v>1.026</v>
      </c>
      <c r="DM323" s="2">
        <f t="shared" si="4368"/>
        <v>0.04</v>
      </c>
      <c r="DN323" s="2" t="s">
        <v>175</v>
      </c>
      <c r="DO323" s="2" t="s">
        <v>3</v>
      </c>
      <c r="DP323" s="2">
        <f t="shared" si="4369"/>
        <v>1.305E-3</v>
      </c>
      <c r="DQ323" s="2">
        <f t="shared" ref="DQ323:DR323" si="5412">K323*$I323+AF323*$AD323+BA323*$AY323</f>
        <v>0</v>
      </c>
      <c r="DR323" s="2">
        <f t="shared" si="5412"/>
        <v>0</v>
      </c>
      <c r="DS323" s="2">
        <f t="shared" ref="DS323:DX323" si="5413">(M323*$I323+AH323*$AD323+BC323*$AY323)/100</f>
        <v>0</v>
      </c>
      <c r="DT323" s="2">
        <f t="shared" si="5413"/>
        <v>0</v>
      </c>
      <c r="DU323" s="2">
        <f t="shared" si="5413"/>
        <v>0</v>
      </c>
      <c r="DV323" s="2">
        <f t="shared" si="5413"/>
        <v>0</v>
      </c>
      <c r="DW323" s="2">
        <f t="shared" si="5413"/>
        <v>1.5389999999999998E-3</v>
      </c>
      <c r="DX323" s="2">
        <f t="shared" si="5413"/>
        <v>6.0000000000000002E-5</v>
      </c>
      <c r="DY323" s="2">
        <f t="shared" ref="DY323:EC323" si="5414">S323*$I323+AN323*$AD323+BI323*$AY323</f>
        <v>0</v>
      </c>
      <c r="DZ323" s="2">
        <f t="shared" si="5414"/>
        <v>3.5999999999999997E-2</v>
      </c>
      <c r="EA323" s="2">
        <f t="shared" si="5414"/>
        <v>0</v>
      </c>
      <c r="EB323" s="2">
        <f t="shared" si="5414"/>
        <v>0</v>
      </c>
      <c r="EC323" s="2">
        <f t="shared" si="5414"/>
        <v>0</v>
      </c>
      <c r="ED323" s="2">
        <f t="shared" ref="ED323:EE323" si="5415">(X323*$I323+AS323*$AD323+BN323*$AY323)/100</f>
        <v>0</v>
      </c>
      <c r="EE323" s="2">
        <f t="shared" si="5415"/>
        <v>0</v>
      </c>
      <c r="EF323" s="2"/>
      <c r="EG323" s="2">
        <f t="shared" si="4374"/>
        <v>0</v>
      </c>
      <c r="EH323" s="2">
        <f t="shared" si="4375"/>
        <v>0</v>
      </c>
      <c r="EI323" s="39">
        <f t="shared" si="4376"/>
        <v>8.5159288799999988</v>
      </c>
      <c r="EJ323" s="39">
        <f t="shared" ref="EJ323:EK323" si="5416">EJ$1*DQ323/1000000</f>
        <v>0</v>
      </c>
      <c r="EK323" s="39">
        <f t="shared" si="5416"/>
        <v>0</v>
      </c>
      <c r="EL323" s="39">
        <f t="shared" ref="EL323:EQ323" si="5417">EL$1*DS323</f>
        <v>0</v>
      </c>
      <c r="EM323" s="39">
        <f t="shared" si="5417"/>
        <v>0</v>
      </c>
      <c r="EN323" s="39">
        <f t="shared" si="5417"/>
        <v>0</v>
      </c>
      <c r="EO323" s="39">
        <f t="shared" si="5417"/>
        <v>0</v>
      </c>
      <c r="EP323" s="39">
        <f t="shared" si="5417"/>
        <v>20.182445999999999</v>
      </c>
      <c r="EQ323" s="39">
        <f t="shared" si="5417"/>
        <v>4.3571714399999992</v>
      </c>
      <c r="ER323" s="39">
        <f t="shared" ref="ER323:EV323" si="5418">ER$1*DY323/1000000</f>
        <v>0</v>
      </c>
      <c r="ES323" s="39">
        <f t="shared" si="5418"/>
        <v>1.1997260450160772</v>
      </c>
      <c r="ET323" s="39">
        <f t="shared" si="5418"/>
        <v>0</v>
      </c>
      <c r="EU323" s="39">
        <f t="shared" si="5418"/>
        <v>0</v>
      </c>
      <c r="EV323" s="39">
        <f t="shared" si="5418"/>
        <v>0</v>
      </c>
      <c r="EW323" s="39">
        <f t="shared" ref="EW323:EX323" si="5419">EW$1*ED323</f>
        <v>0</v>
      </c>
      <c r="EX323" s="39">
        <f t="shared" si="5419"/>
        <v>0</v>
      </c>
      <c r="EY323" s="2"/>
      <c r="EZ323" s="39">
        <f t="shared" si="4381"/>
        <v>0</v>
      </c>
      <c r="FA323" s="39">
        <f t="shared" si="4382"/>
        <v>0</v>
      </c>
      <c r="FB323" s="2">
        <f t="shared" si="4383"/>
        <v>0</v>
      </c>
      <c r="FC323" s="2">
        <f t="shared" ref="FC323:FD323" si="5420">BV323*$BT323+CQ323*$CO323</f>
        <v>0</v>
      </c>
      <c r="FD323" s="2">
        <f t="shared" si="5420"/>
        <v>0</v>
      </c>
      <c r="FE323" s="2">
        <f t="shared" ref="FE323:FJ323" si="5421">(BX323*$BT323+CS323*$CO323)/100</f>
        <v>0</v>
      </c>
      <c r="FF323" s="2">
        <f t="shared" si="5421"/>
        <v>0</v>
      </c>
      <c r="FG323" s="2">
        <f t="shared" si="5421"/>
        <v>0</v>
      </c>
      <c r="FH323" s="2">
        <f t="shared" si="5421"/>
        <v>0</v>
      </c>
      <c r="FI323" s="2">
        <f t="shared" si="5421"/>
        <v>0</v>
      </c>
      <c r="FJ323" s="2">
        <f t="shared" si="5421"/>
        <v>0</v>
      </c>
      <c r="FK323" s="2">
        <f t="shared" ref="FK323:FO323" si="5422">CD323*$BT323+CY323*$CO323</f>
        <v>0</v>
      </c>
      <c r="FL323" s="2">
        <f t="shared" si="5422"/>
        <v>0</v>
      </c>
      <c r="FM323" s="2">
        <f t="shared" si="5422"/>
        <v>0</v>
      </c>
      <c r="FN323" s="2">
        <f t="shared" si="5422"/>
        <v>0</v>
      </c>
      <c r="FO323" s="2">
        <f t="shared" si="5422"/>
        <v>0</v>
      </c>
      <c r="FP323" s="2">
        <f t="shared" ref="FP323:FQ323" si="5423">(CI323*$BT323+DD323*$CO323)/100</f>
        <v>0</v>
      </c>
      <c r="FQ323" s="2">
        <f t="shared" si="5423"/>
        <v>0</v>
      </c>
      <c r="FR323" s="2"/>
      <c r="FS323" s="2">
        <f t="shared" si="4388"/>
        <v>0</v>
      </c>
      <c r="FT323" s="2">
        <f t="shared" si="4389"/>
        <v>0</v>
      </c>
      <c r="FU323" s="39">
        <f t="shared" si="4390"/>
        <v>0</v>
      </c>
      <c r="FV323" s="39">
        <f t="shared" ref="FV323:FW323" si="5424">FV$1*FC323/1000000</f>
        <v>0</v>
      </c>
      <c r="FW323" s="39">
        <f t="shared" si="5424"/>
        <v>0</v>
      </c>
      <c r="FX323" s="39">
        <f t="shared" ref="FX323:GC323" si="5425">FX$1*FE323</f>
        <v>0</v>
      </c>
      <c r="FY323" s="39">
        <f t="shared" si="5425"/>
        <v>0</v>
      </c>
      <c r="FZ323" s="39">
        <f t="shared" si="5425"/>
        <v>0</v>
      </c>
      <c r="GA323" s="39">
        <f t="shared" si="5425"/>
        <v>0</v>
      </c>
      <c r="GB323" s="39">
        <f t="shared" si="5425"/>
        <v>0</v>
      </c>
      <c r="GC323" s="39">
        <f t="shared" si="5425"/>
        <v>0</v>
      </c>
      <c r="GD323" s="39">
        <f t="shared" ref="GD323:GH323" si="5426">GD$1*FK323/1000000</f>
        <v>0</v>
      </c>
      <c r="GE323" s="39">
        <f t="shared" si="5426"/>
        <v>0</v>
      </c>
      <c r="GF323" s="39">
        <f t="shared" si="5426"/>
        <v>0</v>
      </c>
      <c r="GG323" s="39">
        <f t="shared" si="5426"/>
        <v>0</v>
      </c>
      <c r="GH323" s="39">
        <f t="shared" si="5426"/>
        <v>0</v>
      </c>
      <c r="GI323" s="39">
        <f t="shared" ref="GI323:GJ323" si="5427">GI$1*FP323</f>
        <v>0</v>
      </c>
      <c r="GJ323" s="39">
        <f t="shared" si="5427"/>
        <v>0</v>
      </c>
      <c r="GK323" s="2"/>
      <c r="GL323" s="39">
        <f t="shared" si="4395"/>
        <v>0</v>
      </c>
      <c r="GM323" s="39">
        <f t="shared" si="4396"/>
        <v>0</v>
      </c>
      <c r="GN323" s="2" t="s">
        <v>3</v>
      </c>
      <c r="GO323" s="2">
        <f t="shared" si="4397"/>
        <v>0.15</v>
      </c>
      <c r="GP323" s="4">
        <f t="shared" si="4398"/>
        <v>1.026</v>
      </c>
      <c r="GQ323" s="15">
        <f t="shared" si="4399"/>
        <v>1.5390000000000001</v>
      </c>
      <c r="GR323" s="15">
        <f t="shared" si="4400"/>
        <v>34.255272365016076</v>
      </c>
      <c r="GS323" s="15">
        <f t="shared" si="4401"/>
        <v>228.36848243344051</v>
      </c>
      <c r="GT323" s="2">
        <f t="shared" si="4402"/>
        <v>0</v>
      </c>
      <c r="GU323" s="2">
        <f t="shared" si="4403"/>
        <v>0.59399999999999986</v>
      </c>
      <c r="GV323" s="2">
        <f t="shared" si="4404"/>
        <v>0.94499999999999995</v>
      </c>
      <c r="GW323" s="2">
        <f t="shared" si="4405"/>
        <v>0</v>
      </c>
      <c r="GX323" s="2"/>
      <c r="GY323" s="2"/>
      <c r="GZ323" s="2"/>
      <c r="HA323" s="2"/>
      <c r="HB323" s="2">
        <f t="shared" si="4406"/>
        <v>0</v>
      </c>
      <c r="HC323" s="2">
        <f t="shared" si="4407"/>
        <v>0</v>
      </c>
      <c r="HD323" s="2" t="s">
        <v>3</v>
      </c>
      <c r="HE323" s="2" t="s">
        <v>89</v>
      </c>
      <c r="HF323" s="2" t="s">
        <v>137</v>
      </c>
      <c r="HG323" s="2"/>
      <c r="HH323" s="2"/>
      <c r="HI323" s="2" t="s">
        <v>81</v>
      </c>
      <c r="HJ323" s="2" t="s">
        <v>3</v>
      </c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 t="s">
        <v>3</v>
      </c>
    </row>
    <row r="324" spans="1:268" ht="15.75" customHeight="1" x14ac:dyDescent="0.2">
      <c r="A324" s="16" t="s">
        <v>426</v>
      </c>
      <c r="B324" s="2" t="s">
        <v>99</v>
      </c>
      <c r="C324" s="2"/>
      <c r="D324" s="2"/>
      <c r="E324" s="2" t="s">
        <v>179</v>
      </c>
      <c r="F324" s="2" t="s">
        <v>425</v>
      </c>
      <c r="G324" s="2"/>
      <c r="H324" s="2" t="s">
        <v>181</v>
      </c>
      <c r="I324" s="2">
        <v>0</v>
      </c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>
        <v>1.41</v>
      </c>
      <c r="AE324" s="2">
        <v>0.4</v>
      </c>
      <c r="AF324" s="2"/>
      <c r="AG324" s="2"/>
      <c r="AH324" s="2"/>
      <c r="AI324" s="2"/>
      <c r="AJ324" s="2"/>
      <c r="AK324" s="2"/>
      <c r="AL324" s="2">
        <v>1.7</v>
      </c>
      <c r="AM324" s="2"/>
      <c r="AN324" s="2">
        <v>0.8</v>
      </c>
      <c r="AO324" s="15">
        <v>1</v>
      </c>
      <c r="AP324" s="2"/>
      <c r="AQ324" s="2"/>
      <c r="AR324" s="2"/>
      <c r="AS324" s="2"/>
      <c r="AT324" s="2"/>
      <c r="AU324" s="2"/>
      <c r="AV324" s="2"/>
      <c r="AW324" s="2"/>
      <c r="AX324" s="2"/>
      <c r="AY324" s="2">
        <v>0.53</v>
      </c>
      <c r="AZ324" s="2">
        <v>0.4</v>
      </c>
      <c r="BA324" s="2"/>
      <c r="BB324" s="2"/>
      <c r="BC324" s="2"/>
      <c r="BD324" s="2"/>
      <c r="BE324" s="2"/>
      <c r="BF324" s="2"/>
      <c r="BG324" s="2">
        <v>1.6</v>
      </c>
      <c r="BH324" s="2"/>
      <c r="BI324" s="2">
        <v>0.9</v>
      </c>
      <c r="BJ324" s="2">
        <v>1.3</v>
      </c>
      <c r="BK324" s="2"/>
      <c r="BL324" s="2"/>
      <c r="BM324" s="2"/>
      <c r="BN324" s="2"/>
      <c r="BO324" s="2"/>
      <c r="BP324" s="2"/>
      <c r="BQ324" s="2"/>
      <c r="BR324" s="2"/>
      <c r="BS324" s="2"/>
      <c r="BT324" s="2">
        <v>0</v>
      </c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>
        <v>0</v>
      </c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 t="s">
        <v>81</v>
      </c>
      <c r="DK324" s="2"/>
      <c r="DL324" s="2">
        <f t="shared" si="4367"/>
        <v>1.6726804123711341</v>
      </c>
      <c r="DM324" s="2">
        <f t="shared" si="4368"/>
        <v>0</v>
      </c>
      <c r="DN324" s="2" t="s">
        <v>211</v>
      </c>
      <c r="DO324" s="2" t="s">
        <v>3</v>
      </c>
      <c r="DP324" s="2">
        <f t="shared" si="4369"/>
        <v>7.7600000000000004E-3</v>
      </c>
      <c r="DQ324" s="2">
        <f t="shared" ref="DQ324:DR324" si="5428">K324*$I324+AF324*$AD324+BA324*$AY324</f>
        <v>0</v>
      </c>
      <c r="DR324" s="2">
        <f t="shared" si="5428"/>
        <v>0</v>
      </c>
      <c r="DS324" s="2">
        <f t="shared" ref="DS324:DX324" si="5429">(M324*$I324+AH324*$AD324+BC324*$AY324)/100</f>
        <v>0</v>
      </c>
      <c r="DT324" s="2">
        <f t="shared" si="5429"/>
        <v>0</v>
      </c>
      <c r="DU324" s="2">
        <f t="shared" si="5429"/>
        <v>0</v>
      </c>
      <c r="DV324" s="2">
        <f t="shared" si="5429"/>
        <v>0</v>
      </c>
      <c r="DW324" s="2">
        <f t="shared" si="5429"/>
        <v>3.245E-2</v>
      </c>
      <c r="DX324" s="2">
        <f t="shared" si="5429"/>
        <v>0</v>
      </c>
      <c r="DY324" s="2">
        <f t="shared" ref="DY324:EC324" si="5430">S324*$I324+AN324*$AD324+BI324*$AY324</f>
        <v>1.605</v>
      </c>
      <c r="DZ324" s="2">
        <f t="shared" si="5430"/>
        <v>2.0990000000000002</v>
      </c>
      <c r="EA324" s="2">
        <f t="shared" si="5430"/>
        <v>0</v>
      </c>
      <c r="EB324" s="2">
        <f t="shared" si="5430"/>
        <v>0</v>
      </c>
      <c r="EC324" s="2">
        <f t="shared" si="5430"/>
        <v>0</v>
      </c>
      <c r="ED324" s="2">
        <f t="shared" ref="ED324:EE324" si="5431">(X324*$I324+AS324*$AD324+BN324*$AY324)/100</f>
        <v>0</v>
      </c>
      <c r="EE324" s="2">
        <f t="shared" si="5431"/>
        <v>0</v>
      </c>
      <c r="EF324" s="2"/>
      <c r="EG324" s="2">
        <f t="shared" si="4374"/>
        <v>0</v>
      </c>
      <c r="EH324" s="2">
        <f t="shared" si="4375"/>
        <v>0</v>
      </c>
      <c r="EI324" s="39">
        <f t="shared" si="4376"/>
        <v>50.638780160000003</v>
      </c>
      <c r="EJ324" s="39">
        <f t="shared" ref="EJ324:EK324" si="5432">EJ$1*DQ324/1000000</f>
        <v>0</v>
      </c>
      <c r="EK324" s="39">
        <f t="shared" si="5432"/>
        <v>0</v>
      </c>
      <c r="EL324" s="39">
        <f t="shared" ref="EL324:EQ324" si="5433">EL$1*DS324</f>
        <v>0</v>
      </c>
      <c r="EM324" s="39">
        <f t="shared" si="5433"/>
        <v>0</v>
      </c>
      <c r="EN324" s="39">
        <f t="shared" si="5433"/>
        <v>0</v>
      </c>
      <c r="EO324" s="39">
        <f t="shared" si="5433"/>
        <v>0</v>
      </c>
      <c r="EP324" s="39">
        <f t="shared" si="5433"/>
        <v>425.54930000000002</v>
      </c>
      <c r="EQ324" s="39">
        <f t="shared" si="5433"/>
        <v>0</v>
      </c>
      <c r="ER324" s="39">
        <f t="shared" ref="ER324:EV324" si="5434">ER$1*DY324/1000000</f>
        <v>45.552067524115749</v>
      </c>
      <c r="ES324" s="39">
        <f t="shared" si="5434"/>
        <v>69.950693569131843</v>
      </c>
      <c r="ET324" s="39">
        <f t="shared" si="5434"/>
        <v>0</v>
      </c>
      <c r="EU324" s="39">
        <f t="shared" si="5434"/>
        <v>0</v>
      </c>
      <c r="EV324" s="39">
        <f t="shared" si="5434"/>
        <v>0</v>
      </c>
      <c r="EW324" s="39">
        <f t="shared" ref="EW324:EX324" si="5435">EW$1*ED324</f>
        <v>0</v>
      </c>
      <c r="EX324" s="39">
        <f t="shared" si="5435"/>
        <v>0</v>
      </c>
      <c r="EY324" s="2"/>
      <c r="EZ324" s="39">
        <f t="shared" si="4381"/>
        <v>0</v>
      </c>
      <c r="FA324" s="39">
        <f t="shared" si="4382"/>
        <v>0</v>
      </c>
      <c r="FB324" s="2">
        <f t="shared" si="4383"/>
        <v>0</v>
      </c>
      <c r="FC324" s="2">
        <f t="shared" ref="FC324:FD324" si="5436">BV324*$BT324+CQ324*$CO324</f>
        <v>0</v>
      </c>
      <c r="FD324" s="2">
        <f t="shared" si="5436"/>
        <v>0</v>
      </c>
      <c r="FE324" s="2">
        <f t="shared" ref="FE324:FJ324" si="5437">(BX324*$BT324+CS324*$CO324)/100</f>
        <v>0</v>
      </c>
      <c r="FF324" s="2">
        <f t="shared" si="5437"/>
        <v>0</v>
      </c>
      <c r="FG324" s="2">
        <f t="shared" si="5437"/>
        <v>0</v>
      </c>
      <c r="FH324" s="2">
        <f t="shared" si="5437"/>
        <v>0</v>
      </c>
      <c r="FI324" s="2">
        <f t="shared" si="5437"/>
        <v>0</v>
      </c>
      <c r="FJ324" s="2">
        <f t="shared" si="5437"/>
        <v>0</v>
      </c>
      <c r="FK324" s="2">
        <f t="shared" ref="FK324:FO324" si="5438">CD324*$BT324+CY324*$CO324</f>
        <v>0</v>
      </c>
      <c r="FL324" s="2">
        <f t="shared" si="5438"/>
        <v>0</v>
      </c>
      <c r="FM324" s="2">
        <f t="shared" si="5438"/>
        <v>0</v>
      </c>
      <c r="FN324" s="2">
        <f t="shared" si="5438"/>
        <v>0</v>
      </c>
      <c r="FO324" s="2">
        <f t="shared" si="5438"/>
        <v>0</v>
      </c>
      <c r="FP324" s="2">
        <f t="shared" ref="FP324:FQ324" si="5439">(CI324*$BT324+DD324*$CO324)/100</f>
        <v>0</v>
      </c>
      <c r="FQ324" s="2">
        <f t="shared" si="5439"/>
        <v>0</v>
      </c>
      <c r="FR324" s="2"/>
      <c r="FS324" s="2">
        <f t="shared" si="4388"/>
        <v>0</v>
      </c>
      <c r="FT324" s="2">
        <f t="shared" si="4389"/>
        <v>0</v>
      </c>
      <c r="FU324" s="39">
        <f t="shared" si="4390"/>
        <v>0</v>
      </c>
      <c r="FV324" s="39">
        <f t="shared" ref="FV324:FW324" si="5440">FV$1*FC324/1000000</f>
        <v>0</v>
      </c>
      <c r="FW324" s="39">
        <f t="shared" si="5440"/>
        <v>0</v>
      </c>
      <c r="FX324" s="39">
        <f t="shared" ref="FX324:GC324" si="5441">FX$1*FE324</f>
        <v>0</v>
      </c>
      <c r="FY324" s="39">
        <f t="shared" si="5441"/>
        <v>0</v>
      </c>
      <c r="FZ324" s="39">
        <f t="shared" si="5441"/>
        <v>0</v>
      </c>
      <c r="GA324" s="39">
        <f t="shared" si="5441"/>
        <v>0</v>
      </c>
      <c r="GB324" s="39">
        <f t="shared" si="5441"/>
        <v>0</v>
      </c>
      <c r="GC324" s="39">
        <f t="shared" si="5441"/>
        <v>0</v>
      </c>
      <c r="GD324" s="39">
        <f t="shared" ref="GD324:GH324" si="5442">GD$1*FK324/1000000</f>
        <v>0</v>
      </c>
      <c r="GE324" s="39">
        <f t="shared" si="5442"/>
        <v>0</v>
      </c>
      <c r="GF324" s="39">
        <f t="shared" si="5442"/>
        <v>0</v>
      </c>
      <c r="GG324" s="39">
        <f t="shared" si="5442"/>
        <v>0</v>
      </c>
      <c r="GH324" s="39">
        <f t="shared" si="5442"/>
        <v>0</v>
      </c>
      <c r="GI324" s="39">
        <f t="shared" ref="GI324:GJ324" si="5443">GI$1*FP324</f>
        <v>0</v>
      </c>
      <c r="GJ324" s="39">
        <f t="shared" si="5443"/>
        <v>0</v>
      </c>
      <c r="GK324" s="2"/>
      <c r="GL324" s="39">
        <f t="shared" si="4395"/>
        <v>0</v>
      </c>
      <c r="GM324" s="39">
        <f t="shared" si="4396"/>
        <v>0</v>
      </c>
      <c r="GN324" s="2" t="s">
        <v>3</v>
      </c>
      <c r="GO324" s="2">
        <f t="shared" si="4397"/>
        <v>1.94</v>
      </c>
      <c r="GP324" s="4">
        <f t="shared" si="4398"/>
        <v>1.6726804123711341</v>
      </c>
      <c r="GQ324" s="15">
        <f t="shared" si="4399"/>
        <v>32.450000000000003</v>
      </c>
      <c r="GR324" s="15">
        <f t="shared" si="4400"/>
        <v>591.69084125324764</v>
      </c>
      <c r="GS324" s="15">
        <f t="shared" si="4401"/>
        <v>304.9952789965194</v>
      </c>
      <c r="GT324" s="2">
        <f t="shared" si="4402"/>
        <v>0</v>
      </c>
      <c r="GU324" s="2">
        <f t="shared" si="4403"/>
        <v>23.97</v>
      </c>
      <c r="GV324" s="2">
        <f t="shared" si="4404"/>
        <v>8.48</v>
      </c>
      <c r="GW324" s="2">
        <f t="shared" si="4405"/>
        <v>0</v>
      </c>
      <c r="GX324" s="2"/>
      <c r="GY324" s="2"/>
      <c r="GZ324" s="2"/>
      <c r="HA324" s="2"/>
      <c r="HB324" s="2">
        <f t="shared" si="4406"/>
        <v>0</v>
      </c>
      <c r="HC324" s="2">
        <f t="shared" si="4407"/>
        <v>0</v>
      </c>
      <c r="HD324" s="2" t="s">
        <v>3</v>
      </c>
      <c r="HE324" s="2" t="s">
        <v>89</v>
      </c>
      <c r="HF324" s="2" t="s">
        <v>137</v>
      </c>
      <c r="HG324" s="2"/>
      <c r="HH324" s="2"/>
      <c r="HI324" s="2" t="s">
        <v>81</v>
      </c>
      <c r="HJ324" s="2" t="s">
        <v>3</v>
      </c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 t="s">
        <v>3</v>
      </c>
    </row>
    <row r="325" spans="1:268" ht="15.75" customHeight="1" x14ac:dyDescent="0.2">
      <c r="A325" s="16" t="s">
        <v>424</v>
      </c>
      <c r="B325" s="2" t="s">
        <v>99</v>
      </c>
      <c r="C325" s="2"/>
      <c r="D325" s="2"/>
      <c r="E325" s="2" t="s">
        <v>179</v>
      </c>
      <c r="F325" s="2" t="s">
        <v>425</v>
      </c>
      <c r="G325" s="2"/>
      <c r="H325" s="2" t="s">
        <v>181</v>
      </c>
      <c r="I325" s="2">
        <v>0</v>
      </c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>
        <v>0</v>
      </c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19">
        <v>5.721787</v>
      </c>
      <c r="AZ325" s="2">
        <v>0.04</v>
      </c>
      <c r="BA325" s="2"/>
      <c r="BB325" s="2"/>
      <c r="BC325" s="2"/>
      <c r="BD325" s="2"/>
      <c r="BE325" s="2"/>
      <c r="BF325" s="2"/>
      <c r="BG325" s="2">
        <v>0.7</v>
      </c>
      <c r="BH325" s="2"/>
      <c r="BI325" s="2">
        <v>6.0999999999999999E-2</v>
      </c>
      <c r="BJ325" s="2">
        <v>8.2000000000000003E-2</v>
      </c>
      <c r="BK325" s="2"/>
      <c r="BL325" s="2"/>
      <c r="BM325" s="2"/>
      <c r="BN325" s="2"/>
      <c r="BO325" s="2"/>
      <c r="BP325" s="2"/>
      <c r="BQ325" s="2"/>
      <c r="BR325" s="2"/>
      <c r="BS325" s="2"/>
      <c r="BT325" s="2">
        <v>0</v>
      </c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>
        <v>0</v>
      </c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 t="s">
        <v>81</v>
      </c>
      <c r="DK325" s="2"/>
      <c r="DL325" s="2">
        <f t="shared" si="4367"/>
        <v>0.70000000000000007</v>
      </c>
      <c r="DM325" s="2">
        <f t="shared" si="4368"/>
        <v>0</v>
      </c>
      <c r="DN325" s="2" t="s">
        <v>211</v>
      </c>
      <c r="DO325" s="2" t="s">
        <v>3</v>
      </c>
      <c r="DP325" s="2">
        <f t="shared" si="4369"/>
        <v>2.2887148000000001E-3</v>
      </c>
      <c r="DQ325" s="2">
        <f t="shared" ref="DQ325:DR325" si="5444">K325*$I325+AF325*$AD325+BA325*$AY325</f>
        <v>0</v>
      </c>
      <c r="DR325" s="2">
        <f t="shared" si="5444"/>
        <v>0</v>
      </c>
      <c r="DS325" s="2">
        <f t="shared" ref="DS325:DX325" si="5445">(M325*$I325+AH325*$AD325+BC325*$AY325)/100</f>
        <v>0</v>
      </c>
      <c r="DT325" s="2">
        <f t="shared" si="5445"/>
        <v>0</v>
      </c>
      <c r="DU325" s="2">
        <f t="shared" si="5445"/>
        <v>0</v>
      </c>
      <c r="DV325" s="2">
        <f t="shared" si="5445"/>
        <v>0</v>
      </c>
      <c r="DW325" s="2">
        <f t="shared" si="5445"/>
        <v>4.0052509E-2</v>
      </c>
      <c r="DX325" s="2">
        <f t="shared" si="5445"/>
        <v>0</v>
      </c>
      <c r="DY325" s="2">
        <f t="shared" ref="DY325:EC325" si="5446">S325*$I325+AN325*$AD325+BI325*$AY325</f>
        <v>0.349029007</v>
      </c>
      <c r="DZ325" s="2">
        <f t="shared" si="5446"/>
        <v>0.46918653399999999</v>
      </c>
      <c r="EA325" s="2">
        <f t="shared" si="5446"/>
        <v>0</v>
      </c>
      <c r="EB325" s="2">
        <f t="shared" si="5446"/>
        <v>0</v>
      </c>
      <c r="EC325" s="2">
        <f t="shared" si="5446"/>
        <v>0</v>
      </c>
      <c r="ED325" s="2">
        <f t="shared" ref="ED325:EE325" si="5447">(X325*$I325+AS325*$AD325+BN325*$AY325)/100</f>
        <v>0</v>
      </c>
      <c r="EE325" s="2">
        <f t="shared" si="5447"/>
        <v>0</v>
      </c>
      <c r="EF325" s="2"/>
      <c r="EG325" s="2">
        <f t="shared" si="4374"/>
        <v>0</v>
      </c>
      <c r="EH325" s="2">
        <f t="shared" si="4375"/>
        <v>0</v>
      </c>
      <c r="EI325" s="39">
        <f t="shared" si="4376"/>
        <v>14.935273918316801</v>
      </c>
      <c r="EJ325" s="39">
        <f t="shared" ref="EJ325:EK325" si="5448">EJ$1*DQ325/1000000</f>
        <v>0</v>
      </c>
      <c r="EK325" s="39">
        <f t="shared" si="5448"/>
        <v>0</v>
      </c>
      <c r="EL325" s="39">
        <f t="shared" ref="EL325:EQ325" si="5449">EL$1*DS325</f>
        <v>0</v>
      </c>
      <c r="EM325" s="39">
        <f t="shared" si="5449"/>
        <v>0</v>
      </c>
      <c r="EN325" s="39">
        <f t="shared" si="5449"/>
        <v>0</v>
      </c>
      <c r="EO325" s="39">
        <f t="shared" si="5449"/>
        <v>0</v>
      </c>
      <c r="EP325" s="39">
        <f t="shared" si="5449"/>
        <v>525.24860302599996</v>
      </c>
      <c r="EQ325" s="39">
        <f t="shared" si="5449"/>
        <v>0</v>
      </c>
      <c r="ER325" s="39">
        <f t="shared" ref="ER325:EV325" si="5450">ER$1*DY325/1000000</f>
        <v>9.9059145761614129</v>
      </c>
      <c r="ES325" s="39">
        <f t="shared" si="5450"/>
        <v>15.635980689183922</v>
      </c>
      <c r="ET325" s="39">
        <f t="shared" si="5450"/>
        <v>0</v>
      </c>
      <c r="EU325" s="39">
        <f t="shared" si="5450"/>
        <v>0</v>
      </c>
      <c r="EV325" s="39">
        <f t="shared" si="5450"/>
        <v>0</v>
      </c>
      <c r="EW325" s="39">
        <f t="shared" ref="EW325:EX325" si="5451">EW$1*ED325</f>
        <v>0</v>
      </c>
      <c r="EX325" s="39">
        <f t="shared" si="5451"/>
        <v>0</v>
      </c>
      <c r="EY325" s="2"/>
      <c r="EZ325" s="39">
        <f t="shared" si="4381"/>
        <v>0</v>
      </c>
      <c r="FA325" s="39">
        <f t="shared" si="4382"/>
        <v>0</v>
      </c>
      <c r="FB325" s="2">
        <f t="shared" si="4383"/>
        <v>0</v>
      </c>
      <c r="FC325" s="2">
        <f t="shared" ref="FC325:FD325" si="5452">BV325*$BT325+CQ325*$CO325</f>
        <v>0</v>
      </c>
      <c r="FD325" s="2">
        <f t="shared" si="5452"/>
        <v>0</v>
      </c>
      <c r="FE325" s="2">
        <f t="shared" ref="FE325:FJ325" si="5453">(BX325*$BT325+CS325*$CO325)/100</f>
        <v>0</v>
      </c>
      <c r="FF325" s="2">
        <f t="shared" si="5453"/>
        <v>0</v>
      </c>
      <c r="FG325" s="2">
        <f t="shared" si="5453"/>
        <v>0</v>
      </c>
      <c r="FH325" s="2">
        <f t="shared" si="5453"/>
        <v>0</v>
      </c>
      <c r="FI325" s="2">
        <f t="shared" si="5453"/>
        <v>0</v>
      </c>
      <c r="FJ325" s="2">
        <f t="shared" si="5453"/>
        <v>0</v>
      </c>
      <c r="FK325" s="2">
        <f t="shared" ref="FK325:FO325" si="5454">CD325*$BT325+CY325*$CO325</f>
        <v>0</v>
      </c>
      <c r="FL325" s="2">
        <f t="shared" si="5454"/>
        <v>0</v>
      </c>
      <c r="FM325" s="2">
        <f t="shared" si="5454"/>
        <v>0</v>
      </c>
      <c r="FN325" s="2">
        <f t="shared" si="5454"/>
        <v>0</v>
      </c>
      <c r="FO325" s="2">
        <f t="shared" si="5454"/>
        <v>0</v>
      </c>
      <c r="FP325" s="2">
        <f t="shared" ref="FP325:FQ325" si="5455">(CI325*$BT325+DD325*$CO325)/100</f>
        <v>0</v>
      </c>
      <c r="FQ325" s="2">
        <f t="shared" si="5455"/>
        <v>0</v>
      </c>
      <c r="FR325" s="2"/>
      <c r="FS325" s="2">
        <f t="shared" si="4388"/>
        <v>0</v>
      </c>
      <c r="FT325" s="2">
        <f t="shared" si="4389"/>
        <v>0</v>
      </c>
      <c r="FU325" s="39">
        <f t="shared" si="4390"/>
        <v>0</v>
      </c>
      <c r="FV325" s="39">
        <f t="shared" ref="FV325:FW325" si="5456">FV$1*FC325/1000000</f>
        <v>0</v>
      </c>
      <c r="FW325" s="39">
        <f t="shared" si="5456"/>
        <v>0</v>
      </c>
      <c r="FX325" s="39">
        <f t="shared" ref="FX325:GC325" si="5457">FX$1*FE325</f>
        <v>0</v>
      </c>
      <c r="FY325" s="39">
        <f t="shared" si="5457"/>
        <v>0</v>
      </c>
      <c r="FZ325" s="39">
        <f t="shared" si="5457"/>
        <v>0</v>
      </c>
      <c r="GA325" s="39">
        <f t="shared" si="5457"/>
        <v>0</v>
      </c>
      <c r="GB325" s="39">
        <f t="shared" si="5457"/>
        <v>0</v>
      </c>
      <c r="GC325" s="39">
        <f t="shared" si="5457"/>
        <v>0</v>
      </c>
      <c r="GD325" s="39">
        <f t="shared" ref="GD325:GH325" si="5458">GD$1*FK325/1000000</f>
        <v>0</v>
      </c>
      <c r="GE325" s="39">
        <f t="shared" si="5458"/>
        <v>0</v>
      </c>
      <c r="GF325" s="39">
        <f t="shared" si="5458"/>
        <v>0</v>
      </c>
      <c r="GG325" s="39">
        <f t="shared" si="5458"/>
        <v>0</v>
      </c>
      <c r="GH325" s="39">
        <f t="shared" si="5458"/>
        <v>0</v>
      </c>
      <c r="GI325" s="39">
        <f t="shared" ref="GI325:GJ325" si="5459">GI$1*FP325</f>
        <v>0</v>
      </c>
      <c r="GJ325" s="39">
        <f t="shared" si="5459"/>
        <v>0</v>
      </c>
      <c r="GK325" s="2"/>
      <c r="GL325" s="39">
        <f t="shared" si="4395"/>
        <v>0</v>
      </c>
      <c r="GM325" s="39">
        <f t="shared" si="4396"/>
        <v>0</v>
      </c>
      <c r="GN325" s="2" t="s">
        <v>3</v>
      </c>
      <c r="GO325" s="19">
        <f t="shared" si="4397"/>
        <v>5.721787</v>
      </c>
      <c r="GP325" s="2">
        <f t="shared" si="4398"/>
        <v>0.70000000000000007</v>
      </c>
      <c r="GQ325" s="15">
        <f t="shared" si="4399"/>
        <v>40.052509000000008</v>
      </c>
      <c r="GR325" s="15">
        <f t="shared" si="4400"/>
        <v>565.72577220966218</v>
      </c>
      <c r="GS325" s="15">
        <f t="shared" si="4401"/>
        <v>98.872218104180078</v>
      </c>
      <c r="GT325" s="2">
        <f t="shared" si="4402"/>
        <v>0</v>
      </c>
      <c r="GU325" s="2">
        <f t="shared" si="4403"/>
        <v>0</v>
      </c>
      <c r="GV325" s="2">
        <f t="shared" si="4404"/>
        <v>40.052509000000001</v>
      </c>
      <c r="GW325" s="2">
        <f t="shared" si="4405"/>
        <v>0</v>
      </c>
      <c r="GX325" s="2"/>
      <c r="GY325" s="2"/>
      <c r="GZ325" s="2"/>
      <c r="HA325" s="2"/>
      <c r="HB325" s="2">
        <f t="shared" si="4406"/>
        <v>0</v>
      </c>
      <c r="HC325" s="2">
        <f t="shared" si="4407"/>
        <v>0</v>
      </c>
      <c r="HD325" s="2" t="s">
        <v>3</v>
      </c>
      <c r="HE325" s="2" t="s">
        <v>89</v>
      </c>
      <c r="HF325" s="2" t="s">
        <v>137</v>
      </c>
      <c r="HG325" s="2"/>
      <c r="HH325" s="2"/>
      <c r="HI325" s="2" t="s">
        <v>81</v>
      </c>
      <c r="HJ325" s="2" t="s">
        <v>3</v>
      </c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 t="s">
        <v>3</v>
      </c>
    </row>
    <row r="326" spans="1:268" ht="15.75" customHeight="1" x14ac:dyDescent="0.2">
      <c r="A326" s="16" t="s">
        <v>606</v>
      </c>
      <c r="B326" s="2" t="s">
        <v>120</v>
      </c>
      <c r="C326" s="2"/>
      <c r="D326" s="2"/>
      <c r="E326" s="2" t="s">
        <v>179</v>
      </c>
      <c r="F326" s="2" t="s">
        <v>607</v>
      </c>
      <c r="G326" s="2"/>
      <c r="H326" s="2" t="s">
        <v>181</v>
      </c>
      <c r="I326" s="2">
        <v>0</v>
      </c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>
        <v>0.57899999999999996</v>
      </c>
      <c r="AE326" s="20">
        <v>0.2</v>
      </c>
      <c r="AF326" s="2"/>
      <c r="AG326" s="2"/>
      <c r="AH326" s="2"/>
      <c r="AI326" s="2"/>
      <c r="AJ326" s="2"/>
      <c r="AK326" s="2"/>
      <c r="AL326" s="2">
        <v>2.21</v>
      </c>
      <c r="AM326" s="20">
        <v>0.03</v>
      </c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>
        <f>0.245+0.164</f>
        <v>0.40900000000000003</v>
      </c>
      <c r="AZ326" s="20">
        <v>0.2</v>
      </c>
      <c r="BA326" s="2"/>
      <c r="BB326" s="2"/>
      <c r="BC326" s="2"/>
      <c r="BD326" s="2"/>
      <c r="BE326" s="2"/>
      <c r="BF326" s="2"/>
      <c r="BG326" s="15">
        <f>(2.2*0.245+4.13*0.164)/AY326</f>
        <v>2.9738875305623473</v>
      </c>
      <c r="BH326" s="20">
        <v>0.03</v>
      </c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>
        <v>0</v>
      </c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>
        <v>0</v>
      </c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 t="s">
        <v>81</v>
      </c>
      <c r="DK326" s="2" t="s">
        <v>81</v>
      </c>
      <c r="DL326" s="2">
        <f t="shared" si="4367"/>
        <v>2.5262246963562753</v>
      </c>
      <c r="DM326" s="2">
        <f t="shared" si="4368"/>
        <v>2.9999999999999995E-2</v>
      </c>
      <c r="DN326" s="2" t="s">
        <v>175</v>
      </c>
      <c r="DO326" s="2" t="s">
        <v>3</v>
      </c>
      <c r="DP326" s="2">
        <f t="shared" si="4369"/>
        <v>1.9759999999999999E-3</v>
      </c>
      <c r="DQ326" s="2">
        <f t="shared" ref="DQ326:DR326" si="5460">K326*$I326+AF326*$AD326+BA326*$AY326</f>
        <v>0</v>
      </c>
      <c r="DR326" s="2">
        <f t="shared" si="5460"/>
        <v>0</v>
      </c>
      <c r="DS326" s="2">
        <f t="shared" ref="DS326:DX326" si="5461">(M326*$I326+AH326*$AD326+BC326*$AY326)/100</f>
        <v>0</v>
      </c>
      <c r="DT326" s="2">
        <f t="shared" si="5461"/>
        <v>0</v>
      </c>
      <c r="DU326" s="2">
        <f t="shared" si="5461"/>
        <v>0</v>
      </c>
      <c r="DV326" s="2">
        <f t="shared" si="5461"/>
        <v>0</v>
      </c>
      <c r="DW326" s="2">
        <f t="shared" si="5461"/>
        <v>2.4959099999999998E-2</v>
      </c>
      <c r="DX326" s="2">
        <f t="shared" si="5461"/>
        <v>2.9639999999999994E-4</v>
      </c>
      <c r="DY326" s="2">
        <f t="shared" ref="DY326:EC326" si="5462">S326*$I326+AN326*$AD326+BI326*$AY326</f>
        <v>0</v>
      </c>
      <c r="DZ326" s="2">
        <f t="shared" si="5462"/>
        <v>0</v>
      </c>
      <c r="EA326" s="2">
        <f t="shared" si="5462"/>
        <v>0</v>
      </c>
      <c r="EB326" s="2">
        <f t="shared" si="5462"/>
        <v>0</v>
      </c>
      <c r="EC326" s="2">
        <f t="shared" si="5462"/>
        <v>0</v>
      </c>
      <c r="ED326" s="2">
        <f t="shared" ref="ED326:EE326" si="5463">(X326*$I326+AS326*$AD326+BN326*$AY326)/100</f>
        <v>0</v>
      </c>
      <c r="EE326" s="2">
        <f t="shared" si="5463"/>
        <v>0</v>
      </c>
      <c r="EF326" s="2"/>
      <c r="EG326" s="2">
        <f t="shared" si="4374"/>
        <v>0</v>
      </c>
      <c r="EH326" s="2">
        <f t="shared" si="4375"/>
        <v>0</v>
      </c>
      <c r="EI326" s="39">
        <f t="shared" si="4376"/>
        <v>12.894617215999999</v>
      </c>
      <c r="EJ326" s="39">
        <f t="shared" ref="EJ326:EK326" si="5464">EJ$1*DQ326/1000000</f>
        <v>0</v>
      </c>
      <c r="EK326" s="39">
        <f t="shared" si="5464"/>
        <v>0</v>
      </c>
      <c r="EL326" s="39">
        <f t="shared" ref="EL326:EQ326" si="5465">EL$1*DS326</f>
        <v>0</v>
      </c>
      <c r="EM326" s="39">
        <f t="shared" si="5465"/>
        <v>0</v>
      </c>
      <c r="EN326" s="39">
        <f t="shared" si="5465"/>
        <v>0</v>
      </c>
      <c r="EO326" s="39">
        <f t="shared" si="5465"/>
        <v>0</v>
      </c>
      <c r="EP326" s="39">
        <f t="shared" si="5465"/>
        <v>327.31363739999995</v>
      </c>
      <c r="EQ326" s="39">
        <f t="shared" si="5465"/>
        <v>21.524426913599992</v>
      </c>
      <c r="ER326" s="39">
        <f t="shared" ref="ER326:EV326" si="5466">ER$1*DY326/1000000</f>
        <v>0</v>
      </c>
      <c r="ES326" s="39">
        <f t="shared" si="5466"/>
        <v>0</v>
      </c>
      <c r="ET326" s="39">
        <f t="shared" si="5466"/>
        <v>0</v>
      </c>
      <c r="EU326" s="39">
        <f t="shared" si="5466"/>
        <v>0</v>
      </c>
      <c r="EV326" s="39">
        <f t="shared" si="5466"/>
        <v>0</v>
      </c>
      <c r="EW326" s="39">
        <f t="shared" ref="EW326:EX326" si="5467">EW$1*ED326</f>
        <v>0</v>
      </c>
      <c r="EX326" s="39">
        <f t="shared" si="5467"/>
        <v>0</v>
      </c>
      <c r="EY326" s="2"/>
      <c r="EZ326" s="39">
        <f t="shared" si="4381"/>
        <v>0</v>
      </c>
      <c r="FA326" s="39">
        <f t="shared" si="4382"/>
        <v>0</v>
      </c>
      <c r="FB326" s="2">
        <f t="shared" si="4383"/>
        <v>0</v>
      </c>
      <c r="FC326" s="2">
        <f t="shared" ref="FC326:FD326" si="5468">BV326*$BT326+CQ326*$CO326</f>
        <v>0</v>
      </c>
      <c r="FD326" s="2">
        <f t="shared" si="5468"/>
        <v>0</v>
      </c>
      <c r="FE326" s="2">
        <f t="shared" ref="FE326:FJ326" si="5469">(BX326*$BT326+CS326*$CO326)/100</f>
        <v>0</v>
      </c>
      <c r="FF326" s="2">
        <f t="shared" si="5469"/>
        <v>0</v>
      </c>
      <c r="FG326" s="2">
        <f t="shared" si="5469"/>
        <v>0</v>
      </c>
      <c r="FH326" s="2">
        <f t="shared" si="5469"/>
        <v>0</v>
      </c>
      <c r="FI326" s="2">
        <f t="shared" si="5469"/>
        <v>0</v>
      </c>
      <c r="FJ326" s="2">
        <f t="shared" si="5469"/>
        <v>0</v>
      </c>
      <c r="FK326" s="2">
        <f t="shared" ref="FK326:FO326" si="5470">CD326*$BT326+CY326*$CO326</f>
        <v>0</v>
      </c>
      <c r="FL326" s="2">
        <f t="shared" si="5470"/>
        <v>0</v>
      </c>
      <c r="FM326" s="2">
        <f t="shared" si="5470"/>
        <v>0</v>
      </c>
      <c r="FN326" s="2">
        <f t="shared" si="5470"/>
        <v>0</v>
      </c>
      <c r="FO326" s="2">
        <f t="shared" si="5470"/>
        <v>0</v>
      </c>
      <c r="FP326" s="2">
        <f t="shared" ref="FP326:FQ326" si="5471">(CI326*$BT326+DD326*$CO326)/100</f>
        <v>0</v>
      </c>
      <c r="FQ326" s="2">
        <f t="shared" si="5471"/>
        <v>0</v>
      </c>
      <c r="FR326" s="2"/>
      <c r="FS326" s="2">
        <f t="shared" si="4388"/>
        <v>0</v>
      </c>
      <c r="FT326" s="2">
        <f t="shared" si="4389"/>
        <v>0</v>
      </c>
      <c r="FU326" s="39">
        <f t="shared" si="4390"/>
        <v>0</v>
      </c>
      <c r="FV326" s="39">
        <f t="shared" ref="FV326:FW326" si="5472">FV$1*FC326/1000000</f>
        <v>0</v>
      </c>
      <c r="FW326" s="39">
        <f t="shared" si="5472"/>
        <v>0</v>
      </c>
      <c r="FX326" s="39">
        <f t="shared" ref="FX326:GC326" si="5473">FX$1*FE326</f>
        <v>0</v>
      </c>
      <c r="FY326" s="39">
        <f t="shared" si="5473"/>
        <v>0</v>
      </c>
      <c r="FZ326" s="39">
        <f t="shared" si="5473"/>
        <v>0</v>
      </c>
      <c r="GA326" s="39">
        <f t="shared" si="5473"/>
        <v>0</v>
      </c>
      <c r="GB326" s="39">
        <f t="shared" si="5473"/>
        <v>0</v>
      </c>
      <c r="GC326" s="39">
        <f t="shared" si="5473"/>
        <v>0</v>
      </c>
      <c r="GD326" s="39">
        <f t="shared" ref="GD326:GH326" si="5474">GD$1*FK326/1000000</f>
        <v>0</v>
      </c>
      <c r="GE326" s="39">
        <f t="shared" si="5474"/>
        <v>0</v>
      </c>
      <c r="GF326" s="39">
        <f t="shared" si="5474"/>
        <v>0</v>
      </c>
      <c r="GG326" s="39">
        <f t="shared" si="5474"/>
        <v>0</v>
      </c>
      <c r="GH326" s="39">
        <f t="shared" si="5474"/>
        <v>0</v>
      </c>
      <c r="GI326" s="39">
        <f t="shared" ref="GI326:GJ326" si="5475">GI$1*FP326</f>
        <v>0</v>
      </c>
      <c r="GJ326" s="39">
        <f t="shared" si="5475"/>
        <v>0</v>
      </c>
      <c r="GK326" s="2"/>
      <c r="GL326" s="39">
        <f t="shared" si="4395"/>
        <v>0</v>
      </c>
      <c r="GM326" s="39">
        <f t="shared" si="4396"/>
        <v>0</v>
      </c>
      <c r="GN326" s="2" t="s">
        <v>3</v>
      </c>
      <c r="GO326" s="2">
        <f t="shared" si="4397"/>
        <v>0.98799999999999999</v>
      </c>
      <c r="GP326" s="4">
        <f t="shared" si="4398"/>
        <v>2.5262246963562753</v>
      </c>
      <c r="GQ326" s="15">
        <f t="shared" si="4399"/>
        <v>24.959099999999999</v>
      </c>
      <c r="GR326" s="15">
        <f t="shared" si="4400"/>
        <v>361.73268152959992</v>
      </c>
      <c r="GS326" s="15">
        <f t="shared" si="4401"/>
        <v>366.12619588016184</v>
      </c>
      <c r="GT326" s="2">
        <f t="shared" si="4402"/>
        <v>0</v>
      </c>
      <c r="GU326" s="2">
        <f t="shared" si="4403"/>
        <v>12.795899999999996</v>
      </c>
      <c r="GV326" s="2">
        <f t="shared" si="4404"/>
        <v>12.163200000000002</v>
      </c>
      <c r="GW326" s="2">
        <f t="shared" si="4405"/>
        <v>0</v>
      </c>
      <c r="GX326" s="2"/>
      <c r="GY326" s="2"/>
      <c r="GZ326" s="2"/>
      <c r="HA326" s="2"/>
      <c r="HB326" s="2">
        <f t="shared" si="4406"/>
        <v>0</v>
      </c>
      <c r="HC326" s="2">
        <f t="shared" si="4407"/>
        <v>0</v>
      </c>
      <c r="HD326" s="2" t="s">
        <v>3</v>
      </c>
      <c r="HE326" s="2" t="s">
        <v>89</v>
      </c>
      <c r="HF326" s="2" t="s">
        <v>137</v>
      </c>
      <c r="HG326" s="2"/>
      <c r="HH326" s="2"/>
      <c r="HI326" s="2" t="s">
        <v>81</v>
      </c>
      <c r="HJ326" s="2" t="s">
        <v>3</v>
      </c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 t="s">
        <v>3</v>
      </c>
    </row>
    <row r="327" spans="1:268" ht="15.75" customHeight="1" x14ac:dyDescent="0.2">
      <c r="A327" s="16" t="s">
        <v>495</v>
      </c>
      <c r="B327" s="2" t="s">
        <v>99</v>
      </c>
      <c r="C327" s="2"/>
      <c r="D327" s="2"/>
      <c r="E327" s="2" t="s">
        <v>179</v>
      </c>
      <c r="F327" s="2" t="s">
        <v>79</v>
      </c>
      <c r="G327" s="2"/>
      <c r="H327" s="2" t="s">
        <v>181</v>
      </c>
      <c r="I327" s="2">
        <v>0</v>
      </c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>
        <v>0</v>
      </c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>
        <v>0.39</v>
      </c>
      <c r="AZ327" s="2"/>
      <c r="BA327" s="2"/>
      <c r="BB327" s="2"/>
      <c r="BC327" s="2"/>
      <c r="BD327" s="2"/>
      <c r="BE327" s="2"/>
      <c r="BF327" s="2"/>
      <c r="BG327" s="2">
        <v>3.78</v>
      </c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>
        <v>0</v>
      </c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>
        <v>0</v>
      </c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 t="s">
        <v>81</v>
      </c>
      <c r="DK327" s="2"/>
      <c r="DL327" s="2">
        <f t="shared" si="4367"/>
        <v>3.78</v>
      </c>
      <c r="DM327" s="2">
        <f t="shared" si="4368"/>
        <v>0</v>
      </c>
      <c r="DN327" s="2" t="s">
        <v>175</v>
      </c>
      <c r="DO327" s="2" t="s">
        <v>3</v>
      </c>
      <c r="DP327" s="2">
        <f t="shared" si="4369"/>
        <v>0</v>
      </c>
      <c r="DQ327" s="2">
        <f t="shared" ref="DQ327:DR327" si="5476">K327*$I327+AF327*$AD327+BA327*$AY327</f>
        <v>0</v>
      </c>
      <c r="DR327" s="2">
        <f t="shared" si="5476"/>
        <v>0</v>
      </c>
      <c r="DS327" s="2">
        <f t="shared" ref="DS327:DX327" si="5477">(M327*$I327+AH327*$AD327+BC327*$AY327)/100</f>
        <v>0</v>
      </c>
      <c r="DT327" s="2">
        <f t="shared" si="5477"/>
        <v>0</v>
      </c>
      <c r="DU327" s="2">
        <f t="shared" si="5477"/>
        <v>0</v>
      </c>
      <c r="DV327" s="2">
        <f t="shared" si="5477"/>
        <v>0</v>
      </c>
      <c r="DW327" s="2">
        <f t="shared" si="5477"/>
        <v>1.4742E-2</v>
      </c>
      <c r="DX327" s="2">
        <f t="shared" si="5477"/>
        <v>0</v>
      </c>
      <c r="DY327" s="2">
        <f t="shared" ref="DY327:EC327" si="5478">S327*$I327+AN327*$AD327+BI327*$AY327</f>
        <v>0</v>
      </c>
      <c r="DZ327" s="2">
        <f t="shared" si="5478"/>
        <v>0</v>
      </c>
      <c r="EA327" s="2">
        <f t="shared" si="5478"/>
        <v>0</v>
      </c>
      <c r="EB327" s="2">
        <f t="shared" si="5478"/>
        <v>0</v>
      </c>
      <c r="EC327" s="2">
        <f t="shared" si="5478"/>
        <v>0</v>
      </c>
      <c r="ED327" s="2">
        <f t="shared" ref="ED327:EE327" si="5479">(X327*$I327+AS327*$AD327+BN327*$AY327)/100</f>
        <v>0</v>
      </c>
      <c r="EE327" s="2">
        <f t="shared" si="5479"/>
        <v>0</v>
      </c>
      <c r="EF327" s="2"/>
      <c r="EG327" s="2">
        <f t="shared" si="4374"/>
        <v>0</v>
      </c>
      <c r="EH327" s="2">
        <f t="shared" si="4375"/>
        <v>0</v>
      </c>
      <c r="EI327" s="39">
        <f t="shared" si="4376"/>
        <v>0</v>
      </c>
      <c r="EJ327" s="39">
        <f t="shared" ref="EJ327:EK327" si="5480">EJ$1*DQ327/1000000</f>
        <v>0</v>
      </c>
      <c r="EK327" s="39">
        <f t="shared" si="5480"/>
        <v>0</v>
      </c>
      <c r="EL327" s="39">
        <f t="shared" ref="EL327:EQ327" si="5481">EL$1*DS327</f>
        <v>0</v>
      </c>
      <c r="EM327" s="39">
        <f t="shared" si="5481"/>
        <v>0</v>
      </c>
      <c r="EN327" s="39">
        <f t="shared" si="5481"/>
        <v>0</v>
      </c>
      <c r="EO327" s="39">
        <f t="shared" si="5481"/>
        <v>0</v>
      </c>
      <c r="EP327" s="39">
        <f t="shared" si="5481"/>
        <v>193.32658799999999</v>
      </c>
      <c r="EQ327" s="39">
        <f t="shared" si="5481"/>
        <v>0</v>
      </c>
      <c r="ER327" s="39">
        <f t="shared" ref="ER327:EV327" si="5482">ER$1*DY327/1000000</f>
        <v>0</v>
      </c>
      <c r="ES327" s="39">
        <f t="shared" si="5482"/>
        <v>0</v>
      </c>
      <c r="ET327" s="39">
        <f t="shared" si="5482"/>
        <v>0</v>
      </c>
      <c r="EU327" s="39">
        <f t="shared" si="5482"/>
        <v>0</v>
      </c>
      <c r="EV327" s="39">
        <f t="shared" si="5482"/>
        <v>0</v>
      </c>
      <c r="EW327" s="39">
        <f t="shared" ref="EW327:EX327" si="5483">EW$1*ED327</f>
        <v>0</v>
      </c>
      <c r="EX327" s="39">
        <f t="shared" si="5483"/>
        <v>0</v>
      </c>
      <c r="EY327" s="2"/>
      <c r="EZ327" s="39">
        <f t="shared" si="4381"/>
        <v>0</v>
      </c>
      <c r="FA327" s="39">
        <f t="shared" si="4382"/>
        <v>0</v>
      </c>
      <c r="FB327" s="2">
        <f t="shared" si="4383"/>
        <v>0</v>
      </c>
      <c r="FC327" s="2">
        <f t="shared" ref="FC327:FD327" si="5484">BV327*$BT327+CQ327*$CO327</f>
        <v>0</v>
      </c>
      <c r="FD327" s="2">
        <f t="shared" si="5484"/>
        <v>0</v>
      </c>
      <c r="FE327" s="2">
        <f t="shared" ref="FE327:FJ327" si="5485">(BX327*$BT327+CS327*$CO327)/100</f>
        <v>0</v>
      </c>
      <c r="FF327" s="2">
        <f t="shared" si="5485"/>
        <v>0</v>
      </c>
      <c r="FG327" s="2">
        <f t="shared" si="5485"/>
        <v>0</v>
      </c>
      <c r="FH327" s="2">
        <f t="shared" si="5485"/>
        <v>0</v>
      </c>
      <c r="FI327" s="2">
        <f t="shared" si="5485"/>
        <v>0</v>
      </c>
      <c r="FJ327" s="2">
        <f t="shared" si="5485"/>
        <v>0</v>
      </c>
      <c r="FK327" s="2">
        <f t="shared" ref="FK327:FO327" si="5486">CD327*$BT327+CY327*$CO327</f>
        <v>0</v>
      </c>
      <c r="FL327" s="2">
        <f t="shared" si="5486"/>
        <v>0</v>
      </c>
      <c r="FM327" s="2">
        <f t="shared" si="5486"/>
        <v>0</v>
      </c>
      <c r="FN327" s="2">
        <f t="shared" si="5486"/>
        <v>0</v>
      </c>
      <c r="FO327" s="2">
        <f t="shared" si="5486"/>
        <v>0</v>
      </c>
      <c r="FP327" s="2">
        <f t="shared" ref="FP327:FQ327" si="5487">(CI327*$BT327+DD327*$CO327)/100</f>
        <v>0</v>
      </c>
      <c r="FQ327" s="2">
        <f t="shared" si="5487"/>
        <v>0</v>
      </c>
      <c r="FR327" s="2"/>
      <c r="FS327" s="2">
        <f t="shared" si="4388"/>
        <v>0</v>
      </c>
      <c r="FT327" s="2">
        <f t="shared" si="4389"/>
        <v>0</v>
      </c>
      <c r="FU327" s="39">
        <f t="shared" si="4390"/>
        <v>0</v>
      </c>
      <c r="FV327" s="39">
        <f t="shared" ref="FV327:FW327" si="5488">FV$1*FC327/1000000</f>
        <v>0</v>
      </c>
      <c r="FW327" s="39">
        <f t="shared" si="5488"/>
        <v>0</v>
      </c>
      <c r="FX327" s="39">
        <f t="shared" ref="FX327:GC327" si="5489">FX$1*FE327</f>
        <v>0</v>
      </c>
      <c r="FY327" s="39">
        <f t="shared" si="5489"/>
        <v>0</v>
      </c>
      <c r="FZ327" s="39">
        <f t="shared" si="5489"/>
        <v>0</v>
      </c>
      <c r="GA327" s="39">
        <f t="shared" si="5489"/>
        <v>0</v>
      </c>
      <c r="GB327" s="39">
        <f t="shared" si="5489"/>
        <v>0</v>
      </c>
      <c r="GC327" s="39">
        <f t="shared" si="5489"/>
        <v>0</v>
      </c>
      <c r="GD327" s="39">
        <f t="shared" ref="GD327:GH327" si="5490">GD$1*FK327/1000000</f>
        <v>0</v>
      </c>
      <c r="GE327" s="39">
        <f t="shared" si="5490"/>
        <v>0</v>
      </c>
      <c r="GF327" s="39">
        <f t="shared" si="5490"/>
        <v>0</v>
      </c>
      <c r="GG327" s="39">
        <f t="shared" si="5490"/>
        <v>0</v>
      </c>
      <c r="GH327" s="39">
        <f t="shared" si="5490"/>
        <v>0</v>
      </c>
      <c r="GI327" s="39">
        <f t="shared" ref="GI327:GJ327" si="5491">GI$1*FP327</f>
        <v>0</v>
      </c>
      <c r="GJ327" s="39">
        <f t="shared" si="5491"/>
        <v>0</v>
      </c>
      <c r="GK327" s="2"/>
      <c r="GL327" s="39">
        <f t="shared" si="4395"/>
        <v>0</v>
      </c>
      <c r="GM327" s="39">
        <f t="shared" si="4396"/>
        <v>0</v>
      </c>
      <c r="GN327" s="2" t="s">
        <v>3</v>
      </c>
      <c r="GO327" s="2">
        <f t="shared" si="4397"/>
        <v>0.39</v>
      </c>
      <c r="GP327" s="2">
        <f t="shared" si="4398"/>
        <v>3.78</v>
      </c>
      <c r="GQ327" s="15">
        <f t="shared" si="4399"/>
        <v>14.741999999999997</v>
      </c>
      <c r="GR327" s="15">
        <f t="shared" si="4400"/>
        <v>193.32658799999999</v>
      </c>
      <c r="GS327" s="15">
        <f t="shared" si="4401"/>
        <v>495.70919999999995</v>
      </c>
      <c r="GT327" s="2">
        <f t="shared" si="4402"/>
        <v>0</v>
      </c>
      <c r="GU327" s="2">
        <f t="shared" si="4403"/>
        <v>0</v>
      </c>
      <c r="GV327" s="2">
        <f t="shared" si="4404"/>
        <v>14.742000000000001</v>
      </c>
      <c r="GW327" s="2">
        <f t="shared" si="4405"/>
        <v>0</v>
      </c>
      <c r="GX327" s="2"/>
      <c r="GY327" s="2"/>
      <c r="GZ327" s="2"/>
      <c r="HA327" s="2"/>
      <c r="HB327" s="2">
        <f t="shared" si="4406"/>
        <v>0</v>
      </c>
      <c r="HC327" s="2">
        <f t="shared" si="4407"/>
        <v>0</v>
      </c>
      <c r="HD327" s="2" t="s">
        <v>3</v>
      </c>
      <c r="HE327" s="2" t="s">
        <v>89</v>
      </c>
      <c r="HF327" s="2" t="s">
        <v>137</v>
      </c>
      <c r="HG327" s="2"/>
      <c r="HH327" s="2"/>
      <c r="HI327" s="2" t="s">
        <v>81</v>
      </c>
      <c r="HJ327" s="2" t="s">
        <v>3</v>
      </c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 t="s">
        <v>3</v>
      </c>
    </row>
    <row r="328" spans="1:268" ht="15.75" customHeight="1" x14ac:dyDescent="0.2">
      <c r="A328" s="16" t="s">
        <v>861</v>
      </c>
      <c r="B328" s="2" t="s">
        <v>99</v>
      </c>
      <c r="C328" s="2"/>
      <c r="D328" s="2"/>
      <c r="E328" s="2" t="s">
        <v>179</v>
      </c>
      <c r="F328" s="2" t="s">
        <v>862</v>
      </c>
      <c r="G328" s="2"/>
      <c r="H328" s="2" t="s">
        <v>181</v>
      </c>
      <c r="I328" s="2">
        <v>0</v>
      </c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>
        <v>0</v>
      </c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19">
        <v>2.2302</v>
      </c>
      <c r="AZ328" s="2"/>
      <c r="BA328" s="2"/>
      <c r="BB328" s="2"/>
      <c r="BC328" s="2"/>
      <c r="BD328" s="2"/>
      <c r="BE328" s="2"/>
      <c r="BF328" s="2"/>
      <c r="BG328" s="2">
        <v>0.52</v>
      </c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>
        <v>0</v>
      </c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>
        <v>0</v>
      </c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 t="s">
        <v>81</v>
      </c>
      <c r="DK328" s="2"/>
      <c r="DL328" s="2">
        <f t="shared" si="4367"/>
        <v>0.52</v>
      </c>
      <c r="DM328" s="2">
        <f t="shared" si="4368"/>
        <v>0</v>
      </c>
      <c r="DN328" s="2" t="s">
        <v>175</v>
      </c>
      <c r="DO328" s="2" t="s">
        <v>3</v>
      </c>
      <c r="DP328" s="2">
        <f t="shared" si="4369"/>
        <v>0</v>
      </c>
      <c r="DQ328" s="2">
        <f t="shared" ref="DQ328:DR328" si="5492">K328*$I328+AF328*$AD328+BA328*$AY328</f>
        <v>0</v>
      </c>
      <c r="DR328" s="2">
        <f t="shared" si="5492"/>
        <v>0</v>
      </c>
      <c r="DS328" s="2">
        <f t="shared" ref="DS328:DX328" si="5493">(M328*$I328+AH328*$AD328+BC328*$AY328)/100</f>
        <v>0</v>
      </c>
      <c r="DT328" s="2">
        <f t="shared" si="5493"/>
        <v>0</v>
      </c>
      <c r="DU328" s="2">
        <f t="shared" si="5493"/>
        <v>0</v>
      </c>
      <c r="DV328" s="2">
        <f t="shared" si="5493"/>
        <v>0</v>
      </c>
      <c r="DW328" s="2">
        <f t="shared" si="5493"/>
        <v>1.1597040000000001E-2</v>
      </c>
      <c r="DX328" s="2">
        <f t="shared" si="5493"/>
        <v>0</v>
      </c>
      <c r="DY328" s="2">
        <f t="shared" ref="DY328:EC328" si="5494">S328*$I328+AN328*$AD328+BI328*$AY328</f>
        <v>0</v>
      </c>
      <c r="DZ328" s="2">
        <f t="shared" si="5494"/>
        <v>0</v>
      </c>
      <c r="EA328" s="2">
        <f t="shared" si="5494"/>
        <v>0</v>
      </c>
      <c r="EB328" s="2">
        <f t="shared" si="5494"/>
        <v>0</v>
      </c>
      <c r="EC328" s="2">
        <f t="shared" si="5494"/>
        <v>0</v>
      </c>
      <c r="ED328" s="2">
        <f t="shared" ref="ED328:EE328" si="5495">(X328*$I328+AS328*$AD328+BN328*$AY328)/100</f>
        <v>0</v>
      </c>
      <c r="EE328" s="2">
        <f t="shared" si="5495"/>
        <v>0</v>
      </c>
      <c r="EF328" s="2"/>
      <c r="EG328" s="2">
        <f t="shared" si="4374"/>
        <v>0</v>
      </c>
      <c r="EH328" s="2">
        <f t="shared" si="4375"/>
        <v>0</v>
      </c>
      <c r="EI328" s="39">
        <f t="shared" si="4376"/>
        <v>0</v>
      </c>
      <c r="EJ328" s="39">
        <f t="shared" ref="EJ328:EK328" si="5496">EJ$1*DQ328/1000000</f>
        <v>0</v>
      </c>
      <c r="EK328" s="39">
        <f t="shared" si="5496"/>
        <v>0</v>
      </c>
      <c r="EL328" s="39">
        <f t="shared" ref="EL328:EQ328" si="5497">EL$1*DS328</f>
        <v>0</v>
      </c>
      <c r="EM328" s="39">
        <f t="shared" si="5497"/>
        <v>0</v>
      </c>
      <c r="EN328" s="39">
        <f t="shared" si="5497"/>
        <v>0</v>
      </c>
      <c r="EO328" s="39">
        <f t="shared" si="5497"/>
        <v>0</v>
      </c>
      <c r="EP328" s="39">
        <f t="shared" si="5497"/>
        <v>152.08358256000002</v>
      </c>
      <c r="EQ328" s="39">
        <f t="shared" si="5497"/>
        <v>0</v>
      </c>
      <c r="ER328" s="39">
        <f t="shared" ref="ER328:EV328" si="5498">ER$1*DY328/1000000</f>
        <v>0</v>
      </c>
      <c r="ES328" s="39">
        <f t="shared" si="5498"/>
        <v>0</v>
      </c>
      <c r="ET328" s="39">
        <f t="shared" si="5498"/>
        <v>0</v>
      </c>
      <c r="EU328" s="39">
        <f t="shared" si="5498"/>
        <v>0</v>
      </c>
      <c r="EV328" s="39">
        <f t="shared" si="5498"/>
        <v>0</v>
      </c>
      <c r="EW328" s="39">
        <f t="shared" ref="EW328:EX328" si="5499">EW$1*ED328</f>
        <v>0</v>
      </c>
      <c r="EX328" s="39">
        <f t="shared" si="5499"/>
        <v>0</v>
      </c>
      <c r="EY328" s="2"/>
      <c r="EZ328" s="39">
        <f t="shared" si="4381"/>
        <v>0</v>
      </c>
      <c r="FA328" s="39">
        <f t="shared" si="4382"/>
        <v>0</v>
      </c>
      <c r="FB328" s="2">
        <f t="shared" si="4383"/>
        <v>0</v>
      </c>
      <c r="FC328" s="2">
        <f t="shared" ref="FC328:FD328" si="5500">BV328*$BT328+CQ328*$CO328</f>
        <v>0</v>
      </c>
      <c r="FD328" s="2">
        <f t="shared" si="5500"/>
        <v>0</v>
      </c>
      <c r="FE328" s="2">
        <f t="shared" ref="FE328:FJ328" si="5501">(BX328*$BT328+CS328*$CO328)/100</f>
        <v>0</v>
      </c>
      <c r="FF328" s="2">
        <f t="shared" si="5501"/>
        <v>0</v>
      </c>
      <c r="FG328" s="2">
        <f t="shared" si="5501"/>
        <v>0</v>
      </c>
      <c r="FH328" s="2">
        <f t="shared" si="5501"/>
        <v>0</v>
      </c>
      <c r="FI328" s="2">
        <f t="shared" si="5501"/>
        <v>0</v>
      </c>
      <c r="FJ328" s="2">
        <f t="shared" si="5501"/>
        <v>0</v>
      </c>
      <c r="FK328" s="2">
        <f t="shared" ref="FK328:FO328" si="5502">CD328*$BT328+CY328*$CO328</f>
        <v>0</v>
      </c>
      <c r="FL328" s="2">
        <f t="shared" si="5502"/>
        <v>0</v>
      </c>
      <c r="FM328" s="2">
        <f t="shared" si="5502"/>
        <v>0</v>
      </c>
      <c r="FN328" s="2">
        <f t="shared" si="5502"/>
        <v>0</v>
      </c>
      <c r="FO328" s="2">
        <f t="shared" si="5502"/>
        <v>0</v>
      </c>
      <c r="FP328" s="2">
        <f t="shared" ref="FP328:FQ328" si="5503">(CI328*$BT328+DD328*$CO328)/100</f>
        <v>0</v>
      </c>
      <c r="FQ328" s="2">
        <f t="shared" si="5503"/>
        <v>0</v>
      </c>
      <c r="FR328" s="2"/>
      <c r="FS328" s="2">
        <f t="shared" si="4388"/>
        <v>0</v>
      </c>
      <c r="FT328" s="2">
        <f t="shared" si="4389"/>
        <v>0</v>
      </c>
      <c r="FU328" s="39">
        <f t="shared" si="4390"/>
        <v>0</v>
      </c>
      <c r="FV328" s="39">
        <f t="shared" ref="FV328:FW328" si="5504">FV$1*FC328/1000000</f>
        <v>0</v>
      </c>
      <c r="FW328" s="39">
        <f t="shared" si="5504"/>
        <v>0</v>
      </c>
      <c r="FX328" s="39">
        <f t="shared" ref="FX328:GC328" si="5505">FX$1*FE328</f>
        <v>0</v>
      </c>
      <c r="FY328" s="39">
        <f t="shared" si="5505"/>
        <v>0</v>
      </c>
      <c r="FZ328" s="39">
        <f t="shared" si="5505"/>
        <v>0</v>
      </c>
      <c r="GA328" s="39">
        <f t="shared" si="5505"/>
        <v>0</v>
      </c>
      <c r="GB328" s="39">
        <f t="shared" si="5505"/>
        <v>0</v>
      </c>
      <c r="GC328" s="39">
        <f t="shared" si="5505"/>
        <v>0</v>
      </c>
      <c r="GD328" s="39">
        <f t="shared" ref="GD328:GH328" si="5506">GD$1*FK328/1000000</f>
        <v>0</v>
      </c>
      <c r="GE328" s="39">
        <f t="shared" si="5506"/>
        <v>0</v>
      </c>
      <c r="GF328" s="39">
        <f t="shared" si="5506"/>
        <v>0</v>
      </c>
      <c r="GG328" s="39">
        <f t="shared" si="5506"/>
        <v>0</v>
      </c>
      <c r="GH328" s="39">
        <f t="shared" si="5506"/>
        <v>0</v>
      </c>
      <c r="GI328" s="39">
        <f t="shared" ref="GI328:GJ328" si="5507">GI$1*FP328</f>
        <v>0</v>
      </c>
      <c r="GJ328" s="39">
        <f t="shared" si="5507"/>
        <v>0</v>
      </c>
      <c r="GK328" s="2"/>
      <c r="GL328" s="39">
        <f t="shared" si="4395"/>
        <v>0</v>
      </c>
      <c r="GM328" s="39">
        <f t="shared" si="4396"/>
        <v>0</v>
      </c>
      <c r="GN328" s="2" t="s">
        <v>3</v>
      </c>
      <c r="GO328" s="4">
        <f t="shared" si="4397"/>
        <v>2.2302</v>
      </c>
      <c r="GP328" s="2">
        <f t="shared" si="4398"/>
        <v>0.52</v>
      </c>
      <c r="GQ328" s="15">
        <f t="shared" si="4399"/>
        <v>11.59704</v>
      </c>
      <c r="GR328" s="15">
        <f t="shared" si="4400"/>
        <v>152.08358256000002</v>
      </c>
      <c r="GS328" s="15">
        <f t="shared" si="4401"/>
        <v>68.192800000000005</v>
      </c>
      <c r="GT328" s="2">
        <f t="shared" si="4402"/>
        <v>0</v>
      </c>
      <c r="GU328" s="2">
        <f t="shared" si="4403"/>
        <v>0</v>
      </c>
      <c r="GV328" s="2">
        <f t="shared" si="4404"/>
        <v>11.597040000000002</v>
      </c>
      <c r="GW328" s="2">
        <f t="shared" si="4405"/>
        <v>0</v>
      </c>
      <c r="GX328" s="2"/>
      <c r="GY328" s="2"/>
      <c r="GZ328" s="2"/>
      <c r="HA328" s="2"/>
      <c r="HB328" s="2">
        <f t="shared" si="4406"/>
        <v>0</v>
      </c>
      <c r="HC328" s="2">
        <f t="shared" si="4407"/>
        <v>0</v>
      </c>
      <c r="HD328" s="2" t="s">
        <v>3</v>
      </c>
      <c r="HE328" s="2" t="s">
        <v>89</v>
      </c>
      <c r="HF328" s="2" t="s">
        <v>137</v>
      </c>
      <c r="HG328" s="2"/>
      <c r="HH328" s="2"/>
      <c r="HI328" s="2" t="s">
        <v>81</v>
      </c>
      <c r="HJ328" s="2" t="s">
        <v>3</v>
      </c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 t="s">
        <v>3</v>
      </c>
    </row>
    <row r="329" spans="1:268" ht="15.75" customHeight="1" x14ac:dyDescent="0.2">
      <c r="A329" s="16" t="s">
        <v>1152</v>
      </c>
      <c r="B329" s="2" t="s">
        <v>120</v>
      </c>
      <c r="C329" s="2"/>
      <c r="D329" s="2"/>
      <c r="E329" s="2" t="s">
        <v>179</v>
      </c>
      <c r="F329" s="2" t="s">
        <v>1153</v>
      </c>
      <c r="G329" s="2"/>
      <c r="H329" s="2" t="s">
        <v>181</v>
      </c>
      <c r="I329" s="2">
        <v>0</v>
      </c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>
        <v>0.25</v>
      </c>
      <c r="AE329" s="2"/>
      <c r="AF329" s="2"/>
      <c r="AG329" s="2"/>
      <c r="AH329" s="2"/>
      <c r="AI329" s="2"/>
      <c r="AJ329" s="2"/>
      <c r="AK329" s="2"/>
      <c r="AL329" s="2">
        <v>2.4</v>
      </c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>
        <v>0.46</v>
      </c>
      <c r="AZ329" s="2"/>
      <c r="BA329" s="2"/>
      <c r="BB329" s="2"/>
      <c r="BC329" s="2"/>
      <c r="BD329" s="2"/>
      <c r="BE329" s="2"/>
      <c r="BF329" s="2"/>
      <c r="BG329" s="2">
        <v>2.2000000000000002</v>
      </c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>
        <v>0</v>
      </c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>
        <v>0</v>
      </c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 t="s">
        <v>81</v>
      </c>
      <c r="DK329" s="2"/>
      <c r="DL329" s="2">
        <f t="shared" si="4367"/>
        <v>2.2704225352112677</v>
      </c>
      <c r="DM329" s="2">
        <f t="shared" si="4368"/>
        <v>0</v>
      </c>
      <c r="DN329" s="2" t="s">
        <v>1154</v>
      </c>
      <c r="DO329" s="2" t="s">
        <v>3</v>
      </c>
      <c r="DP329" s="2">
        <f t="shared" si="4369"/>
        <v>0</v>
      </c>
      <c r="DQ329" s="2">
        <f t="shared" ref="DQ329:DR329" si="5508">K329*$I329+AF329*$AD329+BA329*$AY329</f>
        <v>0</v>
      </c>
      <c r="DR329" s="2">
        <f t="shared" si="5508"/>
        <v>0</v>
      </c>
      <c r="DS329" s="2">
        <f t="shared" ref="DS329:DX329" si="5509">(M329*$I329+AH329*$AD329+BC329*$AY329)/100</f>
        <v>0</v>
      </c>
      <c r="DT329" s="2">
        <f t="shared" si="5509"/>
        <v>0</v>
      </c>
      <c r="DU329" s="2">
        <f t="shared" si="5509"/>
        <v>0</v>
      </c>
      <c r="DV329" s="2">
        <f t="shared" si="5509"/>
        <v>0</v>
      </c>
      <c r="DW329" s="2">
        <f t="shared" si="5509"/>
        <v>1.6120000000000002E-2</v>
      </c>
      <c r="DX329" s="2">
        <f t="shared" si="5509"/>
        <v>0</v>
      </c>
      <c r="DY329" s="2">
        <f t="shared" ref="DY329:EC329" si="5510">S329*$I329+AN329*$AD329+BI329*$AY329</f>
        <v>0</v>
      </c>
      <c r="DZ329" s="2">
        <f t="shared" si="5510"/>
        <v>0</v>
      </c>
      <c r="EA329" s="2">
        <f t="shared" si="5510"/>
        <v>0</v>
      </c>
      <c r="EB329" s="2">
        <f t="shared" si="5510"/>
        <v>0</v>
      </c>
      <c r="EC329" s="2">
        <f t="shared" si="5510"/>
        <v>0</v>
      </c>
      <c r="ED329" s="2">
        <f t="shared" ref="ED329:EE329" si="5511">(X329*$I329+AS329*$AD329+BN329*$AY329)/100</f>
        <v>0</v>
      </c>
      <c r="EE329" s="2">
        <f t="shared" si="5511"/>
        <v>0</v>
      </c>
      <c r="EF329" s="2"/>
      <c r="EG329" s="2">
        <f t="shared" si="4374"/>
        <v>0</v>
      </c>
      <c r="EH329" s="2">
        <f t="shared" si="4375"/>
        <v>0</v>
      </c>
      <c r="EI329" s="39">
        <f t="shared" si="4376"/>
        <v>0</v>
      </c>
      <c r="EJ329" s="39">
        <f t="shared" ref="EJ329:EK329" si="5512">EJ$1*DQ329/1000000</f>
        <v>0</v>
      </c>
      <c r="EK329" s="39">
        <f t="shared" si="5512"/>
        <v>0</v>
      </c>
      <c r="EL329" s="39">
        <f t="shared" ref="EL329:EQ329" si="5513">EL$1*DS329</f>
        <v>0</v>
      </c>
      <c r="EM329" s="39">
        <f t="shared" si="5513"/>
        <v>0</v>
      </c>
      <c r="EN329" s="39">
        <f t="shared" si="5513"/>
        <v>0</v>
      </c>
      <c r="EO329" s="39">
        <f t="shared" si="5513"/>
        <v>0</v>
      </c>
      <c r="EP329" s="39">
        <f t="shared" si="5513"/>
        <v>211.39768000000004</v>
      </c>
      <c r="EQ329" s="39">
        <f t="shared" si="5513"/>
        <v>0</v>
      </c>
      <c r="ER329" s="39">
        <f t="shared" ref="ER329:EV329" si="5514">ER$1*DY329/1000000</f>
        <v>0</v>
      </c>
      <c r="ES329" s="39">
        <f t="shared" si="5514"/>
        <v>0</v>
      </c>
      <c r="ET329" s="39">
        <f t="shared" si="5514"/>
        <v>0</v>
      </c>
      <c r="EU329" s="39">
        <f t="shared" si="5514"/>
        <v>0</v>
      </c>
      <c r="EV329" s="39">
        <f t="shared" si="5514"/>
        <v>0</v>
      </c>
      <c r="EW329" s="39">
        <f t="shared" ref="EW329:EX329" si="5515">EW$1*ED329</f>
        <v>0</v>
      </c>
      <c r="EX329" s="39">
        <f t="shared" si="5515"/>
        <v>0</v>
      </c>
      <c r="EY329" s="2"/>
      <c r="EZ329" s="39">
        <f t="shared" si="4381"/>
        <v>0</v>
      </c>
      <c r="FA329" s="39">
        <f t="shared" si="4382"/>
        <v>0</v>
      </c>
      <c r="FB329" s="2">
        <f t="shared" si="4383"/>
        <v>0</v>
      </c>
      <c r="FC329" s="2">
        <f t="shared" ref="FC329:FD329" si="5516">BV329*$BT329+CQ329*$CO329</f>
        <v>0</v>
      </c>
      <c r="FD329" s="2">
        <f t="shared" si="5516"/>
        <v>0</v>
      </c>
      <c r="FE329" s="2">
        <f t="shared" ref="FE329:FJ329" si="5517">(BX329*$BT329+CS329*$CO329)/100</f>
        <v>0</v>
      </c>
      <c r="FF329" s="2">
        <f t="shared" si="5517"/>
        <v>0</v>
      </c>
      <c r="FG329" s="2">
        <f t="shared" si="5517"/>
        <v>0</v>
      </c>
      <c r="FH329" s="2">
        <f t="shared" si="5517"/>
        <v>0</v>
      </c>
      <c r="FI329" s="2">
        <f t="shared" si="5517"/>
        <v>0</v>
      </c>
      <c r="FJ329" s="2">
        <f t="shared" si="5517"/>
        <v>0</v>
      </c>
      <c r="FK329" s="2">
        <f t="shared" ref="FK329:FO329" si="5518">CD329*$BT329+CY329*$CO329</f>
        <v>0</v>
      </c>
      <c r="FL329" s="2">
        <f t="shared" si="5518"/>
        <v>0</v>
      </c>
      <c r="FM329" s="2">
        <f t="shared" si="5518"/>
        <v>0</v>
      </c>
      <c r="FN329" s="2">
        <f t="shared" si="5518"/>
        <v>0</v>
      </c>
      <c r="FO329" s="2">
        <f t="shared" si="5518"/>
        <v>0</v>
      </c>
      <c r="FP329" s="2">
        <f t="shared" ref="FP329:FQ329" si="5519">(CI329*$BT329+DD329*$CO329)/100</f>
        <v>0</v>
      </c>
      <c r="FQ329" s="2">
        <f t="shared" si="5519"/>
        <v>0</v>
      </c>
      <c r="FR329" s="2"/>
      <c r="FS329" s="2">
        <f t="shared" si="4388"/>
        <v>0</v>
      </c>
      <c r="FT329" s="2">
        <f t="shared" si="4389"/>
        <v>0</v>
      </c>
      <c r="FU329" s="39">
        <f t="shared" si="4390"/>
        <v>0</v>
      </c>
      <c r="FV329" s="39">
        <f t="shared" ref="FV329:FW329" si="5520">FV$1*FC329/1000000</f>
        <v>0</v>
      </c>
      <c r="FW329" s="39">
        <f t="shared" si="5520"/>
        <v>0</v>
      </c>
      <c r="FX329" s="39">
        <f t="shared" ref="FX329:GC329" si="5521">FX$1*FE329</f>
        <v>0</v>
      </c>
      <c r="FY329" s="39">
        <f t="shared" si="5521"/>
        <v>0</v>
      </c>
      <c r="FZ329" s="39">
        <f t="shared" si="5521"/>
        <v>0</v>
      </c>
      <c r="GA329" s="39">
        <f t="shared" si="5521"/>
        <v>0</v>
      </c>
      <c r="GB329" s="39">
        <f t="shared" si="5521"/>
        <v>0</v>
      </c>
      <c r="GC329" s="39">
        <f t="shared" si="5521"/>
        <v>0</v>
      </c>
      <c r="GD329" s="39">
        <f t="shared" ref="GD329:GH329" si="5522">GD$1*FK329/1000000</f>
        <v>0</v>
      </c>
      <c r="GE329" s="39">
        <f t="shared" si="5522"/>
        <v>0</v>
      </c>
      <c r="GF329" s="39">
        <f t="shared" si="5522"/>
        <v>0</v>
      </c>
      <c r="GG329" s="39">
        <f t="shared" si="5522"/>
        <v>0</v>
      </c>
      <c r="GH329" s="39">
        <f t="shared" si="5522"/>
        <v>0</v>
      </c>
      <c r="GI329" s="39">
        <f t="shared" ref="GI329:GJ329" si="5523">GI$1*FP329</f>
        <v>0</v>
      </c>
      <c r="GJ329" s="39">
        <f t="shared" si="5523"/>
        <v>0</v>
      </c>
      <c r="GK329" s="2"/>
      <c r="GL329" s="39">
        <f t="shared" si="4395"/>
        <v>0</v>
      </c>
      <c r="GM329" s="39">
        <f t="shared" si="4396"/>
        <v>0</v>
      </c>
      <c r="GN329" s="2" t="s">
        <v>3</v>
      </c>
      <c r="GO329" s="2">
        <f t="shared" si="4397"/>
        <v>0.71</v>
      </c>
      <c r="GP329" s="4">
        <f t="shared" si="4398"/>
        <v>2.2704225352112677</v>
      </c>
      <c r="GQ329" s="15">
        <f t="shared" si="4399"/>
        <v>16.12</v>
      </c>
      <c r="GR329" s="15">
        <f t="shared" si="4400"/>
        <v>211.39768000000004</v>
      </c>
      <c r="GS329" s="15">
        <f t="shared" si="4401"/>
        <v>297.74321126760572</v>
      </c>
      <c r="GT329" s="2">
        <f t="shared" si="4402"/>
        <v>0</v>
      </c>
      <c r="GU329" s="2">
        <f t="shared" si="4403"/>
        <v>6</v>
      </c>
      <c r="GV329" s="2">
        <f t="shared" si="4404"/>
        <v>10.120000000000003</v>
      </c>
      <c r="GW329" s="2">
        <f t="shared" si="4405"/>
        <v>0</v>
      </c>
      <c r="GX329" s="2"/>
      <c r="GY329" s="2"/>
      <c r="GZ329" s="2"/>
      <c r="HA329" s="2"/>
      <c r="HB329" s="2">
        <f t="shared" si="4406"/>
        <v>0</v>
      </c>
      <c r="HC329" s="2">
        <f t="shared" si="4407"/>
        <v>0</v>
      </c>
      <c r="HD329" s="2" t="s">
        <v>3</v>
      </c>
      <c r="HE329" s="2" t="s">
        <v>89</v>
      </c>
      <c r="HF329" s="2" t="s">
        <v>137</v>
      </c>
      <c r="HG329" s="2"/>
      <c r="HH329" s="2"/>
      <c r="HI329" s="2" t="s">
        <v>81</v>
      </c>
      <c r="HJ329" s="2" t="s">
        <v>3</v>
      </c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 t="s">
        <v>3</v>
      </c>
    </row>
    <row r="330" spans="1:268" ht="15.75" customHeight="1" x14ac:dyDescent="0.2">
      <c r="A330" s="16" t="s">
        <v>1313</v>
      </c>
      <c r="B330" s="2" t="s">
        <v>99</v>
      </c>
      <c r="C330" s="2"/>
      <c r="D330" s="2"/>
      <c r="E330" s="2" t="s">
        <v>179</v>
      </c>
      <c r="F330" s="2" t="s">
        <v>367</v>
      </c>
      <c r="G330" s="2"/>
      <c r="H330" s="2" t="s">
        <v>181</v>
      </c>
      <c r="I330" s="2">
        <v>0</v>
      </c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>
        <v>0.08</v>
      </c>
      <c r="AE330" s="2"/>
      <c r="AF330" s="2"/>
      <c r="AG330" s="2"/>
      <c r="AH330" s="2"/>
      <c r="AI330" s="2"/>
      <c r="AJ330" s="2"/>
      <c r="AK330" s="2"/>
      <c r="AL330" s="2">
        <v>3.5</v>
      </c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>
        <v>0</v>
      </c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>
        <v>0</v>
      </c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>
        <v>0</v>
      </c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 t="s">
        <v>81</v>
      </c>
      <c r="DK330" s="2"/>
      <c r="DL330" s="2">
        <f t="shared" si="4367"/>
        <v>3.5000000000000004</v>
      </c>
      <c r="DM330" s="2">
        <f t="shared" si="4368"/>
        <v>0</v>
      </c>
      <c r="DN330" s="2" t="s">
        <v>175</v>
      </c>
      <c r="DO330" s="2" t="s">
        <v>3</v>
      </c>
      <c r="DP330" s="2">
        <f t="shared" si="4369"/>
        <v>0</v>
      </c>
      <c r="DQ330" s="2">
        <f t="shared" ref="DQ330:DR330" si="5524">K330*$I330+AF330*$AD330+BA330*$AY330</f>
        <v>0</v>
      </c>
      <c r="DR330" s="2">
        <f t="shared" si="5524"/>
        <v>0</v>
      </c>
      <c r="DS330" s="2">
        <f t="shared" ref="DS330:DX330" si="5525">(M330*$I330+AH330*$AD330+BC330*$AY330)/100</f>
        <v>0</v>
      </c>
      <c r="DT330" s="2">
        <f t="shared" si="5525"/>
        <v>0</v>
      </c>
      <c r="DU330" s="2">
        <f t="shared" si="5525"/>
        <v>0</v>
      </c>
      <c r="DV330" s="2">
        <f t="shared" si="5525"/>
        <v>0</v>
      </c>
      <c r="DW330" s="2">
        <f t="shared" si="5525"/>
        <v>2.8000000000000004E-3</v>
      </c>
      <c r="DX330" s="2">
        <f t="shared" si="5525"/>
        <v>0</v>
      </c>
      <c r="DY330" s="2">
        <f t="shared" ref="DY330:EC330" si="5526">S330*$I330+AN330*$AD330+BI330*$AY330</f>
        <v>0</v>
      </c>
      <c r="DZ330" s="2">
        <f t="shared" si="5526"/>
        <v>0</v>
      </c>
      <c r="EA330" s="2">
        <f t="shared" si="5526"/>
        <v>0</v>
      </c>
      <c r="EB330" s="2">
        <f t="shared" si="5526"/>
        <v>0</v>
      </c>
      <c r="EC330" s="2">
        <f t="shared" si="5526"/>
        <v>0</v>
      </c>
      <c r="ED330" s="2">
        <f t="shared" ref="ED330:EE330" si="5527">(X330*$I330+AS330*$AD330+BN330*$AY330)/100</f>
        <v>0</v>
      </c>
      <c r="EE330" s="2">
        <f t="shared" si="5527"/>
        <v>0</v>
      </c>
      <c r="EF330" s="2"/>
      <c r="EG330" s="2">
        <f t="shared" si="4374"/>
        <v>0</v>
      </c>
      <c r="EH330" s="2">
        <f t="shared" si="4375"/>
        <v>0</v>
      </c>
      <c r="EI330" s="39">
        <f t="shared" si="4376"/>
        <v>0</v>
      </c>
      <c r="EJ330" s="39">
        <f t="shared" ref="EJ330:EK330" si="5528">EJ$1*DQ330/1000000</f>
        <v>0</v>
      </c>
      <c r="EK330" s="39">
        <f t="shared" si="5528"/>
        <v>0</v>
      </c>
      <c r="EL330" s="39">
        <f t="shared" ref="EL330:EQ330" si="5529">EL$1*DS330</f>
        <v>0</v>
      </c>
      <c r="EM330" s="39">
        <f t="shared" si="5529"/>
        <v>0</v>
      </c>
      <c r="EN330" s="39">
        <f t="shared" si="5529"/>
        <v>0</v>
      </c>
      <c r="EO330" s="39">
        <f t="shared" si="5529"/>
        <v>0</v>
      </c>
      <c r="EP330" s="39">
        <f t="shared" si="5529"/>
        <v>36.719200000000008</v>
      </c>
      <c r="EQ330" s="39">
        <f t="shared" si="5529"/>
        <v>0</v>
      </c>
      <c r="ER330" s="39">
        <f t="shared" ref="ER330:EV330" si="5530">ER$1*DY330/1000000</f>
        <v>0</v>
      </c>
      <c r="ES330" s="39">
        <f t="shared" si="5530"/>
        <v>0</v>
      </c>
      <c r="ET330" s="39">
        <f t="shared" si="5530"/>
        <v>0</v>
      </c>
      <c r="EU330" s="39">
        <f t="shared" si="5530"/>
        <v>0</v>
      </c>
      <c r="EV330" s="39">
        <f t="shared" si="5530"/>
        <v>0</v>
      </c>
      <c r="EW330" s="39">
        <f t="shared" ref="EW330:EX330" si="5531">EW$1*ED330</f>
        <v>0</v>
      </c>
      <c r="EX330" s="39">
        <f t="shared" si="5531"/>
        <v>0</v>
      </c>
      <c r="EY330" s="2"/>
      <c r="EZ330" s="39">
        <f t="shared" si="4381"/>
        <v>0</v>
      </c>
      <c r="FA330" s="39">
        <f t="shared" si="4382"/>
        <v>0</v>
      </c>
      <c r="FB330" s="2">
        <f t="shared" si="4383"/>
        <v>0</v>
      </c>
      <c r="FC330" s="2">
        <f t="shared" ref="FC330:FD330" si="5532">BV330*$BT330+CQ330*$CO330</f>
        <v>0</v>
      </c>
      <c r="FD330" s="2">
        <f t="shared" si="5532"/>
        <v>0</v>
      </c>
      <c r="FE330" s="2">
        <f t="shared" ref="FE330:FJ330" si="5533">(BX330*$BT330+CS330*$CO330)/100</f>
        <v>0</v>
      </c>
      <c r="FF330" s="2">
        <f t="shared" si="5533"/>
        <v>0</v>
      </c>
      <c r="FG330" s="2">
        <f t="shared" si="5533"/>
        <v>0</v>
      </c>
      <c r="FH330" s="2">
        <f t="shared" si="5533"/>
        <v>0</v>
      </c>
      <c r="FI330" s="2">
        <f t="shared" si="5533"/>
        <v>0</v>
      </c>
      <c r="FJ330" s="2">
        <f t="shared" si="5533"/>
        <v>0</v>
      </c>
      <c r="FK330" s="2">
        <f t="shared" ref="FK330:FO330" si="5534">CD330*$BT330+CY330*$CO330</f>
        <v>0</v>
      </c>
      <c r="FL330" s="2">
        <f t="shared" si="5534"/>
        <v>0</v>
      </c>
      <c r="FM330" s="2">
        <f t="shared" si="5534"/>
        <v>0</v>
      </c>
      <c r="FN330" s="2">
        <f t="shared" si="5534"/>
        <v>0</v>
      </c>
      <c r="FO330" s="2">
        <f t="shared" si="5534"/>
        <v>0</v>
      </c>
      <c r="FP330" s="2">
        <f t="shared" ref="FP330:FQ330" si="5535">(CI330*$BT330+DD330*$CO330)/100</f>
        <v>0</v>
      </c>
      <c r="FQ330" s="2">
        <f t="shared" si="5535"/>
        <v>0</v>
      </c>
      <c r="FR330" s="2"/>
      <c r="FS330" s="2">
        <f t="shared" si="4388"/>
        <v>0</v>
      </c>
      <c r="FT330" s="2">
        <f t="shared" si="4389"/>
        <v>0</v>
      </c>
      <c r="FU330" s="39">
        <f t="shared" si="4390"/>
        <v>0</v>
      </c>
      <c r="FV330" s="39">
        <f t="shared" ref="FV330:FW330" si="5536">FV$1*FC330/1000000</f>
        <v>0</v>
      </c>
      <c r="FW330" s="39">
        <f t="shared" si="5536"/>
        <v>0</v>
      </c>
      <c r="FX330" s="39">
        <f t="shared" ref="FX330:GC330" si="5537">FX$1*FE330</f>
        <v>0</v>
      </c>
      <c r="FY330" s="39">
        <f t="shared" si="5537"/>
        <v>0</v>
      </c>
      <c r="FZ330" s="39">
        <f t="shared" si="5537"/>
        <v>0</v>
      </c>
      <c r="GA330" s="39">
        <f t="shared" si="5537"/>
        <v>0</v>
      </c>
      <c r="GB330" s="39">
        <f t="shared" si="5537"/>
        <v>0</v>
      </c>
      <c r="GC330" s="39">
        <f t="shared" si="5537"/>
        <v>0</v>
      </c>
      <c r="GD330" s="39">
        <f t="shared" ref="GD330:GH330" si="5538">GD$1*FK330/1000000</f>
        <v>0</v>
      </c>
      <c r="GE330" s="39">
        <f t="shared" si="5538"/>
        <v>0</v>
      </c>
      <c r="GF330" s="39">
        <f t="shared" si="5538"/>
        <v>0</v>
      </c>
      <c r="GG330" s="39">
        <f t="shared" si="5538"/>
        <v>0</v>
      </c>
      <c r="GH330" s="39">
        <f t="shared" si="5538"/>
        <v>0</v>
      </c>
      <c r="GI330" s="39">
        <f t="shared" ref="GI330:GJ330" si="5539">GI$1*FP330</f>
        <v>0</v>
      </c>
      <c r="GJ330" s="39">
        <f t="shared" si="5539"/>
        <v>0</v>
      </c>
      <c r="GK330" s="2"/>
      <c r="GL330" s="39">
        <f t="shared" si="4395"/>
        <v>0</v>
      </c>
      <c r="GM330" s="39">
        <f t="shared" si="4396"/>
        <v>0</v>
      </c>
      <c r="GN330" s="2" t="s">
        <v>3</v>
      </c>
      <c r="GO330" s="2">
        <f t="shared" si="4397"/>
        <v>0.08</v>
      </c>
      <c r="GP330" s="2">
        <f t="shared" si="4398"/>
        <v>3.5000000000000004</v>
      </c>
      <c r="GQ330" s="15">
        <f t="shared" si="4399"/>
        <v>2.8000000000000007</v>
      </c>
      <c r="GR330" s="15">
        <f t="shared" si="4400"/>
        <v>36.719200000000008</v>
      </c>
      <c r="GS330" s="15">
        <f t="shared" si="4401"/>
        <v>458.99000000000007</v>
      </c>
      <c r="GT330" s="2">
        <f t="shared" si="4402"/>
        <v>0</v>
      </c>
      <c r="GU330" s="2">
        <f t="shared" si="4403"/>
        <v>2.8</v>
      </c>
      <c r="GV330" s="2">
        <f t="shared" si="4404"/>
        <v>0</v>
      </c>
      <c r="GW330" s="2">
        <f t="shared" si="4405"/>
        <v>0</v>
      </c>
      <c r="GX330" s="2"/>
      <c r="GY330" s="2"/>
      <c r="GZ330" s="2"/>
      <c r="HA330" s="2"/>
      <c r="HB330" s="2">
        <f t="shared" si="4406"/>
        <v>0</v>
      </c>
      <c r="HC330" s="2">
        <f t="shared" si="4407"/>
        <v>0</v>
      </c>
      <c r="HD330" s="2" t="s">
        <v>3</v>
      </c>
      <c r="HE330" s="2" t="s">
        <v>89</v>
      </c>
      <c r="HF330" s="2" t="s">
        <v>137</v>
      </c>
      <c r="HG330" s="2"/>
      <c r="HH330" s="2"/>
      <c r="HI330" s="2" t="s">
        <v>81</v>
      </c>
      <c r="HJ330" s="2" t="s">
        <v>3</v>
      </c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 t="s">
        <v>3</v>
      </c>
    </row>
    <row r="331" spans="1:268" ht="15.75" customHeight="1" x14ac:dyDescent="0.2">
      <c r="A331" s="16" t="s">
        <v>313</v>
      </c>
      <c r="B331" s="2" t="s">
        <v>120</v>
      </c>
      <c r="C331" s="2"/>
      <c r="D331" s="2"/>
      <c r="E331" s="2" t="s">
        <v>179</v>
      </c>
      <c r="F331" s="2" t="s">
        <v>314</v>
      </c>
      <c r="G331" s="2"/>
      <c r="H331" s="2" t="s">
        <v>181</v>
      </c>
      <c r="I331" s="2">
        <v>0</v>
      </c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>
        <f>0.382+0.091+0.103</f>
        <v>0.57599999999999996</v>
      </c>
      <c r="AE331" s="15">
        <f>(0.5*0.382+0.4*0.091+0.4*0.103)/AD331</f>
        <v>0.46631944444444451</v>
      </c>
      <c r="AF331" s="2"/>
      <c r="AG331" s="2"/>
      <c r="AH331" s="2"/>
      <c r="AI331" s="2"/>
      <c r="AJ331" s="2"/>
      <c r="AK331" s="2"/>
      <c r="AL331" s="15">
        <f>(1.4*0.382+1.7*0.091+1.1*0.103)/AD331</f>
        <v>1.39375</v>
      </c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>
        <f>0.021+0.004</f>
        <v>2.5000000000000001E-2</v>
      </c>
      <c r="AZ331" s="15">
        <f>(0.4*0.021+0.5*0.004)/AY331</f>
        <v>0.41600000000000004</v>
      </c>
      <c r="BA331" s="2"/>
      <c r="BB331" s="2"/>
      <c r="BC331" s="2"/>
      <c r="BD331" s="2"/>
      <c r="BE331" s="2"/>
      <c r="BF331" s="2"/>
      <c r="BG331" s="15">
        <f>(1.6*0.021+1.4*0.004)/AY331</f>
        <v>1.5680000000000001</v>
      </c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>
        <v>0</v>
      </c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>
        <v>0</v>
      </c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 t="s">
        <v>81</v>
      </c>
      <c r="DK331" s="2"/>
      <c r="DL331" s="2">
        <f t="shared" si="4367"/>
        <v>1.4009983361064893</v>
      </c>
      <c r="DM331" s="2">
        <f t="shared" si="4368"/>
        <v>0</v>
      </c>
      <c r="DN331" s="2" t="s">
        <v>175</v>
      </c>
      <c r="DO331" s="2" t="s">
        <v>3</v>
      </c>
      <c r="DP331" s="2">
        <f t="shared" si="4369"/>
        <v>2.7900000000000004E-3</v>
      </c>
      <c r="DQ331" s="2">
        <f t="shared" ref="DQ331:DR331" si="5540">K331*$I331+AF331*$AD331+BA331*$AY331</f>
        <v>0</v>
      </c>
      <c r="DR331" s="2">
        <f t="shared" si="5540"/>
        <v>0</v>
      </c>
      <c r="DS331" s="2">
        <f t="shared" ref="DS331:DX331" si="5541">(M331*$I331+AH331*$AD331+BC331*$AY331)/100</f>
        <v>0</v>
      </c>
      <c r="DT331" s="2">
        <f t="shared" si="5541"/>
        <v>0</v>
      </c>
      <c r="DU331" s="2">
        <f t="shared" si="5541"/>
        <v>0</v>
      </c>
      <c r="DV331" s="2">
        <f t="shared" si="5541"/>
        <v>0</v>
      </c>
      <c r="DW331" s="2">
        <f t="shared" si="5541"/>
        <v>8.4200000000000004E-3</v>
      </c>
      <c r="DX331" s="2">
        <f t="shared" si="5541"/>
        <v>0</v>
      </c>
      <c r="DY331" s="2">
        <f t="shared" ref="DY331:EC331" si="5542">S331*$I331+AN331*$AD331+BI331*$AY331</f>
        <v>0</v>
      </c>
      <c r="DZ331" s="2">
        <f t="shared" si="5542"/>
        <v>0</v>
      </c>
      <c r="EA331" s="2">
        <f t="shared" si="5542"/>
        <v>0</v>
      </c>
      <c r="EB331" s="2">
        <f t="shared" si="5542"/>
        <v>0</v>
      </c>
      <c r="EC331" s="2">
        <f t="shared" si="5542"/>
        <v>0</v>
      </c>
      <c r="ED331" s="2">
        <f t="shared" ref="ED331:EE331" si="5543">(X331*$I331+AS331*$AD331+BN331*$AY331)/100</f>
        <v>0</v>
      </c>
      <c r="EE331" s="2">
        <f t="shared" si="5543"/>
        <v>0</v>
      </c>
      <c r="EF331" s="2"/>
      <c r="EG331" s="2">
        <f t="shared" si="4374"/>
        <v>0</v>
      </c>
      <c r="EH331" s="2">
        <f t="shared" si="4375"/>
        <v>0</v>
      </c>
      <c r="EI331" s="39">
        <f t="shared" si="4376"/>
        <v>18.206468640000004</v>
      </c>
      <c r="EJ331" s="39">
        <f t="shared" ref="EJ331:EK331" si="5544">EJ$1*DQ331/1000000</f>
        <v>0</v>
      </c>
      <c r="EK331" s="39">
        <f t="shared" si="5544"/>
        <v>0</v>
      </c>
      <c r="EL331" s="39">
        <f t="shared" ref="EL331:EQ331" si="5545">EL$1*DS331</f>
        <v>0</v>
      </c>
      <c r="EM331" s="39">
        <f t="shared" si="5545"/>
        <v>0</v>
      </c>
      <c r="EN331" s="39">
        <f t="shared" si="5545"/>
        <v>0</v>
      </c>
      <c r="EO331" s="39">
        <f t="shared" si="5545"/>
        <v>0</v>
      </c>
      <c r="EP331" s="39">
        <f t="shared" si="5545"/>
        <v>110.41988000000001</v>
      </c>
      <c r="EQ331" s="39">
        <f t="shared" si="5545"/>
        <v>0</v>
      </c>
      <c r="ER331" s="39">
        <f t="shared" ref="ER331:EV331" si="5546">ER$1*DY331/1000000</f>
        <v>0</v>
      </c>
      <c r="ES331" s="39">
        <f t="shared" si="5546"/>
        <v>0</v>
      </c>
      <c r="ET331" s="39">
        <f t="shared" si="5546"/>
        <v>0</v>
      </c>
      <c r="EU331" s="39">
        <f t="shared" si="5546"/>
        <v>0</v>
      </c>
      <c r="EV331" s="39">
        <f t="shared" si="5546"/>
        <v>0</v>
      </c>
      <c r="EW331" s="39">
        <f t="shared" ref="EW331:EX331" si="5547">EW$1*ED331</f>
        <v>0</v>
      </c>
      <c r="EX331" s="39">
        <f t="shared" si="5547"/>
        <v>0</v>
      </c>
      <c r="EY331" s="2"/>
      <c r="EZ331" s="39">
        <f t="shared" si="4381"/>
        <v>0</v>
      </c>
      <c r="FA331" s="39">
        <f t="shared" si="4382"/>
        <v>0</v>
      </c>
      <c r="FB331" s="2">
        <f t="shared" si="4383"/>
        <v>0</v>
      </c>
      <c r="FC331" s="2">
        <f t="shared" ref="FC331:FD331" si="5548">BV331*$BT331+CQ331*$CO331</f>
        <v>0</v>
      </c>
      <c r="FD331" s="2">
        <f t="shared" si="5548"/>
        <v>0</v>
      </c>
      <c r="FE331" s="2">
        <f t="shared" ref="FE331:FJ331" si="5549">(BX331*$BT331+CS331*$CO331)/100</f>
        <v>0</v>
      </c>
      <c r="FF331" s="2">
        <f t="shared" si="5549"/>
        <v>0</v>
      </c>
      <c r="FG331" s="2">
        <f t="shared" si="5549"/>
        <v>0</v>
      </c>
      <c r="FH331" s="2">
        <f t="shared" si="5549"/>
        <v>0</v>
      </c>
      <c r="FI331" s="2">
        <f t="shared" si="5549"/>
        <v>0</v>
      </c>
      <c r="FJ331" s="2">
        <f t="shared" si="5549"/>
        <v>0</v>
      </c>
      <c r="FK331" s="2">
        <f t="shared" ref="FK331:FO331" si="5550">CD331*$BT331+CY331*$CO331</f>
        <v>0</v>
      </c>
      <c r="FL331" s="2">
        <f t="shared" si="5550"/>
        <v>0</v>
      </c>
      <c r="FM331" s="2">
        <f t="shared" si="5550"/>
        <v>0</v>
      </c>
      <c r="FN331" s="2">
        <f t="shared" si="5550"/>
        <v>0</v>
      </c>
      <c r="FO331" s="2">
        <f t="shared" si="5550"/>
        <v>0</v>
      </c>
      <c r="FP331" s="2">
        <f t="shared" ref="FP331:FQ331" si="5551">(CI331*$BT331+DD331*$CO331)/100</f>
        <v>0</v>
      </c>
      <c r="FQ331" s="2">
        <f t="shared" si="5551"/>
        <v>0</v>
      </c>
      <c r="FR331" s="2"/>
      <c r="FS331" s="2">
        <f t="shared" si="4388"/>
        <v>0</v>
      </c>
      <c r="FT331" s="2">
        <f t="shared" si="4389"/>
        <v>0</v>
      </c>
      <c r="FU331" s="39">
        <f t="shared" si="4390"/>
        <v>0</v>
      </c>
      <c r="FV331" s="39">
        <f t="shared" ref="FV331:FW331" si="5552">FV$1*FC331/1000000</f>
        <v>0</v>
      </c>
      <c r="FW331" s="39">
        <f t="shared" si="5552"/>
        <v>0</v>
      </c>
      <c r="FX331" s="39">
        <f t="shared" ref="FX331:GC331" si="5553">FX$1*FE331</f>
        <v>0</v>
      </c>
      <c r="FY331" s="39">
        <f t="shared" si="5553"/>
        <v>0</v>
      </c>
      <c r="FZ331" s="39">
        <f t="shared" si="5553"/>
        <v>0</v>
      </c>
      <c r="GA331" s="39">
        <f t="shared" si="5553"/>
        <v>0</v>
      </c>
      <c r="GB331" s="39">
        <f t="shared" si="5553"/>
        <v>0</v>
      </c>
      <c r="GC331" s="39">
        <f t="shared" si="5553"/>
        <v>0</v>
      </c>
      <c r="GD331" s="39">
        <f t="shared" ref="GD331:GH331" si="5554">GD$1*FK331/1000000</f>
        <v>0</v>
      </c>
      <c r="GE331" s="39">
        <f t="shared" si="5554"/>
        <v>0</v>
      </c>
      <c r="GF331" s="39">
        <f t="shared" si="5554"/>
        <v>0</v>
      </c>
      <c r="GG331" s="39">
        <f t="shared" si="5554"/>
        <v>0</v>
      </c>
      <c r="GH331" s="39">
        <f t="shared" si="5554"/>
        <v>0</v>
      </c>
      <c r="GI331" s="39">
        <f t="shared" ref="GI331:GJ331" si="5555">GI$1*FP331</f>
        <v>0</v>
      </c>
      <c r="GJ331" s="39">
        <f t="shared" si="5555"/>
        <v>0</v>
      </c>
      <c r="GK331" s="2"/>
      <c r="GL331" s="39">
        <f t="shared" si="4395"/>
        <v>0</v>
      </c>
      <c r="GM331" s="39">
        <f t="shared" si="4396"/>
        <v>0</v>
      </c>
      <c r="GN331" s="2" t="s">
        <v>3</v>
      </c>
      <c r="GO331" s="2">
        <f t="shared" si="4397"/>
        <v>0.60099999999999998</v>
      </c>
      <c r="GP331" s="4">
        <f t="shared" si="4398"/>
        <v>1.4009983361064893</v>
      </c>
      <c r="GQ331" s="15">
        <f t="shared" si="4399"/>
        <v>8.42</v>
      </c>
      <c r="GR331" s="15">
        <f t="shared" si="4400"/>
        <v>128.62634864</v>
      </c>
      <c r="GS331" s="15">
        <f t="shared" si="4401"/>
        <v>214.02054682196342</v>
      </c>
      <c r="GT331" s="2">
        <f t="shared" si="4402"/>
        <v>0</v>
      </c>
      <c r="GU331" s="2">
        <f t="shared" si="4403"/>
        <v>8.0279999999999987</v>
      </c>
      <c r="GV331" s="2">
        <f t="shared" si="4404"/>
        <v>0.39200000000000002</v>
      </c>
      <c r="GW331" s="2">
        <f t="shared" si="4405"/>
        <v>0</v>
      </c>
      <c r="GX331" s="2"/>
      <c r="GY331" s="2"/>
      <c r="GZ331" s="2"/>
      <c r="HA331" s="2"/>
      <c r="HB331" s="2">
        <f t="shared" si="4406"/>
        <v>0</v>
      </c>
      <c r="HC331" s="2">
        <f t="shared" si="4407"/>
        <v>0</v>
      </c>
      <c r="HD331" s="2" t="s">
        <v>3</v>
      </c>
      <c r="HE331" s="2" t="s">
        <v>89</v>
      </c>
      <c r="HF331" s="2" t="s">
        <v>137</v>
      </c>
      <c r="HG331" s="2"/>
      <c r="HH331" s="2"/>
      <c r="HI331" s="2" t="s">
        <v>81</v>
      </c>
      <c r="HJ331" s="2" t="s">
        <v>3</v>
      </c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 t="s">
        <v>3</v>
      </c>
    </row>
    <row r="332" spans="1:268" ht="15.75" customHeight="1" x14ac:dyDescent="0.2">
      <c r="A332" s="16" t="s">
        <v>134</v>
      </c>
      <c r="B332" s="2" t="s">
        <v>120</v>
      </c>
      <c r="C332" s="2"/>
      <c r="D332" s="2"/>
      <c r="E332" s="2"/>
      <c r="F332" s="2" t="s">
        <v>135</v>
      </c>
      <c r="G332" s="2"/>
      <c r="H332" s="2"/>
      <c r="I332" s="2">
        <v>0</v>
      </c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>
        <v>0.47299999999999998</v>
      </c>
      <c r="AE332" s="2">
        <v>0.04</v>
      </c>
      <c r="AF332" s="2">
        <v>0.01</v>
      </c>
      <c r="AG332" s="2"/>
      <c r="AH332" s="2"/>
      <c r="AI332" s="2"/>
      <c r="AJ332" s="2"/>
      <c r="AK332" s="2"/>
      <c r="AL332" s="2">
        <v>0.96</v>
      </c>
      <c r="AM332" s="2">
        <v>0.03</v>
      </c>
      <c r="AN332" s="2">
        <v>0.03</v>
      </c>
      <c r="AO332" s="2">
        <v>7.0000000000000007E-2</v>
      </c>
      <c r="AP332" s="2"/>
      <c r="AQ332" s="2"/>
      <c r="AR332" s="2"/>
      <c r="AS332" s="2"/>
      <c r="AT332" s="2"/>
      <c r="AU332" s="2"/>
      <c r="AV332" s="2"/>
      <c r="AW332" s="2"/>
      <c r="AX332" s="2"/>
      <c r="AY332" s="2">
        <v>6.6000000000000003E-2</v>
      </c>
      <c r="AZ332" s="2">
        <v>0.04</v>
      </c>
      <c r="BA332" s="2">
        <v>0.01</v>
      </c>
      <c r="BB332" s="2"/>
      <c r="BC332" s="2"/>
      <c r="BD332" s="2"/>
      <c r="BE332" s="2"/>
      <c r="BF332" s="2"/>
      <c r="BG332" s="2">
        <v>0.82</v>
      </c>
      <c r="BH332" s="2">
        <v>0.02</v>
      </c>
      <c r="BI332" s="2">
        <v>0.01</v>
      </c>
      <c r="BJ332" s="2">
        <v>0.02</v>
      </c>
      <c r="BK332" s="2"/>
      <c r="BL332" s="2"/>
      <c r="BM332" s="2"/>
      <c r="BN332" s="2"/>
      <c r="BO332" s="2"/>
      <c r="BP332" s="2"/>
      <c r="BQ332" s="2"/>
      <c r="BR332" s="2"/>
      <c r="BS332" s="2"/>
      <c r="BT332" s="2">
        <v>0</v>
      </c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>
        <v>0</v>
      </c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 t="s">
        <v>81</v>
      </c>
      <c r="DK332" s="2" t="s">
        <v>81</v>
      </c>
      <c r="DL332" s="2">
        <f t="shared" si="4367"/>
        <v>0.94285714285714295</v>
      </c>
      <c r="DM332" s="2">
        <f t="shared" si="4368"/>
        <v>2.8775510204081634E-2</v>
      </c>
      <c r="DN332" s="2" t="s">
        <v>136</v>
      </c>
      <c r="DO332" s="2" t="s">
        <v>3</v>
      </c>
      <c r="DP332" s="2">
        <f t="shared" si="4369"/>
        <v>2.1559999999999998E-4</v>
      </c>
      <c r="DQ332" s="2">
        <f t="shared" ref="DQ332:DR332" si="5556">K332*$I332+AF332*$AD332+BA332*$AY332</f>
        <v>5.3899999999999998E-3</v>
      </c>
      <c r="DR332" s="2">
        <f t="shared" si="5556"/>
        <v>0</v>
      </c>
      <c r="DS332" s="2">
        <f t="shared" ref="DS332:DX332" si="5557">(M332*$I332+AH332*$AD332+BC332*$AY332)/100</f>
        <v>0</v>
      </c>
      <c r="DT332" s="2">
        <f t="shared" si="5557"/>
        <v>0</v>
      </c>
      <c r="DU332" s="2">
        <f t="shared" si="5557"/>
        <v>0</v>
      </c>
      <c r="DV332" s="2">
        <f t="shared" si="5557"/>
        <v>0</v>
      </c>
      <c r="DW332" s="2">
        <f t="shared" si="5557"/>
        <v>5.0819999999999997E-3</v>
      </c>
      <c r="DX332" s="2">
        <f t="shared" si="5557"/>
        <v>1.551E-4</v>
      </c>
      <c r="DY332" s="2">
        <f t="shared" ref="DY332:EC332" si="5558">S332*$I332+AN332*$AD332+BI332*$AY332</f>
        <v>1.4849999999999999E-2</v>
      </c>
      <c r="DZ332" s="2">
        <f t="shared" si="5558"/>
        <v>3.4430000000000002E-2</v>
      </c>
      <c r="EA332" s="2">
        <f t="shared" si="5558"/>
        <v>0</v>
      </c>
      <c r="EB332" s="2">
        <f t="shared" si="5558"/>
        <v>0</v>
      </c>
      <c r="EC332" s="2">
        <f t="shared" si="5558"/>
        <v>0</v>
      </c>
      <c r="ED332" s="2">
        <f t="shared" ref="ED332:EE332" si="5559">(X332*$I332+AS332*$AD332+BN332*$AY332)/100</f>
        <v>0</v>
      </c>
      <c r="EE332" s="2">
        <f t="shared" si="5559"/>
        <v>0</v>
      </c>
      <c r="EF332" s="2"/>
      <c r="EG332" s="2">
        <f t="shared" si="4374"/>
        <v>0</v>
      </c>
      <c r="EH332" s="2">
        <f t="shared" si="4375"/>
        <v>0</v>
      </c>
      <c r="EI332" s="39">
        <f t="shared" si="4376"/>
        <v>1.4069228095999999</v>
      </c>
      <c r="EJ332" s="39">
        <f t="shared" ref="EJ332:EK332" si="5560">EJ$1*DQ332/1000000</f>
        <v>0.22045273311897101</v>
      </c>
      <c r="EK332" s="39">
        <f t="shared" si="5560"/>
        <v>0</v>
      </c>
      <c r="EL332" s="39">
        <f t="shared" ref="EL332:EQ332" si="5561">EL$1*DS332</f>
        <v>0</v>
      </c>
      <c r="EM332" s="39">
        <f t="shared" si="5561"/>
        <v>0</v>
      </c>
      <c r="EN332" s="39">
        <f t="shared" si="5561"/>
        <v>0</v>
      </c>
      <c r="EO332" s="39">
        <f t="shared" si="5561"/>
        <v>0</v>
      </c>
      <c r="EP332" s="39">
        <f t="shared" si="5561"/>
        <v>66.645347999999998</v>
      </c>
      <c r="EQ332" s="39">
        <f t="shared" si="5561"/>
        <v>11.263288172399999</v>
      </c>
      <c r="ER332" s="39">
        <f t="shared" ref="ER332:EV332" si="5562">ER$1*DY332/1000000</f>
        <v>0.42146305466237932</v>
      </c>
      <c r="ES332" s="39">
        <f t="shared" si="5562"/>
        <v>1.1474046591639873</v>
      </c>
      <c r="ET332" s="39">
        <f t="shared" si="5562"/>
        <v>0</v>
      </c>
      <c r="EU332" s="39">
        <f t="shared" si="5562"/>
        <v>0</v>
      </c>
      <c r="EV332" s="39">
        <f t="shared" si="5562"/>
        <v>0</v>
      </c>
      <c r="EW332" s="39">
        <f t="shared" ref="EW332:EX332" si="5563">EW$1*ED332</f>
        <v>0</v>
      </c>
      <c r="EX332" s="39">
        <f t="shared" si="5563"/>
        <v>0</v>
      </c>
      <c r="EY332" s="2"/>
      <c r="EZ332" s="39">
        <f t="shared" si="4381"/>
        <v>0</v>
      </c>
      <c r="FA332" s="39">
        <f t="shared" si="4382"/>
        <v>0</v>
      </c>
      <c r="FB332" s="2">
        <f t="shared" si="4383"/>
        <v>0</v>
      </c>
      <c r="FC332" s="2">
        <f t="shared" ref="FC332:FD332" si="5564">BV332*$BT332+CQ332*$CO332</f>
        <v>0</v>
      </c>
      <c r="FD332" s="2">
        <f t="shared" si="5564"/>
        <v>0</v>
      </c>
      <c r="FE332" s="2">
        <f t="shared" ref="FE332:FJ332" si="5565">(BX332*$BT332+CS332*$CO332)/100</f>
        <v>0</v>
      </c>
      <c r="FF332" s="2">
        <f t="shared" si="5565"/>
        <v>0</v>
      </c>
      <c r="FG332" s="2">
        <f t="shared" si="5565"/>
        <v>0</v>
      </c>
      <c r="FH332" s="2">
        <f t="shared" si="5565"/>
        <v>0</v>
      </c>
      <c r="FI332" s="2">
        <f t="shared" si="5565"/>
        <v>0</v>
      </c>
      <c r="FJ332" s="2">
        <f t="shared" si="5565"/>
        <v>0</v>
      </c>
      <c r="FK332" s="2">
        <f t="shared" ref="FK332:FO332" si="5566">CD332*$BT332+CY332*$CO332</f>
        <v>0</v>
      </c>
      <c r="FL332" s="2">
        <f t="shared" si="5566"/>
        <v>0</v>
      </c>
      <c r="FM332" s="2">
        <f t="shared" si="5566"/>
        <v>0</v>
      </c>
      <c r="FN332" s="2">
        <f t="shared" si="5566"/>
        <v>0</v>
      </c>
      <c r="FO332" s="2">
        <f t="shared" si="5566"/>
        <v>0</v>
      </c>
      <c r="FP332" s="2">
        <f t="shared" ref="FP332:FQ332" si="5567">(CI332*$BT332+DD332*$CO332)/100</f>
        <v>0</v>
      </c>
      <c r="FQ332" s="2">
        <f t="shared" si="5567"/>
        <v>0</v>
      </c>
      <c r="FR332" s="2"/>
      <c r="FS332" s="2">
        <f t="shared" si="4388"/>
        <v>0</v>
      </c>
      <c r="FT332" s="2">
        <f t="shared" si="4389"/>
        <v>0</v>
      </c>
      <c r="FU332" s="39">
        <f t="shared" si="4390"/>
        <v>0</v>
      </c>
      <c r="FV332" s="39">
        <f t="shared" ref="FV332:FW332" si="5568">FV$1*FC332/1000000</f>
        <v>0</v>
      </c>
      <c r="FW332" s="39">
        <f t="shared" si="5568"/>
        <v>0</v>
      </c>
      <c r="FX332" s="39">
        <f t="shared" ref="FX332:GC332" si="5569">FX$1*FE332</f>
        <v>0</v>
      </c>
      <c r="FY332" s="39">
        <f t="shared" si="5569"/>
        <v>0</v>
      </c>
      <c r="FZ332" s="39">
        <f t="shared" si="5569"/>
        <v>0</v>
      </c>
      <c r="GA332" s="39">
        <f t="shared" si="5569"/>
        <v>0</v>
      </c>
      <c r="GB332" s="39">
        <f t="shared" si="5569"/>
        <v>0</v>
      </c>
      <c r="GC332" s="39">
        <f t="shared" si="5569"/>
        <v>0</v>
      </c>
      <c r="GD332" s="39">
        <f t="shared" ref="GD332:GH332" si="5570">GD$1*FK332/1000000</f>
        <v>0</v>
      </c>
      <c r="GE332" s="39">
        <f t="shared" si="5570"/>
        <v>0</v>
      </c>
      <c r="GF332" s="39">
        <f t="shared" si="5570"/>
        <v>0</v>
      </c>
      <c r="GG332" s="39">
        <f t="shared" si="5570"/>
        <v>0</v>
      </c>
      <c r="GH332" s="39">
        <f t="shared" si="5570"/>
        <v>0</v>
      </c>
      <c r="GI332" s="39">
        <f t="shared" ref="GI332:GJ332" si="5571">GI$1*FP332</f>
        <v>0</v>
      </c>
      <c r="GJ332" s="39">
        <f t="shared" si="5571"/>
        <v>0</v>
      </c>
      <c r="GK332" s="2"/>
      <c r="GL332" s="39">
        <f t="shared" si="4395"/>
        <v>0</v>
      </c>
      <c r="GM332" s="39">
        <f t="shared" si="4396"/>
        <v>0</v>
      </c>
      <c r="GN332" s="2" t="s">
        <v>3</v>
      </c>
      <c r="GO332" s="2">
        <f t="shared" si="4397"/>
        <v>0.53899999999999992</v>
      </c>
      <c r="GP332" s="4">
        <f t="shared" si="4398"/>
        <v>0.94285714285714295</v>
      </c>
      <c r="GQ332" s="15">
        <f t="shared" si="4399"/>
        <v>5.081999999999999</v>
      </c>
      <c r="GR332" s="15">
        <f t="shared" si="4400"/>
        <v>81.104879428945324</v>
      </c>
      <c r="GS332" s="15">
        <f t="shared" si="4401"/>
        <v>150.47287463626222</v>
      </c>
      <c r="GT332" s="2">
        <f t="shared" si="4402"/>
        <v>0</v>
      </c>
      <c r="GU332" s="2">
        <f t="shared" si="4403"/>
        <v>4.5407999999999999</v>
      </c>
      <c r="GV332" s="2">
        <f t="shared" si="4404"/>
        <v>0.54120000000000001</v>
      </c>
      <c r="GW332" s="2">
        <f t="shared" si="4405"/>
        <v>0</v>
      </c>
      <c r="GX332" s="2"/>
      <c r="GY332" s="2"/>
      <c r="GZ332" s="2"/>
      <c r="HA332" s="2"/>
      <c r="HB332" s="2">
        <f t="shared" si="4406"/>
        <v>0</v>
      </c>
      <c r="HC332" s="2">
        <f t="shared" si="4407"/>
        <v>0</v>
      </c>
      <c r="HD332" s="2" t="s">
        <v>3</v>
      </c>
      <c r="HE332" s="2" t="s">
        <v>89</v>
      </c>
      <c r="HF332" s="2" t="s">
        <v>137</v>
      </c>
      <c r="HG332" s="2"/>
      <c r="HH332" s="2"/>
      <c r="HI332" s="2" t="s">
        <v>81</v>
      </c>
      <c r="HJ332" s="2" t="s">
        <v>3</v>
      </c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 t="s">
        <v>3</v>
      </c>
    </row>
    <row r="333" spans="1:268" ht="15.75" customHeight="1" x14ac:dyDescent="0.2">
      <c r="A333" s="16" t="s">
        <v>387</v>
      </c>
      <c r="B333" s="2" t="s">
        <v>99</v>
      </c>
      <c r="C333" s="2"/>
      <c r="D333" s="2"/>
      <c r="E333" s="2"/>
      <c r="F333" s="2" t="s">
        <v>388</v>
      </c>
      <c r="G333" s="2"/>
      <c r="H333" s="2"/>
      <c r="I333" s="15">
        <f>59.490559+145.379632</f>
        <v>204.87019099999998</v>
      </c>
      <c r="J333" s="2"/>
      <c r="K333" s="2"/>
      <c r="L333" s="2"/>
      <c r="M333" s="2"/>
      <c r="N333" s="2"/>
      <c r="O333" s="2"/>
      <c r="P333" s="2"/>
      <c r="Q333" s="4">
        <f>(0.31*59.490559+0.21*145.379632)/I333</f>
        <v>0.23903817227368132</v>
      </c>
      <c r="R333" s="19">
        <f>(0.013*59.490559+0.013*145.379632)/I333</f>
        <v>1.3000000000000001E-2</v>
      </c>
      <c r="S333" s="19">
        <f>(0.01*59.490559+0*145.379632)/I333</f>
        <v>2.9038172273681342E-3</v>
      </c>
      <c r="T333" s="19">
        <f>(0.026*59.490559+0*145.379632)/I333</f>
        <v>7.5499247911571489E-3</v>
      </c>
      <c r="U333" s="2"/>
      <c r="V333" s="2"/>
      <c r="W333" s="2"/>
      <c r="X333" s="2"/>
      <c r="Y333" s="4">
        <f>(6.37*59.490559+6.91*145.379632)/I333</f>
        <v>6.7531938697221205</v>
      </c>
      <c r="Z333" s="2"/>
      <c r="AA333" s="2"/>
      <c r="AB333" s="2"/>
      <c r="AC333" s="2"/>
      <c r="AD333" s="15">
        <f>203.350316+192.169547</f>
        <v>395.51986299999999</v>
      </c>
      <c r="AE333" s="2"/>
      <c r="AF333" s="2"/>
      <c r="AG333" s="2"/>
      <c r="AH333" s="2"/>
      <c r="AI333" s="2"/>
      <c r="AJ333" s="2"/>
      <c r="AK333" s="2"/>
      <c r="AL333" s="4">
        <f>(0.31*203.350316+0.21*192.169547)/AD333</f>
        <v>0.26141342699140246</v>
      </c>
      <c r="AM333" s="19">
        <f>(0.013*203.350316+0.013*192.169547)/AD333</f>
        <v>1.2999999999999999E-2</v>
      </c>
      <c r="AN333" s="19">
        <f>(0.011*203.350316+0*192.169547)/AD333</f>
        <v>5.6554769690542695E-3</v>
      </c>
      <c r="AO333" s="19">
        <f>(0.028*203.350316+0*192.169547)/AD333</f>
        <v>1.4395759557592687E-2</v>
      </c>
      <c r="AP333" s="2"/>
      <c r="AQ333" s="2"/>
      <c r="AR333" s="2"/>
      <c r="AS333" s="2"/>
      <c r="AT333" s="4">
        <f>(6.32*203.350316+6.86*192.169547)/AD333</f>
        <v>6.5823674942464274</v>
      </c>
      <c r="AU333" s="2"/>
      <c r="AV333" s="2"/>
      <c r="AW333" s="2"/>
      <c r="AX333" s="2"/>
      <c r="AY333" s="15">
        <f>66.385504+244.110758</f>
        <v>310.496262</v>
      </c>
      <c r="AZ333" s="2"/>
      <c r="BA333" s="2"/>
      <c r="BB333" s="2"/>
      <c r="BC333" s="2"/>
      <c r="BD333" s="2"/>
      <c r="BE333" s="2"/>
      <c r="BF333" s="2"/>
      <c r="BG333" s="4">
        <f>(0.29*66.385504+0.21*244.110758)/AY333</f>
        <v>0.22710436153334432</v>
      </c>
      <c r="BH333" s="19">
        <f>(0.013*66.385504+0.013*244.110758)/AY333</f>
        <v>1.2999999999999998E-2</v>
      </c>
      <c r="BI333" s="19">
        <f>(0.014*66.385504+0*244.110758)/AY333</f>
        <v>2.9932632683352563E-3</v>
      </c>
      <c r="BJ333" s="19">
        <f>(0.029*66.385504+0*244.110758)/AY333</f>
        <v>6.2003310558373164E-3</v>
      </c>
      <c r="BK333" s="2"/>
      <c r="BL333" s="2"/>
      <c r="BM333" s="2"/>
      <c r="BN333" s="2"/>
      <c r="BO333" s="4">
        <f>(6.46*66.385504+6.75*244.110758)/AY333</f>
        <v>6.6879966894416274</v>
      </c>
      <c r="BP333" s="2"/>
      <c r="BQ333" s="2"/>
      <c r="BR333" s="2"/>
      <c r="BS333" s="2"/>
      <c r="BT333" s="2">
        <v>0</v>
      </c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>
        <v>0</v>
      </c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 t="s">
        <v>81</v>
      </c>
      <c r="DK333" s="2" t="s">
        <v>81</v>
      </c>
      <c r="DL333" s="2">
        <f t="shared" si="4367"/>
        <v>0.24468591773202134</v>
      </c>
      <c r="DM333" s="2">
        <f t="shared" si="4368"/>
        <v>1.2999999999999999E-2</v>
      </c>
      <c r="DN333" s="2" t="s">
        <v>389</v>
      </c>
      <c r="DO333" s="2" t="s">
        <v>3</v>
      </c>
      <c r="DP333" s="2">
        <f t="shared" si="4369"/>
        <v>0</v>
      </c>
      <c r="DQ333" s="2">
        <f t="shared" ref="DQ333:DR333" si="5572">K333*$I333+AF333*$AD333+BA333*$AY333</f>
        <v>0</v>
      </c>
      <c r="DR333" s="2">
        <f t="shared" si="5572"/>
        <v>0</v>
      </c>
      <c r="DS333" s="2">
        <f t="shared" ref="DS333:DX333" si="5573">(M333*$I333+AH333*$AD333+BC333*$AY333)/100</f>
        <v>0</v>
      </c>
      <c r="DT333" s="2">
        <f t="shared" si="5573"/>
        <v>0</v>
      </c>
      <c r="DU333" s="2">
        <f t="shared" si="5573"/>
        <v>0</v>
      </c>
      <c r="DV333" s="2">
        <f t="shared" si="5573"/>
        <v>0</v>
      </c>
      <c r="DW333" s="2">
        <f t="shared" si="5573"/>
        <v>2.2288105417999997</v>
      </c>
      <c r="DX333" s="2">
        <f t="shared" si="5573"/>
        <v>0.11841522107999999</v>
      </c>
      <c r="DY333" s="2">
        <f t="shared" ref="DY333:EC333" si="5574">S333*$I333+AN333*$AD333+BI333*$AY333</f>
        <v>3.761156122</v>
      </c>
      <c r="DZ333" s="2">
        <f t="shared" si="5574"/>
        <v>9.1657429979999989</v>
      </c>
      <c r="EA333" s="2">
        <f t="shared" si="5574"/>
        <v>0</v>
      </c>
      <c r="EB333" s="2">
        <f t="shared" si="5574"/>
        <v>0</v>
      </c>
      <c r="EC333" s="2">
        <f t="shared" si="5574"/>
        <v>0</v>
      </c>
      <c r="ED333" s="2">
        <f t="shared" ref="ED333:EE333" si="5575">(X333*$I333+AS333*$AD333+BN333*$AY333)/100</f>
        <v>0</v>
      </c>
      <c r="EE333" s="2">
        <f t="shared" si="5575"/>
        <v>60.635831798300003</v>
      </c>
      <c r="EF333" s="2"/>
      <c r="EG333" s="2">
        <f t="shared" si="4374"/>
        <v>0</v>
      </c>
      <c r="EH333" s="2">
        <f t="shared" si="4375"/>
        <v>0</v>
      </c>
      <c r="EI333" s="39">
        <f t="shared" si="4376"/>
        <v>0</v>
      </c>
      <c r="EJ333" s="39">
        <f t="shared" ref="EJ333:EK333" si="5576">EJ$1*DQ333/1000000</f>
        <v>0</v>
      </c>
      <c r="EK333" s="39">
        <f t="shared" si="5576"/>
        <v>0</v>
      </c>
      <c r="EL333" s="39">
        <f t="shared" ref="EL333:EQ333" si="5577">EL$1*DS333</f>
        <v>0</v>
      </c>
      <c r="EM333" s="39">
        <f t="shared" si="5577"/>
        <v>0</v>
      </c>
      <c r="EN333" s="39">
        <f t="shared" si="5577"/>
        <v>0</v>
      </c>
      <c r="EO333" s="39">
        <f t="shared" si="5577"/>
        <v>0</v>
      </c>
      <c r="EP333" s="39">
        <f t="shared" si="5577"/>
        <v>29228.621445165198</v>
      </c>
      <c r="EQ333" s="39">
        <f t="shared" si="5577"/>
        <v>8599.256989184365</v>
      </c>
      <c r="ER333" s="39">
        <f t="shared" ref="ER333:EV333" si="5578">ER$1*DY333/1000000</f>
        <v>106.74669011718713</v>
      </c>
      <c r="ES333" s="39">
        <f t="shared" si="5578"/>
        <v>305.45501657289839</v>
      </c>
      <c r="ET333" s="39">
        <f t="shared" si="5578"/>
        <v>0</v>
      </c>
      <c r="EU333" s="39">
        <f t="shared" si="5578"/>
        <v>0</v>
      </c>
      <c r="EV333" s="39">
        <f t="shared" si="5578"/>
        <v>0</v>
      </c>
      <c r="EW333" s="39">
        <f t="shared" ref="EW333:EX333" si="5579">EW$1*ED333</f>
        <v>0</v>
      </c>
      <c r="EX333" s="39">
        <f t="shared" si="5579"/>
        <v>5639.1323572419005</v>
      </c>
      <c r="EY333" s="2"/>
      <c r="EZ333" s="39">
        <f t="shared" si="4381"/>
        <v>0</v>
      </c>
      <c r="FA333" s="39">
        <f t="shared" si="4382"/>
        <v>0</v>
      </c>
      <c r="FB333" s="2">
        <f t="shared" si="4383"/>
        <v>0</v>
      </c>
      <c r="FC333" s="2">
        <f t="shared" ref="FC333:FD333" si="5580">BV333*$BT333+CQ333*$CO333</f>
        <v>0</v>
      </c>
      <c r="FD333" s="2">
        <f t="shared" si="5580"/>
        <v>0</v>
      </c>
      <c r="FE333" s="2">
        <f t="shared" ref="FE333:FJ333" si="5581">(BX333*$BT333+CS333*$CO333)/100</f>
        <v>0</v>
      </c>
      <c r="FF333" s="2">
        <f t="shared" si="5581"/>
        <v>0</v>
      </c>
      <c r="FG333" s="2">
        <f t="shared" si="5581"/>
        <v>0</v>
      </c>
      <c r="FH333" s="2">
        <f t="shared" si="5581"/>
        <v>0</v>
      </c>
      <c r="FI333" s="2">
        <f t="shared" si="5581"/>
        <v>0</v>
      </c>
      <c r="FJ333" s="2">
        <f t="shared" si="5581"/>
        <v>0</v>
      </c>
      <c r="FK333" s="2">
        <f t="shared" ref="FK333:FO333" si="5582">CD333*$BT333+CY333*$CO333</f>
        <v>0</v>
      </c>
      <c r="FL333" s="2">
        <f t="shared" si="5582"/>
        <v>0</v>
      </c>
      <c r="FM333" s="2">
        <f t="shared" si="5582"/>
        <v>0</v>
      </c>
      <c r="FN333" s="2">
        <f t="shared" si="5582"/>
        <v>0</v>
      </c>
      <c r="FO333" s="2">
        <f t="shared" si="5582"/>
        <v>0</v>
      </c>
      <c r="FP333" s="2">
        <f t="shared" ref="FP333:FQ333" si="5583">(CI333*$BT333+DD333*$CO333)/100</f>
        <v>0</v>
      </c>
      <c r="FQ333" s="2">
        <f t="shared" si="5583"/>
        <v>0</v>
      </c>
      <c r="FR333" s="2"/>
      <c r="FS333" s="2">
        <f t="shared" si="4388"/>
        <v>0</v>
      </c>
      <c r="FT333" s="2">
        <f t="shared" si="4389"/>
        <v>0</v>
      </c>
      <c r="FU333" s="39">
        <f t="shared" si="4390"/>
        <v>0</v>
      </c>
      <c r="FV333" s="39">
        <f t="shared" ref="FV333:FW333" si="5584">FV$1*FC333/1000000</f>
        <v>0</v>
      </c>
      <c r="FW333" s="39">
        <f t="shared" si="5584"/>
        <v>0</v>
      </c>
      <c r="FX333" s="39">
        <f t="shared" ref="FX333:GC333" si="5585">FX$1*FE333</f>
        <v>0</v>
      </c>
      <c r="FY333" s="39">
        <f t="shared" si="5585"/>
        <v>0</v>
      </c>
      <c r="FZ333" s="39">
        <f t="shared" si="5585"/>
        <v>0</v>
      </c>
      <c r="GA333" s="39">
        <f t="shared" si="5585"/>
        <v>0</v>
      </c>
      <c r="GB333" s="39">
        <f t="shared" si="5585"/>
        <v>0</v>
      </c>
      <c r="GC333" s="39">
        <f t="shared" si="5585"/>
        <v>0</v>
      </c>
      <c r="GD333" s="39">
        <f t="shared" ref="GD333:GH333" si="5586">GD$1*FK333/1000000</f>
        <v>0</v>
      </c>
      <c r="GE333" s="39">
        <f t="shared" si="5586"/>
        <v>0</v>
      </c>
      <c r="GF333" s="39">
        <f t="shared" si="5586"/>
        <v>0</v>
      </c>
      <c r="GG333" s="39">
        <f t="shared" si="5586"/>
        <v>0</v>
      </c>
      <c r="GH333" s="39">
        <f t="shared" si="5586"/>
        <v>0</v>
      </c>
      <c r="GI333" s="39">
        <f t="shared" ref="GI333:GJ333" si="5587">GI$1*FP333</f>
        <v>0</v>
      </c>
      <c r="GJ333" s="39">
        <f t="shared" si="5587"/>
        <v>0</v>
      </c>
      <c r="GK333" s="2"/>
      <c r="GL333" s="39">
        <f t="shared" si="4395"/>
        <v>0</v>
      </c>
      <c r="GM333" s="39">
        <f t="shared" si="4396"/>
        <v>0</v>
      </c>
      <c r="GN333" s="2" t="s">
        <v>3</v>
      </c>
      <c r="GO333" s="15">
        <f t="shared" si="4397"/>
        <v>910.88631599999997</v>
      </c>
      <c r="GP333" s="4">
        <f t="shared" si="4398"/>
        <v>0.24468591773202134</v>
      </c>
      <c r="GQ333" s="18">
        <f t="shared" si="4399"/>
        <v>2228.8105417999996</v>
      </c>
      <c r="GR333" s="15">
        <f t="shared" si="4400"/>
        <v>43879.212498281551</v>
      </c>
      <c r="GS333" s="15">
        <f t="shared" si="4401"/>
        <v>48.171996579078652</v>
      </c>
      <c r="GT333" s="2">
        <f t="shared" si="4402"/>
        <v>489.71796009999991</v>
      </c>
      <c r="GU333" s="2">
        <f t="shared" si="4403"/>
        <v>1033.9420282999999</v>
      </c>
      <c r="GV333" s="2">
        <f t="shared" si="4404"/>
        <v>705.15055340000004</v>
      </c>
      <c r="GW333" s="2">
        <f t="shared" si="4405"/>
        <v>0</v>
      </c>
      <c r="GX333" s="2"/>
      <c r="GY333" s="2"/>
      <c r="GZ333" s="2"/>
      <c r="HA333" s="2"/>
      <c r="HB333" s="2">
        <f t="shared" si="4406"/>
        <v>0</v>
      </c>
      <c r="HC333" s="2">
        <f t="shared" si="4407"/>
        <v>0</v>
      </c>
      <c r="HD333" s="2" t="s">
        <v>3</v>
      </c>
      <c r="HE333" s="2" t="s">
        <v>89</v>
      </c>
      <c r="HF333" s="2" t="s">
        <v>137</v>
      </c>
      <c r="HG333" s="2"/>
      <c r="HH333" s="2"/>
      <c r="HI333" s="2" t="s">
        <v>81</v>
      </c>
      <c r="HJ333" s="2" t="s">
        <v>3</v>
      </c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 t="s">
        <v>3</v>
      </c>
    </row>
    <row r="334" spans="1:268" ht="15.75" customHeight="1" x14ac:dyDescent="0.2">
      <c r="A334" s="16" t="s">
        <v>427</v>
      </c>
      <c r="B334" s="2" t="s">
        <v>99</v>
      </c>
      <c r="C334" s="2"/>
      <c r="D334" s="2"/>
      <c r="E334" s="2"/>
      <c r="F334" s="2" t="s">
        <v>428</v>
      </c>
      <c r="G334" s="2"/>
      <c r="H334" s="2"/>
      <c r="I334" s="2">
        <v>372.1</v>
      </c>
      <c r="J334" s="2"/>
      <c r="K334" s="2"/>
      <c r="L334" s="2"/>
      <c r="M334" s="2"/>
      <c r="N334" s="2"/>
      <c r="O334" s="2"/>
      <c r="P334" s="2"/>
      <c r="Q334" s="2">
        <v>0.28000000000000003</v>
      </c>
      <c r="R334" s="19">
        <v>1.12E-2</v>
      </c>
      <c r="S334" s="2">
        <v>1.0999999999999999E-2</v>
      </c>
      <c r="T334" s="2">
        <v>2.4E-2</v>
      </c>
      <c r="U334" s="2"/>
      <c r="V334" s="2"/>
      <c r="W334" s="2"/>
      <c r="X334" s="2"/>
      <c r="Y334" s="2"/>
      <c r="Z334" s="2"/>
      <c r="AA334" s="2"/>
      <c r="AB334" s="2"/>
      <c r="AC334" s="2"/>
      <c r="AD334" s="3">
        <v>1293.5</v>
      </c>
      <c r="AE334" s="2"/>
      <c r="AF334" s="2"/>
      <c r="AG334" s="2"/>
      <c r="AH334" s="2"/>
      <c r="AI334" s="2"/>
      <c r="AJ334" s="2"/>
      <c r="AK334" s="2"/>
      <c r="AL334" s="2">
        <v>0.26</v>
      </c>
      <c r="AM334" s="19">
        <v>1.06E-2</v>
      </c>
      <c r="AN334" s="2">
        <v>8.0000000000000002E-3</v>
      </c>
      <c r="AO334" s="2">
        <v>1.7000000000000001E-2</v>
      </c>
      <c r="AP334" s="2"/>
      <c r="AQ334" s="2"/>
      <c r="AR334" s="2"/>
      <c r="AS334" s="2"/>
      <c r="AT334" s="2"/>
      <c r="AU334" s="2"/>
      <c r="AV334" s="2"/>
      <c r="AW334" s="2"/>
      <c r="AX334" s="2"/>
      <c r="AY334" s="2">
        <v>499.8</v>
      </c>
      <c r="AZ334" s="2"/>
      <c r="BA334" s="2"/>
      <c r="BB334" s="2"/>
      <c r="BC334" s="2"/>
      <c r="BD334" s="2"/>
      <c r="BE334" s="2"/>
      <c r="BF334" s="2"/>
      <c r="BG334" s="2">
        <v>0.26</v>
      </c>
      <c r="BH334" s="19">
        <v>1.01E-2</v>
      </c>
      <c r="BI334" s="2">
        <v>6.0000000000000001E-3</v>
      </c>
      <c r="BJ334" s="2">
        <v>1.4E-2</v>
      </c>
      <c r="BK334" s="2"/>
      <c r="BL334" s="2"/>
      <c r="BM334" s="2"/>
      <c r="BN334" s="2"/>
      <c r="BO334" s="2"/>
      <c r="BP334" s="2"/>
      <c r="BQ334" s="2"/>
      <c r="BR334" s="2"/>
      <c r="BS334" s="2"/>
      <c r="BT334" s="2">
        <v>163.13999999999999</v>
      </c>
      <c r="BU334" s="2"/>
      <c r="BV334" s="2"/>
      <c r="BW334" s="2"/>
      <c r="BX334" s="2"/>
      <c r="BY334" s="2"/>
      <c r="BZ334" s="2"/>
      <c r="CA334" s="2"/>
      <c r="CB334" s="2">
        <v>0.33</v>
      </c>
      <c r="CC334" s="19">
        <v>1.14E-2</v>
      </c>
      <c r="CD334" s="2">
        <v>1.2999999999999999E-2</v>
      </c>
      <c r="CE334" s="2">
        <v>3.1E-2</v>
      </c>
      <c r="CF334" s="2"/>
      <c r="CG334" s="2"/>
      <c r="CH334" s="2"/>
      <c r="CI334" s="2"/>
      <c r="CJ334" s="2"/>
      <c r="CK334" s="2"/>
      <c r="CL334" s="2"/>
      <c r="CM334" s="2"/>
      <c r="CN334" s="2"/>
      <c r="CO334" s="15">
        <v>864.90800000000002</v>
      </c>
      <c r="CP334" s="2"/>
      <c r="CQ334" s="2"/>
      <c r="CR334" s="2"/>
      <c r="CS334" s="2"/>
      <c r="CT334" s="2"/>
      <c r="CU334" s="2"/>
      <c r="CV334" s="2"/>
      <c r="CW334" s="2">
        <v>0.26</v>
      </c>
      <c r="CX334" s="19">
        <v>1.06E-2</v>
      </c>
      <c r="CY334" s="2">
        <v>8.0000000000000002E-3</v>
      </c>
      <c r="CZ334" s="2">
        <v>1.7000000000000001E-2</v>
      </c>
      <c r="DA334" s="2"/>
      <c r="DB334" s="2"/>
      <c r="DC334" s="2"/>
      <c r="DD334" s="2"/>
      <c r="DE334" s="2"/>
      <c r="DF334" s="2"/>
      <c r="DG334" s="2"/>
      <c r="DH334" s="2"/>
      <c r="DI334" s="2"/>
      <c r="DJ334" s="2" t="s">
        <v>81</v>
      </c>
      <c r="DK334" s="2" t="s">
        <v>81</v>
      </c>
      <c r="DL334" s="2">
        <f t="shared" si="4367"/>
        <v>0.26343677842430957</v>
      </c>
      <c r="DM334" s="2">
        <f t="shared" si="4368"/>
        <v>1.0587697423108893E-2</v>
      </c>
      <c r="DN334" s="2" t="s">
        <v>349</v>
      </c>
      <c r="DO334" s="2" t="s">
        <v>3</v>
      </c>
      <c r="DP334" s="2">
        <f t="shared" si="4369"/>
        <v>0</v>
      </c>
      <c r="DQ334" s="2">
        <f t="shared" ref="DQ334:DR334" si="5588">K334*$I334+AF334*$AD334+BA334*$AY334</f>
        <v>0</v>
      </c>
      <c r="DR334" s="2">
        <f t="shared" si="5588"/>
        <v>0</v>
      </c>
      <c r="DS334" s="2">
        <f t="shared" ref="DS334:DX334" si="5589">(M334*$I334+AH334*$AD334+BC334*$AY334)/100</f>
        <v>0</v>
      </c>
      <c r="DT334" s="2">
        <f t="shared" si="5589"/>
        <v>0</v>
      </c>
      <c r="DU334" s="2">
        <f t="shared" si="5589"/>
        <v>0</v>
      </c>
      <c r="DV334" s="2">
        <f t="shared" si="5589"/>
        <v>0</v>
      </c>
      <c r="DW334" s="2">
        <f t="shared" si="5589"/>
        <v>5.7044600000000001</v>
      </c>
      <c r="DX334" s="2">
        <f t="shared" si="5589"/>
        <v>0.229266</v>
      </c>
      <c r="DY334" s="2">
        <f t="shared" ref="DY334:EC334" si="5590">S334*$I334+AN334*$AD334+BI334*$AY334</f>
        <v>17.439900000000002</v>
      </c>
      <c r="DZ334" s="2">
        <f t="shared" si="5590"/>
        <v>37.917100000000005</v>
      </c>
      <c r="EA334" s="2">
        <f t="shared" si="5590"/>
        <v>0</v>
      </c>
      <c r="EB334" s="2">
        <f t="shared" si="5590"/>
        <v>0</v>
      </c>
      <c r="EC334" s="2">
        <f t="shared" si="5590"/>
        <v>0</v>
      </c>
      <c r="ED334" s="2">
        <f t="shared" ref="ED334:EE334" si="5591">(X334*$I334+AS334*$AD334+BN334*$AY334)/100</f>
        <v>0</v>
      </c>
      <c r="EE334" s="2">
        <f t="shared" si="5591"/>
        <v>0</v>
      </c>
      <c r="EF334" s="2"/>
      <c r="EG334" s="2">
        <f t="shared" si="4374"/>
        <v>0</v>
      </c>
      <c r="EH334" s="2">
        <f t="shared" si="4375"/>
        <v>0</v>
      </c>
      <c r="EI334" s="39">
        <f t="shared" si="4376"/>
        <v>0</v>
      </c>
      <c r="EJ334" s="39">
        <f t="shared" ref="EJ334:EK334" si="5592">EJ$1*DQ334/1000000</f>
        <v>0</v>
      </c>
      <c r="EK334" s="39">
        <f t="shared" si="5592"/>
        <v>0</v>
      </c>
      <c r="EL334" s="39">
        <f t="shared" ref="EL334:EQ334" si="5593">EL$1*DS334</f>
        <v>0</v>
      </c>
      <c r="EM334" s="39">
        <f t="shared" si="5593"/>
        <v>0</v>
      </c>
      <c r="EN334" s="39">
        <f t="shared" si="5593"/>
        <v>0</v>
      </c>
      <c r="EO334" s="39">
        <f t="shared" si="5593"/>
        <v>0</v>
      </c>
      <c r="EP334" s="39">
        <f t="shared" si="5593"/>
        <v>74808.288440000004</v>
      </c>
      <c r="EQ334" s="39">
        <f t="shared" si="5593"/>
        <v>16649.187789383999</v>
      </c>
      <c r="ER334" s="39">
        <f t="shared" ref="ER334:EV334" si="5594">ER$1*DY334/1000000</f>
        <v>494.96791427652727</v>
      </c>
      <c r="ES334" s="39">
        <f t="shared" si="5594"/>
        <v>1263.6147894855308</v>
      </c>
      <c r="ET334" s="39">
        <f t="shared" si="5594"/>
        <v>0</v>
      </c>
      <c r="EU334" s="39">
        <f t="shared" si="5594"/>
        <v>0</v>
      </c>
      <c r="EV334" s="39">
        <f t="shared" si="5594"/>
        <v>0</v>
      </c>
      <c r="EW334" s="39">
        <f t="shared" ref="EW334:EX334" si="5595">EW$1*ED334</f>
        <v>0</v>
      </c>
      <c r="EX334" s="39">
        <f t="shared" si="5595"/>
        <v>0</v>
      </c>
      <c r="EY334" s="2"/>
      <c r="EZ334" s="39">
        <f t="shared" si="4381"/>
        <v>0</v>
      </c>
      <c r="FA334" s="39">
        <f t="shared" si="4382"/>
        <v>0</v>
      </c>
      <c r="FB334" s="2">
        <f t="shared" si="4383"/>
        <v>0</v>
      </c>
      <c r="FC334" s="2">
        <f t="shared" ref="FC334:FD334" si="5596">BV334*$BT334+CQ334*$CO334</f>
        <v>0</v>
      </c>
      <c r="FD334" s="2">
        <f t="shared" si="5596"/>
        <v>0</v>
      </c>
      <c r="FE334" s="2">
        <f t="shared" ref="FE334:FJ334" si="5597">(BX334*$BT334+CS334*$CO334)/100</f>
        <v>0</v>
      </c>
      <c r="FF334" s="2">
        <f t="shared" si="5597"/>
        <v>0</v>
      </c>
      <c r="FG334" s="2">
        <f t="shared" si="5597"/>
        <v>0</v>
      </c>
      <c r="FH334" s="2">
        <f t="shared" si="5597"/>
        <v>0</v>
      </c>
      <c r="FI334" s="2">
        <f t="shared" si="5597"/>
        <v>2.7871228000000001</v>
      </c>
      <c r="FJ334" s="2">
        <f t="shared" si="5597"/>
        <v>0.11027820799999999</v>
      </c>
      <c r="FK334" s="2">
        <f t="shared" ref="FK334:FO334" si="5598">CD334*$BT334+CY334*$CO334</f>
        <v>9.0400840000000002</v>
      </c>
      <c r="FL334" s="2">
        <f t="shared" si="5598"/>
        <v>19.760776</v>
      </c>
      <c r="FM334" s="2">
        <f t="shared" si="5598"/>
        <v>0</v>
      </c>
      <c r="FN334" s="2">
        <f t="shared" si="5598"/>
        <v>0</v>
      </c>
      <c r="FO334" s="2">
        <f t="shared" si="5598"/>
        <v>0</v>
      </c>
      <c r="FP334" s="2">
        <f t="shared" ref="FP334:FQ334" si="5599">(CI334*$BT334+DD334*$CO334)/100</f>
        <v>0</v>
      </c>
      <c r="FQ334" s="2">
        <f t="shared" si="5599"/>
        <v>0</v>
      </c>
      <c r="FR334" s="2"/>
      <c r="FS334" s="2">
        <f t="shared" si="4388"/>
        <v>0</v>
      </c>
      <c r="FT334" s="2">
        <f t="shared" si="4389"/>
        <v>0</v>
      </c>
      <c r="FU334" s="39">
        <f t="shared" si="4390"/>
        <v>0</v>
      </c>
      <c r="FV334" s="39">
        <f t="shared" ref="FV334:FW334" si="5600">FV$1*FC334/1000000</f>
        <v>0</v>
      </c>
      <c r="FW334" s="39">
        <f t="shared" si="5600"/>
        <v>0</v>
      </c>
      <c r="FX334" s="39">
        <f t="shared" ref="FX334:GC334" si="5601">FX$1*FE334</f>
        <v>0</v>
      </c>
      <c r="FY334" s="39">
        <f t="shared" si="5601"/>
        <v>0</v>
      </c>
      <c r="FZ334" s="39">
        <f t="shared" si="5601"/>
        <v>0</v>
      </c>
      <c r="GA334" s="39">
        <f t="shared" si="5601"/>
        <v>0</v>
      </c>
      <c r="GB334" s="39">
        <f t="shared" si="5601"/>
        <v>36550.3283992</v>
      </c>
      <c r="GC334" s="39">
        <f t="shared" si="5601"/>
        <v>8008.3509725329905</v>
      </c>
      <c r="GD334" s="39">
        <f t="shared" ref="GD334:GH334" si="5602">GD$1*FK334/1000000</f>
        <v>256.56979239356912</v>
      </c>
      <c r="GE334" s="39">
        <f t="shared" si="5602"/>
        <v>658.54215658135058</v>
      </c>
      <c r="GF334" s="39">
        <f t="shared" si="5602"/>
        <v>0</v>
      </c>
      <c r="GG334" s="39">
        <f t="shared" si="5602"/>
        <v>0</v>
      </c>
      <c r="GH334" s="39">
        <f t="shared" si="5602"/>
        <v>0</v>
      </c>
      <c r="GI334" s="39">
        <f t="shared" ref="GI334:GJ334" si="5603">GI$1*FP334</f>
        <v>0</v>
      </c>
      <c r="GJ334" s="39">
        <f t="shared" si="5603"/>
        <v>0</v>
      </c>
      <c r="GK334" s="2"/>
      <c r="GL334" s="39">
        <f t="shared" si="4395"/>
        <v>0</v>
      </c>
      <c r="GM334" s="39">
        <f t="shared" si="4396"/>
        <v>0</v>
      </c>
      <c r="GN334" s="2" t="s">
        <v>3</v>
      </c>
      <c r="GO334" s="3">
        <f t="shared" si="4397"/>
        <v>2165.4</v>
      </c>
      <c r="GP334" s="4">
        <f t="shared" si="4398"/>
        <v>0.26343677842430957</v>
      </c>
      <c r="GQ334" s="18">
        <f t="shared" si="4399"/>
        <v>5704.46</v>
      </c>
      <c r="GR334" s="15">
        <f t="shared" si="4400"/>
        <v>93216.058933146051</v>
      </c>
      <c r="GS334" s="15">
        <f t="shared" si="4401"/>
        <v>43.047962932089241</v>
      </c>
      <c r="GT334" s="2">
        <f t="shared" si="4402"/>
        <v>1041.8800000000001</v>
      </c>
      <c r="GU334" s="2">
        <f t="shared" si="4403"/>
        <v>3363.1</v>
      </c>
      <c r="GV334" s="2">
        <f t="shared" si="4404"/>
        <v>1299.4800000000002</v>
      </c>
      <c r="GW334" s="3">
        <f t="shared" si="4405"/>
        <v>1028.048</v>
      </c>
      <c r="GX334" s="4">
        <f>(BT334*CB334+CO334*CW334)/GW334</f>
        <v>0.27110823619130625</v>
      </c>
      <c r="GY334" s="18">
        <f>1000*GW334*GX334/100</f>
        <v>2787.1228000000001</v>
      </c>
      <c r="GZ334" s="15">
        <f>SUM(FU334:GM334)</f>
        <v>45473.791320707911</v>
      </c>
      <c r="HA334" s="15">
        <f>GZ334/GW334</f>
        <v>44.233140204258859</v>
      </c>
      <c r="HB334" s="2">
        <f t="shared" si="4406"/>
        <v>538.36199999999997</v>
      </c>
      <c r="HC334" s="2">
        <f t="shared" si="4407"/>
        <v>2248.7608</v>
      </c>
      <c r="HD334" s="2" t="s">
        <v>3</v>
      </c>
      <c r="HE334" s="2" t="s">
        <v>89</v>
      </c>
      <c r="HF334" s="2" t="s">
        <v>137</v>
      </c>
      <c r="HG334" s="2"/>
      <c r="HH334" s="2"/>
      <c r="HI334" s="2" t="s">
        <v>81</v>
      </c>
      <c r="HJ334" s="2" t="s">
        <v>3</v>
      </c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 t="s">
        <v>3</v>
      </c>
    </row>
    <row r="335" spans="1:268" ht="15.75" customHeight="1" x14ac:dyDescent="0.2">
      <c r="A335" s="16" t="s">
        <v>429</v>
      </c>
      <c r="B335" s="2" t="s">
        <v>99</v>
      </c>
      <c r="C335" s="2"/>
      <c r="D335" s="2"/>
      <c r="E335" s="2"/>
      <c r="F335" s="2" t="s">
        <v>430</v>
      </c>
      <c r="G335" s="2"/>
      <c r="H335" s="2"/>
      <c r="I335" s="2">
        <v>0</v>
      </c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>
        <v>0</v>
      </c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>
        <v>0.11600000000000001</v>
      </c>
      <c r="AZ335" s="2"/>
      <c r="BA335" s="2"/>
      <c r="BB335" s="2"/>
      <c r="BC335" s="2"/>
      <c r="BD335" s="2"/>
      <c r="BE335" s="2"/>
      <c r="BF335" s="2"/>
      <c r="BG335" s="2">
        <v>3.16</v>
      </c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>
        <v>0</v>
      </c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>
        <v>0</v>
      </c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 t="s">
        <v>81</v>
      </c>
      <c r="DK335" s="2" t="s">
        <v>81</v>
      </c>
      <c r="DL335" s="2">
        <f t="shared" si="4367"/>
        <v>3.16</v>
      </c>
      <c r="DM335" s="2">
        <f t="shared" si="4368"/>
        <v>0</v>
      </c>
      <c r="DN335" s="2" t="s">
        <v>431</v>
      </c>
      <c r="DO335" s="2" t="s">
        <v>3</v>
      </c>
      <c r="DP335" s="2">
        <f t="shared" si="4369"/>
        <v>0</v>
      </c>
      <c r="DQ335" s="2">
        <f t="shared" ref="DQ335:DR335" si="5604">K335*$I335+AF335*$AD335+BA335*$AY335</f>
        <v>0</v>
      </c>
      <c r="DR335" s="2">
        <f t="shared" si="5604"/>
        <v>0</v>
      </c>
      <c r="DS335" s="2">
        <f t="shared" ref="DS335:DX335" si="5605">(M335*$I335+AH335*$AD335+BC335*$AY335)/100</f>
        <v>0</v>
      </c>
      <c r="DT335" s="2">
        <f t="shared" si="5605"/>
        <v>0</v>
      </c>
      <c r="DU335" s="2">
        <f t="shared" si="5605"/>
        <v>0</v>
      </c>
      <c r="DV335" s="2">
        <f t="shared" si="5605"/>
        <v>0</v>
      </c>
      <c r="DW335" s="2">
        <f t="shared" si="5605"/>
        <v>3.6656000000000006E-3</v>
      </c>
      <c r="DX335" s="2">
        <f t="shared" si="5605"/>
        <v>0</v>
      </c>
      <c r="DY335" s="2">
        <f t="shared" ref="DY335:EC335" si="5606">S335*$I335+AN335*$AD335+BI335*$AY335</f>
        <v>0</v>
      </c>
      <c r="DZ335" s="2">
        <f t="shared" si="5606"/>
        <v>0</v>
      </c>
      <c r="EA335" s="2">
        <f t="shared" si="5606"/>
        <v>0</v>
      </c>
      <c r="EB335" s="2">
        <f t="shared" si="5606"/>
        <v>0</v>
      </c>
      <c r="EC335" s="2">
        <f t="shared" si="5606"/>
        <v>0</v>
      </c>
      <c r="ED335" s="2">
        <f t="shared" ref="ED335:EE335" si="5607">(X335*$I335+AS335*$AD335+BN335*$AY335)/100</f>
        <v>0</v>
      </c>
      <c r="EE335" s="2">
        <f t="shared" si="5607"/>
        <v>0</v>
      </c>
      <c r="EF335" s="2"/>
      <c r="EG335" s="2">
        <f t="shared" si="4374"/>
        <v>0</v>
      </c>
      <c r="EH335" s="2">
        <f t="shared" si="4375"/>
        <v>0</v>
      </c>
      <c r="EI335" s="39">
        <f t="shared" si="4376"/>
        <v>0</v>
      </c>
      <c r="EJ335" s="39">
        <f t="shared" ref="EJ335:EK335" si="5608">EJ$1*DQ335/1000000</f>
        <v>0</v>
      </c>
      <c r="EK335" s="39">
        <f t="shared" si="5608"/>
        <v>0</v>
      </c>
      <c r="EL335" s="39">
        <f t="shared" ref="EL335:EQ335" si="5609">EL$1*DS335</f>
        <v>0</v>
      </c>
      <c r="EM335" s="39">
        <f t="shared" si="5609"/>
        <v>0</v>
      </c>
      <c r="EN335" s="39">
        <f t="shared" si="5609"/>
        <v>0</v>
      </c>
      <c r="EO335" s="39">
        <f t="shared" si="5609"/>
        <v>0</v>
      </c>
      <c r="EP335" s="39">
        <f t="shared" si="5609"/>
        <v>48.070678400000006</v>
      </c>
      <c r="EQ335" s="39">
        <f t="shared" si="5609"/>
        <v>0</v>
      </c>
      <c r="ER335" s="39">
        <f t="shared" ref="ER335:EV335" si="5610">ER$1*DY335/1000000</f>
        <v>0</v>
      </c>
      <c r="ES335" s="39">
        <f t="shared" si="5610"/>
        <v>0</v>
      </c>
      <c r="ET335" s="39">
        <f t="shared" si="5610"/>
        <v>0</v>
      </c>
      <c r="EU335" s="39">
        <f t="shared" si="5610"/>
        <v>0</v>
      </c>
      <c r="EV335" s="39">
        <f t="shared" si="5610"/>
        <v>0</v>
      </c>
      <c r="EW335" s="39">
        <f t="shared" ref="EW335:EX335" si="5611">EW$1*ED335</f>
        <v>0</v>
      </c>
      <c r="EX335" s="39">
        <f t="shared" si="5611"/>
        <v>0</v>
      </c>
      <c r="EY335" s="2"/>
      <c r="EZ335" s="39">
        <f t="shared" si="4381"/>
        <v>0</v>
      </c>
      <c r="FA335" s="39">
        <f t="shared" si="4382"/>
        <v>0</v>
      </c>
      <c r="FB335" s="2">
        <f t="shared" si="4383"/>
        <v>0</v>
      </c>
      <c r="FC335" s="2">
        <f t="shared" ref="FC335:FD335" si="5612">BV335*$BT335+CQ335*$CO335</f>
        <v>0</v>
      </c>
      <c r="FD335" s="2">
        <f t="shared" si="5612"/>
        <v>0</v>
      </c>
      <c r="FE335" s="2">
        <f t="shared" ref="FE335:FJ335" si="5613">(BX335*$BT335+CS335*$CO335)/100</f>
        <v>0</v>
      </c>
      <c r="FF335" s="2">
        <f t="shared" si="5613"/>
        <v>0</v>
      </c>
      <c r="FG335" s="2">
        <f t="shared" si="5613"/>
        <v>0</v>
      </c>
      <c r="FH335" s="2">
        <f t="shared" si="5613"/>
        <v>0</v>
      </c>
      <c r="FI335" s="2">
        <f t="shared" si="5613"/>
        <v>0</v>
      </c>
      <c r="FJ335" s="2">
        <f t="shared" si="5613"/>
        <v>0</v>
      </c>
      <c r="FK335" s="2">
        <f t="shared" ref="FK335:FO335" si="5614">CD335*$BT335+CY335*$CO335</f>
        <v>0</v>
      </c>
      <c r="FL335" s="2">
        <f t="shared" si="5614"/>
        <v>0</v>
      </c>
      <c r="FM335" s="2">
        <f t="shared" si="5614"/>
        <v>0</v>
      </c>
      <c r="FN335" s="2">
        <f t="shared" si="5614"/>
        <v>0</v>
      </c>
      <c r="FO335" s="2">
        <f t="shared" si="5614"/>
        <v>0</v>
      </c>
      <c r="FP335" s="2">
        <f t="shared" ref="FP335:FQ335" si="5615">(CI335*$BT335+DD335*$CO335)/100</f>
        <v>0</v>
      </c>
      <c r="FQ335" s="2">
        <f t="shared" si="5615"/>
        <v>0</v>
      </c>
      <c r="FR335" s="2"/>
      <c r="FS335" s="2">
        <f t="shared" si="4388"/>
        <v>0</v>
      </c>
      <c r="FT335" s="2">
        <f t="shared" si="4389"/>
        <v>0</v>
      </c>
      <c r="FU335" s="39">
        <f t="shared" si="4390"/>
        <v>0</v>
      </c>
      <c r="FV335" s="39">
        <f t="shared" ref="FV335:FW335" si="5616">FV$1*FC335/1000000</f>
        <v>0</v>
      </c>
      <c r="FW335" s="39">
        <f t="shared" si="5616"/>
        <v>0</v>
      </c>
      <c r="FX335" s="39">
        <f t="shared" ref="FX335:GC335" si="5617">FX$1*FE335</f>
        <v>0</v>
      </c>
      <c r="FY335" s="39">
        <f t="shared" si="5617"/>
        <v>0</v>
      </c>
      <c r="FZ335" s="39">
        <f t="shared" si="5617"/>
        <v>0</v>
      </c>
      <c r="GA335" s="39">
        <f t="shared" si="5617"/>
        <v>0</v>
      </c>
      <c r="GB335" s="39">
        <f t="shared" si="5617"/>
        <v>0</v>
      </c>
      <c r="GC335" s="39">
        <f t="shared" si="5617"/>
        <v>0</v>
      </c>
      <c r="GD335" s="39">
        <f t="shared" ref="GD335:GH335" si="5618">GD$1*FK335/1000000</f>
        <v>0</v>
      </c>
      <c r="GE335" s="39">
        <f t="shared" si="5618"/>
        <v>0</v>
      </c>
      <c r="GF335" s="39">
        <f t="shared" si="5618"/>
        <v>0</v>
      </c>
      <c r="GG335" s="39">
        <f t="shared" si="5618"/>
        <v>0</v>
      </c>
      <c r="GH335" s="39">
        <f t="shared" si="5618"/>
        <v>0</v>
      </c>
      <c r="GI335" s="39">
        <f t="shared" ref="GI335:GJ335" si="5619">GI$1*FP335</f>
        <v>0</v>
      </c>
      <c r="GJ335" s="39">
        <f t="shared" si="5619"/>
        <v>0</v>
      </c>
      <c r="GK335" s="2"/>
      <c r="GL335" s="39">
        <f t="shared" si="4395"/>
        <v>0</v>
      </c>
      <c r="GM335" s="39">
        <f t="shared" si="4396"/>
        <v>0</v>
      </c>
      <c r="GN335" s="2" t="s">
        <v>3</v>
      </c>
      <c r="GO335" s="2">
        <f t="shared" si="4397"/>
        <v>0.11600000000000001</v>
      </c>
      <c r="GP335" s="2">
        <f t="shared" si="4398"/>
        <v>3.16</v>
      </c>
      <c r="GQ335" s="15">
        <f t="shared" si="4399"/>
        <v>3.6656</v>
      </c>
      <c r="GR335" s="15">
        <f t="shared" si="4400"/>
        <v>48.070678400000006</v>
      </c>
      <c r="GS335" s="15">
        <f t="shared" si="4401"/>
        <v>414.4024</v>
      </c>
      <c r="GT335" s="2">
        <f t="shared" si="4402"/>
        <v>0</v>
      </c>
      <c r="GU335" s="2">
        <f t="shared" si="4403"/>
        <v>0</v>
      </c>
      <c r="GV335" s="2">
        <f t="shared" si="4404"/>
        <v>3.6656000000000004</v>
      </c>
      <c r="GW335" s="2">
        <f t="shared" si="4405"/>
        <v>0</v>
      </c>
      <c r="GX335" s="2"/>
      <c r="GY335" s="2"/>
      <c r="GZ335" s="2"/>
      <c r="HA335" s="2"/>
      <c r="HB335" s="2">
        <f t="shared" si="4406"/>
        <v>0</v>
      </c>
      <c r="HC335" s="2">
        <f t="shared" si="4407"/>
        <v>0</v>
      </c>
      <c r="HD335" s="2" t="s">
        <v>3</v>
      </c>
      <c r="HE335" s="2" t="s">
        <v>89</v>
      </c>
      <c r="HF335" s="2" t="s">
        <v>137</v>
      </c>
      <c r="HG335" s="2"/>
      <c r="HH335" s="2"/>
      <c r="HI335" s="2" t="s">
        <v>81</v>
      </c>
      <c r="HJ335" s="2" t="s">
        <v>3</v>
      </c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 t="s">
        <v>3</v>
      </c>
    </row>
    <row r="336" spans="1:268" ht="15.75" customHeight="1" x14ac:dyDescent="0.2">
      <c r="A336" s="16" t="s">
        <v>507</v>
      </c>
      <c r="B336" s="2" t="s">
        <v>99</v>
      </c>
      <c r="C336" s="2"/>
      <c r="D336" s="2"/>
      <c r="E336" s="2"/>
      <c r="F336" s="2" t="s">
        <v>508</v>
      </c>
      <c r="G336" s="2"/>
      <c r="H336" s="2"/>
      <c r="I336" s="2">
        <v>0</v>
      </c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>
        <v>15.564</v>
      </c>
      <c r="AE336" s="2">
        <v>7.0000000000000007E-2</v>
      </c>
      <c r="AF336" s="2"/>
      <c r="AG336" s="2"/>
      <c r="AH336" s="2"/>
      <c r="AI336" s="2"/>
      <c r="AJ336" s="2"/>
      <c r="AK336" s="2"/>
      <c r="AL336" s="2">
        <v>0.72</v>
      </c>
      <c r="AM336" s="2">
        <v>0.02</v>
      </c>
      <c r="AN336" s="2">
        <v>0.14000000000000001</v>
      </c>
      <c r="AO336" s="2">
        <v>0.34</v>
      </c>
      <c r="AP336" s="2"/>
      <c r="AQ336" s="2"/>
      <c r="AR336" s="2"/>
      <c r="AS336" s="2"/>
      <c r="AT336" s="2"/>
      <c r="AU336" s="2"/>
      <c r="AV336" s="2"/>
      <c r="AW336" s="2"/>
      <c r="AX336" s="2"/>
      <c r="AY336" s="19">
        <v>2.9994000000000001</v>
      </c>
      <c r="AZ336" s="2">
        <v>0.04</v>
      </c>
      <c r="BA336" s="2"/>
      <c r="BB336" s="2"/>
      <c r="BC336" s="2"/>
      <c r="BD336" s="2"/>
      <c r="BE336" s="2"/>
      <c r="BF336" s="2"/>
      <c r="BG336" s="2">
        <v>0.43</v>
      </c>
      <c r="BH336" s="2">
        <v>0.01</v>
      </c>
      <c r="BI336" s="2">
        <v>0.06</v>
      </c>
      <c r="BJ336" s="2">
        <v>0.15</v>
      </c>
      <c r="BK336" s="2"/>
      <c r="BL336" s="2"/>
      <c r="BM336" s="2"/>
      <c r="BN336" s="2"/>
      <c r="BO336" s="2"/>
      <c r="BP336" s="2"/>
      <c r="BQ336" s="2"/>
      <c r="BR336" s="2"/>
      <c r="BS336" s="2"/>
      <c r="BT336" s="2">
        <v>0</v>
      </c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>
        <v>0</v>
      </c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 t="s">
        <v>81</v>
      </c>
      <c r="DK336" s="2" t="s">
        <v>81</v>
      </c>
      <c r="DL336" s="2">
        <f t="shared" si="4367"/>
        <v>0.67314295872523344</v>
      </c>
      <c r="DM336" s="2">
        <f t="shared" si="4368"/>
        <v>1.8384239956042533E-2</v>
      </c>
      <c r="DN336" s="2" t="s">
        <v>509</v>
      </c>
      <c r="DO336" s="2" t="s">
        <v>3</v>
      </c>
      <c r="DP336" s="2">
        <f t="shared" si="4369"/>
        <v>1.2094560000000001E-2</v>
      </c>
      <c r="DQ336" s="2">
        <f t="shared" ref="DQ336:DR336" si="5620">K336*$I336+AF336*$AD336+BA336*$AY336</f>
        <v>0</v>
      </c>
      <c r="DR336" s="2">
        <f t="shared" si="5620"/>
        <v>0</v>
      </c>
      <c r="DS336" s="2">
        <f t="shared" ref="DS336:DX336" si="5621">(M336*$I336+AH336*$AD336+BC336*$AY336)/100</f>
        <v>0</v>
      </c>
      <c r="DT336" s="2">
        <f t="shared" si="5621"/>
        <v>0</v>
      </c>
      <c r="DU336" s="2">
        <f t="shared" si="5621"/>
        <v>0</v>
      </c>
      <c r="DV336" s="2">
        <f t="shared" si="5621"/>
        <v>0</v>
      </c>
      <c r="DW336" s="2">
        <f t="shared" si="5621"/>
        <v>0.12495822000000001</v>
      </c>
      <c r="DX336" s="2">
        <f t="shared" si="5621"/>
        <v>3.41274E-3</v>
      </c>
      <c r="DY336" s="2">
        <f t="shared" ref="DY336:EC336" si="5622">S336*$I336+AN336*$AD336+BI336*$AY336</f>
        <v>2.358924</v>
      </c>
      <c r="DZ336" s="2">
        <f t="shared" si="5622"/>
        <v>5.7416700000000001</v>
      </c>
      <c r="EA336" s="2">
        <f t="shared" si="5622"/>
        <v>0</v>
      </c>
      <c r="EB336" s="2">
        <f t="shared" si="5622"/>
        <v>0</v>
      </c>
      <c r="EC336" s="2">
        <f t="shared" si="5622"/>
        <v>0</v>
      </c>
      <c r="ED336" s="2">
        <f t="shared" ref="ED336:EE336" si="5623">(X336*$I336+AS336*$AD336+BN336*$AY336)/100</f>
        <v>0</v>
      </c>
      <c r="EE336" s="2">
        <f t="shared" si="5623"/>
        <v>0</v>
      </c>
      <c r="EF336" s="2"/>
      <c r="EG336" s="2">
        <f t="shared" si="4374"/>
        <v>0</v>
      </c>
      <c r="EH336" s="2">
        <f t="shared" si="4375"/>
        <v>0</v>
      </c>
      <c r="EI336" s="39">
        <f t="shared" si="4376"/>
        <v>78.924454248960004</v>
      </c>
      <c r="EJ336" s="39">
        <f t="shared" ref="EJ336:EK336" si="5624">EJ$1*DQ336/1000000</f>
        <v>0</v>
      </c>
      <c r="EK336" s="39">
        <f t="shared" si="5624"/>
        <v>0</v>
      </c>
      <c r="EL336" s="39">
        <f t="shared" ref="EL336:EQ336" si="5625">EL$1*DS336</f>
        <v>0</v>
      </c>
      <c r="EM336" s="39">
        <f t="shared" si="5625"/>
        <v>0</v>
      </c>
      <c r="EN336" s="39">
        <f t="shared" si="5625"/>
        <v>0</v>
      </c>
      <c r="EO336" s="39">
        <f t="shared" si="5625"/>
        <v>0</v>
      </c>
      <c r="EP336" s="39">
        <f t="shared" si="5625"/>
        <v>1638.7020970800002</v>
      </c>
      <c r="EQ336" s="39">
        <f t="shared" si="5625"/>
        <v>247.83155433575996</v>
      </c>
      <c r="ER336" s="39">
        <f t="shared" ref="ER336:EV336" si="5626">ER$1*DY336/1000000</f>
        <v>66.949448805144684</v>
      </c>
      <c r="ES336" s="39">
        <f t="shared" si="5626"/>
        <v>191.34530669131834</v>
      </c>
      <c r="ET336" s="39">
        <f t="shared" si="5626"/>
        <v>0</v>
      </c>
      <c r="EU336" s="39">
        <f t="shared" si="5626"/>
        <v>0</v>
      </c>
      <c r="EV336" s="39">
        <f t="shared" si="5626"/>
        <v>0</v>
      </c>
      <c r="EW336" s="39">
        <f t="shared" ref="EW336:EX336" si="5627">EW$1*ED336</f>
        <v>0</v>
      </c>
      <c r="EX336" s="39">
        <f t="shared" si="5627"/>
        <v>0</v>
      </c>
      <c r="EY336" s="2"/>
      <c r="EZ336" s="39">
        <f t="shared" si="4381"/>
        <v>0</v>
      </c>
      <c r="FA336" s="39">
        <f t="shared" si="4382"/>
        <v>0</v>
      </c>
      <c r="FB336" s="2">
        <f t="shared" si="4383"/>
        <v>0</v>
      </c>
      <c r="FC336" s="2">
        <f t="shared" ref="FC336:FD336" si="5628">BV336*$BT336+CQ336*$CO336</f>
        <v>0</v>
      </c>
      <c r="FD336" s="2">
        <f t="shared" si="5628"/>
        <v>0</v>
      </c>
      <c r="FE336" s="2">
        <f t="shared" ref="FE336:FJ336" si="5629">(BX336*$BT336+CS336*$CO336)/100</f>
        <v>0</v>
      </c>
      <c r="FF336" s="2">
        <f t="shared" si="5629"/>
        <v>0</v>
      </c>
      <c r="FG336" s="2">
        <f t="shared" si="5629"/>
        <v>0</v>
      </c>
      <c r="FH336" s="2">
        <f t="shared" si="5629"/>
        <v>0</v>
      </c>
      <c r="FI336" s="2">
        <f t="shared" si="5629"/>
        <v>0</v>
      </c>
      <c r="FJ336" s="2">
        <f t="shared" si="5629"/>
        <v>0</v>
      </c>
      <c r="FK336" s="2">
        <f t="shared" ref="FK336:FO336" si="5630">CD336*$BT336+CY336*$CO336</f>
        <v>0</v>
      </c>
      <c r="FL336" s="2">
        <f t="shared" si="5630"/>
        <v>0</v>
      </c>
      <c r="FM336" s="2">
        <f t="shared" si="5630"/>
        <v>0</v>
      </c>
      <c r="FN336" s="2">
        <f t="shared" si="5630"/>
        <v>0</v>
      </c>
      <c r="FO336" s="2">
        <f t="shared" si="5630"/>
        <v>0</v>
      </c>
      <c r="FP336" s="2">
        <f t="shared" ref="FP336:FQ336" si="5631">(CI336*$BT336+DD336*$CO336)/100</f>
        <v>0</v>
      </c>
      <c r="FQ336" s="2">
        <f t="shared" si="5631"/>
        <v>0</v>
      </c>
      <c r="FR336" s="2"/>
      <c r="FS336" s="2">
        <f t="shared" si="4388"/>
        <v>0</v>
      </c>
      <c r="FT336" s="2">
        <f t="shared" si="4389"/>
        <v>0</v>
      </c>
      <c r="FU336" s="39">
        <f t="shared" si="4390"/>
        <v>0</v>
      </c>
      <c r="FV336" s="39">
        <f t="shared" ref="FV336:FW336" si="5632">FV$1*FC336/1000000</f>
        <v>0</v>
      </c>
      <c r="FW336" s="39">
        <f t="shared" si="5632"/>
        <v>0</v>
      </c>
      <c r="FX336" s="39">
        <f t="shared" ref="FX336:GC336" si="5633">FX$1*FE336</f>
        <v>0</v>
      </c>
      <c r="FY336" s="39">
        <f t="shared" si="5633"/>
        <v>0</v>
      </c>
      <c r="FZ336" s="39">
        <f t="shared" si="5633"/>
        <v>0</v>
      </c>
      <c r="GA336" s="39">
        <f t="shared" si="5633"/>
        <v>0</v>
      </c>
      <c r="GB336" s="39">
        <f t="shared" si="5633"/>
        <v>0</v>
      </c>
      <c r="GC336" s="39">
        <f t="shared" si="5633"/>
        <v>0</v>
      </c>
      <c r="GD336" s="39">
        <f t="shared" ref="GD336:GH336" si="5634">GD$1*FK336/1000000</f>
        <v>0</v>
      </c>
      <c r="GE336" s="39">
        <f t="shared" si="5634"/>
        <v>0</v>
      </c>
      <c r="GF336" s="39">
        <f t="shared" si="5634"/>
        <v>0</v>
      </c>
      <c r="GG336" s="39">
        <f t="shared" si="5634"/>
        <v>0</v>
      </c>
      <c r="GH336" s="39">
        <f t="shared" si="5634"/>
        <v>0</v>
      </c>
      <c r="GI336" s="39">
        <f t="shared" ref="GI336:GJ336" si="5635">GI$1*FP336</f>
        <v>0</v>
      </c>
      <c r="GJ336" s="39">
        <f t="shared" si="5635"/>
        <v>0</v>
      </c>
      <c r="GK336" s="2"/>
      <c r="GL336" s="39">
        <f t="shared" si="4395"/>
        <v>0</v>
      </c>
      <c r="GM336" s="39">
        <f t="shared" si="4396"/>
        <v>0</v>
      </c>
      <c r="GN336" s="2" t="s">
        <v>3</v>
      </c>
      <c r="GO336" s="4">
        <f t="shared" si="4397"/>
        <v>18.563400000000001</v>
      </c>
      <c r="GP336" s="4">
        <f t="shared" si="4398"/>
        <v>0.67314295872523344</v>
      </c>
      <c r="GQ336" s="15">
        <f t="shared" si="4399"/>
        <v>124.95822</v>
      </c>
      <c r="GR336" s="15">
        <f t="shared" si="4400"/>
        <v>2223.7528611611833</v>
      </c>
      <c r="GS336" s="15">
        <f t="shared" si="4401"/>
        <v>119.79232582184207</v>
      </c>
      <c r="GT336" s="2">
        <f t="shared" si="4402"/>
        <v>0</v>
      </c>
      <c r="GU336" s="2">
        <f t="shared" si="4403"/>
        <v>112.0608</v>
      </c>
      <c r="GV336" s="2">
        <f t="shared" si="4404"/>
        <v>12.89742</v>
      </c>
      <c r="GW336" s="2">
        <f t="shared" si="4405"/>
        <v>0</v>
      </c>
      <c r="GX336" s="2"/>
      <c r="GY336" s="2"/>
      <c r="GZ336" s="2"/>
      <c r="HA336" s="2"/>
      <c r="HB336" s="2">
        <f t="shared" si="4406"/>
        <v>0</v>
      </c>
      <c r="HC336" s="2">
        <f t="shared" si="4407"/>
        <v>0</v>
      </c>
      <c r="HD336" s="2" t="s">
        <v>3</v>
      </c>
      <c r="HE336" s="2" t="s">
        <v>89</v>
      </c>
      <c r="HF336" s="2" t="s">
        <v>137</v>
      </c>
      <c r="HG336" s="2"/>
      <c r="HH336" s="2"/>
      <c r="HI336" s="2" t="s">
        <v>81</v>
      </c>
      <c r="HJ336" s="2" t="s">
        <v>3</v>
      </c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 t="s">
        <v>3</v>
      </c>
    </row>
    <row r="337" spans="1:268" ht="15.75" customHeight="1" x14ac:dyDescent="0.2">
      <c r="A337" s="16" t="s">
        <v>587</v>
      </c>
      <c r="B337" s="2" t="s">
        <v>99</v>
      </c>
      <c r="C337" s="2"/>
      <c r="D337" s="2"/>
      <c r="E337" s="2"/>
      <c r="F337" s="2" t="s">
        <v>588</v>
      </c>
      <c r="G337" s="2"/>
      <c r="H337" s="2"/>
      <c r="I337" s="2">
        <v>0</v>
      </c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>
        <v>3.2919999999999998</v>
      </c>
      <c r="AE337" s="2">
        <v>0.42</v>
      </c>
      <c r="AF337" s="2">
        <v>0.03</v>
      </c>
      <c r="AG337" s="2"/>
      <c r="AH337" s="2"/>
      <c r="AI337" s="2"/>
      <c r="AJ337" s="2"/>
      <c r="AK337" s="2"/>
      <c r="AL337" s="2">
        <v>0.62</v>
      </c>
      <c r="AM337" s="2">
        <v>0.05</v>
      </c>
      <c r="AN337" s="2">
        <v>0.13</v>
      </c>
      <c r="AO337" s="2">
        <v>0.53</v>
      </c>
      <c r="AP337" s="2"/>
      <c r="AQ337" s="2"/>
      <c r="AR337" s="2"/>
      <c r="AS337" s="2"/>
      <c r="AT337" s="2"/>
      <c r="AU337" s="2"/>
      <c r="AV337" s="2"/>
      <c r="AW337" s="2"/>
      <c r="AX337" s="2"/>
      <c r="AY337" s="2">
        <v>0.56799999999999995</v>
      </c>
      <c r="AZ337" s="2">
        <v>0.52</v>
      </c>
      <c r="BA337" s="2">
        <v>0.03</v>
      </c>
      <c r="BB337" s="2"/>
      <c r="BC337" s="2"/>
      <c r="BD337" s="2"/>
      <c r="BE337" s="2"/>
      <c r="BF337" s="2"/>
      <c r="BG337" s="2">
        <v>0.61</v>
      </c>
      <c r="BH337" s="2">
        <v>0.05</v>
      </c>
      <c r="BI337" s="2">
        <v>0.08</v>
      </c>
      <c r="BJ337" s="4">
        <v>0.5</v>
      </c>
      <c r="BK337" s="2"/>
      <c r="BL337" s="2"/>
      <c r="BM337" s="2"/>
      <c r="BN337" s="2"/>
      <c r="BO337" s="2"/>
      <c r="BP337" s="2"/>
      <c r="BQ337" s="2"/>
      <c r="BR337" s="2"/>
      <c r="BS337" s="2"/>
      <c r="BT337" s="2">
        <v>0</v>
      </c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>
        <v>0</v>
      </c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 t="s">
        <v>81</v>
      </c>
      <c r="DK337" s="2" t="s">
        <v>81</v>
      </c>
      <c r="DL337" s="2">
        <f t="shared" si="4367"/>
        <v>0.61852849740932636</v>
      </c>
      <c r="DM337" s="2">
        <f t="shared" si="4368"/>
        <v>0.05</v>
      </c>
      <c r="DN337" s="2" t="s">
        <v>589</v>
      </c>
      <c r="DO337" s="2" t="s">
        <v>3</v>
      </c>
      <c r="DP337" s="2">
        <f t="shared" si="4369"/>
        <v>1.678E-2</v>
      </c>
      <c r="DQ337" s="2">
        <f t="shared" ref="DQ337:DR337" si="5636">K337*$I337+AF337*$AD337+BA337*$AY337</f>
        <v>0.11579999999999999</v>
      </c>
      <c r="DR337" s="2">
        <f t="shared" si="5636"/>
        <v>0</v>
      </c>
      <c r="DS337" s="2">
        <f t="shared" ref="DS337:DX337" si="5637">(M337*$I337+AH337*$AD337+BC337*$AY337)/100</f>
        <v>0</v>
      </c>
      <c r="DT337" s="2">
        <f t="shared" si="5637"/>
        <v>0</v>
      </c>
      <c r="DU337" s="2">
        <f t="shared" si="5637"/>
        <v>0</v>
      </c>
      <c r="DV337" s="2">
        <f t="shared" si="5637"/>
        <v>0</v>
      </c>
      <c r="DW337" s="2">
        <f t="shared" si="5637"/>
        <v>2.3875199999999999E-2</v>
      </c>
      <c r="DX337" s="2">
        <f t="shared" si="5637"/>
        <v>1.9300000000000001E-3</v>
      </c>
      <c r="DY337" s="2">
        <f t="shared" ref="DY337:EC337" si="5638">S337*$I337+AN337*$AD337+BI337*$AY337</f>
        <v>0.47339999999999999</v>
      </c>
      <c r="DZ337" s="2">
        <f t="shared" si="5638"/>
        <v>2.0287600000000001</v>
      </c>
      <c r="EA337" s="2">
        <f t="shared" si="5638"/>
        <v>0</v>
      </c>
      <c r="EB337" s="2">
        <f t="shared" si="5638"/>
        <v>0</v>
      </c>
      <c r="EC337" s="2">
        <f t="shared" si="5638"/>
        <v>0</v>
      </c>
      <c r="ED337" s="2">
        <f t="shared" ref="ED337:EE337" si="5639">(X337*$I337+AS337*$AD337+BN337*$AY337)/100</f>
        <v>0</v>
      </c>
      <c r="EE337" s="2">
        <f t="shared" si="5639"/>
        <v>0</v>
      </c>
      <c r="EF337" s="2"/>
      <c r="EG337" s="2">
        <f t="shared" si="4374"/>
        <v>0</v>
      </c>
      <c r="EH337" s="2">
        <f t="shared" si="4375"/>
        <v>0</v>
      </c>
      <c r="EI337" s="39">
        <f t="shared" si="4376"/>
        <v>109.49983648</v>
      </c>
      <c r="EJ337" s="39">
        <f t="shared" ref="EJ337:EK337" si="5640">EJ$1*DQ337/1000000</f>
        <v>4.7362572347266871</v>
      </c>
      <c r="EK337" s="39">
        <f t="shared" si="5640"/>
        <v>0</v>
      </c>
      <c r="EL337" s="39">
        <f t="shared" ref="EL337:EQ337" si="5641">EL$1*DS337</f>
        <v>0</v>
      </c>
      <c r="EM337" s="39">
        <f t="shared" si="5641"/>
        <v>0</v>
      </c>
      <c r="EN337" s="39">
        <f t="shared" si="5641"/>
        <v>0</v>
      </c>
      <c r="EO337" s="39">
        <f t="shared" si="5641"/>
        <v>0</v>
      </c>
      <c r="EP337" s="39">
        <f t="shared" si="5641"/>
        <v>313.09937279999997</v>
      </c>
      <c r="EQ337" s="39">
        <f t="shared" si="5641"/>
        <v>140.15568131999999</v>
      </c>
      <c r="ER337" s="39">
        <f t="shared" ref="ER337:EV337" si="5642">ER$1*DY337/1000000</f>
        <v>13.435731318327973</v>
      </c>
      <c r="ES337" s="39">
        <f t="shared" si="5642"/>
        <v>67.609894752411591</v>
      </c>
      <c r="ET337" s="39">
        <f t="shared" si="5642"/>
        <v>0</v>
      </c>
      <c r="EU337" s="39">
        <f t="shared" si="5642"/>
        <v>0</v>
      </c>
      <c r="EV337" s="39">
        <f t="shared" si="5642"/>
        <v>0</v>
      </c>
      <c r="EW337" s="39">
        <f t="shared" ref="EW337:EX337" si="5643">EW$1*ED337</f>
        <v>0</v>
      </c>
      <c r="EX337" s="39">
        <f t="shared" si="5643"/>
        <v>0</v>
      </c>
      <c r="EY337" s="2"/>
      <c r="EZ337" s="39">
        <f t="shared" si="4381"/>
        <v>0</v>
      </c>
      <c r="FA337" s="39">
        <f t="shared" si="4382"/>
        <v>0</v>
      </c>
      <c r="FB337" s="2">
        <f t="shared" si="4383"/>
        <v>0</v>
      </c>
      <c r="FC337" s="2">
        <f t="shared" ref="FC337:FD337" si="5644">BV337*$BT337+CQ337*$CO337</f>
        <v>0</v>
      </c>
      <c r="FD337" s="2">
        <f t="shared" si="5644"/>
        <v>0</v>
      </c>
      <c r="FE337" s="2">
        <f t="shared" ref="FE337:FJ337" si="5645">(BX337*$BT337+CS337*$CO337)/100</f>
        <v>0</v>
      </c>
      <c r="FF337" s="2">
        <f t="shared" si="5645"/>
        <v>0</v>
      </c>
      <c r="FG337" s="2">
        <f t="shared" si="5645"/>
        <v>0</v>
      </c>
      <c r="FH337" s="2">
        <f t="shared" si="5645"/>
        <v>0</v>
      </c>
      <c r="FI337" s="2">
        <f t="shared" si="5645"/>
        <v>0</v>
      </c>
      <c r="FJ337" s="2">
        <f t="shared" si="5645"/>
        <v>0</v>
      </c>
      <c r="FK337" s="2">
        <f t="shared" ref="FK337:FO337" si="5646">CD337*$BT337+CY337*$CO337</f>
        <v>0</v>
      </c>
      <c r="FL337" s="2">
        <f t="shared" si="5646"/>
        <v>0</v>
      </c>
      <c r="FM337" s="2">
        <f t="shared" si="5646"/>
        <v>0</v>
      </c>
      <c r="FN337" s="2">
        <f t="shared" si="5646"/>
        <v>0</v>
      </c>
      <c r="FO337" s="2">
        <f t="shared" si="5646"/>
        <v>0</v>
      </c>
      <c r="FP337" s="2">
        <f t="shared" ref="FP337:FQ337" si="5647">(CI337*$BT337+DD337*$CO337)/100</f>
        <v>0</v>
      </c>
      <c r="FQ337" s="2">
        <f t="shared" si="5647"/>
        <v>0</v>
      </c>
      <c r="FR337" s="2"/>
      <c r="FS337" s="2">
        <f t="shared" si="4388"/>
        <v>0</v>
      </c>
      <c r="FT337" s="2">
        <f t="shared" si="4389"/>
        <v>0</v>
      </c>
      <c r="FU337" s="39">
        <f t="shared" si="4390"/>
        <v>0</v>
      </c>
      <c r="FV337" s="39">
        <f t="shared" ref="FV337:FW337" si="5648">FV$1*FC337/1000000</f>
        <v>0</v>
      </c>
      <c r="FW337" s="39">
        <f t="shared" si="5648"/>
        <v>0</v>
      </c>
      <c r="FX337" s="39">
        <f t="shared" ref="FX337:GC337" si="5649">FX$1*FE337</f>
        <v>0</v>
      </c>
      <c r="FY337" s="39">
        <f t="shared" si="5649"/>
        <v>0</v>
      </c>
      <c r="FZ337" s="39">
        <f t="shared" si="5649"/>
        <v>0</v>
      </c>
      <c r="GA337" s="39">
        <f t="shared" si="5649"/>
        <v>0</v>
      </c>
      <c r="GB337" s="39">
        <f t="shared" si="5649"/>
        <v>0</v>
      </c>
      <c r="GC337" s="39">
        <f t="shared" si="5649"/>
        <v>0</v>
      </c>
      <c r="GD337" s="39">
        <f t="shared" ref="GD337:GH337" si="5650">GD$1*FK337/1000000</f>
        <v>0</v>
      </c>
      <c r="GE337" s="39">
        <f t="shared" si="5650"/>
        <v>0</v>
      </c>
      <c r="GF337" s="39">
        <f t="shared" si="5650"/>
        <v>0</v>
      </c>
      <c r="GG337" s="39">
        <f t="shared" si="5650"/>
        <v>0</v>
      </c>
      <c r="GH337" s="39">
        <f t="shared" si="5650"/>
        <v>0</v>
      </c>
      <c r="GI337" s="39">
        <f t="shared" ref="GI337:GJ337" si="5651">GI$1*FP337</f>
        <v>0</v>
      </c>
      <c r="GJ337" s="39">
        <f t="shared" si="5651"/>
        <v>0</v>
      </c>
      <c r="GK337" s="2"/>
      <c r="GL337" s="39">
        <f t="shared" si="4395"/>
        <v>0</v>
      </c>
      <c r="GM337" s="39">
        <f t="shared" si="4396"/>
        <v>0</v>
      </c>
      <c r="GN337" s="2" t="s">
        <v>3</v>
      </c>
      <c r="GO337" s="2">
        <f t="shared" si="4397"/>
        <v>3.86</v>
      </c>
      <c r="GP337" s="4">
        <f t="shared" si="4398"/>
        <v>0.61852849740932636</v>
      </c>
      <c r="GQ337" s="15">
        <f t="shared" si="4399"/>
        <v>23.875199999999996</v>
      </c>
      <c r="GR337" s="15">
        <f t="shared" si="4400"/>
        <v>648.53677390546625</v>
      </c>
      <c r="GS337" s="15">
        <f t="shared" si="4401"/>
        <v>168.01470826566484</v>
      </c>
      <c r="GT337" s="2">
        <f t="shared" si="4402"/>
        <v>0</v>
      </c>
      <c r="GU337" s="2">
        <f t="shared" si="4403"/>
        <v>20.410399999999996</v>
      </c>
      <c r="GV337" s="2">
        <f t="shared" si="4404"/>
        <v>3.4647999999999994</v>
      </c>
      <c r="GW337" s="2">
        <f t="shared" si="4405"/>
        <v>0</v>
      </c>
      <c r="GX337" s="2"/>
      <c r="GY337" s="2"/>
      <c r="GZ337" s="2"/>
      <c r="HA337" s="2"/>
      <c r="HB337" s="2">
        <f t="shared" si="4406"/>
        <v>0</v>
      </c>
      <c r="HC337" s="2">
        <f t="shared" si="4407"/>
        <v>0</v>
      </c>
      <c r="HD337" s="2" t="s">
        <v>3</v>
      </c>
      <c r="HE337" s="2" t="s">
        <v>89</v>
      </c>
      <c r="HF337" s="2" t="s">
        <v>137</v>
      </c>
      <c r="HG337" s="2"/>
      <c r="HH337" s="2"/>
      <c r="HI337" s="2" t="s">
        <v>81</v>
      </c>
      <c r="HJ337" s="2" t="s">
        <v>3</v>
      </c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 t="s">
        <v>3</v>
      </c>
    </row>
    <row r="338" spans="1:268" ht="15.75" customHeight="1" x14ac:dyDescent="0.2">
      <c r="A338" s="16" t="s">
        <v>590</v>
      </c>
      <c r="B338" s="2" t="s">
        <v>99</v>
      </c>
      <c r="C338" s="2"/>
      <c r="D338" s="2"/>
      <c r="E338" s="2"/>
      <c r="F338" s="2" t="s">
        <v>588</v>
      </c>
      <c r="G338" s="2"/>
      <c r="H338" s="2"/>
      <c r="I338" s="2">
        <v>0</v>
      </c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>
        <v>1.0840000000000001</v>
      </c>
      <c r="AE338" s="2">
        <v>7.0000000000000007E-2</v>
      </c>
      <c r="AF338" s="2">
        <v>0.01</v>
      </c>
      <c r="AG338" s="2"/>
      <c r="AH338" s="2"/>
      <c r="AI338" s="2"/>
      <c r="AJ338" s="2"/>
      <c r="AK338" s="2"/>
      <c r="AL338" s="2">
        <v>0.63</v>
      </c>
      <c r="AM338" s="2">
        <v>0.02</v>
      </c>
      <c r="AN338" s="2">
        <v>0.04</v>
      </c>
      <c r="AO338" s="2">
        <v>0.05</v>
      </c>
      <c r="AP338" s="2"/>
      <c r="AQ338" s="2"/>
      <c r="AR338" s="2"/>
      <c r="AS338" s="2"/>
      <c r="AT338" s="2"/>
      <c r="AU338" s="2"/>
      <c r="AV338" s="2"/>
      <c r="AW338" s="2"/>
      <c r="AX338" s="2"/>
      <c r="AY338" s="2">
        <v>0.18</v>
      </c>
      <c r="AZ338" s="2">
        <v>7.0000000000000007E-2</v>
      </c>
      <c r="BA338" s="2">
        <v>0.01</v>
      </c>
      <c r="BB338" s="2"/>
      <c r="BC338" s="2"/>
      <c r="BD338" s="2"/>
      <c r="BE338" s="2"/>
      <c r="BF338" s="2"/>
      <c r="BG338" s="4">
        <v>0.6</v>
      </c>
      <c r="BH338" s="2">
        <v>0.02</v>
      </c>
      <c r="BI338" s="2">
        <v>0.02</v>
      </c>
      <c r="BJ338" s="2">
        <v>0.04</v>
      </c>
      <c r="BK338" s="2"/>
      <c r="BL338" s="2"/>
      <c r="BM338" s="2"/>
      <c r="BN338" s="2"/>
      <c r="BO338" s="2"/>
      <c r="BP338" s="2"/>
      <c r="BQ338" s="2"/>
      <c r="BR338" s="2"/>
      <c r="BS338" s="2"/>
      <c r="BT338" s="2">
        <v>0</v>
      </c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>
        <v>0</v>
      </c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 t="s">
        <v>81</v>
      </c>
      <c r="DK338" s="2" t="s">
        <v>81</v>
      </c>
      <c r="DL338" s="2">
        <f t="shared" si="4367"/>
        <v>0.62572784810126592</v>
      </c>
      <c r="DM338" s="2">
        <f t="shared" si="4368"/>
        <v>0.02</v>
      </c>
      <c r="DN338" s="2" t="s">
        <v>589</v>
      </c>
      <c r="DO338" s="2" t="s">
        <v>3</v>
      </c>
      <c r="DP338" s="2">
        <f t="shared" si="4369"/>
        <v>8.8480000000000015E-4</v>
      </c>
      <c r="DQ338" s="2">
        <f t="shared" ref="DQ338:DR338" si="5652">K338*$I338+AF338*$AD338+BA338*$AY338</f>
        <v>1.264E-2</v>
      </c>
      <c r="DR338" s="2">
        <f t="shared" si="5652"/>
        <v>0</v>
      </c>
      <c r="DS338" s="2">
        <f t="shared" ref="DS338:DX338" si="5653">(M338*$I338+AH338*$AD338+BC338*$AY338)/100</f>
        <v>0</v>
      </c>
      <c r="DT338" s="2">
        <f t="shared" si="5653"/>
        <v>0</v>
      </c>
      <c r="DU338" s="2">
        <f t="shared" si="5653"/>
        <v>0</v>
      </c>
      <c r="DV338" s="2">
        <f t="shared" si="5653"/>
        <v>0</v>
      </c>
      <c r="DW338" s="2">
        <f t="shared" si="5653"/>
        <v>7.9091999999999999E-3</v>
      </c>
      <c r="DX338" s="2">
        <f t="shared" si="5653"/>
        <v>2.5280000000000002E-4</v>
      </c>
      <c r="DY338" s="2">
        <f t="shared" ref="DY338:EC338" si="5654">S338*$I338+AN338*$AD338+BI338*$AY338</f>
        <v>4.6960000000000002E-2</v>
      </c>
      <c r="DZ338" s="2">
        <f t="shared" si="5654"/>
        <v>6.1400000000000003E-2</v>
      </c>
      <c r="EA338" s="2">
        <f t="shared" si="5654"/>
        <v>0</v>
      </c>
      <c r="EB338" s="2">
        <f t="shared" si="5654"/>
        <v>0</v>
      </c>
      <c r="EC338" s="2">
        <f t="shared" si="5654"/>
        <v>0</v>
      </c>
      <c r="ED338" s="2">
        <f t="shared" ref="ED338:EE338" si="5655">(X338*$I338+AS338*$AD338+BN338*$AY338)/100</f>
        <v>0</v>
      </c>
      <c r="EE338" s="2">
        <f t="shared" si="5655"/>
        <v>0</v>
      </c>
      <c r="EF338" s="2"/>
      <c r="EG338" s="2">
        <f t="shared" si="4374"/>
        <v>0</v>
      </c>
      <c r="EH338" s="2">
        <f t="shared" si="4375"/>
        <v>0</v>
      </c>
      <c r="EI338" s="39">
        <f t="shared" si="4376"/>
        <v>5.7738650368000011</v>
      </c>
      <c r="EJ338" s="39">
        <f t="shared" ref="EJ338:EK338" si="5656">EJ$1*DQ338/1000000</f>
        <v>0.5169800643086816</v>
      </c>
      <c r="EK338" s="39">
        <f t="shared" si="5656"/>
        <v>0</v>
      </c>
      <c r="EL338" s="39">
        <f t="shared" ref="EL338:EQ338" si="5657">EL$1*DS338</f>
        <v>0</v>
      </c>
      <c r="EM338" s="39">
        <f t="shared" si="5657"/>
        <v>0</v>
      </c>
      <c r="EN338" s="39">
        <f t="shared" si="5657"/>
        <v>0</v>
      </c>
      <c r="EO338" s="39">
        <f t="shared" si="5657"/>
        <v>0</v>
      </c>
      <c r="EP338" s="39">
        <f t="shared" si="5657"/>
        <v>103.7212488</v>
      </c>
      <c r="EQ338" s="39">
        <f t="shared" si="5657"/>
        <v>18.3582156672</v>
      </c>
      <c r="ER338" s="39">
        <f t="shared" ref="ER338:EV338" si="5658">ER$1*DY338/1000000</f>
        <v>1.3327882186495175</v>
      </c>
      <c r="ES338" s="39">
        <f t="shared" si="5658"/>
        <v>2.046199421221865</v>
      </c>
      <c r="ET338" s="39">
        <f t="shared" si="5658"/>
        <v>0</v>
      </c>
      <c r="EU338" s="39">
        <f t="shared" si="5658"/>
        <v>0</v>
      </c>
      <c r="EV338" s="39">
        <f t="shared" si="5658"/>
        <v>0</v>
      </c>
      <c r="EW338" s="39">
        <f t="shared" ref="EW338:EX338" si="5659">EW$1*ED338</f>
        <v>0</v>
      </c>
      <c r="EX338" s="39">
        <f t="shared" si="5659"/>
        <v>0</v>
      </c>
      <c r="EY338" s="2"/>
      <c r="EZ338" s="39">
        <f t="shared" si="4381"/>
        <v>0</v>
      </c>
      <c r="FA338" s="39">
        <f t="shared" si="4382"/>
        <v>0</v>
      </c>
      <c r="FB338" s="2">
        <f t="shared" si="4383"/>
        <v>0</v>
      </c>
      <c r="FC338" s="2">
        <f t="shared" ref="FC338:FD338" si="5660">BV338*$BT338+CQ338*$CO338</f>
        <v>0</v>
      </c>
      <c r="FD338" s="2">
        <f t="shared" si="5660"/>
        <v>0</v>
      </c>
      <c r="FE338" s="2">
        <f t="shared" ref="FE338:FJ338" si="5661">(BX338*$BT338+CS338*$CO338)/100</f>
        <v>0</v>
      </c>
      <c r="FF338" s="2">
        <f t="shared" si="5661"/>
        <v>0</v>
      </c>
      <c r="FG338" s="2">
        <f t="shared" si="5661"/>
        <v>0</v>
      </c>
      <c r="FH338" s="2">
        <f t="shared" si="5661"/>
        <v>0</v>
      </c>
      <c r="FI338" s="2">
        <f t="shared" si="5661"/>
        <v>0</v>
      </c>
      <c r="FJ338" s="2">
        <f t="shared" si="5661"/>
        <v>0</v>
      </c>
      <c r="FK338" s="2">
        <f t="shared" ref="FK338:FO338" si="5662">CD338*$BT338+CY338*$CO338</f>
        <v>0</v>
      </c>
      <c r="FL338" s="2">
        <f t="shared" si="5662"/>
        <v>0</v>
      </c>
      <c r="FM338" s="2">
        <f t="shared" si="5662"/>
        <v>0</v>
      </c>
      <c r="FN338" s="2">
        <f t="shared" si="5662"/>
        <v>0</v>
      </c>
      <c r="FO338" s="2">
        <f t="shared" si="5662"/>
        <v>0</v>
      </c>
      <c r="FP338" s="2">
        <f t="shared" ref="FP338:FQ338" si="5663">(CI338*$BT338+DD338*$CO338)/100</f>
        <v>0</v>
      </c>
      <c r="FQ338" s="2">
        <f t="shared" si="5663"/>
        <v>0</v>
      </c>
      <c r="FR338" s="2"/>
      <c r="FS338" s="2">
        <f t="shared" si="4388"/>
        <v>0</v>
      </c>
      <c r="FT338" s="2">
        <f t="shared" si="4389"/>
        <v>0</v>
      </c>
      <c r="FU338" s="39">
        <f t="shared" si="4390"/>
        <v>0</v>
      </c>
      <c r="FV338" s="39">
        <f t="shared" ref="FV338:FW338" si="5664">FV$1*FC338/1000000</f>
        <v>0</v>
      </c>
      <c r="FW338" s="39">
        <f t="shared" si="5664"/>
        <v>0</v>
      </c>
      <c r="FX338" s="39">
        <f t="shared" ref="FX338:GC338" si="5665">FX$1*FE338</f>
        <v>0</v>
      </c>
      <c r="FY338" s="39">
        <f t="shared" si="5665"/>
        <v>0</v>
      </c>
      <c r="FZ338" s="39">
        <f t="shared" si="5665"/>
        <v>0</v>
      </c>
      <c r="GA338" s="39">
        <f t="shared" si="5665"/>
        <v>0</v>
      </c>
      <c r="GB338" s="39">
        <f t="shared" si="5665"/>
        <v>0</v>
      </c>
      <c r="GC338" s="39">
        <f t="shared" si="5665"/>
        <v>0</v>
      </c>
      <c r="GD338" s="39">
        <f t="shared" ref="GD338:GH338" si="5666">GD$1*FK338/1000000</f>
        <v>0</v>
      </c>
      <c r="GE338" s="39">
        <f t="shared" si="5666"/>
        <v>0</v>
      </c>
      <c r="GF338" s="39">
        <f t="shared" si="5666"/>
        <v>0</v>
      </c>
      <c r="GG338" s="39">
        <f t="shared" si="5666"/>
        <v>0</v>
      </c>
      <c r="GH338" s="39">
        <f t="shared" si="5666"/>
        <v>0</v>
      </c>
      <c r="GI338" s="39">
        <f t="shared" ref="GI338:GJ338" si="5667">GI$1*FP338</f>
        <v>0</v>
      </c>
      <c r="GJ338" s="39">
        <f t="shared" si="5667"/>
        <v>0</v>
      </c>
      <c r="GK338" s="2"/>
      <c r="GL338" s="39">
        <f t="shared" si="4395"/>
        <v>0</v>
      </c>
      <c r="GM338" s="39">
        <f t="shared" si="4396"/>
        <v>0</v>
      </c>
      <c r="GN338" s="2" t="s">
        <v>3</v>
      </c>
      <c r="GO338" s="2">
        <f t="shared" si="4397"/>
        <v>1.264</v>
      </c>
      <c r="GP338" s="4">
        <f t="shared" si="4398"/>
        <v>0.62572784810126592</v>
      </c>
      <c r="GQ338" s="15">
        <f t="shared" si="4399"/>
        <v>7.9092000000000011</v>
      </c>
      <c r="GR338" s="15">
        <f t="shared" si="4400"/>
        <v>131.74929720818008</v>
      </c>
      <c r="GS338" s="15">
        <f t="shared" si="4401"/>
        <v>104.23203893052222</v>
      </c>
      <c r="GT338" s="2">
        <f t="shared" si="4402"/>
        <v>0</v>
      </c>
      <c r="GU338" s="2">
        <f t="shared" si="4403"/>
        <v>6.829200000000001</v>
      </c>
      <c r="GV338" s="2">
        <f t="shared" si="4404"/>
        <v>1.08</v>
      </c>
      <c r="GW338" s="2">
        <f t="shared" si="4405"/>
        <v>0</v>
      </c>
      <c r="GX338" s="2"/>
      <c r="GY338" s="2"/>
      <c r="GZ338" s="2"/>
      <c r="HA338" s="2"/>
      <c r="HB338" s="2">
        <f t="shared" si="4406"/>
        <v>0</v>
      </c>
      <c r="HC338" s="2">
        <f t="shared" si="4407"/>
        <v>0</v>
      </c>
      <c r="HD338" s="2" t="s">
        <v>3</v>
      </c>
      <c r="HE338" s="2" t="s">
        <v>89</v>
      </c>
      <c r="HF338" s="2" t="s">
        <v>137</v>
      </c>
      <c r="HG338" s="2"/>
      <c r="HH338" s="2"/>
      <c r="HI338" s="2" t="s">
        <v>81</v>
      </c>
      <c r="HJ338" s="2" t="s">
        <v>3</v>
      </c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 t="s">
        <v>3</v>
      </c>
    </row>
    <row r="339" spans="1:268" ht="15.75" customHeight="1" x14ac:dyDescent="0.2">
      <c r="A339" s="16" t="s">
        <v>1129</v>
      </c>
      <c r="B339" s="2" t="s">
        <v>99</v>
      </c>
      <c r="C339" s="2"/>
      <c r="D339" s="2"/>
      <c r="E339" s="2"/>
      <c r="F339" s="2" t="s">
        <v>1130</v>
      </c>
      <c r="G339" s="2"/>
      <c r="H339" s="2"/>
      <c r="I339" s="2">
        <v>0</v>
      </c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>
        <v>1.546</v>
      </c>
      <c r="AE339" s="4">
        <v>0.1</v>
      </c>
      <c r="AF339" s="2"/>
      <c r="AG339" s="2"/>
      <c r="AH339" s="2"/>
      <c r="AI339" s="2"/>
      <c r="AJ339" s="2"/>
      <c r="AK339" s="2"/>
      <c r="AL339" s="4">
        <v>1.4</v>
      </c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>
        <v>0.32200000000000001</v>
      </c>
      <c r="AZ339" s="2">
        <v>0.08</v>
      </c>
      <c r="BA339" s="2"/>
      <c r="BB339" s="2"/>
      <c r="BC339" s="2"/>
      <c r="BD339" s="2"/>
      <c r="BE339" s="2"/>
      <c r="BF339" s="2"/>
      <c r="BG339" s="4">
        <f>(0.86*12+1.4*228+1.12*59+0.52*22)/(12+228+59+22)</f>
        <v>1.2680373831775702</v>
      </c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>
        <v>0</v>
      </c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>
        <v>0</v>
      </c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 t="s">
        <v>81</v>
      </c>
      <c r="DK339" s="2"/>
      <c r="DL339" s="2">
        <f t="shared" si="4367"/>
        <v>1.3772526966719367</v>
      </c>
      <c r="DM339" s="2">
        <f t="shared" si="4368"/>
        <v>0</v>
      </c>
      <c r="DN339" s="2" t="s">
        <v>1131</v>
      </c>
      <c r="DO339" s="2" t="s">
        <v>3</v>
      </c>
      <c r="DP339" s="2">
        <f t="shared" si="4369"/>
        <v>1.8036000000000003E-3</v>
      </c>
      <c r="DQ339" s="2">
        <f t="shared" ref="DQ339:DR339" si="5668">K339*$I339+AF339*$AD339+BA339*$AY339</f>
        <v>0</v>
      </c>
      <c r="DR339" s="2">
        <f t="shared" si="5668"/>
        <v>0</v>
      </c>
      <c r="DS339" s="2">
        <f t="shared" ref="DS339:DX339" si="5669">(M339*$I339+AH339*$AD339+BC339*$AY339)/100</f>
        <v>0</v>
      </c>
      <c r="DT339" s="2">
        <f t="shared" si="5669"/>
        <v>0</v>
      </c>
      <c r="DU339" s="2">
        <f t="shared" si="5669"/>
        <v>0</v>
      </c>
      <c r="DV339" s="2">
        <f t="shared" si="5669"/>
        <v>0</v>
      </c>
      <c r="DW339" s="2">
        <f t="shared" si="5669"/>
        <v>2.5727080373831777E-2</v>
      </c>
      <c r="DX339" s="2">
        <f t="shared" si="5669"/>
        <v>0</v>
      </c>
      <c r="DY339" s="2">
        <f t="shared" ref="DY339:EC339" si="5670">S339*$I339+AN339*$AD339+BI339*$AY339</f>
        <v>0</v>
      </c>
      <c r="DZ339" s="2">
        <f t="shared" si="5670"/>
        <v>0</v>
      </c>
      <c r="EA339" s="2">
        <f t="shared" si="5670"/>
        <v>0</v>
      </c>
      <c r="EB339" s="2">
        <f t="shared" si="5670"/>
        <v>0</v>
      </c>
      <c r="EC339" s="2">
        <f t="shared" si="5670"/>
        <v>0</v>
      </c>
      <c r="ED339" s="2">
        <f t="shared" ref="ED339:EE339" si="5671">(X339*$I339+AS339*$AD339+BN339*$AY339)/100</f>
        <v>0</v>
      </c>
      <c r="EE339" s="2">
        <f t="shared" si="5671"/>
        <v>0</v>
      </c>
      <c r="EF339" s="2"/>
      <c r="EG339" s="2">
        <f t="shared" si="4374"/>
        <v>0</v>
      </c>
      <c r="EH339" s="2">
        <f t="shared" si="4375"/>
        <v>0</v>
      </c>
      <c r="EI339" s="39">
        <f t="shared" si="4376"/>
        <v>11.769601017600001</v>
      </c>
      <c r="EJ339" s="39">
        <f t="shared" ref="EJ339:EK339" si="5672">EJ$1*DQ339/1000000</f>
        <v>0</v>
      </c>
      <c r="EK339" s="39">
        <f t="shared" si="5672"/>
        <v>0</v>
      </c>
      <c r="EL339" s="39">
        <f t="shared" ref="EL339:EQ339" si="5673">EL$1*DS339</f>
        <v>0</v>
      </c>
      <c r="EM339" s="39">
        <f t="shared" si="5673"/>
        <v>0</v>
      </c>
      <c r="EN339" s="39">
        <f t="shared" si="5673"/>
        <v>0</v>
      </c>
      <c r="EO339" s="39">
        <f t="shared" si="5673"/>
        <v>0</v>
      </c>
      <c r="EP339" s="39">
        <f t="shared" si="5673"/>
        <v>337.38493202242995</v>
      </c>
      <c r="EQ339" s="39">
        <f t="shared" si="5673"/>
        <v>0</v>
      </c>
      <c r="ER339" s="39">
        <f t="shared" ref="ER339:EV339" si="5674">ER$1*DY339/1000000</f>
        <v>0</v>
      </c>
      <c r="ES339" s="39">
        <f t="shared" si="5674"/>
        <v>0</v>
      </c>
      <c r="ET339" s="39">
        <f t="shared" si="5674"/>
        <v>0</v>
      </c>
      <c r="EU339" s="39">
        <f t="shared" si="5674"/>
        <v>0</v>
      </c>
      <c r="EV339" s="39">
        <f t="shared" si="5674"/>
        <v>0</v>
      </c>
      <c r="EW339" s="39">
        <f t="shared" ref="EW339:EX339" si="5675">EW$1*ED339</f>
        <v>0</v>
      </c>
      <c r="EX339" s="39">
        <f t="shared" si="5675"/>
        <v>0</v>
      </c>
      <c r="EY339" s="2"/>
      <c r="EZ339" s="39">
        <f t="shared" si="4381"/>
        <v>0</v>
      </c>
      <c r="FA339" s="39">
        <f t="shared" si="4382"/>
        <v>0</v>
      </c>
      <c r="FB339" s="2">
        <f t="shared" si="4383"/>
        <v>0</v>
      </c>
      <c r="FC339" s="2">
        <f t="shared" ref="FC339:FD339" si="5676">BV339*$BT339+CQ339*$CO339</f>
        <v>0</v>
      </c>
      <c r="FD339" s="2">
        <f t="shared" si="5676"/>
        <v>0</v>
      </c>
      <c r="FE339" s="2">
        <f t="shared" ref="FE339:FJ339" si="5677">(BX339*$BT339+CS339*$CO339)/100</f>
        <v>0</v>
      </c>
      <c r="FF339" s="2">
        <f t="shared" si="5677"/>
        <v>0</v>
      </c>
      <c r="FG339" s="2">
        <f t="shared" si="5677"/>
        <v>0</v>
      </c>
      <c r="FH339" s="2">
        <f t="shared" si="5677"/>
        <v>0</v>
      </c>
      <c r="FI339" s="2">
        <f t="shared" si="5677"/>
        <v>0</v>
      </c>
      <c r="FJ339" s="2">
        <f t="shared" si="5677"/>
        <v>0</v>
      </c>
      <c r="FK339" s="2">
        <f t="shared" ref="FK339:FO339" si="5678">CD339*$BT339+CY339*$CO339</f>
        <v>0</v>
      </c>
      <c r="FL339" s="2">
        <f t="shared" si="5678"/>
        <v>0</v>
      </c>
      <c r="FM339" s="2">
        <f t="shared" si="5678"/>
        <v>0</v>
      </c>
      <c r="FN339" s="2">
        <f t="shared" si="5678"/>
        <v>0</v>
      </c>
      <c r="FO339" s="2">
        <f t="shared" si="5678"/>
        <v>0</v>
      </c>
      <c r="FP339" s="2">
        <f t="shared" ref="FP339:FQ339" si="5679">(CI339*$BT339+DD339*$CO339)/100</f>
        <v>0</v>
      </c>
      <c r="FQ339" s="2">
        <f t="shared" si="5679"/>
        <v>0</v>
      </c>
      <c r="FR339" s="2"/>
      <c r="FS339" s="2">
        <f t="shared" si="4388"/>
        <v>0</v>
      </c>
      <c r="FT339" s="2">
        <f t="shared" si="4389"/>
        <v>0</v>
      </c>
      <c r="FU339" s="39">
        <f t="shared" si="4390"/>
        <v>0</v>
      </c>
      <c r="FV339" s="39">
        <f t="shared" ref="FV339:FW339" si="5680">FV$1*FC339/1000000</f>
        <v>0</v>
      </c>
      <c r="FW339" s="39">
        <f t="shared" si="5680"/>
        <v>0</v>
      </c>
      <c r="FX339" s="39">
        <f t="shared" ref="FX339:GC339" si="5681">FX$1*FE339</f>
        <v>0</v>
      </c>
      <c r="FY339" s="39">
        <f t="shared" si="5681"/>
        <v>0</v>
      </c>
      <c r="FZ339" s="39">
        <f t="shared" si="5681"/>
        <v>0</v>
      </c>
      <c r="GA339" s="39">
        <f t="shared" si="5681"/>
        <v>0</v>
      </c>
      <c r="GB339" s="39">
        <f t="shared" si="5681"/>
        <v>0</v>
      </c>
      <c r="GC339" s="39">
        <f t="shared" si="5681"/>
        <v>0</v>
      </c>
      <c r="GD339" s="39">
        <f t="shared" ref="GD339:GH339" si="5682">GD$1*FK339/1000000</f>
        <v>0</v>
      </c>
      <c r="GE339" s="39">
        <f t="shared" si="5682"/>
        <v>0</v>
      </c>
      <c r="GF339" s="39">
        <f t="shared" si="5682"/>
        <v>0</v>
      </c>
      <c r="GG339" s="39">
        <f t="shared" si="5682"/>
        <v>0</v>
      </c>
      <c r="GH339" s="39">
        <f t="shared" si="5682"/>
        <v>0</v>
      </c>
      <c r="GI339" s="39">
        <f t="shared" ref="GI339:GJ339" si="5683">GI$1*FP339</f>
        <v>0</v>
      </c>
      <c r="GJ339" s="39">
        <f t="shared" si="5683"/>
        <v>0</v>
      </c>
      <c r="GK339" s="2"/>
      <c r="GL339" s="39">
        <f t="shared" si="4395"/>
        <v>0</v>
      </c>
      <c r="GM339" s="39">
        <f t="shared" si="4396"/>
        <v>0</v>
      </c>
      <c r="GN339" s="2" t="s">
        <v>3</v>
      </c>
      <c r="GO339" s="2">
        <f t="shared" si="4397"/>
        <v>1.8680000000000001</v>
      </c>
      <c r="GP339" s="4">
        <f t="shared" si="4398"/>
        <v>1.3772526966719367</v>
      </c>
      <c r="GQ339" s="15">
        <f t="shared" si="4399"/>
        <v>25.727080373831779</v>
      </c>
      <c r="GR339" s="15">
        <f t="shared" si="4400"/>
        <v>349.15453304002995</v>
      </c>
      <c r="GS339" s="15">
        <f t="shared" si="4401"/>
        <v>186.91356158459845</v>
      </c>
      <c r="GT339" s="2">
        <f t="shared" si="4402"/>
        <v>0</v>
      </c>
      <c r="GU339" s="2">
        <f t="shared" si="4403"/>
        <v>21.644000000000002</v>
      </c>
      <c r="GV339" s="2">
        <f t="shared" si="4404"/>
        <v>4.083080373831776</v>
      </c>
      <c r="GW339" s="2">
        <f t="shared" si="4405"/>
        <v>0</v>
      </c>
      <c r="GX339" s="2"/>
      <c r="GY339" s="2"/>
      <c r="GZ339" s="2"/>
      <c r="HA339" s="2"/>
      <c r="HB339" s="2">
        <f t="shared" si="4406"/>
        <v>0</v>
      </c>
      <c r="HC339" s="2">
        <f t="shared" si="4407"/>
        <v>0</v>
      </c>
      <c r="HD339" s="2" t="s">
        <v>3</v>
      </c>
      <c r="HE339" s="2" t="s">
        <v>89</v>
      </c>
      <c r="HF339" s="2" t="s">
        <v>137</v>
      </c>
      <c r="HG339" s="2"/>
      <c r="HH339" s="2"/>
      <c r="HI339" s="2" t="s">
        <v>81</v>
      </c>
      <c r="HJ339" s="2" t="s">
        <v>3</v>
      </c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 t="s">
        <v>3</v>
      </c>
    </row>
    <row r="340" spans="1:268" ht="15.75" customHeight="1" x14ac:dyDescent="0.2">
      <c r="A340" s="16" t="s">
        <v>1132</v>
      </c>
      <c r="B340" s="2" t="s">
        <v>120</v>
      </c>
      <c r="C340" s="2"/>
      <c r="D340" s="2"/>
      <c r="E340" s="2"/>
      <c r="F340" s="2" t="s">
        <v>1130</v>
      </c>
      <c r="G340" s="2"/>
      <c r="H340" s="2"/>
      <c r="I340" s="2">
        <v>0</v>
      </c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>
        <v>0</v>
      </c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19">
        <v>0.79249999999999998</v>
      </c>
      <c r="AZ340" s="2"/>
      <c r="BA340" s="2"/>
      <c r="BB340" s="2"/>
      <c r="BC340" s="2"/>
      <c r="BD340" s="2"/>
      <c r="BE340" s="2"/>
      <c r="BF340" s="2"/>
      <c r="BG340" s="2">
        <v>0.81</v>
      </c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>
        <v>0</v>
      </c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>
        <v>0.872</v>
      </c>
      <c r="CP340" s="2"/>
      <c r="CQ340" s="2"/>
      <c r="CR340" s="2"/>
      <c r="CS340" s="2"/>
      <c r="CT340" s="2"/>
      <c r="CU340" s="2"/>
      <c r="CV340" s="2"/>
      <c r="CW340" s="4">
        <v>0.7</v>
      </c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 t="s">
        <v>81</v>
      </c>
      <c r="DK340" s="2"/>
      <c r="DL340" s="2">
        <f t="shared" si="4367"/>
        <v>0.81000000000000016</v>
      </c>
      <c r="DM340" s="2">
        <f t="shared" si="4368"/>
        <v>0</v>
      </c>
      <c r="DN340" s="2" t="s">
        <v>701</v>
      </c>
      <c r="DO340" s="2" t="s">
        <v>3</v>
      </c>
      <c r="DP340" s="2">
        <f t="shared" si="4369"/>
        <v>0</v>
      </c>
      <c r="DQ340" s="2">
        <f t="shared" ref="DQ340:DR340" si="5684">K340*$I340+AF340*$AD340+BA340*$AY340</f>
        <v>0</v>
      </c>
      <c r="DR340" s="2">
        <f t="shared" si="5684"/>
        <v>0</v>
      </c>
      <c r="DS340" s="2">
        <f t="shared" ref="DS340:DX340" si="5685">(M340*$I340+AH340*$AD340+BC340*$AY340)/100</f>
        <v>0</v>
      </c>
      <c r="DT340" s="2">
        <f t="shared" si="5685"/>
        <v>0</v>
      </c>
      <c r="DU340" s="2">
        <f t="shared" si="5685"/>
        <v>0</v>
      </c>
      <c r="DV340" s="2">
        <f t="shared" si="5685"/>
        <v>0</v>
      </c>
      <c r="DW340" s="2">
        <f t="shared" si="5685"/>
        <v>6.4192500000000005E-3</v>
      </c>
      <c r="DX340" s="2">
        <f t="shared" si="5685"/>
        <v>0</v>
      </c>
      <c r="DY340" s="2">
        <f t="shared" ref="DY340:EC340" si="5686">S340*$I340+AN340*$AD340+BI340*$AY340</f>
        <v>0</v>
      </c>
      <c r="DZ340" s="2">
        <f t="shared" si="5686"/>
        <v>0</v>
      </c>
      <c r="EA340" s="2">
        <f t="shared" si="5686"/>
        <v>0</v>
      </c>
      <c r="EB340" s="2">
        <f t="shared" si="5686"/>
        <v>0</v>
      </c>
      <c r="EC340" s="2">
        <f t="shared" si="5686"/>
        <v>0</v>
      </c>
      <c r="ED340" s="2">
        <f t="shared" ref="ED340:EE340" si="5687">(X340*$I340+AS340*$AD340+BN340*$AY340)/100</f>
        <v>0</v>
      </c>
      <c r="EE340" s="2">
        <f t="shared" si="5687"/>
        <v>0</v>
      </c>
      <c r="EF340" s="2"/>
      <c r="EG340" s="2">
        <f t="shared" si="4374"/>
        <v>0</v>
      </c>
      <c r="EH340" s="2">
        <f t="shared" si="4375"/>
        <v>0</v>
      </c>
      <c r="EI340" s="39">
        <f t="shared" si="4376"/>
        <v>0</v>
      </c>
      <c r="EJ340" s="39">
        <f t="shared" ref="EJ340:EK340" si="5688">EJ$1*DQ340/1000000</f>
        <v>0</v>
      </c>
      <c r="EK340" s="39">
        <f t="shared" si="5688"/>
        <v>0</v>
      </c>
      <c r="EL340" s="39">
        <f t="shared" ref="EL340:EQ340" si="5689">EL$1*DS340</f>
        <v>0</v>
      </c>
      <c r="EM340" s="39">
        <f t="shared" si="5689"/>
        <v>0</v>
      </c>
      <c r="EN340" s="39">
        <f t="shared" si="5689"/>
        <v>0</v>
      </c>
      <c r="EO340" s="39">
        <f t="shared" si="5689"/>
        <v>0</v>
      </c>
      <c r="EP340" s="39">
        <f t="shared" si="5689"/>
        <v>84.182044500000003</v>
      </c>
      <c r="EQ340" s="39">
        <f t="shared" si="5689"/>
        <v>0</v>
      </c>
      <c r="ER340" s="39">
        <f t="shared" ref="ER340:EV340" si="5690">ER$1*DY340/1000000</f>
        <v>0</v>
      </c>
      <c r="ES340" s="39">
        <f t="shared" si="5690"/>
        <v>0</v>
      </c>
      <c r="ET340" s="39">
        <f t="shared" si="5690"/>
        <v>0</v>
      </c>
      <c r="EU340" s="39">
        <f t="shared" si="5690"/>
        <v>0</v>
      </c>
      <c r="EV340" s="39">
        <f t="shared" si="5690"/>
        <v>0</v>
      </c>
      <c r="EW340" s="39">
        <f t="shared" ref="EW340:EX340" si="5691">EW$1*ED340</f>
        <v>0</v>
      </c>
      <c r="EX340" s="39">
        <f t="shared" si="5691"/>
        <v>0</v>
      </c>
      <c r="EY340" s="2"/>
      <c r="EZ340" s="39">
        <f t="shared" si="4381"/>
        <v>0</v>
      </c>
      <c r="FA340" s="39">
        <f t="shared" si="4382"/>
        <v>0</v>
      </c>
      <c r="FB340" s="2">
        <f t="shared" si="4383"/>
        <v>0</v>
      </c>
      <c r="FC340" s="2">
        <f t="shared" ref="FC340:FD340" si="5692">BV340*$BT340+CQ340*$CO340</f>
        <v>0</v>
      </c>
      <c r="FD340" s="2">
        <f t="shared" si="5692"/>
        <v>0</v>
      </c>
      <c r="FE340" s="2">
        <f t="shared" ref="FE340:FJ340" si="5693">(BX340*$BT340+CS340*$CO340)/100</f>
        <v>0</v>
      </c>
      <c r="FF340" s="2">
        <f t="shared" si="5693"/>
        <v>0</v>
      </c>
      <c r="FG340" s="2">
        <f t="shared" si="5693"/>
        <v>0</v>
      </c>
      <c r="FH340" s="2">
        <f t="shared" si="5693"/>
        <v>0</v>
      </c>
      <c r="FI340" s="2">
        <f t="shared" si="5693"/>
        <v>6.1039999999999992E-3</v>
      </c>
      <c r="FJ340" s="2">
        <f t="shared" si="5693"/>
        <v>0</v>
      </c>
      <c r="FK340" s="2">
        <f t="shared" ref="FK340:FO340" si="5694">CD340*$BT340+CY340*$CO340</f>
        <v>0</v>
      </c>
      <c r="FL340" s="2">
        <f t="shared" si="5694"/>
        <v>0</v>
      </c>
      <c r="FM340" s="2">
        <f t="shared" si="5694"/>
        <v>0</v>
      </c>
      <c r="FN340" s="2">
        <f t="shared" si="5694"/>
        <v>0</v>
      </c>
      <c r="FO340" s="2">
        <f t="shared" si="5694"/>
        <v>0</v>
      </c>
      <c r="FP340" s="2">
        <f t="shared" ref="FP340:FQ340" si="5695">(CI340*$BT340+DD340*$CO340)/100</f>
        <v>0</v>
      </c>
      <c r="FQ340" s="2">
        <f t="shared" si="5695"/>
        <v>0</v>
      </c>
      <c r="FR340" s="2"/>
      <c r="FS340" s="2">
        <f t="shared" si="4388"/>
        <v>0</v>
      </c>
      <c r="FT340" s="2">
        <f t="shared" si="4389"/>
        <v>0</v>
      </c>
      <c r="FU340" s="39">
        <f t="shared" si="4390"/>
        <v>0</v>
      </c>
      <c r="FV340" s="39">
        <f t="shared" ref="FV340:FW340" si="5696">FV$1*FC340/1000000</f>
        <v>0</v>
      </c>
      <c r="FW340" s="39">
        <f t="shared" si="5696"/>
        <v>0</v>
      </c>
      <c r="FX340" s="39">
        <f t="shared" ref="FX340:GC340" si="5697">FX$1*FE340</f>
        <v>0</v>
      </c>
      <c r="FY340" s="39">
        <f t="shared" si="5697"/>
        <v>0</v>
      </c>
      <c r="FZ340" s="39">
        <f t="shared" si="5697"/>
        <v>0</v>
      </c>
      <c r="GA340" s="39">
        <f t="shared" si="5697"/>
        <v>0</v>
      </c>
      <c r="GB340" s="39">
        <f t="shared" si="5697"/>
        <v>80.047855999999996</v>
      </c>
      <c r="GC340" s="39">
        <f t="shared" si="5697"/>
        <v>0</v>
      </c>
      <c r="GD340" s="39">
        <f t="shared" ref="GD340:GH340" si="5698">GD$1*FK340/1000000</f>
        <v>0</v>
      </c>
      <c r="GE340" s="39">
        <f t="shared" si="5698"/>
        <v>0</v>
      </c>
      <c r="GF340" s="39">
        <f t="shared" si="5698"/>
        <v>0</v>
      </c>
      <c r="GG340" s="39">
        <f t="shared" si="5698"/>
        <v>0</v>
      </c>
      <c r="GH340" s="39">
        <f t="shared" si="5698"/>
        <v>0</v>
      </c>
      <c r="GI340" s="39">
        <f t="shared" ref="GI340:GJ340" si="5699">GI$1*FP340</f>
        <v>0</v>
      </c>
      <c r="GJ340" s="39">
        <f t="shared" si="5699"/>
        <v>0</v>
      </c>
      <c r="GK340" s="2"/>
      <c r="GL340" s="39">
        <f t="shared" si="4395"/>
        <v>0</v>
      </c>
      <c r="GM340" s="39">
        <f t="shared" si="4396"/>
        <v>0</v>
      </c>
      <c r="GN340" s="2" t="s">
        <v>3</v>
      </c>
      <c r="GO340" s="19">
        <f t="shared" si="4397"/>
        <v>0.79249999999999998</v>
      </c>
      <c r="GP340" s="2">
        <f t="shared" si="4398"/>
        <v>0.81000000000000016</v>
      </c>
      <c r="GQ340" s="15">
        <f t="shared" si="4399"/>
        <v>6.4192500000000017</v>
      </c>
      <c r="GR340" s="15">
        <f t="shared" si="4400"/>
        <v>84.182044500000003</v>
      </c>
      <c r="GS340" s="15">
        <f t="shared" si="4401"/>
        <v>106.22340000000001</v>
      </c>
      <c r="GT340" s="2">
        <f t="shared" si="4402"/>
        <v>0</v>
      </c>
      <c r="GU340" s="2">
        <f t="shared" si="4403"/>
        <v>0</v>
      </c>
      <c r="GV340" s="2">
        <f t="shared" si="4404"/>
        <v>6.4192500000000008</v>
      </c>
      <c r="GW340" s="2">
        <f t="shared" si="4405"/>
        <v>0.872</v>
      </c>
      <c r="GX340" s="4">
        <f t="shared" ref="GX340:GX341" si="5700">(BT340*CB340+CO340*CW340)/GW340</f>
        <v>0.7</v>
      </c>
      <c r="GY340" s="15">
        <f t="shared" ref="GY340:GY341" si="5701">1000*GW340*GX340/100</f>
        <v>6.1040000000000001</v>
      </c>
      <c r="GZ340" s="15">
        <f t="shared" ref="GZ340:GZ341" si="5702">SUM(FU340:GM340)</f>
        <v>80.047855999999996</v>
      </c>
      <c r="HA340" s="15">
        <f t="shared" ref="HA340:HA341" si="5703">GZ340/GW340</f>
        <v>91.798000000000002</v>
      </c>
      <c r="HB340" s="2">
        <f t="shared" si="4406"/>
        <v>0</v>
      </c>
      <c r="HC340" s="2">
        <f t="shared" si="4407"/>
        <v>6.1040000000000001</v>
      </c>
      <c r="HD340" s="2" t="s">
        <v>3</v>
      </c>
      <c r="HE340" s="2" t="s">
        <v>89</v>
      </c>
      <c r="HF340" s="2" t="s">
        <v>137</v>
      </c>
      <c r="HG340" s="2"/>
      <c r="HH340" s="2"/>
      <c r="HI340" s="2" t="s">
        <v>81</v>
      </c>
      <c r="HJ340" s="2" t="s">
        <v>3</v>
      </c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 t="s">
        <v>3</v>
      </c>
    </row>
    <row r="341" spans="1:268" ht="15.75" customHeight="1" x14ac:dyDescent="0.2">
      <c r="A341" s="16" t="s">
        <v>1133</v>
      </c>
      <c r="B341" s="2" t="s">
        <v>120</v>
      </c>
      <c r="C341" s="2"/>
      <c r="D341" s="2"/>
      <c r="E341" s="2"/>
      <c r="F341" s="2" t="s">
        <v>1130</v>
      </c>
      <c r="G341" s="2"/>
      <c r="H341" s="2"/>
      <c r="I341" s="2">
        <v>0.14799999999999999</v>
      </c>
      <c r="J341" s="2">
        <v>0.03</v>
      </c>
      <c r="K341" s="2"/>
      <c r="L341" s="2"/>
      <c r="M341" s="2"/>
      <c r="N341" s="2"/>
      <c r="O341" s="2"/>
      <c r="P341" s="2"/>
      <c r="Q341" s="2">
        <v>2.4300000000000002</v>
      </c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>
        <v>0.45100000000000001</v>
      </c>
      <c r="AE341" s="2">
        <v>0.01</v>
      </c>
      <c r="AF341" s="2"/>
      <c r="AG341" s="2"/>
      <c r="AH341" s="2"/>
      <c r="AI341" s="2"/>
      <c r="AJ341" s="2"/>
      <c r="AK341" s="2"/>
      <c r="AL341" s="2">
        <v>1.1599999999999999</v>
      </c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>
        <v>0.73699999999999999</v>
      </c>
      <c r="AZ341" s="2">
        <v>0.03</v>
      </c>
      <c r="BA341" s="2"/>
      <c r="BB341" s="2"/>
      <c r="BC341" s="2"/>
      <c r="BD341" s="2"/>
      <c r="BE341" s="2"/>
      <c r="BF341" s="2"/>
      <c r="BG341" s="2">
        <v>1.57</v>
      </c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>
        <v>6.2899999999999998E-2</v>
      </c>
      <c r="BU341" s="2"/>
      <c r="BV341" s="2"/>
      <c r="BW341" s="2"/>
      <c r="BX341" s="2"/>
      <c r="BY341" s="2"/>
      <c r="BZ341" s="2"/>
      <c r="CA341" s="2"/>
      <c r="CB341" s="2">
        <v>1.35</v>
      </c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>
        <v>0.19700000000000001</v>
      </c>
      <c r="CP341" s="2"/>
      <c r="CQ341" s="2"/>
      <c r="CR341" s="2"/>
      <c r="CS341" s="2"/>
      <c r="CT341" s="2"/>
      <c r="CU341" s="2"/>
      <c r="CV341" s="2"/>
      <c r="CW341" s="2">
        <v>0.95</v>
      </c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 t="s">
        <v>81</v>
      </c>
      <c r="DK341" s="2"/>
      <c r="DL341" s="2">
        <f t="shared" si="4367"/>
        <v>1.5268637724550898</v>
      </c>
      <c r="DM341" s="2">
        <f t="shared" si="4368"/>
        <v>0</v>
      </c>
      <c r="DN341" s="2" t="s">
        <v>1131</v>
      </c>
      <c r="DO341" s="2" t="s">
        <v>3</v>
      </c>
      <c r="DP341" s="2">
        <f t="shared" si="4369"/>
        <v>3.1059999999999996E-4</v>
      </c>
      <c r="DQ341" s="2">
        <f t="shared" ref="DQ341:DR341" si="5704">K341*$I341+AF341*$AD341+BA341*$AY341</f>
        <v>0</v>
      </c>
      <c r="DR341" s="2">
        <f t="shared" si="5704"/>
        <v>0</v>
      </c>
      <c r="DS341" s="2">
        <f t="shared" ref="DS341:DX341" si="5705">(M341*$I341+AH341*$AD341+BC341*$AY341)/100</f>
        <v>0</v>
      </c>
      <c r="DT341" s="2">
        <f t="shared" si="5705"/>
        <v>0</v>
      </c>
      <c r="DU341" s="2">
        <f t="shared" si="5705"/>
        <v>0</v>
      </c>
      <c r="DV341" s="2">
        <f t="shared" si="5705"/>
        <v>0</v>
      </c>
      <c r="DW341" s="2">
        <f t="shared" si="5705"/>
        <v>2.0398899999999998E-2</v>
      </c>
      <c r="DX341" s="2">
        <f t="shared" si="5705"/>
        <v>0</v>
      </c>
      <c r="DY341" s="2">
        <f t="shared" ref="DY341:EC341" si="5706">S341*$I341+AN341*$AD341+BI341*$AY341</f>
        <v>0</v>
      </c>
      <c r="DZ341" s="2">
        <f t="shared" si="5706"/>
        <v>0</v>
      </c>
      <c r="EA341" s="2">
        <f t="shared" si="5706"/>
        <v>0</v>
      </c>
      <c r="EB341" s="2">
        <f t="shared" si="5706"/>
        <v>0</v>
      </c>
      <c r="EC341" s="2">
        <f t="shared" si="5706"/>
        <v>0</v>
      </c>
      <c r="ED341" s="2">
        <f t="shared" ref="ED341:EE341" si="5707">(X341*$I341+AS341*$AD341+BN341*$AY341)/100</f>
        <v>0</v>
      </c>
      <c r="EE341" s="2">
        <f t="shared" si="5707"/>
        <v>0</v>
      </c>
      <c r="EF341" s="2"/>
      <c r="EG341" s="2">
        <f t="shared" si="4374"/>
        <v>0</v>
      </c>
      <c r="EH341" s="2">
        <f t="shared" si="4375"/>
        <v>0</v>
      </c>
      <c r="EI341" s="39">
        <f t="shared" si="4376"/>
        <v>2.0268563295999997</v>
      </c>
      <c r="EJ341" s="39">
        <f t="shared" ref="EJ341:EK341" si="5708">EJ$1*DQ341/1000000</f>
        <v>0</v>
      </c>
      <c r="EK341" s="39">
        <f t="shared" si="5708"/>
        <v>0</v>
      </c>
      <c r="EL341" s="39">
        <f t="shared" ref="EL341:EQ341" si="5709">EL$1*DS341</f>
        <v>0</v>
      </c>
      <c r="EM341" s="39">
        <f t="shared" si="5709"/>
        <v>0</v>
      </c>
      <c r="EN341" s="39">
        <f t="shared" si="5709"/>
        <v>0</v>
      </c>
      <c r="EO341" s="39">
        <f t="shared" si="5709"/>
        <v>0</v>
      </c>
      <c r="EP341" s="39">
        <f t="shared" si="5709"/>
        <v>267.51117459999995</v>
      </c>
      <c r="EQ341" s="39">
        <f t="shared" si="5709"/>
        <v>0</v>
      </c>
      <c r="ER341" s="39">
        <f t="shared" ref="ER341:EV341" si="5710">ER$1*DY341/1000000</f>
        <v>0</v>
      </c>
      <c r="ES341" s="39">
        <f t="shared" si="5710"/>
        <v>0</v>
      </c>
      <c r="ET341" s="39">
        <f t="shared" si="5710"/>
        <v>0</v>
      </c>
      <c r="EU341" s="39">
        <f t="shared" si="5710"/>
        <v>0</v>
      </c>
      <c r="EV341" s="39">
        <f t="shared" si="5710"/>
        <v>0</v>
      </c>
      <c r="EW341" s="39">
        <f t="shared" ref="EW341:EX341" si="5711">EW$1*ED341</f>
        <v>0</v>
      </c>
      <c r="EX341" s="39">
        <f t="shared" si="5711"/>
        <v>0</v>
      </c>
      <c r="EY341" s="2"/>
      <c r="EZ341" s="39">
        <f t="shared" si="4381"/>
        <v>0</v>
      </c>
      <c r="FA341" s="39">
        <f t="shared" si="4382"/>
        <v>0</v>
      </c>
      <c r="FB341" s="2">
        <f t="shared" si="4383"/>
        <v>0</v>
      </c>
      <c r="FC341" s="2">
        <f t="shared" ref="FC341:FD341" si="5712">BV341*$BT341+CQ341*$CO341</f>
        <v>0</v>
      </c>
      <c r="FD341" s="2">
        <f t="shared" si="5712"/>
        <v>0</v>
      </c>
      <c r="FE341" s="2">
        <f t="shared" ref="FE341:FJ341" si="5713">(BX341*$BT341+CS341*$CO341)/100</f>
        <v>0</v>
      </c>
      <c r="FF341" s="2">
        <f t="shared" si="5713"/>
        <v>0</v>
      </c>
      <c r="FG341" s="2">
        <f t="shared" si="5713"/>
        <v>0</v>
      </c>
      <c r="FH341" s="2">
        <f t="shared" si="5713"/>
        <v>0</v>
      </c>
      <c r="FI341" s="2">
        <f t="shared" si="5713"/>
        <v>2.7206499999999998E-3</v>
      </c>
      <c r="FJ341" s="2">
        <f t="shared" si="5713"/>
        <v>0</v>
      </c>
      <c r="FK341" s="2">
        <f t="shared" ref="FK341:FO341" si="5714">CD341*$BT341+CY341*$CO341</f>
        <v>0</v>
      </c>
      <c r="FL341" s="2">
        <f t="shared" si="5714"/>
        <v>0</v>
      </c>
      <c r="FM341" s="2">
        <f t="shared" si="5714"/>
        <v>0</v>
      </c>
      <c r="FN341" s="2">
        <f t="shared" si="5714"/>
        <v>0</v>
      </c>
      <c r="FO341" s="2">
        <f t="shared" si="5714"/>
        <v>0</v>
      </c>
      <c r="FP341" s="2">
        <f t="shared" ref="FP341:FQ341" si="5715">(CI341*$BT341+DD341*$CO341)/100</f>
        <v>0</v>
      </c>
      <c r="FQ341" s="2">
        <f t="shared" si="5715"/>
        <v>0</v>
      </c>
      <c r="FR341" s="2"/>
      <c r="FS341" s="2">
        <f t="shared" si="4388"/>
        <v>0</v>
      </c>
      <c r="FT341" s="2">
        <f t="shared" si="4389"/>
        <v>0</v>
      </c>
      <c r="FU341" s="39">
        <f t="shared" si="4390"/>
        <v>0</v>
      </c>
      <c r="FV341" s="39">
        <f t="shared" ref="FV341:FW341" si="5716">FV$1*FC341/1000000</f>
        <v>0</v>
      </c>
      <c r="FW341" s="39">
        <f t="shared" si="5716"/>
        <v>0</v>
      </c>
      <c r="FX341" s="39">
        <f t="shared" ref="FX341:GC341" si="5717">FX$1*FE341</f>
        <v>0</v>
      </c>
      <c r="FY341" s="39">
        <f t="shared" si="5717"/>
        <v>0</v>
      </c>
      <c r="FZ341" s="39">
        <f t="shared" si="5717"/>
        <v>0</v>
      </c>
      <c r="GA341" s="39">
        <f t="shared" si="5717"/>
        <v>0</v>
      </c>
      <c r="GB341" s="39">
        <f t="shared" si="5717"/>
        <v>35.678604099999994</v>
      </c>
      <c r="GC341" s="39">
        <f t="shared" si="5717"/>
        <v>0</v>
      </c>
      <c r="GD341" s="39">
        <f t="shared" ref="GD341:GH341" si="5718">GD$1*FK341/1000000</f>
        <v>0</v>
      </c>
      <c r="GE341" s="39">
        <f t="shared" si="5718"/>
        <v>0</v>
      </c>
      <c r="GF341" s="39">
        <f t="shared" si="5718"/>
        <v>0</v>
      </c>
      <c r="GG341" s="39">
        <f t="shared" si="5718"/>
        <v>0</v>
      </c>
      <c r="GH341" s="39">
        <f t="shared" si="5718"/>
        <v>0</v>
      </c>
      <c r="GI341" s="39">
        <f t="shared" ref="GI341:GJ341" si="5719">GI$1*FP341</f>
        <v>0</v>
      </c>
      <c r="GJ341" s="39">
        <f t="shared" si="5719"/>
        <v>0</v>
      </c>
      <c r="GK341" s="2"/>
      <c r="GL341" s="39">
        <f t="shared" si="4395"/>
        <v>0</v>
      </c>
      <c r="GM341" s="39">
        <f t="shared" si="4396"/>
        <v>0</v>
      </c>
      <c r="GN341" s="2" t="s">
        <v>3</v>
      </c>
      <c r="GO341" s="2">
        <f t="shared" si="4397"/>
        <v>1.3359999999999999</v>
      </c>
      <c r="GP341" s="4">
        <f t="shared" si="4398"/>
        <v>1.5268637724550898</v>
      </c>
      <c r="GQ341" s="15">
        <f t="shared" si="4399"/>
        <v>20.398899999999998</v>
      </c>
      <c r="GR341" s="15">
        <f t="shared" si="4400"/>
        <v>269.53803092959993</v>
      </c>
      <c r="GS341" s="15">
        <f t="shared" si="4401"/>
        <v>201.75002315089816</v>
      </c>
      <c r="GT341" s="2">
        <f t="shared" si="4402"/>
        <v>3.5964000000000005</v>
      </c>
      <c r="GU341" s="2">
        <f t="shared" si="4403"/>
        <v>5.2315999999999994</v>
      </c>
      <c r="GV341" s="2">
        <f t="shared" si="4404"/>
        <v>11.5709</v>
      </c>
      <c r="GW341" s="19">
        <f t="shared" si="4405"/>
        <v>0.25990000000000002</v>
      </c>
      <c r="GX341" s="4">
        <f t="shared" si="5700"/>
        <v>1.0468064640246248</v>
      </c>
      <c r="GY341" s="15">
        <f t="shared" si="5701"/>
        <v>2.7206500000000005</v>
      </c>
      <c r="GZ341" s="15">
        <f t="shared" si="5702"/>
        <v>35.678604099999994</v>
      </c>
      <c r="HA341" s="15">
        <f t="shared" si="5703"/>
        <v>137.27819969218928</v>
      </c>
      <c r="HB341" s="2">
        <f t="shared" si="4406"/>
        <v>0.84915000000000007</v>
      </c>
      <c r="HC341" s="2">
        <f t="shared" si="4407"/>
        <v>1.8715000000000002</v>
      </c>
      <c r="HD341" s="2" t="s">
        <v>3</v>
      </c>
      <c r="HE341" s="2" t="s">
        <v>89</v>
      </c>
      <c r="HF341" s="2" t="s">
        <v>137</v>
      </c>
      <c r="HG341" s="2"/>
      <c r="HH341" s="2"/>
      <c r="HI341" s="2" t="s">
        <v>81</v>
      </c>
      <c r="HJ341" s="2" t="s">
        <v>3</v>
      </c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 t="s">
        <v>3</v>
      </c>
    </row>
    <row r="342" spans="1:268" ht="15.75" customHeight="1" x14ac:dyDescent="0.2">
      <c r="A342" s="16" t="s">
        <v>540</v>
      </c>
      <c r="B342" s="2" t="s">
        <v>99</v>
      </c>
      <c r="C342" s="2"/>
      <c r="D342" s="2"/>
      <c r="E342" s="2"/>
      <c r="F342" s="2" t="s">
        <v>541</v>
      </c>
      <c r="G342" s="2"/>
      <c r="H342" s="2"/>
      <c r="I342" s="2">
        <v>0</v>
      </c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>
        <v>0</v>
      </c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>
        <v>1.2669999999999999</v>
      </c>
      <c r="AZ342" s="2"/>
      <c r="BA342" s="2"/>
      <c r="BB342" s="2"/>
      <c r="BC342" s="2"/>
      <c r="BD342" s="2"/>
      <c r="BE342" s="2"/>
      <c r="BF342" s="2"/>
      <c r="BG342" s="2">
        <v>0.43</v>
      </c>
      <c r="BH342" s="2">
        <v>0.03</v>
      </c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>
        <v>0</v>
      </c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>
        <v>0</v>
      </c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 t="s">
        <v>81</v>
      </c>
      <c r="DK342" s="2" t="s">
        <v>81</v>
      </c>
      <c r="DL342" s="2">
        <f t="shared" si="4367"/>
        <v>0.42999999999999994</v>
      </c>
      <c r="DM342" s="2">
        <f t="shared" si="4368"/>
        <v>0.03</v>
      </c>
      <c r="DN342" s="2" t="s">
        <v>542</v>
      </c>
      <c r="DO342" s="2" t="s">
        <v>3</v>
      </c>
      <c r="DP342" s="2">
        <f t="shared" si="4369"/>
        <v>0</v>
      </c>
      <c r="DQ342" s="2">
        <f t="shared" ref="DQ342:DR342" si="5720">K342*$I342+AF342*$AD342+BA342*$AY342</f>
        <v>0</v>
      </c>
      <c r="DR342" s="2">
        <f t="shared" si="5720"/>
        <v>0</v>
      </c>
      <c r="DS342" s="2">
        <f t="shared" ref="DS342:DX342" si="5721">(M342*$I342+AH342*$AD342+BC342*$AY342)/100</f>
        <v>0</v>
      </c>
      <c r="DT342" s="2">
        <f t="shared" si="5721"/>
        <v>0</v>
      </c>
      <c r="DU342" s="2">
        <f t="shared" si="5721"/>
        <v>0</v>
      </c>
      <c r="DV342" s="2">
        <f t="shared" si="5721"/>
        <v>0</v>
      </c>
      <c r="DW342" s="2">
        <f t="shared" si="5721"/>
        <v>5.4480999999999991E-3</v>
      </c>
      <c r="DX342" s="2">
        <f t="shared" si="5721"/>
        <v>3.8009999999999997E-4</v>
      </c>
      <c r="DY342" s="2">
        <f t="shared" ref="DY342:EC342" si="5722">S342*$I342+AN342*$AD342+BI342*$AY342</f>
        <v>0</v>
      </c>
      <c r="DZ342" s="2">
        <f t="shared" si="5722"/>
        <v>0</v>
      </c>
      <c r="EA342" s="2">
        <f t="shared" si="5722"/>
        <v>0</v>
      </c>
      <c r="EB342" s="2">
        <f t="shared" si="5722"/>
        <v>0</v>
      </c>
      <c r="EC342" s="2">
        <f t="shared" si="5722"/>
        <v>0</v>
      </c>
      <c r="ED342" s="2">
        <f t="shared" ref="ED342:EE342" si="5723">(X342*$I342+AS342*$AD342+BN342*$AY342)/100</f>
        <v>0</v>
      </c>
      <c r="EE342" s="2">
        <f t="shared" si="5723"/>
        <v>0</v>
      </c>
      <c r="EF342" s="2"/>
      <c r="EG342" s="2">
        <f t="shared" si="4374"/>
        <v>0</v>
      </c>
      <c r="EH342" s="2">
        <f t="shared" si="4375"/>
        <v>0</v>
      </c>
      <c r="EI342" s="39">
        <f t="shared" si="4376"/>
        <v>0</v>
      </c>
      <c r="EJ342" s="39">
        <f t="shared" ref="EJ342:EK342" si="5724">EJ$1*DQ342/1000000</f>
        <v>0</v>
      </c>
      <c r="EK342" s="39">
        <f t="shared" si="5724"/>
        <v>0</v>
      </c>
      <c r="EL342" s="39">
        <f t="shared" ref="EL342:EQ342" si="5725">EL$1*DS342</f>
        <v>0</v>
      </c>
      <c r="EM342" s="39">
        <f t="shared" si="5725"/>
        <v>0</v>
      </c>
      <c r="EN342" s="39">
        <f t="shared" si="5725"/>
        <v>0</v>
      </c>
      <c r="EO342" s="39">
        <f t="shared" si="5725"/>
        <v>0</v>
      </c>
      <c r="EP342" s="39">
        <f t="shared" si="5725"/>
        <v>71.446383399999988</v>
      </c>
      <c r="EQ342" s="39">
        <f t="shared" si="5725"/>
        <v>27.602681072399996</v>
      </c>
      <c r="ER342" s="39">
        <f t="shared" ref="ER342:EV342" si="5726">ER$1*DY342/1000000</f>
        <v>0</v>
      </c>
      <c r="ES342" s="39">
        <f t="shared" si="5726"/>
        <v>0</v>
      </c>
      <c r="ET342" s="39">
        <f t="shared" si="5726"/>
        <v>0</v>
      </c>
      <c r="EU342" s="39">
        <f t="shared" si="5726"/>
        <v>0</v>
      </c>
      <c r="EV342" s="39">
        <f t="shared" si="5726"/>
        <v>0</v>
      </c>
      <c r="EW342" s="39">
        <f t="shared" ref="EW342:EX342" si="5727">EW$1*ED342</f>
        <v>0</v>
      </c>
      <c r="EX342" s="39">
        <f t="shared" si="5727"/>
        <v>0</v>
      </c>
      <c r="EY342" s="2"/>
      <c r="EZ342" s="39">
        <f t="shared" si="4381"/>
        <v>0</v>
      </c>
      <c r="FA342" s="39">
        <f t="shared" si="4382"/>
        <v>0</v>
      </c>
      <c r="FB342" s="2">
        <f t="shared" si="4383"/>
        <v>0</v>
      </c>
      <c r="FC342" s="2">
        <f t="shared" ref="FC342:FD342" si="5728">BV342*$BT342+CQ342*$CO342</f>
        <v>0</v>
      </c>
      <c r="FD342" s="2">
        <f t="shared" si="5728"/>
        <v>0</v>
      </c>
      <c r="FE342" s="2">
        <f t="shared" ref="FE342:FJ342" si="5729">(BX342*$BT342+CS342*$CO342)/100</f>
        <v>0</v>
      </c>
      <c r="FF342" s="2">
        <f t="shared" si="5729"/>
        <v>0</v>
      </c>
      <c r="FG342" s="2">
        <f t="shared" si="5729"/>
        <v>0</v>
      </c>
      <c r="FH342" s="2">
        <f t="shared" si="5729"/>
        <v>0</v>
      </c>
      <c r="FI342" s="2">
        <f t="shared" si="5729"/>
        <v>0</v>
      </c>
      <c r="FJ342" s="2">
        <f t="shared" si="5729"/>
        <v>0</v>
      </c>
      <c r="FK342" s="2">
        <f t="shared" ref="FK342:FO342" si="5730">CD342*$BT342+CY342*$CO342</f>
        <v>0</v>
      </c>
      <c r="FL342" s="2">
        <f t="shared" si="5730"/>
        <v>0</v>
      </c>
      <c r="FM342" s="2">
        <f t="shared" si="5730"/>
        <v>0</v>
      </c>
      <c r="FN342" s="2">
        <f t="shared" si="5730"/>
        <v>0</v>
      </c>
      <c r="FO342" s="2">
        <f t="shared" si="5730"/>
        <v>0</v>
      </c>
      <c r="FP342" s="2">
        <f t="shared" ref="FP342:FQ342" si="5731">(CI342*$BT342+DD342*$CO342)/100</f>
        <v>0</v>
      </c>
      <c r="FQ342" s="2">
        <f t="shared" si="5731"/>
        <v>0</v>
      </c>
      <c r="FR342" s="2"/>
      <c r="FS342" s="2">
        <f t="shared" si="4388"/>
        <v>0</v>
      </c>
      <c r="FT342" s="2">
        <f t="shared" si="4389"/>
        <v>0</v>
      </c>
      <c r="FU342" s="39">
        <f t="shared" si="4390"/>
        <v>0</v>
      </c>
      <c r="FV342" s="39">
        <f t="shared" ref="FV342:FW342" si="5732">FV$1*FC342/1000000</f>
        <v>0</v>
      </c>
      <c r="FW342" s="39">
        <f t="shared" si="5732"/>
        <v>0</v>
      </c>
      <c r="FX342" s="39">
        <f t="shared" ref="FX342:GC342" si="5733">FX$1*FE342</f>
        <v>0</v>
      </c>
      <c r="FY342" s="39">
        <f t="shared" si="5733"/>
        <v>0</v>
      </c>
      <c r="FZ342" s="39">
        <f t="shared" si="5733"/>
        <v>0</v>
      </c>
      <c r="GA342" s="39">
        <f t="shared" si="5733"/>
        <v>0</v>
      </c>
      <c r="GB342" s="39">
        <f t="shared" si="5733"/>
        <v>0</v>
      </c>
      <c r="GC342" s="39">
        <f t="shared" si="5733"/>
        <v>0</v>
      </c>
      <c r="GD342" s="39">
        <f t="shared" ref="GD342:GH342" si="5734">GD$1*FK342/1000000</f>
        <v>0</v>
      </c>
      <c r="GE342" s="39">
        <f t="shared" si="5734"/>
        <v>0</v>
      </c>
      <c r="GF342" s="39">
        <f t="shared" si="5734"/>
        <v>0</v>
      </c>
      <c r="GG342" s="39">
        <f t="shared" si="5734"/>
        <v>0</v>
      </c>
      <c r="GH342" s="39">
        <f t="shared" si="5734"/>
        <v>0</v>
      </c>
      <c r="GI342" s="39">
        <f t="shared" ref="GI342:GJ342" si="5735">GI$1*FP342</f>
        <v>0</v>
      </c>
      <c r="GJ342" s="39">
        <f t="shared" si="5735"/>
        <v>0</v>
      </c>
      <c r="GK342" s="2"/>
      <c r="GL342" s="39">
        <f t="shared" si="4395"/>
        <v>0</v>
      </c>
      <c r="GM342" s="39">
        <f t="shared" si="4396"/>
        <v>0</v>
      </c>
      <c r="GN342" s="2" t="s">
        <v>3</v>
      </c>
      <c r="GO342" s="2">
        <f t="shared" si="4397"/>
        <v>1.2669999999999999</v>
      </c>
      <c r="GP342" s="2">
        <f t="shared" si="4398"/>
        <v>0.42999999999999994</v>
      </c>
      <c r="GQ342" s="15">
        <f t="shared" si="4399"/>
        <v>5.4480999999999993</v>
      </c>
      <c r="GR342" s="15">
        <f t="shared" si="4400"/>
        <v>99.049064472399976</v>
      </c>
      <c r="GS342" s="15">
        <f t="shared" si="4401"/>
        <v>78.176057199999988</v>
      </c>
      <c r="GT342" s="2">
        <f t="shared" si="4402"/>
        <v>0</v>
      </c>
      <c r="GU342" s="2">
        <f t="shared" si="4403"/>
        <v>0</v>
      </c>
      <c r="GV342" s="2">
        <f t="shared" si="4404"/>
        <v>5.4480999999999993</v>
      </c>
      <c r="GW342" s="2">
        <f t="shared" si="4405"/>
        <v>0</v>
      </c>
      <c r="GX342" s="2"/>
      <c r="GY342" s="2"/>
      <c r="GZ342" s="2"/>
      <c r="HA342" s="2"/>
      <c r="HB342" s="2">
        <f t="shared" si="4406"/>
        <v>0</v>
      </c>
      <c r="HC342" s="2">
        <f t="shared" si="4407"/>
        <v>0</v>
      </c>
      <c r="HD342" s="2" t="s">
        <v>3</v>
      </c>
      <c r="HE342" s="2" t="s">
        <v>89</v>
      </c>
      <c r="HF342" s="2" t="s">
        <v>137</v>
      </c>
      <c r="HG342" s="2"/>
      <c r="HH342" s="2"/>
      <c r="HI342" s="2" t="s">
        <v>81</v>
      </c>
      <c r="HJ342" s="2" t="s">
        <v>3</v>
      </c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 t="s">
        <v>3</v>
      </c>
    </row>
    <row r="343" spans="1:268" ht="15.75" customHeight="1" x14ac:dyDescent="0.2">
      <c r="A343" s="16" t="s">
        <v>568</v>
      </c>
      <c r="B343" s="2" t="s">
        <v>99</v>
      </c>
      <c r="C343" s="2"/>
      <c r="D343" s="2"/>
      <c r="E343" s="2"/>
      <c r="F343" s="2" t="s">
        <v>79</v>
      </c>
      <c r="G343" s="2"/>
      <c r="H343" s="2"/>
      <c r="I343" s="2">
        <v>0</v>
      </c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>
        <v>0</v>
      </c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>
        <v>0.5</v>
      </c>
      <c r="AZ343" s="2">
        <v>0.01</v>
      </c>
      <c r="BA343" s="2"/>
      <c r="BB343" s="2"/>
      <c r="BC343" s="2"/>
      <c r="BD343" s="2"/>
      <c r="BE343" s="2"/>
      <c r="BF343" s="2"/>
      <c r="BG343" s="2">
        <v>0.28999999999999998</v>
      </c>
      <c r="BH343" s="2">
        <v>0.05</v>
      </c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>
        <v>0</v>
      </c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>
        <v>0</v>
      </c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 t="s">
        <v>81</v>
      </c>
      <c r="DK343" s="2" t="s">
        <v>81</v>
      </c>
      <c r="DL343" s="2">
        <f t="shared" si="4367"/>
        <v>0.28999999999999998</v>
      </c>
      <c r="DM343" s="2">
        <f t="shared" si="4368"/>
        <v>0.05</v>
      </c>
      <c r="DN343" s="2" t="s">
        <v>569</v>
      </c>
      <c r="DO343" s="2" t="s">
        <v>3</v>
      </c>
      <c r="DP343" s="2">
        <f t="shared" si="4369"/>
        <v>5.0000000000000002E-5</v>
      </c>
      <c r="DQ343" s="2">
        <f t="shared" ref="DQ343:DR343" si="5736">K343*$I343+AF343*$AD343+BA343*$AY343</f>
        <v>0</v>
      </c>
      <c r="DR343" s="2">
        <f t="shared" si="5736"/>
        <v>0</v>
      </c>
      <c r="DS343" s="2">
        <f t="shared" ref="DS343:DX343" si="5737">(M343*$I343+AH343*$AD343+BC343*$AY343)/100</f>
        <v>0</v>
      </c>
      <c r="DT343" s="2">
        <f t="shared" si="5737"/>
        <v>0</v>
      </c>
      <c r="DU343" s="2">
        <f t="shared" si="5737"/>
        <v>0</v>
      </c>
      <c r="DV343" s="2">
        <f t="shared" si="5737"/>
        <v>0</v>
      </c>
      <c r="DW343" s="2">
        <f t="shared" si="5737"/>
        <v>1.4499999999999999E-3</v>
      </c>
      <c r="DX343" s="2">
        <f t="shared" si="5737"/>
        <v>2.5000000000000001E-4</v>
      </c>
      <c r="DY343" s="2">
        <f t="shared" ref="DY343:EC343" si="5738">S343*$I343+AN343*$AD343+BI343*$AY343</f>
        <v>0</v>
      </c>
      <c r="DZ343" s="2">
        <f t="shared" si="5738"/>
        <v>0</v>
      </c>
      <c r="EA343" s="2">
        <f t="shared" si="5738"/>
        <v>0</v>
      </c>
      <c r="EB343" s="2">
        <f t="shared" si="5738"/>
        <v>0</v>
      </c>
      <c r="EC343" s="2">
        <f t="shared" si="5738"/>
        <v>0</v>
      </c>
      <c r="ED343" s="2">
        <f t="shared" ref="ED343:EE343" si="5739">(X343*$I343+AS343*$AD343+BN343*$AY343)/100</f>
        <v>0</v>
      </c>
      <c r="EE343" s="2">
        <f t="shared" si="5739"/>
        <v>0</v>
      </c>
      <c r="EF343" s="2"/>
      <c r="EG343" s="2">
        <f t="shared" si="4374"/>
        <v>0</v>
      </c>
      <c r="EH343" s="2">
        <f t="shared" si="4375"/>
        <v>0</v>
      </c>
      <c r="EI343" s="39">
        <f t="shared" si="4376"/>
        <v>0.32628080000000004</v>
      </c>
      <c r="EJ343" s="39">
        <f t="shared" ref="EJ343:EK343" si="5740">EJ$1*DQ343/1000000</f>
        <v>0</v>
      </c>
      <c r="EK343" s="39">
        <f t="shared" si="5740"/>
        <v>0</v>
      </c>
      <c r="EL343" s="39">
        <f t="shared" ref="EL343:EQ343" si="5741">EL$1*DS343</f>
        <v>0</v>
      </c>
      <c r="EM343" s="39">
        <f t="shared" si="5741"/>
        <v>0</v>
      </c>
      <c r="EN343" s="39">
        <f t="shared" si="5741"/>
        <v>0</v>
      </c>
      <c r="EO343" s="39">
        <f t="shared" si="5741"/>
        <v>0</v>
      </c>
      <c r="EP343" s="39">
        <f t="shared" si="5741"/>
        <v>19.0153</v>
      </c>
      <c r="EQ343" s="39">
        <f t="shared" si="5741"/>
        <v>18.154881</v>
      </c>
      <c r="ER343" s="39">
        <f t="shared" ref="ER343:EV343" si="5742">ER$1*DY343/1000000</f>
        <v>0</v>
      </c>
      <c r="ES343" s="39">
        <f t="shared" si="5742"/>
        <v>0</v>
      </c>
      <c r="ET343" s="39">
        <f t="shared" si="5742"/>
        <v>0</v>
      </c>
      <c r="EU343" s="39">
        <f t="shared" si="5742"/>
        <v>0</v>
      </c>
      <c r="EV343" s="39">
        <f t="shared" si="5742"/>
        <v>0</v>
      </c>
      <c r="EW343" s="39">
        <f t="shared" ref="EW343:EX343" si="5743">EW$1*ED343</f>
        <v>0</v>
      </c>
      <c r="EX343" s="39">
        <f t="shared" si="5743"/>
        <v>0</v>
      </c>
      <c r="EY343" s="2"/>
      <c r="EZ343" s="39">
        <f t="shared" si="4381"/>
        <v>0</v>
      </c>
      <c r="FA343" s="39">
        <f t="shared" si="4382"/>
        <v>0</v>
      </c>
      <c r="FB343" s="2">
        <f t="shared" si="4383"/>
        <v>0</v>
      </c>
      <c r="FC343" s="2">
        <f t="shared" ref="FC343:FD343" si="5744">BV343*$BT343+CQ343*$CO343</f>
        <v>0</v>
      </c>
      <c r="FD343" s="2">
        <f t="shared" si="5744"/>
        <v>0</v>
      </c>
      <c r="FE343" s="2">
        <f t="shared" ref="FE343:FJ343" si="5745">(BX343*$BT343+CS343*$CO343)/100</f>
        <v>0</v>
      </c>
      <c r="FF343" s="2">
        <f t="shared" si="5745"/>
        <v>0</v>
      </c>
      <c r="FG343" s="2">
        <f t="shared" si="5745"/>
        <v>0</v>
      </c>
      <c r="FH343" s="2">
        <f t="shared" si="5745"/>
        <v>0</v>
      </c>
      <c r="FI343" s="2">
        <f t="shared" si="5745"/>
        <v>0</v>
      </c>
      <c r="FJ343" s="2">
        <f t="shared" si="5745"/>
        <v>0</v>
      </c>
      <c r="FK343" s="2">
        <f t="shared" ref="FK343:FO343" si="5746">CD343*$BT343+CY343*$CO343</f>
        <v>0</v>
      </c>
      <c r="FL343" s="2">
        <f t="shared" si="5746"/>
        <v>0</v>
      </c>
      <c r="FM343" s="2">
        <f t="shared" si="5746"/>
        <v>0</v>
      </c>
      <c r="FN343" s="2">
        <f t="shared" si="5746"/>
        <v>0</v>
      </c>
      <c r="FO343" s="2">
        <f t="shared" si="5746"/>
        <v>0</v>
      </c>
      <c r="FP343" s="2">
        <f t="shared" ref="FP343:FQ343" si="5747">(CI343*$BT343+DD343*$CO343)/100</f>
        <v>0</v>
      </c>
      <c r="FQ343" s="2">
        <f t="shared" si="5747"/>
        <v>0</v>
      </c>
      <c r="FR343" s="2"/>
      <c r="FS343" s="2">
        <f t="shared" si="4388"/>
        <v>0</v>
      </c>
      <c r="FT343" s="2">
        <f t="shared" si="4389"/>
        <v>0</v>
      </c>
      <c r="FU343" s="39">
        <f t="shared" si="4390"/>
        <v>0</v>
      </c>
      <c r="FV343" s="39">
        <f t="shared" ref="FV343:FW343" si="5748">FV$1*FC343/1000000</f>
        <v>0</v>
      </c>
      <c r="FW343" s="39">
        <f t="shared" si="5748"/>
        <v>0</v>
      </c>
      <c r="FX343" s="39">
        <f t="shared" ref="FX343:GC343" si="5749">FX$1*FE343</f>
        <v>0</v>
      </c>
      <c r="FY343" s="39">
        <f t="shared" si="5749"/>
        <v>0</v>
      </c>
      <c r="FZ343" s="39">
        <f t="shared" si="5749"/>
        <v>0</v>
      </c>
      <c r="GA343" s="39">
        <f t="shared" si="5749"/>
        <v>0</v>
      </c>
      <c r="GB343" s="39">
        <f t="shared" si="5749"/>
        <v>0</v>
      </c>
      <c r="GC343" s="39">
        <f t="shared" si="5749"/>
        <v>0</v>
      </c>
      <c r="GD343" s="39">
        <f t="shared" ref="GD343:GH343" si="5750">GD$1*FK343/1000000</f>
        <v>0</v>
      </c>
      <c r="GE343" s="39">
        <f t="shared" si="5750"/>
        <v>0</v>
      </c>
      <c r="GF343" s="39">
        <f t="shared" si="5750"/>
        <v>0</v>
      </c>
      <c r="GG343" s="39">
        <f t="shared" si="5750"/>
        <v>0</v>
      </c>
      <c r="GH343" s="39">
        <f t="shared" si="5750"/>
        <v>0</v>
      </c>
      <c r="GI343" s="39">
        <f t="shared" ref="GI343:GJ343" si="5751">GI$1*FP343</f>
        <v>0</v>
      </c>
      <c r="GJ343" s="39">
        <f t="shared" si="5751"/>
        <v>0</v>
      </c>
      <c r="GK343" s="2"/>
      <c r="GL343" s="39">
        <f t="shared" si="4395"/>
        <v>0</v>
      </c>
      <c r="GM343" s="39">
        <f t="shared" si="4396"/>
        <v>0</v>
      </c>
      <c r="GN343" s="2" t="s">
        <v>3</v>
      </c>
      <c r="GO343" s="2">
        <f t="shared" si="4397"/>
        <v>0.5</v>
      </c>
      <c r="GP343" s="2">
        <f t="shared" si="4398"/>
        <v>0.28999999999999998</v>
      </c>
      <c r="GQ343" s="15">
        <f t="shared" si="4399"/>
        <v>1.45</v>
      </c>
      <c r="GR343" s="15">
        <f t="shared" si="4400"/>
        <v>37.496461799999999</v>
      </c>
      <c r="GS343" s="15">
        <f t="shared" si="4401"/>
        <v>74.992923599999997</v>
      </c>
      <c r="GT343" s="2">
        <f t="shared" si="4402"/>
        <v>0</v>
      </c>
      <c r="GU343" s="2">
        <f t="shared" si="4403"/>
        <v>0</v>
      </c>
      <c r="GV343" s="2">
        <f t="shared" si="4404"/>
        <v>1.45</v>
      </c>
      <c r="GW343" s="2">
        <f t="shared" si="4405"/>
        <v>0</v>
      </c>
      <c r="GX343" s="2"/>
      <c r="GY343" s="2"/>
      <c r="GZ343" s="2"/>
      <c r="HA343" s="2"/>
      <c r="HB343" s="2">
        <f t="shared" si="4406"/>
        <v>0</v>
      </c>
      <c r="HC343" s="2">
        <f t="shared" si="4407"/>
        <v>0</v>
      </c>
      <c r="HD343" s="2" t="s">
        <v>3</v>
      </c>
      <c r="HE343" s="2" t="s">
        <v>89</v>
      </c>
      <c r="HF343" s="2" t="s">
        <v>137</v>
      </c>
      <c r="HG343" s="2"/>
      <c r="HH343" s="2"/>
      <c r="HI343" s="2" t="s">
        <v>81</v>
      </c>
      <c r="HJ343" s="2" t="s">
        <v>3</v>
      </c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 t="s">
        <v>3</v>
      </c>
    </row>
    <row r="344" spans="1:268" ht="15.75" customHeight="1" x14ac:dyDescent="0.2">
      <c r="A344" s="16" t="s">
        <v>265</v>
      </c>
      <c r="B344" s="2" t="s">
        <v>99</v>
      </c>
      <c r="C344" s="2"/>
      <c r="D344" s="2"/>
      <c r="E344" s="2"/>
      <c r="F344" s="2" t="s">
        <v>79</v>
      </c>
      <c r="G344" s="2"/>
      <c r="H344" s="2"/>
      <c r="I344" s="2">
        <v>0</v>
      </c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>
        <v>0</v>
      </c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>
        <f>11.9+2.27+2.28+2.35+1.5</f>
        <v>20.3</v>
      </c>
      <c r="AZ344" s="2"/>
      <c r="BA344" s="2"/>
      <c r="BB344" s="2"/>
      <c r="BC344" s="2"/>
      <c r="BD344" s="2"/>
      <c r="BE344" s="2"/>
      <c r="BF344" s="2"/>
      <c r="BG344" s="4">
        <f>(0.32*11.9+0.6*2.27+0.45*2.28+0.37*2.35+0.72*1.5)/AY344</f>
        <v>0.40125615763546796</v>
      </c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>
        <v>0</v>
      </c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>
        <v>0</v>
      </c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 t="s">
        <v>81</v>
      </c>
      <c r="DK344" s="2"/>
      <c r="DL344" s="2">
        <f t="shared" si="4367"/>
        <v>0.40125615763546796</v>
      </c>
      <c r="DM344" s="2">
        <f t="shared" si="4368"/>
        <v>0</v>
      </c>
      <c r="DN344" s="2" t="s">
        <v>266</v>
      </c>
      <c r="DO344" s="2" t="s">
        <v>3</v>
      </c>
      <c r="DP344" s="2">
        <f t="shared" si="4369"/>
        <v>0</v>
      </c>
      <c r="DQ344" s="2">
        <f t="shared" ref="DQ344:DR344" si="5752">K344*$I344+AF344*$AD344+BA344*$AY344</f>
        <v>0</v>
      </c>
      <c r="DR344" s="2">
        <f t="shared" si="5752"/>
        <v>0</v>
      </c>
      <c r="DS344" s="2">
        <f t="shared" ref="DS344:DX344" si="5753">(M344*$I344+AH344*$AD344+BC344*$AY344)/100</f>
        <v>0</v>
      </c>
      <c r="DT344" s="2">
        <f t="shared" si="5753"/>
        <v>0</v>
      </c>
      <c r="DU344" s="2">
        <f t="shared" si="5753"/>
        <v>0</v>
      </c>
      <c r="DV344" s="2">
        <f t="shared" si="5753"/>
        <v>0</v>
      </c>
      <c r="DW344" s="2">
        <f t="shared" si="5753"/>
        <v>8.1455E-2</v>
      </c>
      <c r="DX344" s="2">
        <f t="shared" si="5753"/>
        <v>0</v>
      </c>
      <c r="DY344" s="2">
        <f t="shared" ref="DY344:EC344" si="5754">S344*$I344+AN344*$AD344+BI344*$AY344</f>
        <v>0</v>
      </c>
      <c r="DZ344" s="2">
        <f t="shared" si="5754"/>
        <v>0</v>
      </c>
      <c r="EA344" s="2">
        <f t="shared" si="5754"/>
        <v>0</v>
      </c>
      <c r="EB344" s="2">
        <f t="shared" si="5754"/>
        <v>0</v>
      </c>
      <c r="EC344" s="2">
        <f t="shared" si="5754"/>
        <v>0</v>
      </c>
      <c r="ED344" s="2">
        <f t="shared" ref="ED344:EE344" si="5755">(X344*$I344+AS344*$AD344+BN344*$AY344)/100</f>
        <v>0</v>
      </c>
      <c r="EE344" s="2">
        <f t="shared" si="5755"/>
        <v>0</v>
      </c>
      <c r="EF344" s="2"/>
      <c r="EG344" s="2">
        <f t="shared" si="4374"/>
        <v>0</v>
      </c>
      <c r="EH344" s="2">
        <f t="shared" si="4375"/>
        <v>0</v>
      </c>
      <c r="EI344" s="39">
        <f t="shared" si="4376"/>
        <v>0</v>
      </c>
      <c r="EJ344" s="39">
        <f t="shared" ref="EJ344:EK344" si="5756">EJ$1*DQ344/1000000</f>
        <v>0</v>
      </c>
      <c r="EK344" s="39">
        <f t="shared" si="5756"/>
        <v>0</v>
      </c>
      <c r="EL344" s="39">
        <f t="shared" ref="EL344:EQ344" si="5757">EL$1*DS344</f>
        <v>0</v>
      </c>
      <c r="EM344" s="39">
        <f t="shared" si="5757"/>
        <v>0</v>
      </c>
      <c r="EN344" s="39">
        <f t="shared" si="5757"/>
        <v>0</v>
      </c>
      <c r="EO344" s="39">
        <f t="shared" si="5757"/>
        <v>0</v>
      </c>
      <c r="EP344" s="39">
        <f t="shared" si="5757"/>
        <v>1068.2008699999999</v>
      </c>
      <c r="EQ344" s="39">
        <f t="shared" si="5757"/>
        <v>0</v>
      </c>
      <c r="ER344" s="39">
        <f t="shared" ref="ER344:EV344" si="5758">ER$1*DY344/1000000</f>
        <v>0</v>
      </c>
      <c r="ES344" s="39">
        <f t="shared" si="5758"/>
        <v>0</v>
      </c>
      <c r="ET344" s="39">
        <f t="shared" si="5758"/>
        <v>0</v>
      </c>
      <c r="EU344" s="39">
        <f t="shared" si="5758"/>
        <v>0</v>
      </c>
      <c r="EV344" s="39">
        <f t="shared" si="5758"/>
        <v>0</v>
      </c>
      <c r="EW344" s="39">
        <f t="shared" ref="EW344:EX344" si="5759">EW$1*ED344</f>
        <v>0</v>
      </c>
      <c r="EX344" s="39">
        <f t="shared" si="5759"/>
        <v>0</v>
      </c>
      <c r="EY344" s="2"/>
      <c r="EZ344" s="39">
        <f t="shared" si="4381"/>
        <v>0</v>
      </c>
      <c r="FA344" s="39">
        <f t="shared" si="4382"/>
        <v>0</v>
      </c>
      <c r="FB344" s="2">
        <f t="shared" si="4383"/>
        <v>0</v>
      </c>
      <c r="FC344" s="2">
        <f t="shared" ref="FC344:FD344" si="5760">BV344*$BT344+CQ344*$CO344</f>
        <v>0</v>
      </c>
      <c r="FD344" s="2">
        <f t="shared" si="5760"/>
        <v>0</v>
      </c>
      <c r="FE344" s="2">
        <f t="shared" ref="FE344:FJ344" si="5761">(BX344*$BT344+CS344*$CO344)/100</f>
        <v>0</v>
      </c>
      <c r="FF344" s="2">
        <f t="shared" si="5761"/>
        <v>0</v>
      </c>
      <c r="FG344" s="2">
        <f t="shared" si="5761"/>
        <v>0</v>
      </c>
      <c r="FH344" s="2">
        <f t="shared" si="5761"/>
        <v>0</v>
      </c>
      <c r="FI344" s="2">
        <f t="shared" si="5761"/>
        <v>0</v>
      </c>
      <c r="FJ344" s="2">
        <f t="shared" si="5761"/>
        <v>0</v>
      </c>
      <c r="FK344" s="2">
        <f t="shared" ref="FK344:FO344" si="5762">CD344*$BT344+CY344*$CO344</f>
        <v>0</v>
      </c>
      <c r="FL344" s="2">
        <f t="shared" si="5762"/>
        <v>0</v>
      </c>
      <c r="FM344" s="2">
        <f t="shared" si="5762"/>
        <v>0</v>
      </c>
      <c r="FN344" s="2">
        <f t="shared" si="5762"/>
        <v>0</v>
      </c>
      <c r="FO344" s="2">
        <f t="shared" si="5762"/>
        <v>0</v>
      </c>
      <c r="FP344" s="2">
        <f t="shared" ref="FP344:FQ344" si="5763">(CI344*$BT344+DD344*$CO344)/100</f>
        <v>0</v>
      </c>
      <c r="FQ344" s="2">
        <f t="shared" si="5763"/>
        <v>0</v>
      </c>
      <c r="FR344" s="2"/>
      <c r="FS344" s="2">
        <f t="shared" si="4388"/>
        <v>0</v>
      </c>
      <c r="FT344" s="2">
        <f t="shared" si="4389"/>
        <v>0</v>
      </c>
      <c r="FU344" s="39">
        <f t="shared" si="4390"/>
        <v>0</v>
      </c>
      <c r="FV344" s="39">
        <f t="shared" ref="FV344:FW344" si="5764">FV$1*FC344/1000000</f>
        <v>0</v>
      </c>
      <c r="FW344" s="39">
        <f t="shared" si="5764"/>
        <v>0</v>
      </c>
      <c r="FX344" s="39">
        <f t="shared" ref="FX344:GC344" si="5765">FX$1*FE344</f>
        <v>0</v>
      </c>
      <c r="FY344" s="39">
        <f t="shared" si="5765"/>
        <v>0</v>
      </c>
      <c r="FZ344" s="39">
        <f t="shared" si="5765"/>
        <v>0</v>
      </c>
      <c r="GA344" s="39">
        <f t="shared" si="5765"/>
        <v>0</v>
      </c>
      <c r="GB344" s="39">
        <f t="shared" si="5765"/>
        <v>0</v>
      </c>
      <c r="GC344" s="39">
        <f t="shared" si="5765"/>
        <v>0</v>
      </c>
      <c r="GD344" s="39">
        <f t="shared" ref="GD344:GH344" si="5766">GD$1*FK344/1000000</f>
        <v>0</v>
      </c>
      <c r="GE344" s="39">
        <f t="shared" si="5766"/>
        <v>0</v>
      </c>
      <c r="GF344" s="39">
        <f t="shared" si="5766"/>
        <v>0</v>
      </c>
      <c r="GG344" s="39">
        <f t="shared" si="5766"/>
        <v>0</v>
      </c>
      <c r="GH344" s="39">
        <f t="shared" si="5766"/>
        <v>0</v>
      </c>
      <c r="GI344" s="39">
        <f t="shared" ref="GI344:GJ344" si="5767">GI$1*FP344</f>
        <v>0</v>
      </c>
      <c r="GJ344" s="39">
        <f t="shared" si="5767"/>
        <v>0</v>
      </c>
      <c r="GK344" s="2"/>
      <c r="GL344" s="39">
        <f t="shared" si="4395"/>
        <v>0</v>
      </c>
      <c r="GM344" s="39">
        <f t="shared" si="4396"/>
        <v>0</v>
      </c>
      <c r="GN344" s="2" t="s">
        <v>3</v>
      </c>
      <c r="GO344" s="2">
        <f t="shared" si="4397"/>
        <v>20.3</v>
      </c>
      <c r="GP344" s="4">
        <f t="shared" si="4398"/>
        <v>0.40125615763546796</v>
      </c>
      <c r="GQ344" s="15">
        <f t="shared" si="4399"/>
        <v>81.454999999999998</v>
      </c>
      <c r="GR344" s="15">
        <f t="shared" si="4400"/>
        <v>1068.2008699999999</v>
      </c>
      <c r="GS344" s="15">
        <f t="shared" si="4401"/>
        <v>52.620732512315264</v>
      </c>
      <c r="GT344" s="2">
        <f t="shared" si="4402"/>
        <v>0</v>
      </c>
      <c r="GU344" s="2">
        <f t="shared" si="4403"/>
        <v>0</v>
      </c>
      <c r="GV344" s="2">
        <f t="shared" si="4404"/>
        <v>81.454999999999998</v>
      </c>
      <c r="GW344" s="2">
        <f t="shared" si="4405"/>
        <v>0</v>
      </c>
      <c r="GX344" s="2"/>
      <c r="GY344" s="2"/>
      <c r="GZ344" s="2"/>
      <c r="HA344" s="2"/>
      <c r="HB344" s="2">
        <f t="shared" si="4406"/>
        <v>0</v>
      </c>
      <c r="HC344" s="2">
        <f t="shared" si="4407"/>
        <v>0</v>
      </c>
      <c r="HD344" s="2" t="s">
        <v>3</v>
      </c>
      <c r="HE344" s="2" t="s">
        <v>89</v>
      </c>
      <c r="HF344" s="2" t="s">
        <v>137</v>
      </c>
      <c r="HG344" s="2"/>
      <c r="HH344" s="2" t="s">
        <v>130</v>
      </c>
      <c r="HI344" s="2" t="s">
        <v>81</v>
      </c>
      <c r="HJ344" s="2" t="s">
        <v>3</v>
      </c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 t="s">
        <v>3</v>
      </c>
    </row>
    <row r="345" spans="1:268" ht="15.75" customHeight="1" x14ac:dyDescent="0.2">
      <c r="A345" s="16" t="s">
        <v>237</v>
      </c>
      <c r="B345" s="2" t="s">
        <v>238</v>
      </c>
      <c r="C345" s="2"/>
      <c r="D345" s="2"/>
      <c r="E345" s="2"/>
      <c r="F345" s="2" t="s">
        <v>239</v>
      </c>
      <c r="G345" s="2"/>
      <c r="H345" s="2"/>
      <c r="I345" s="2">
        <v>3.55</v>
      </c>
      <c r="J345" s="2"/>
      <c r="K345" s="2"/>
      <c r="L345" s="2"/>
      <c r="M345" s="2"/>
      <c r="N345" s="2"/>
      <c r="O345" s="2"/>
      <c r="P345" s="2"/>
      <c r="Q345" s="2">
        <v>0.96</v>
      </c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>
        <v>37.627000000000002</v>
      </c>
      <c r="AE345" s="2"/>
      <c r="AF345" s="2"/>
      <c r="AG345" s="2"/>
      <c r="AH345" s="2"/>
      <c r="AI345" s="2"/>
      <c r="AJ345" s="2"/>
      <c r="AK345" s="2"/>
      <c r="AL345" s="2">
        <v>0.56999999999999995</v>
      </c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>
        <v>10.55</v>
      </c>
      <c r="AZ345" s="2"/>
      <c r="BA345" s="2"/>
      <c r="BB345" s="2"/>
      <c r="BC345" s="2"/>
      <c r="BD345" s="2"/>
      <c r="BE345" s="2"/>
      <c r="BF345" s="2"/>
      <c r="BG345" s="2">
        <v>0.62</v>
      </c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>
        <v>1.72</v>
      </c>
      <c r="BU345" s="2"/>
      <c r="BV345" s="2"/>
      <c r="BW345" s="2"/>
      <c r="BX345" s="2"/>
      <c r="BY345" s="2"/>
      <c r="BZ345" s="2"/>
      <c r="CA345" s="2"/>
      <c r="CB345" s="2">
        <v>1.07</v>
      </c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>
        <v>0.69</v>
      </c>
      <c r="CP345" s="2">
        <v>1.08</v>
      </c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 t="s">
        <v>81</v>
      </c>
      <c r="DK345" s="2"/>
      <c r="DL345" s="2">
        <f t="shared" si="4367"/>
        <v>0.60696328803139554</v>
      </c>
      <c r="DM345" s="2">
        <f t="shared" si="4368"/>
        <v>0</v>
      </c>
      <c r="DN345" s="2" t="s">
        <v>225</v>
      </c>
      <c r="DO345" s="2" t="s">
        <v>3</v>
      </c>
      <c r="DP345" s="2">
        <f t="shared" si="4369"/>
        <v>0</v>
      </c>
      <c r="DQ345" s="2">
        <f t="shared" ref="DQ345:DR345" si="5768">K345*$I345+AF345*$AD345+BA345*$AY345</f>
        <v>0</v>
      </c>
      <c r="DR345" s="2">
        <f t="shared" si="5768"/>
        <v>0</v>
      </c>
      <c r="DS345" s="2">
        <f t="shared" ref="DS345:DX345" si="5769">(M345*$I345+AH345*$AD345+BC345*$AY345)/100</f>
        <v>0</v>
      </c>
      <c r="DT345" s="2">
        <f t="shared" si="5769"/>
        <v>0</v>
      </c>
      <c r="DU345" s="2">
        <f t="shared" si="5769"/>
        <v>0</v>
      </c>
      <c r="DV345" s="2">
        <f t="shared" si="5769"/>
        <v>0</v>
      </c>
      <c r="DW345" s="2">
        <f t="shared" si="5769"/>
        <v>0.31396390000000002</v>
      </c>
      <c r="DX345" s="2">
        <f t="shared" si="5769"/>
        <v>0</v>
      </c>
      <c r="DY345" s="2">
        <f t="shared" ref="DY345:EC345" si="5770">S345*$I345+AN345*$AD345+BI345*$AY345</f>
        <v>0</v>
      </c>
      <c r="DZ345" s="2">
        <f t="shared" si="5770"/>
        <v>0</v>
      </c>
      <c r="EA345" s="2">
        <f t="shared" si="5770"/>
        <v>0</v>
      </c>
      <c r="EB345" s="2">
        <f t="shared" si="5770"/>
        <v>0</v>
      </c>
      <c r="EC345" s="2">
        <f t="shared" si="5770"/>
        <v>0</v>
      </c>
      <c r="ED345" s="2">
        <f t="shared" ref="ED345:EE345" si="5771">(X345*$I345+AS345*$AD345+BN345*$AY345)/100</f>
        <v>0</v>
      </c>
      <c r="EE345" s="2">
        <f t="shared" si="5771"/>
        <v>0</v>
      </c>
      <c r="EF345" s="2"/>
      <c r="EG345" s="2">
        <f t="shared" si="4374"/>
        <v>0</v>
      </c>
      <c r="EH345" s="2">
        <f t="shared" si="4375"/>
        <v>0</v>
      </c>
      <c r="EI345" s="39">
        <f t="shared" si="4376"/>
        <v>0</v>
      </c>
      <c r="EJ345" s="39">
        <f t="shared" ref="EJ345:EK345" si="5772">EJ$1*DQ345/1000000</f>
        <v>0</v>
      </c>
      <c r="EK345" s="39">
        <f t="shared" si="5772"/>
        <v>0</v>
      </c>
      <c r="EL345" s="39">
        <f t="shared" ref="EL345:EQ345" si="5773">EL$1*DS345</f>
        <v>0</v>
      </c>
      <c r="EM345" s="39">
        <f t="shared" si="5773"/>
        <v>0</v>
      </c>
      <c r="EN345" s="39">
        <f t="shared" si="5773"/>
        <v>0</v>
      </c>
      <c r="EO345" s="39">
        <f t="shared" si="5773"/>
        <v>0</v>
      </c>
      <c r="EP345" s="39">
        <f t="shared" si="5773"/>
        <v>4117.3225846000005</v>
      </c>
      <c r="EQ345" s="39">
        <f t="shared" si="5773"/>
        <v>0</v>
      </c>
      <c r="ER345" s="39">
        <f t="shared" ref="ER345:EV345" si="5774">ER$1*DY345/1000000</f>
        <v>0</v>
      </c>
      <c r="ES345" s="39">
        <f t="shared" si="5774"/>
        <v>0</v>
      </c>
      <c r="ET345" s="39">
        <f t="shared" si="5774"/>
        <v>0</v>
      </c>
      <c r="EU345" s="39">
        <f t="shared" si="5774"/>
        <v>0</v>
      </c>
      <c r="EV345" s="39">
        <f t="shared" si="5774"/>
        <v>0</v>
      </c>
      <c r="EW345" s="39">
        <f t="shared" ref="EW345:EX345" si="5775">EW$1*ED345</f>
        <v>0</v>
      </c>
      <c r="EX345" s="39">
        <f t="shared" si="5775"/>
        <v>0</v>
      </c>
      <c r="EY345" s="2"/>
      <c r="EZ345" s="39">
        <f t="shared" si="4381"/>
        <v>0</v>
      </c>
      <c r="FA345" s="39">
        <f t="shared" si="4382"/>
        <v>0</v>
      </c>
      <c r="FB345" s="2">
        <f t="shared" si="4383"/>
        <v>7.4519999999999994E-3</v>
      </c>
      <c r="FC345" s="2">
        <f t="shared" ref="FC345:FD345" si="5776">BV345*$BT345+CQ345*$CO345</f>
        <v>0</v>
      </c>
      <c r="FD345" s="2">
        <f t="shared" si="5776"/>
        <v>0</v>
      </c>
      <c r="FE345" s="2">
        <f t="shared" ref="FE345:FJ345" si="5777">(BX345*$BT345+CS345*$CO345)/100</f>
        <v>0</v>
      </c>
      <c r="FF345" s="2">
        <f t="shared" si="5777"/>
        <v>0</v>
      </c>
      <c r="FG345" s="2">
        <f t="shared" si="5777"/>
        <v>0</v>
      </c>
      <c r="FH345" s="2">
        <f t="shared" si="5777"/>
        <v>0</v>
      </c>
      <c r="FI345" s="2">
        <f t="shared" si="5777"/>
        <v>1.8404E-2</v>
      </c>
      <c r="FJ345" s="2">
        <f t="shared" si="5777"/>
        <v>0</v>
      </c>
      <c r="FK345" s="2">
        <f t="shared" ref="FK345:FO345" si="5778">CD345*$BT345+CY345*$CO345</f>
        <v>0</v>
      </c>
      <c r="FL345" s="2">
        <f t="shared" si="5778"/>
        <v>0</v>
      </c>
      <c r="FM345" s="2">
        <f t="shared" si="5778"/>
        <v>0</v>
      </c>
      <c r="FN345" s="2">
        <f t="shared" si="5778"/>
        <v>0</v>
      </c>
      <c r="FO345" s="2">
        <f t="shared" si="5778"/>
        <v>0</v>
      </c>
      <c r="FP345" s="2">
        <f t="shared" ref="FP345:FQ345" si="5779">(CI345*$BT345+DD345*$CO345)/100</f>
        <v>0</v>
      </c>
      <c r="FQ345" s="2">
        <f t="shared" si="5779"/>
        <v>0</v>
      </c>
      <c r="FR345" s="2"/>
      <c r="FS345" s="2">
        <f t="shared" si="4388"/>
        <v>0</v>
      </c>
      <c r="FT345" s="2">
        <f t="shared" si="4389"/>
        <v>0</v>
      </c>
      <c r="FU345" s="39">
        <f t="shared" si="4390"/>
        <v>48.628890431999999</v>
      </c>
      <c r="FV345" s="39">
        <f t="shared" ref="FV345:FW345" si="5780">FV$1*FC345/1000000</f>
        <v>0</v>
      </c>
      <c r="FW345" s="39">
        <f t="shared" si="5780"/>
        <v>0</v>
      </c>
      <c r="FX345" s="39">
        <f t="shared" ref="FX345:GC345" si="5781">FX$1*FE345</f>
        <v>0</v>
      </c>
      <c r="FY345" s="39">
        <f t="shared" si="5781"/>
        <v>0</v>
      </c>
      <c r="FZ345" s="39">
        <f t="shared" si="5781"/>
        <v>0</v>
      </c>
      <c r="GA345" s="39">
        <f t="shared" si="5781"/>
        <v>0</v>
      </c>
      <c r="GB345" s="39">
        <f t="shared" si="5781"/>
        <v>241.350056</v>
      </c>
      <c r="GC345" s="39">
        <f t="shared" si="5781"/>
        <v>0</v>
      </c>
      <c r="GD345" s="39">
        <f t="shared" ref="GD345:GH345" si="5782">GD$1*FK345/1000000</f>
        <v>0</v>
      </c>
      <c r="GE345" s="39">
        <f t="shared" si="5782"/>
        <v>0</v>
      </c>
      <c r="GF345" s="39">
        <f t="shared" si="5782"/>
        <v>0</v>
      </c>
      <c r="GG345" s="39">
        <f t="shared" si="5782"/>
        <v>0</v>
      </c>
      <c r="GH345" s="39">
        <f t="shared" si="5782"/>
        <v>0</v>
      </c>
      <c r="GI345" s="39">
        <f t="shared" ref="GI345:GJ345" si="5783">GI$1*FP345</f>
        <v>0</v>
      </c>
      <c r="GJ345" s="39">
        <f t="shared" si="5783"/>
        <v>0</v>
      </c>
      <c r="GK345" s="2"/>
      <c r="GL345" s="39">
        <f t="shared" si="4395"/>
        <v>0</v>
      </c>
      <c r="GM345" s="39">
        <f t="shared" si="4396"/>
        <v>0</v>
      </c>
      <c r="GN345" s="2" t="s">
        <v>3</v>
      </c>
      <c r="GO345" s="4">
        <f t="shared" si="4397"/>
        <v>51.727000000000004</v>
      </c>
      <c r="GP345" s="4">
        <f t="shared" si="4398"/>
        <v>0.60696328803139554</v>
      </c>
      <c r="GQ345" s="15">
        <f t="shared" si="4399"/>
        <v>313.96390000000002</v>
      </c>
      <c r="GR345" s="15">
        <f t="shared" si="4400"/>
        <v>4117.3225846000005</v>
      </c>
      <c r="GS345" s="15">
        <f t="shared" si="4401"/>
        <v>79.597165592437221</v>
      </c>
      <c r="GT345" s="2">
        <f t="shared" si="4402"/>
        <v>34.08</v>
      </c>
      <c r="GU345" s="2">
        <f t="shared" si="4403"/>
        <v>214.47389999999999</v>
      </c>
      <c r="GV345" s="2">
        <f t="shared" si="4404"/>
        <v>65.41</v>
      </c>
      <c r="GW345" s="2">
        <f t="shared" si="4405"/>
        <v>2.41</v>
      </c>
      <c r="GX345" s="4">
        <f>(BT345*CB345+CO345*CW345)/GW345</f>
        <v>0.76365145228215769</v>
      </c>
      <c r="GY345" s="15">
        <f>1000*GW345*GX345/100</f>
        <v>18.404</v>
      </c>
      <c r="GZ345" s="15">
        <f>SUM(FU345:GM345)</f>
        <v>289.97894643199999</v>
      </c>
      <c r="HA345" s="15">
        <f>GZ345/GW345</f>
        <v>120.32321428713692</v>
      </c>
      <c r="HB345" s="2">
        <f t="shared" si="4406"/>
        <v>18.404</v>
      </c>
      <c r="HC345" s="2">
        <f t="shared" si="4407"/>
        <v>0</v>
      </c>
      <c r="HD345" s="2" t="s">
        <v>3</v>
      </c>
      <c r="HE345" s="2" t="s">
        <v>89</v>
      </c>
      <c r="HF345" s="2" t="s">
        <v>137</v>
      </c>
      <c r="HG345" s="2"/>
      <c r="HH345" s="2"/>
      <c r="HI345" s="2" t="s">
        <v>81</v>
      </c>
      <c r="HJ345" s="2" t="s">
        <v>3</v>
      </c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 t="s">
        <v>3</v>
      </c>
    </row>
    <row r="346" spans="1:268" ht="15.75" customHeight="1" x14ac:dyDescent="0.2">
      <c r="A346" s="16" t="s">
        <v>1228</v>
      </c>
      <c r="B346" s="2" t="s">
        <v>99</v>
      </c>
      <c r="C346" s="2"/>
      <c r="D346" s="2"/>
      <c r="E346" s="2"/>
      <c r="F346" s="2" t="s">
        <v>1229</v>
      </c>
      <c r="G346" s="2"/>
      <c r="H346" s="2"/>
      <c r="I346" s="2">
        <v>0</v>
      </c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>
        <v>0</v>
      </c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>
        <v>3.19</v>
      </c>
      <c r="AZ346" s="2"/>
      <c r="BA346" s="2"/>
      <c r="BB346" s="2"/>
      <c r="BC346" s="2"/>
      <c r="BD346" s="2"/>
      <c r="BE346" s="2"/>
      <c r="BF346" s="2"/>
      <c r="BG346" s="2">
        <v>0.92</v>
      </c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>
        <v>0</v>
      </c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>
        <v>0</v>
      </c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 t="s">
        <v>100</v>
      </c>
      <c r="DK346" s="2"/>
      <c r="DL346" s="2">
        <f t="shared" si="4367"/>
        <v>0.92</v>
      </c>
      <c r="DM346" s="2">
        <f t="shared" si="4368"/>
        <v>0</v>
      </c>
      <c r="DN346" s="2" t="s">
        <v>784</v>
      </c>
      <c r="DO346" s="2" t="s">
        <v>3</v>
      </c>
      <c r="DP346" s="2">
        <f t="shared" si="4369"/>
        <v>0</v>
      </c>
      <c r="DQ346" s="2">
        <f t="shared" ref="DQ346:DR346" si="5784">K346*$I346+AF346*$AD346+BA346*$AY346</f>
        <v>0</v>
      </c>
      <c r="DR346" s="2">
        <f t="shared" si="5784"/>
        <v>0</v>
      </c>
      <c r="DS346" s="2">
        <f t="shared" ref="DS346:DX346" si="5785">(M346*$I346+AH346*$AD346+BC346*$AY346)/100</f>
        <v>0</v>
      </c>
      <c r="DT346" s="2">
        <f t="shared" si="5785"/>
        <v>0</v>
      </c>
      <c r="DU346" s="2">
        <f t="shared" si="5785"/>
        <v>0</v>
      </c>
      <c r="DV346" s="2">
        <f t="shared" si="5785"/>
        <v>0</v>
      </c>
      <c r="DW346" s="2">
        <f t="shared" si="5785"/>
        <v>2.9347999999999999E-2</v>
      </c>
      <c r="DX346" s="2">
        <f t="shared" si="5785"/>
        <v>0</v>
      </c>
      <c r="DY346" s="2">
        <f t="shared" ref="DY346:EC346" si="5786">S346*$I346+AN346*$AD346+BI346*$AY346</f>
        <v>0</v>
      </c>
      <c r="DZ346" s="2">
        <f t="shared" si="5786"/>
        <v>0</v>
      </c>
      <c r="EA346" s="2">
        <f t="shared" si="5786"/>
        <v>0</v>
      </c>
      <c r="EB346" s="2">
        <f t="shared" si="5786"/>
        <v>0</v>
      </c>
      <c r="EC346" s="2">
        <f t="shared" si="5786"/>
        <v>0</v>
      </c>
      <c r="ED346" s="2">
        <f t="shared" ref="ED346:EE346" si="5787">(X346*$I346+AS346*$AD346+BN346*$AY346)/100</f>
        <v>0</v>
      </c>
      <c r="EE346" s="2">
        <f t="shared" si="5787"/>
        <v>0</v>
      </c>
      <c r="EF346" s="2"/>
      <c r="EG346" s="2">
        <f t="shared" si="4374"/>
        <v>0</v>
      </c>
      <c r="EH346" s="2">
        <f t="shared" si="4375"/>
        <v>0</v>
      </c>
      <c r="EI346" s="39">
        <f t="shared" si="4376"/>
        <v>0</v>
      </c>
      <c r="EJ346" s="39">
        <f t="shared" ref="EJ346:EK346" si="5788">EJ$1*DQ346/1000000</f>
        <v>0</v>
      </c>
      <c r="EK346" s="39">
        <f t="shared" si="5788"/>
        <v>0</v>
      </c>
      <c r="EL346" s="39">
        <f t="shared" ref="EL346:EQ346" si="5789">EL$1*DS346</f>
        <v>0</v>
      </c>
      <c r="EM346" s="39">
        <f t="shared" si="5789"/>
        <v>0</v>
      </c>
      <c r="EN346" s="39">
        <f t="shared" si="5789"/>
        <v>0</v>
      </c>
      <c r="EO346" s="39">
        <f t="shared" si="5789"/>
        <v>0</v>
      </c>
      <c r="EP346" s="39">
        <f t="shared" si="5789"/>
        <v>384.86967199999998</v>
      </c>
      <c r="EQ346" s="39">
        <f t="shared" si="5789"/>
        <v>0</v>
      </c>
      <c r="ER346" s="39">
        <f t="shared" ref="ER346:EV346" si="5790">ER$1*DY346/1000000</f>
        <v>0</v>
      </c>
      <c r="ES346" s="39">
        <f t="shared" si="5790"/>
        <v>0</v>
      </c>
      <c r="ET346" s="39">
        <f t="shared" si="5790"/>
        <v>0</v>
      </c>
      <c r="EU346" s="39">
        <f t="shared" si="5790"/>
        <v>0</v>
      </c>
      <c r="EV346" s="39">
        <f t="shared" si="5790"/>
        <v>0</v>
      </c>
      <c r="EW346" s="39">
        <f t="shared" ref="EW346:EX346" si="5791">EW$1*ED346</f>
        <v>0</v>
      </c>
      <c r="EX346" s="39">
        <f t="shared" si="5791"/>
        <v>0</v>
      </c>
      <c r="EY346" s="2"/>
      <c r="EZ346" s="39">
        <f t="shared" si="4381"/>
        <v>0</v>
      </c>
      <c r="FA346" s="39">
        <f t="shared" si="4382"/>
        <v>0</v>
      </c>
      <c r="FB346" s="2">
        <f t="shared" si="4383"/>
        <v>0</v>
      </c>
      <c r="FC346" s="2">
        <f t="shared" ref="FC346:FD346" si="5792">BV346*$BT346+CQ346*$CO346</f>
        <v>0</v>
      </c>
      <c r="FD346" s="2">
        <f t="shared" si="5792"/>
        <v>0</v>
      </c>
      <c r="FE346" s="2">
        <f t="shared" ref="FE346:FJ346" si="5793">(BX346*$BT346+CS346*$CO346)/100</f>
        <v>0</v>
      </c>
      <c r="FF346" s="2">
        <f t="shared" si="5793"/>
        <v>0</v>
      </c>
      <c r="FG346" s="2">
        <f t="shared" si="5793"/>
        <v>0</v>
      </c>
      <c r="FH346" s="2">
        <f t="shared" si="5793"/>
        <v>0</v>
      </c>
      <c r="FI346" s="2">
        <f t="shared" si="5793"/>
        <v>0</v>
      </c>
      <c r="FJ346" s="2">
        <f t="shared" si="5793"/>
        <v>0</v>
      </c>
      <c r="FK346" s="2">
        <f t="shared" ref="FK346:FO346" si="5794">CD346*$BT346+CY346*$CO346</f>
        <v>0</v>
      </c>
      <c r="FL346" s="2">
        <f t="shared" si="5794"/>
        <v>0</v>
      </c>
      <c r="FM346" s="2">
        <f t="shared" si="5794"/>
        <v>0</v>
      </c>
      <c r="FN346" s="2">
        <f t="shared" si="5794"/>
        <v>0</v>
      </c>
      <c r="FO346" s="2">
        <f t="shared" si="5794"/>
        <v>0</v>
      </c>
      <c r="FP346" s="2">
        <f t="shared" ref="FP346:FQ346" si="5795">(CI346*$BT346+DD346*$CO346)/100</f>
        <v>0</v>
      </c>
      <c r="FQ346" s="2">
        <f t="shared" si="5795"/>
        <v>0</v>
      </c>
      <c r="FR346" s="2"/>
      <c r="FS346" s="2">
        <f t="shared" si="4388"/>
        <v>0</v>
      </c>
      <c r="FT346" s="2">
        <f t="shared" si="4389"/>
        <v>0</v>
      </c>
      <c r="FU346" s="39">
        <f t="shared" si="4390"/>
        <v>0</v>
      </c>
      <c r="FV346" s="39">
        <f t="shared" ref="FV346:FW346" si="5796">FV$1*FC346/1000000</f>
        <v>0</v>
      </c>
      <c r="FW346" s="39">
        <f t="shared" si="5796"/>
        <v>0</v>
      </c>
      <c r="FX346" s="39">
        <f t="shared" ref="FX346:GC346" si="5797">FX$1*FE346</f>
        <v>0</v>
      </c>
      <c r="FY346" s="39">
        <f t="shared" si="5797"/>
        <v>0</v>
      </c>
      <c r="FZ346" s="39">
        <f t="shared" si="5797"/>
        <v>0</v>
      </c>
      <c r="GA346" s="39">
        <f t="shared" si="5797"/>
        <v>0</v>
      </c>
      <c r="GB346" s="39">
        <f t="shared" si="5797"/>
        <v>0</v>
      </c>
      <c r="GC346" s="39">
        <f t="shared" si="5797"/>
        <v>0</v>
      </c>
      <c r="GD346" s="39">
        <f t="shared" ref="GD346:GH346" si="5798">GD$1*FK346/1000000</f>
        <v>0</v>
      </c>
      <c r="GE346" s="39">
        <f t="shared" si="5798"/>
        <v>0</v>
      </c>
      <c r="GF346" s="39">
        <f t="shared" si="5798"/>
        <v>0</v>
      </c>
      <c r="GG346" s="39">
        <f t="shared" si="5798"/>
        <v>0</v>
      </c>
      <c r="GH346" s="39">
        <f t="shared" si="5798"/>
        <v>0</v>
      </c>
      <c r="GI346" s="39">
        <f t="shared" ref="GI346:GJ346" si="5799">GI$1*FP346</f>
        <v>0</v>
      </c>
      <c r="GJ346" s="39">
        <f t="shared" si="5799"/>
        <v>0</v>
      </c>
      <c r="GK346" s="2"/>
      <c r="GL346" s="39">
        <f t="shared" si="4395"/>
        <v>0</v>
      </c>
      <c r="GM346" s="39">
        <f t="shared" si="4396"/>
        <v>0</v>
      </c>
      <c r="GN346" s="2" t="s">
        <v>3</v>
      </c>
      <c r="GO346" s="2">
        <f t="shared" si="4397"/>
        <v>3.19</v>
      </c>
      <c r="GP346" s="2">
        <f t="shared" si="4398"/>
        <v>0.92</v>
      </c>
      <c r="GQ346" s="15">
        <f t="shared" si="4399"/>
        <v>29.348000000000003</v>
      </c>
      <c r="GR346" s="15">
        <f t="shared" si="4400"/>
        <v>384.86967199999998</v>
      </c>
      <c r="GS346" s="15">
        <f t="shared" si="4401"/>
        <v>120.64879999999999</v>
      </c>
      <c r="GT346" s="2">
        <f t="shared" si="4402"/>
        <v>0</v>
      </c>
      <c r="GU346" s="2">
        <f t="shared" si="4403"/>
        <v>0</v>
      </c>
      <c r="GV346" s="2">
        <f t="shared" si="4404"/>
        <v>29.348000000000003</v>
      </c>
      <c r="GW346" s="2">
        <f t="shared" si="4405"/>
        <v>0</v>
      </c>
      <c r="GX346" s="2"/>
      <c r="GY346" s="2"/>
      <c r="GZ346" s="2"/>
      <c r="HA346" s="2"/>
      <c r="HB346" s="2">
        <f t="shared" si="4406"/>
        <v>0</v>
      </c>
      <c r="HC346" s="2">
        <f t="shared" si="4407"/>
        <v>0</v>
      </c>
      <c r="HD346" s="2" t="s">
        <v>3</v>
      </c>
      <c r="HE346" s="2" t="s">
        <v>89</v>
      </c>
      <c r="HF346" s="2" t="s">
        <v>137</v>
      </c>
      <c r="HG346" s="2" t="s">
        <v>137</v>
      </c>
      <c r="HH346" s="2"/>
      <c r="HI346" s="2" t="s">
        <v>100</v>
      </c>
      <c r="HJ346" s="2" t="s">
        <v>3</v>
      </c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 t="s">
        <v>3</v>
      </c>
    </row>
    <row r="347" spans="1:268" ht="15.75" customHeight="1" x14ac:dyDescent="0.2">
      <c r="A347" s="16" t="s">
        <v>783</v>
      </c>
      <c r="B347" s="2" t="s">
        <v>99</v>
      </c>
      <c r="C347" s="2"/>
      <c r="D347" s="2"/>
      <c r="E347" s="2"/>
      <c r="F347" s="2" t="s">
        <v>430</v>
      </c>
      <c r="G347" s="2"/>
      <c r="H347" s="2"/>
      <c r="I347" s="2">
        <v>0</v>
      </c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>
        <v>0</v>
      </c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>
        <v>0.2</v>
      </c>
      <c r="AZ347" s="2"/>
      <c r="BA347" s="2"/>
      <c r="BB347" s="2"/>
      <c r="BC347" s="2"/>
      <c r="BD347" s="2"/>
      <c r="BE347" s="2"/>
      <c r="BF347" s="2"/>
      <c r="BG347" s="2">
        <v>0.85</v>
      </c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>
        <v>0</v>
      </c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>
        <v>0</v>
      </c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 t="s">
        <v>100</v>
      </c>
      <c r="DK347" s="2"/>
      <c r="DL347" s="2">
        <f t="shared" si="4367"/>
        <v>0.85</v>
      </c>
      <c r="DM347" s="2">
        <f t="shared" si="4368"/>
        <v>0</v>
      </c>
      <c r="DN347" s="2" t="s">
        <v>784</v>
      </c>
      <c r="DO347" s="2" t="s">
        <v>3</v>
      </c>
      <c r="DP347" s="2">
        <f t="shared" si="4369"/>
        <v>0</v>
      </c>
      <c r="DQ347" s="2">
        <f t="shared" ref="DQ347:DR347" si="5800">K347*$I347+AF347*$AD347+BA347*$AY347</f>
        <v>0</v>
      </c>
      <c r="DR347" s="2">
        <f t="shared" si="5800"/>
        <v>0</v>
      </c>
      <c r="DS347" s="2">
        <f t="shared" ref="DS347:DX347" si="5801">(M347*$I347+AH347*$AD347+BC347*$AY347)/100</f>
        <v>0</v>
      </c>
      <c r="DT347" s="2">
        <f t="shared" si="5801"/>
        <v>0</v>
      </c>
      <c r="DU347" s="2">
        <f t="shared" si="5801"/>
        <v>0</v>
      </c>
      <c r="DV347" s="2">
        <f t="shared" si="5801"/>
        <v>0</v>
      </c>
      <c r="DW347" s="2">
        <f t="shared" si="5801"/>
        <v>1.7000000000000001E-3</v>
      </c>
      <c r="DX347" s="2">
        <f t="shared" si="5801"/>
        <v>0</v>
      </c>
      <c r="DY347" s="2">
        <f t="shared" ref="DY347:EC347" si="5802">S347*$I347+AN347*$AD347+BI347*$AY347</f>
        <v>0</v>
      </c>
      <c r="DZ347" s="2">
        <f t="shared" si="5802"/>
        <v>0</v>
      </c>
      <c r="EA347" s="2">
        <f t="shared" si="5802"/>
        <v>0</v>
      </c>
      <c r="EB347" s="2">
        <f t="shared" si="5802"/>
        <v>0</v>
      </c>
      <c r="EC347" s="2">
        <f t="shared" si="5802"/>
        <v>0</v>
      </c>
      <c r="ED347" s="2">
        <f t="shared" ref="ED347:EE347" si="5803">(X347*$I347+AS347*$AD347+BN347*$AY347)/100</f>
        <v>0</v>
      </c>
      <c r="EE347" s="2">
        <f t="shared" si="5803"/>
        <v>0</v>
      </c>
      <c r="EF347" s="2"/>
      <c r="EG347" s="2">
        <f t="shared" si="4374"/>
        <v>0</v>
      </c>
      <c r="EH347" s="2">
        <f t="shared" si="4375"/>
        <v>0</v>
      </c>
      <c r="EI347" s="39">
        <f t="shared" si="4376"/>
        <v>0</v>
      </c>
      <c r="EJ347" s="39">
        <f t="shared" ref="EJ347:EK347" si="5804">EJ$1*DQ347/1000000</f>
        <v>0</v>
      </c>
      <c r="EK347" s="39">
        <f t="shared" si="5804"/>
        <v>0</v>
      </c>
      <c r="EL347" s="39">
        <f t="shared" ref="EL347:EQ347" si="5805">EL$1*DS347</f>
        <v>0</v>
      </c>
      <c r="EM347" s="39">
        <f t="shared" si="5805"/>
        <v>0</v>
      </c>
      <c r="EN347" s="39">
        <f t="shared" si="5805"/>
        <v>0</v>
      </c>
      <c r="EO347" s="39">
        <f t="shared" si="5805"/>
        <v>0</v>
      </c>
      <c r="EP347" s="39">
        <f t="shared" si="5805"/>
        <v>22.293800000000001</v>
      </c>
      <c r="EQ347" s="39">
        <f t="shared" si="5805"/>
        <v>0</v>
      </c>
      <c r="ER347" s="39">
        <f t="shared" ref="ER347:EV347" si="5806">ER$1*DY347/1000000</f>
        <v>0</v>
      </c>
      <c r="ES347" s="39">
        <f t="shared" si="5806"/>
        <v>0</v>
      </c>
      <c r="ET347" s="39">
        <f t="shared" si="5806"/>
        <v>0</v>
      </c>
      <c r="EU347" s="39">
        <f t="shared" si="5806"/>
        <v>0</v>
      </c>
      <c r="EV347" s="39">
        <f t="shared" si="5806"/>
        <v>0</v>
      </c>
      <c r="EW347" s="39">
        <f t="shared" ref="EW347:EX347" si="5807">EW$1*ED347</f>
        <v>0</v>
      </c>
      <c r="EX347" s="39">
        <f t="shared" si="5807"/>
        <v>0</v>
      </c>
      <c r="EY347" s="2"/>
      <c r="EZ347" s="39">
        <f t="shared" si="4381"/>
        <v>0</v>
      </c>
      <c r="FA347" s="39">
        <f t="shared" si="4382"/>
        <v>0</v>
      </c>
      <c r="FB347" s="2">
        <f t="shared" si="4383"/>
        <v>0</v>
      </c>
      <c r="FC347" s="2">
        <f t="shared" ref="FC347:FD347" si="5808">BV347*$BT347+CQ347*$CO347</f>
        <v>0</v>
      </c>
      <c r="FD347" s="2">
        <f t="shared" si="5808"/>
        <v>0</v>
      </c>
      <c r="FE347" s="2">
        <f t="shared" ref="FE347:FJ347" si="5809">(BX347*$BT347+CS347*$CO347)/100</f>
        <v>0</v>
      </c>
      <c r="FF347" s="2">
        <f t="shared" si="5809"/>
        <v>0</v>
      </c>
      <c r="FG347" s="2">
        <f t="shared" si="5809"/>
        <v>0</v>
      </c>
      <c r="FH347" s="2">
        <f t="shared" si="5809"/>
        <v>0</v>
      </c>
      <c r="FI347" s="2">
        <f t="shared" si="5809"/>
        <v>0</v>
      </c>
      <c r="FJ347" s="2">
        <f t="shared" si="5809"/>
        <v>0</v>
      </c>
      <c r="FK347" s="2">
        <f t="shared" ref="FK347:FO347" si="5810">CD347*$BT347+CY347*$CO347</f>
        <v>0</v>
      </c>
      <c r="FL347" s="2">
        <f t="shared" si="5810"/>
        <v>0</v>
      </c>
      <c r="FM347" s="2">
        <f t="shared" si="5810"/>
        <v>0</v>
      </c>
      <c r="FN347" s="2">
        <f t="shared" si="5810"/>
        <v>0</v>
      </c>
      <c r="FO347" s="2">
        <f t="shared" si="5810"/>
        <v>0</v>
      </c>
      <c r="FP347" s="2">
        <f t="shared" ref="FP347:FQ347" si="5811">(CI347*$BT347+DD347*$CO347)/100</f>
        <v>0</v>
      </c>
      <c r="FQ347" s="2">
        <f t="shared" si="5811"/>
        <v>0</v>
      </c>
      <c r="FR347" s="2"/>
      <c r="FS347" s="2">
        <f t="shared" si="4388"/>
        <v>0</v>
      </c>
      <c r="FT347" s="2">
        <f t="shared" si="4389"/>
        <v>0</v>
      </c>
      <c r="FU347" s="39">
        <f t="shared" si="4390"/>
        <v>0</v>
      </c>
      <c r="FV347" s="39">
        <f t="shared" ref="FV347:FW347" si="5812">FV$1*FC347/1000000</f>
        <v>0</v>
      </c>
      <c r="FW347" s="39">
        <f t="shared" si="5812"/>
        <v>0</v>
      </c>
      <c r="FX347" s="39">
        <f t="shared" ref="FX347:GC347" si="5813">FX$1*FE347</f>
        <v>0</v>
      </c>
      <c r="FY347" s="39">
        <f t="shared" si="5813"/>
        <v>0</v>
      </c>
      <c r="FZ347" s="39">
        <f t="shared" si="5813"/>
        <v>0</v>
      </c>
      <c r="GA347" s="39">
        <f t="shared" si="5813"/>
        <v>0</v>
      </c>
      <c r="GB347" s="39">
        <f t="shared" si="5813"/>
        <v>0</v>
      </c>
      <c r="GC347" s="39">
        <f t="shared" si="5813"/>
        <v>0</v>
      </c>
      <c r="GD347" s="39">
        <f t="shared" ref="GD347:GH347" si="5814">GD$1*FK347/1000000</f>
        <v>0</v>
      </c>
      <c r="GE347" s="39">
        <f t="shared" si="5814"/>
        <v>0</v>
      </c>
      <c r="GF347" s="39">
        <f t="shared" si="5814"/>
        <v>0</v>
      </c>
      <c r="GG347" s="39">
        <f t="shared" si="5814"/>
        <v>0</v>
      </c>
      <c r="GH347" s="39">
        <f t="shared" si="5814"/>
        <v>0</v>
      </c>
      <c r="GI347" s="39">
        <f t="shared" ref="GI347:GJ347" si="5815">GI$1*FP347</f>
        <v>0</v>
      </c>
      <c r="GJ347" s="39">
        <f t="shared" si="5815"/>
        <v>0</v>
      </c>
      <c r="GK347" s="2"/>
      <c r="GL347" s="39">
        <f t="shared" si="4395"/>
        <v>0</v>
      </c>
      <c r="GM347" s="39">
        <f t="shared" si="4396"/>
        <v>0</v>
      </c>
      <c r="GN347" s="2" t="s">
        <v>3</v>
      </c>
      <c r="GO347" s="2">
        <f t="shared" si="4397"/>
        <v>0.2</v>
      </c>
      <c r="GP347" s="2">
        <f t="shared" si="4398"/>
        <v>0.85</v>
      </c>
      <c r="GQ347" s="15">
        <f t="shared" si="4399"/>
        <v>1.7</v>
      </c>
      <c r="GR347" s="15">
        <f t="shared" si="4400"/>
        <v>22.293800000000001</v>
      </c>
      <c r="GS347" s="15">
        <f t="shared" si="4401"/>
        <v>111.46899999999999</v>
      </c>
      <c r="GT347" s="2">
        <f t="shared" si="4402"/>
        <v>0</v>
      </c>
      <c r="GU347" s="2">
        <f t="shared" si="4403"/>
        <v>0</v>
      </c>
      <c r="GV347" s="2">
        <f t="shared" si="4404"/>
        <v>1.7</v>
      </c>
      <c r="GW347" s="2">
        <f t="shared" si="4405"/>
        <v>0</v>
      </c>
      <c r="GX347" s="2"/>
      <c r="GY347" s="2"/>
      <c r="GZ347" s="2"/>
      <c r="HA347" s="2"/>
      <c r="HB347" s="2">
        <f t="shared" si="4406"/>
        <v>0</v>
      </c>
      <c r="HC347" s="2">
        <f t="shared" si="4407"/>
        <v>0</v>
      </c>
      <c r="HD347" s="2" t="s">
        <v>3</v>
      </c>
      <c r="HE347" s="2" t="s">
        <v>89</v>
      </c>
      <c r="HF347" s="2" t="s">
        <v>137</v>
      </c>
      <c r="HG347" s="2"/>
      <c r="HH347" s="2"/>
      <c r="HI347" s="2" t="s">
        <v>100</v>
      </c>
      <c r="HJ347" s="2" t="s">
        <v>3</v>
      </c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 t="s">
        <v>3</v>
      </c>
    </row>
    <row r="348" spans="1:268" ht="15.75" customHeight="1" x14ac:dyDescent="0.2">
      <c r="A348" s="16" t="s">
        <v>520</v>
      </c>
      <c r="B348" s="2" t="s">
        <v>99</v>
      </c>
      <c r="C348" s="2"/>
      <c r="D348" s="2"/>
      <c r="E348" s="2"/>
      <c r="F348" s="2" t="s">
        <v>79</v>
      </c>
      <c r="G348" s="2"/>
      <c r="H348" s="2"/>
      <c r="I348" s="2">
        <v>0</v>
      </c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>
        <v>0</v>
      </c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>
        <v>0.3</v>
      </c>
      <c r="AZ348" s="2">
        <v>0.59</v>
      </c>
      <c r="BA348" s="2"/>
      <c r="BB348" s="2"/>
      <c r="BC348" s="2"/>
      <c r="BD348" s="2"/>
      <c r="BE348" s="2"/>
      <c r="BF348" s="2">
        <v>0.7</v>
      </c>
      <c r="BG348" s="2">
        <v>0.49</v>
      </c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>
        <v>0</v>
      </c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>
        <v>0</v>
      </c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 t="s">
        <v>100</v>
      </c>
      <c r="DK348" s="2"/>
      <c r="DL348" s="2">
        <f t="shared" si="4367"/>
        <v>0.49</v>
      </c>
      <c r="DM348" s="2">
        <f t="shared" si="4368"/>
        <v>0</v>
      </c>
      <c r="DN348" s="2" t="s">
        <v>521</v>
      </c>
      <c r="DO348" s="2" t="s">
        <v>3</v>
      </c>
      <c r="DP348" s="2">
        <f t="shared" si="4369"/>
        <v>1.7699999999999999E-3</v>
      </c>
      <c r="DQ348" s="2">
        <f t="shared" ref="DQ348:DR348" si="5816">K348*$I348+AF348*$AD348+BA348*$AY348</f>
        <v>0</v>
      </c>
      <c r="DR348" s="2">
        <f t="shared" si="5816"/>
        <v>0</v>
      </c>
      <c r="DS348" s="2">
        <f t="shared" ref="DS348:DX348" si="5817">(M348*$I348+AH348*$AD348+BC348*$AY348)/100</f>
        <v>0</v>
      </c>
      <c r="DT348" s="2">
        <f t="shared" si="5817"/>
        <v>0</v>
      </c>
      <c r="DU348" s="2">
        <f t="shared" si="5817"/>
        <v>0</v>
      </c>
      <c r="DV348" s="2">
        <f t="shared" si="5817"/>
        <v>2.0999999999999999E-3</v>
      </c>
      <c r="DW348" s="2">
        <f t="shared" si="5817"/>
        <v>1.47E-3</v>
      </c>
      <c r="DX348" s="2">
        <f t="shared" si="5817"/>
        <v>0</v>
      </c>
      <c r="DY348" s="2">
        <f t="shared" ref="DY348:EC348" si="5818">S348*$I348+AN348*$AD348+BI348*$AY348</f>
        <v>0</v>
      </c>
      <c r="DZ348" s="2">
        <f t="shared" si="5818"/>
        <v>0</v>
      </c>
      <c r="EA348" s="2">
        <f t="shared" si="5818"/>
        <v>0</v>
      </c>
      <c r="EB348" s="2">
        <f t="shared" si="5818"/>
        <v>0</v>
      </c>
      <c r="EC348" s="2">
        <f t="shared" si="5818"/>
        <v>0</v>
      </c>
      <c r="ED348" s="2">
        <f t="shared" ref="ED348:EE348" si="5819">(X348*$I348+AS348*$AD348+BN348*$AY348)/100</f>
        <v>0</v>
      </c>
      <c r="EE348" s="2">
        <f t="shared" si="5819"/>
        <v>0</v>
      </c>
      <c r="EF348" s="2"/>
      <c r="EG348" s="2">
        <f t="shared" si="4374"/>
        <v>0</v>
      </c>
      <c r="EH348" s="2">
        <f t="shared" si="4375"/>
        <v>0</v>
      </c>
      <c r="EI348" s="39">
        <f t="shared" si="4376"/>
        <v>11.550340319999998</v>
      </c>
      <c r="EJ348" s="39">
        <f t="shared" ref="EJ348:EK348" si="5820">EJ$1*DQ348/1000000</f>
        <v>0</v>
      </c>
      <c r="EK348" s="39">
        <f t="shared" si="5820"/>
        <v>0</v>
      </c>
      <c r="EL348" s="39">
        <f t="shared" ref="EL348:EQ348" si="5821">EL$1*DS348</f>
        <v>0</v>
      </c>
      <c r="EM348" s="39">
        <f t="shared" si="5821"/>
        <v>0</v>
      </c>
      <c r="EN348" s="39">
        <f t="shared" si="5821"/>
        <v>0</v>
      </c>
      <c r="EO348" s="39">
        <f t="shared" si="5821"/>
        <v>6.1435588199999991</v>
      </c>
      <c r="EP348" s="39">
        <f t="shared" si="5821"/>
        <v>19.27758</v>
      </c>
      <c r="EQ348" s="39">
        <f t="shared" si="5821"/>
        <v>0</v>
      </c>
      <c r="ER348" s="39">
        <f t="shared" ref="ER348:EV348" si="5822">ER$1*DY348/1000000</f>
        <v>0</v>
      </c>
      <c r="ES348" s="39">
        <f t="shared" si="5822"/>
        <v>0</v>
      </c>
      <c r="ET348" s="39">
        <f t="shared" si="5822"/>
        <v>0</v>
      </c>
      <c r="EU348" s="39">
        <f t="shared" si="5822"/>
        <v>0</v>
      </c>
      <c r="EV348" s="39">
        <f t="shared" si="5822"/>
        <v>0</v>
      </c>
      <c r="EW348" s="39">
        <f t="shared" ref="EW348:EX348" si="5823">EW$1*ED348</f>
        <v>0</v>
      </c>
      <c r="EX348" s="39">
        <f t="shared" si="5823"/>
        <v>0</v>
      </c>
      <c r="EY348" s="2"/>
      <c r="EZ348" s="39">
        <f t="shared" si="4381"/>
        <v>0</v>
      </c>
      <c r="FA348" s="39">
        <f t="shared" si="4382"/>
        <v>0</v>
      </c>
      <c r="FB348" s="2">
        <f t="shared" si="4383"/>
        <v>0</v>
      </c>
      <c r="FC348" s="2">
        <f t="shared" ref="FC348:FD348" si="5824">BV348*$BT348+CQ348*$CO348</f>
        <v>0</v>
      </c>
      <c r="FD348" s="2">
        <f t="shared" si="5824"/>
        <v>0</v>
      </c>
      <c r="FE348" s="2">
        <f t="shared" ref="FE348:FJ348" si="5825">(BX348*$BT348+CS348*$CO348)/100</f>
        <v>0</v>
      </c>
      <c r="FF348" s="2">
        <f t="shared" si="5825"/>
        <v>0</v>
      </c>
      <c r="FG348" s="2">
        <f t="shared" si="5825"/>
        <v>0</v>
      </c>
      <c r="FH348" s="2">
        <f t="shared" si="5825"/>
        <v>0</v>
      </c>
      <c r="FI348" s="2">
        <f t="shared" si="5825"/>
        <v>0</v>
      </c>
      <c r="FJ348" s="2">
        <f t="shared" si="5825"/>
        <v>0</v>
      </c>
      <c r="FK348" s="2">
        <f t="shared" ref="FK348:FO348" si="5826">CD348*$BT348+CY348*$CO348</f>
        <v>0</v>
      </c>
      <c r="FL348" s="2">
        <f t="shared" si="5826"/>
        <v>0</v>
      </c>
      <c r="FM348" s="2">
        <f t="shared" si="5826"/>
        <v>0</v>
      </c>
      <c r="FN348" s="2">
        <f t="shared" si="5826"/>
        <v>0</v>
      </c>
      <c r="FO348" s="2">
        <f t="shared" si="5826"/>
        <v>0</v>
      </c>
      <c r="FP348" s="2">
        <f t="shared" ref="FP348:FQ348" si="5827">(CI348*$BT348+DD348*$CO348)/100</f>
        <v>0</v>
      </c>
      <c r="FQ348" s="2">
        <f t="shared" si="5827"/>
        <v>0</v>
      </c>
      <c r="FR348" s="2"/>
      <c r="FS348" s="2">
        <f t="shared" si="4388"/>
        <v>0</v>
      </c>
      <c r="FT348" s="2">
        <f t="shared" si="4389"/>
        <v>0</v>
      </c>
      <c r="FU348" s="39">
        <f t="shared" si="4390"/>
        <v>0</v>
      </c>
      <c r="FV348" s="39">
        <f t="shared" ref="FV348:FW348" si="5828">FV$1*FC348/1000000</f>
        <v>0</v>
      </c>
      <c r="FW348" s="39">
        <f t="shared" si="5828"/>
        <v>0</v>
      </c>
      <c r="FX348" s="39">
        <f t="shared" ref="FX348:GC348" si="5829">FX$1*FE348</f>
        <v>0</v>
      </c>
      <c r="FY348" s="39">
        <f t="shared" si="5829"/>
        <v>0</v>
      </c>
      <c r="FZ348" s="39">
        <f t="shared" si="5829"/>
        <v>0</v>
      </c>
      <c r="GA348" s="39">
        <f t="shared" si="5829"/>
        <v>0</v>
      </c>
      <c r="GB348" s="39">
        <f t="shared" si="5829"/>
        <v>0</v>
      </c>
      <c r="GC348" s="39">
        <f t="shared" si="5829"/>
        <v>0</v>
      </c>
      <c r="GD348" s="39">
        <f t="shared" ref="GD348:GH348" si="5830">GD$1*FK348/1000000</f>
        <v>0</v>
      </c>
      <c r="GE348" s="39">
        <f t="shared" si="5830"/>
        <v>0</v>
      </c>
      <c r="GF348" s="39">
        <f t="shared" si="5830"/>
        <v>0</v>
      </c>
      <c r="GG348" s="39">
        <f t="shared" si="5830"/>
        <v>0</v>
      </c>
      <c r="GH348" s="39">
        <f t="shared" si="5830"/>
        <v>0</v>
      </c>
      <c r="GI348" s="39">
        <f t="shared" ref="GI348:GJ348" si="5831">GI$1*FP348</f>
        <v>0</v>
      </c>
      <c r="GJ348" s="39">
        <f t="shared" si="5831"/>
        <v>0</v>
      </c>
      <c r="GK348" s="2"/>
      <c r="GL348" s="39">
        <f t="shared" si="4395"/>
        <v>0</v>
      </c>
      <c r="GM348" s="39">
        <f t="shared" si="4396"/>
        <v>0</v>
      </c>
      <c r="GN348" s="2" t="s">
        <v>3</v>
      </c>
      <c r="GO348" s="2">
        <f t="shared" si="4397"/>
        <v>0.3</v>
      </c>
      <c r="GP348" s="2">
        <f t="shared" si="4398"/>
        <v>0.49</v>
      </c>
      <c r="GQ348" s="15">
        <f t="shared" si="4399"/>
        <v>1.47</v>
      </c>
      <c r="GR348" s="15">
        <f t="shared" si="4400"/>
        <v>36.97147914</v>
      </c>
      <c r="GS348" s="15">
        <f t="shared" si="4401"/>
        <v>123.2382638</v>
      </c>
      <c r="GT348" s="2">
        <f t="shared" si="4402"/>
        <v>0</v>
      </c>
      <c r="GU348" s="2">
        <f t="shared" si="4403"/>
        <v>0</v>
      </c>
      <c r="GV348" s="2">
        <f t="shared" si="4404"/>
        <v>1.47</v>
      </c>
      <c r="GW348" s="2">
        <f t="shared" si="4405"/>
        <v>0</v>
      </c>
      <c r="GX348" s="2"/>
      <c r="GY348" s="2"/>
      <c r="GZ348" s="2"/>
      <c r="HA348" s="2"/>
      <c r="HB348" s="2">
        <f t="shared" si="4406"/>
        <v>0</v>
      </c>
      <c r="HC348" s="2">
        <f t="shared" si="4407"/>
        <v>0</v>
      </c>
      <c r="HD348" s="2" t="s">
        <v>3</v>
      </c>
      <c r="HE348" s="2" t="s">
        <v>89</v>
      </c>
      <c r="HF348" s="2" t="s">
        <v>522</v>
      </c>
      <c r="HG348" s="2"/>
      <c r="HH348" s="2"/>
      <c r="HI348" s="2" t="s">
        <v>100</v>
      </c>
      <c r="HJ348" s="2" t="s">
        <v>3</v>
      </c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 t="s">
        <v>3</v>
      </c>
    </row>
    <row r="349" spans="1:268" ht="15.75" customHeight="1" x14ac:dyDescent="0.2">
      <c r="A349" s="16" t="s">
        <v>546</v>
      </c>
      <c r="B349" s="2" t="s">
        <v>99</v>
      </c>
      <c r="C349" s="2"/>
      <c r="D349" s="2"/>
      <c r="E349" s="2"/>
      <c r="F349" s="2" t="s">
        <v>79</v>
      </c>
      <c r="G349" s="2"/>
      <c r="H349" s="2"/>
      <c r="I349" s="2">
        <v>0</v>
      </c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>
        <v>0</v>
      </c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18">
        <v>1125</v>
      </c>
      <c r="AZ349" s="2"/>
      <c r="BA349" s="2"/>
      <c r="BB349" s="2"/>
      <c r="BC349" s="2"/>
      <c r="BD349" s="2"/>
      <c r="BE349" s="2"/>
      <c r="BF349" s="2"/>
      <c r="BG349" s="2">
        <v>0.4</v>
      </c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>
        <v>0</v>
      </c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>
        <v>0</v>
      </c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 t="s">
        <v>100</v>
      </c>
      <c r="DK349" s="2"/>
      <c r="DL349" s="2">
        <f t="shared" si="4367"/>
        <v>0.4</v>
      </c>
      <c r="DM349" s="2">
        <f t="shared" si="4368"/>
        <v>0</v>
      </c>
      <c r="DN349" s="2" t="s">
        <v>521</v>
      </c>
      <c r="DO349" s="2" t="s">
        <v>3</v>
      </c>
      <c r="DP349" s="2">
        <f t="shared" si="4369"/>
        <v>0</v>
      </c>
      <c r="DQ349" s="2">
        <f t="shared" ref="DQ349:DR349" si="5832">K349*$I349+AF349*$AD349+BA349*$AY349</f>
        <v>0</v>
      </c>
      <c r="DR349" s="2">
        <f t="shared" si="5832"/>
        <v>0</v>
      </c>
      <c r="DS349" s="2">
        <f t="shared" ref="DS349:DX349" si="5833">(M349*$I349+AH349*$AD349+BC349*$AY349)/100</f>
        <v>0</v>
      </c>
      <c r="DT349" s="2">
        <f t="shared" si="5833"/>
        <v>0</v>
      </c>
      <c r="DU349" s="2">
        <f t="shared" si="5833"/>
        <v>0</v>
      </c>
      <c r="DV349" s="2">
        <f t="shared" si="5833"/>
        <v>0</v>
      </c>
      <c r="DW349" s="2">
        <f t="shared" si="5833"/>
        <v>4.5</v>
      </c>
      <c r="DX349" s="2">
        <f t="shared" si="5833"/>
        <v>0</v>
      </c>
      <c r="DY349" s="2">
        <f t="shared" ref="DY349:EC349" si="5834">S349*$I349+AN349*$AD349+BI349*$AY349</f>
        <v>0</v>
      </c>
      <c r="DZ349" s="2">
        <f t="shared" si="5834"/>
        <v>0</v>
      </c>
      <c r="EA349" s="2">
        <f t="shared" si="5834"/>
        <v>0</v>
      </c>
      <c r="EB349" s="2">
        <f t="shared" si="5834"/>
        <v>0</v>
      </c>
      <c r="EC349" s="2">
        <f t="shared" si="5834"/>
        <v>0</v>
      </c>
      <c r="ED349" s="2">
        <f t="shared" ref="ED349:EE349" si="5835">(X349*$I349+AS349*$AD349+BN349*$AY349)/100</f>
        <v>0</v>
      </c>
      <c r="EE349" s="2">
        <f t="shared" si="5835"/>
        <v>0</v>
      </c>
      <c r="EF349" s="2"/>
      <c r="EG349" s="2">
        <f t="shared" si="4374"/>
        <v>0</v>
      </c>
      <c r="EH349" s="2">
        <f t="shared" si="4375"/>
        <v>0</v>
      </c>
      <c r="EI349" s="39">
        <f t="shared" si="4376"/>
        <v>0</v>
      </c>
      <c r="EJ349" s="39">
        <f t="shared" ref="EJ349:EK349" si="5836">EJ$1*DQ349/1000000</f>
        <v>0</v>
      </c>
      <c r="EK349" s="39">
        <f t="shared" si="5836"/>
        <v>0</v>
      </c>
      <c r="EL349" s="39">
        <f t="shared" ref="EL349:EQ349" si="5837">EL$1*DS349</f>
        <v>0</v>
      </c>
      <c r="EM349" s="39">
        <f t="shared" si="5837"/>
        <v>0</v>
      </c>
      <c r="EN349" s="39">
        <f t="shared" si="5837"/>
        <v>0</v>
      </c>
      <c r="EO349" s="39">
        <f t="shared" si="5837"/>
        <v>0</v>
      </c>
      <c r="EP349" s="39">
        <f t="shared" si="5837"/>
        <v>59013</v>
      </c>
      <c r="EQ349" s="39">
        <f t="shared" si="5837"/>
        <v>0</v>
      </c>
      <c r="ER349" s="39">
        <f t="shared" ref="ER349:EV349" si="5838">ER$1*DY349/1000000</f>
        <v>0</v>
      </c>
      <c r="ES349" s="39">
        <f t="shared" si="5838"/>
        <v>0</v>
      </c>
      <c r="ET349" s="39">
        <f t="shared" si="5838"/>
        <v>0</v>
      </c>
      <c r="EU349" s="39">
        <f t="shared" si="5838"/>
        <v>0</v>
      </c>
      <c r="EV349" s="39">
        <f t="shared" si="5838"/>
        <v>0</v>
      </c>
      <c r="EW349" s="39">
        <f t="shared" ref="EW349:EX349" si="5839">EW$1*ED349</f>
        <v>0</v>
      </c>
      <c r="EX349" s="39">
        <f t="shared" si="5839"/>
        <v>0</v>
      </c>
      <c r="EY349" s="2"/>
      <c r="EZ349" s="39">
        <f t="shared" si="4381"/>
        <v>0</v>
      </c>
      <c r="FA349" s="39">
        <f t="shared" si="4382"/>
        <v>0</v>
      </c>
      <c r="FB349" s="2">
        <f t="shared" si="4383"/>
        <v>0</v>
      </c>
      <c r="FC349" s="2">
        <f t="shared" ref="FC349:FD349" si="5840">BV349*$BT349+CQ349*$CO349</f>
        <v>0</v>
      </c>
      <c r="FD349" s="2">
        <f t="shared" si="5840"/>
        <v>0</v>
      </c>
      <c r="FE349" s="2">
        <f t="shared" ref="FE349:FJ349" si="5841">(BX349*$BT349+CS349*$CO349)/100</f>
        <v>0</v>
      </c>
      <c r="FF349" s="2">
        <f t="shared" si="5841"/>
        <v>0</v>
      </c>
      <c r="FG349" s="2">
        <f t="shared" si="5841"/>
        <v>0</v>
      </c>
      <c r="FH349" s="2">
        <f t="shared" si="5841"/>
        <v>0</v>
      </c>
      <c r="FI349" s="2">
        <f t="shared" si="5841"/>
        <v>0</v>
      </c>
      <c r="FJ349" s="2">
        <f t="shared" si="5841"/>
        <v>0</v>
      </c>
      <c r="FK349" s="2">
        <f t="shared" ref="FK349:FO349" si="5842">CD349*$BT349+CY349*$CO349</f>
        <v>0</v>
      </c>
      <c r="FL349" s="2">
        <f t="shared" si="5842"/>
        <v>0</v>
      </c>
      <c r="FM349" s="2">
        <f t="shared" si="5842"/>
        <v>0</v>
      </c>
      <c r="FN349" s="2">
        <f t="shared" si="5842"/>
        <v>0</v>
      </c>
      <c r="FO349" s="2">
        <f t="shared" si="5842"/>
        <v>0</v>
      </c>
      <c r="FP349" s="2">
        <f t="shared" ref="FP349:FQ349" si="5843">(CI349*$BT349+DD349*$CO349)/100</f>
        <v>0</v>
      </c>
      <c r="FQ349" s="2">
        <f t="shared" si="5843"/>
        <v>0</v>
      </c>
      <c r="FR349" s="2"/>
      <c r="FS349" s="2">
        <f t="shared" si="4388"/>
        <v>0</v>
      </c>
      <c r="FT349" s="2">
        <f t="shared" si="4389"/>
        <v>0</v>
      </c>
      <c r="FU349" s="39">
        <f t="shared" si="4390"/>
        <v>0</v>
      </c>
      <c r="FV349" s="39">
        <f t="shared" ref="FV349:FW349" si="5844">FV$1*FC349/1000000</f>
        <v>0</v>
      </c>
      <c r="FW349" s="39">
        <f t="shared" si="5844"/>
        <v>0</v>
      </c>
      <c r="FX349" s="39">
        <f t="shared" ref="FX349:GC349" si="5845">FX$1*FE349</f>
        <v>0</v>
      </c>
      <c r="FY349" s="39">
        <f t="shared" si="5845"/>
        <v>0</v>
      </c>
      <c r="FZ349" s="39">
        <f t="shared" si="5845"/>
        <v>0</v>
      </c>
      <c r="GA349" s="39">
        <f t="shared" si="5845"/>
        <v>0</v>
      </c>
      <c r="GB349" s="39">
        <f t="shared" si="5845"/>
        <v>0</v>
      </c>
      <c r="GC349" s="39">
        <f t="shared" si="5845"/>
        <v>0</v>
      </c>
      <c r="GD349" s="39">
        <f t="shared" ref="GD349:GH349" si="5846">GD$1*FK349/1000000</f>
        <v>0</v>
      </c>
      <c r="GE349" s="39">
        <f t="shared" si="5846"/>
        <v>0</v>
      </c>
      <c r="GF349" s="39">
        <f t="shared" si="5846"/>
        <v>0</v>
      </c>
      <c r="GG349" s="39">
        <f t="shared" si="5846"/>
        <v>0</v>
      </c>
      <c r="GH349" s="39">
        <f t="shared" si="5846"/>
        <v>0</v>
      </c>
      <c r="GI349" s="39">
        <f t="shared" ref="GI349:GJ349" si="5847">GI$1*FP349</f>
        <v>0</v>
      </c>
      <c r="GJ349" s="39">
        <f t="shared" si="5847"/>
        <v>0</v>
      </c>
      <c r="GK349" s="2"/>
      <c r="GL349" s="39">
        <f t="shared" si="4395"/>
        <v>0</v>
      </c>
      <c r="GM349" s="39">
        <f t="shared" si="4396"/>
        <v>0</v>
      </c>
      <c r="GN349" s="2" t="s">
        <v>3</v>
      </c>
      <c r="GO349" s="18">
        <f t="shared" si="4397"/>
        <v>1125</v>
      </c>
      <c r="GP349" s="2">
        <f t="shared" si="4398"/>
        <v>0.4</v>
      </c>
      <c r="GQ349" s="18">
        <f t="shared" si="4399"/>
        <v>4500</v>
      </c>
      <c r="GR349" s="15">
        <f t="shared" si="4400"/>
        <v>59013</v>
      </c>
      <c r="GS349" s="15">
        <f t="shared" si="4401"/>
        <v>52.456000000000003</v>
      </c>
      <c r="GT349" s="2">
        <f t="shared" si="4402"/>
        <v>0</v>
      </c>
      <c r="GU349" s="2">
        <f t="shared" si="4403"/>
        <v>0</v>
      </c>
      <c r="GV349" s="2">
        <f t="shared" si="4404"/>
        <v>4500</v>
      </c>
      <c r="GW349" s="2">
        <f t="shared" si="4405"/>
        <v>0</v>
      </c>
      <c r="GX349" s="2"/>
      <c r="GY349" s="2"/>
      <c r="GZ349" s="2"/>
      <c r="HA349" s="2"/>
      <c r="HB349" s="2">
        <f t="shared" si="4406"/>
        <v>0</v>
      </c>
      <c r="HC349" s="2">
        <f t="shared" si="4407"/>
        <v>0</v>
      </c>
      <c r="HD349" s="2" t="s">
        <v>3</v>
      </c>
      <c r="HE349" s="2" t="s">
        <v>89</v>
      </c>
      <c r="HF349" s="2" t="s">
        <v>522</v>
      </c>
      <c r="HG349" s="2"/>
      <c r="HH349" s="2"/>
      <c r="HI349" s="2" t="s">
        <v>100</v>
      </c>
      <c r="HJ349" s="2" t="s">
        <v>3</v>
      </c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 t="s">
        <v>3</v>
      </c>
    </row>
    <row r="350" spans="1:268" ht="15.75" customHeight="1" x14ac:dyDescent="0.2">
      <c r="A350" s="32" t="s">
        <v>591</v>
      </c>
      <c r="B350" s="2" t="s">
        <v>99</v>
      </c>
      <c r="C350" s="2"/>
      <c r="D350" s="2"/>
      <c r="E350" s="2"/>
      <c r="F350" s="2" t="s">
        <v>79</v>
      </c>
      <c r="G350" s="2"/>
      <c r="H350" s="2"/>
      <c r="I350" s="2">
        <v>0</v>
      </c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>
        <v>0</v>
      </c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>
        <v>4.2</v>
      </c>
      <c r="AZ350" s="2"/>
      <c r="BA350" s="2"/>
      <c r="BB350" s="2"/>
      <c r="BC350" s="2"/>
      <c r="BD350" s="2"/>
      <c r="BE350" s="2"/>
      <c r="BF350" s="2"/>
      <c r="BG350" s="2">
        <v>0.38</v>
      </c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>
        <v>0</v>
      </c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>
        <v>0</v>
      </c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 t="s">
        <v>100</v>
      </c>
      <c r="DK350" s="2"/>
      <c r="DL350" s="2">
        <f t="shared" si="4367"/>
        <v>0.38</v>
      </c>
      <c r="DM350" s="2">
        <f t="shared" si="4368"/>
        <v>0</v>
      </c>
      <c r="DN350" s="2" t="s">
        <v>132</v>
      </c>
      <c r="DO350" s="2" t="s">
        <v>3</v>
      </c>
      <c r="DP350" s="2">
        <f t="shared" si="4369"/>
        <v>0</v>
      </c>
      <c r="DQ350" s="2">
        <f t="shared" ref="DQ350:DR350" si="5848">K350*$I350+AF350*$AD350+BA350*$AY350</f>
        <v>0</v>
      </c>
      <c r="DR350" s="2">
        <f t="shared" si="5848"/>
        <v>0</v>
      </c>
      <c r="DS350" s="2">
        <f t="shared" ref="DS350:DX350" si="5849">(M350*$I350+AH350*$AD350+BC350*$AY350)/100</f>
        <v>0</v>
      </c>
      <c r="DT350" s="2">
        <f t="shared" si="5849"/>
        <v>0</v>
      </c>
      <c r="DU350" s="2">
        <f t="shared" si="5849"/>
        <v>0</v>
      </c>
      <c r="DV350" s="2">
        <f t="shared" si="5849"/>
        <v>0</v>
      </c>
      <c r="DW350" s="2">
        <f t="shared" si="5849"/>
        <v>1.5960000000000002E-2</v>
      </c>
      <c r="DX350" s="2">
        <f t="shared" si="5849"/>
        <v>0</v>
      </c>
      <c r="DY350" s="2">
        <f t="shared" ref="DY350:EC350" si="5850">S350*$I350+AN350*$AD350+BI350*$AY350</f>
        <v>0</v>
      </c>
      <c r="DZ350" s="2">
        <f t="shared" si="5850"/>
        <v>0</v>
      </c>
      <c r="EA350" s="2">
        <f t="shared" si="5850"/>
        <v>0</v>
      </c>
      <c r="EB350" s="2">
        <f t="shared" si="5850"/>
        <v>0</v>
      </c>
      <c r="EC350" s="2">
        <f t="shared" si="5850"/>
        <v>0</v>
      </c>
      <c r="ED350" s="2">
        <f t="shared" ref="ED350:EE350" si="5851">(X350*$I350+AS350*$AD350+BN350*$AY350)/100</f>
        <v>0</v>
      </c>
      <c r="EE350" s="2">
        <f t="shared" si="5851"/>
        <v>0</v>
      </c>
      <c r="EF350" s="2"/>
      <c r="EG350" s="2">
        <f t="shared" si="4374"/>
        <v>0</v>
      </c>
      <c r="EH350" s="2">
        <f t="shared" si="4375"/>
        <v>0</v>
      </c>
      <c r="EI350" s="39">
        <f t="shared" si="4376"/>
        <v>0</v>
      </c>
      <c r="EJ350" s="39">
        <f t="shared" ref="EJ350:EK350" si="5852">EJ$1*DQ350/1000000</f>
        <v>0</v>
      </c>
      <c r="EK350" s="39">
        <f t="shared" si="5852"/>
        <v>0</v>
      </c>
      <c r="EL350" s="39">
        <f t="shared" ref="EL350:EQ350" si="5853">EL$1*DS350</f>
        <v>0</v>
      </c>
      <c r="EM350" s="39">
        <f t="shared" si="5853"/>
        <v>0</v>
      </c>
      <c r="EN350" s="39">
        <f t="shared" si="5853"/>
        <v>0</v>
      </c>
      <c r="EO350" s="39">
        <f t="shared" si="5853"/>
        <v>0</v>
      </c>
      <c r="EP350" s="39">
        <f t="shared" si="5853"/>
        <v>209.29944000000003</v>
      </c>
      <c r="EQ350" s="39">
        <f t="shared" si="5853"/>
        <v>0</v>
      </c>
      <c r="ER350" s="39">
        <f t="shared" ref="ER350:EV350" si="5854">ER$1*DY350/1000000</f>
        <v>0</v>
      </c>
      <c r="ES350" s="39">
        <f t="shared" si="5854"/>
        <v>0</v>
      </c>
      <c r="ET350" s="39">
        <f t="shared" si="5854"/>
        <v>0</v>
      </c>
      <c r="EU350" s="39">
        <f t="shared" si="5854"/>
        <v>0</v>
      </c>
      <c r="EV350" s="39">
        <f t="shared" si="5854"/>
        <v>0</v>
      </c>
      <c r="EW350" s="39">
        <f t="shared" ref="EW350:EX350" si="5855">EW$1*ED350</f>
        <v>0</v>
      </c>
      <c r="EX350" s="39">
        <f t="shared" si="5855"/>
        <v>0</v>
      </c>
      <c r="EY350" s="2"/>
      <c r="EZ350" s="39">
        <f t="shared" si="4381"/>
        <v>0</v>
      </c>
      <c r="FA350" s="39">
        <f t="shared" si="4382"/>
        <v>0</v>
      </c>
      <c r="FB350" s="2">
        <f t="shared" si="4383"/>
        <v>0</v>
      </c>
      <c r="FC350" s="2">
        <f t="shared" ref="FC350:FD350" si="5856">BV350*$BT350+CQ350*$CO350</f>
        <v>0</v>
      </c>
      <c r="FD350" s="2">
        <f t="shared" si="5856"/>
        <v>0</v>
      </c>
      <c r="FE350" s="2">
        <f t="shared" ref="FE350:FJ350" si="5857">(BX350*$BT350+CS350*$CO350)/100</f>
        <v>0</v>
      </c>
      <c r="FF350" s="2">
        <f t="shared" si="5857"/>
        <v>0</v>
      </c>
      <c r="FG350" s="2">
        <f t="shared" si="5857"/>
        <v>0</v>
      </c>
      <c r="FH350" s="2">
        <f t="shared" si="5857"/>
        <v>0</v>
      </c>
      <c r="FI350" s="2">
        <f t="shared" si="5857"/>
        <v>0</v>
      </c>
      <c r="FJ350" s="2">
        <f t="shared" si="5857"/>
        <v>0</v>
      </c>
      <c r="FK350" s="2">
        <f t="shared" ref="FK350:FO350" si="5858">CD350*$BT350+CY350*$CO350</f>
        <v>0</v>
      </c>
      <c r="FL350" s="2">
        <f t="shared" si="5858"/>
        <v>0</v>
      </c>
      <c r="FM350" s="2">
        <f t="shared" si="5858"/>
        <v>0</v>
      </c>
      <c r="FN350" s="2">
        <f t="shared" si="5858"/>
        <v>0</v>
      </c>
      <c r="FO350" s="2">
        <f t="shared" si="5858"/>
        <v>0</v>
      </c>
      <c r="FP350" s="2">
        <f t="shared" ref="FP350:FQ350" si="5859">(CI350*$BT350+DD350*$CO350)/100</f>
        <v>0</v>
      </c>
      <c r="FQ350" s="2">
        <f t="shared" si="5859"/>
        <v>0</v>
      </c>
      <c r="FR350" s="2"/>
      <c r="FS350" s="2">
        <f t="shared" si="4388"/>
        <v>0</v>
      </c>
      <c r="FT350" s="2">
        <f t="shared" si="4389"/>
        <v>0</v>
      </c>
      <c r="FU350" s="39">
        <f t="shared" si="4390"/>
        <v>0</v>
      </c>
      <c r="FV350" s="39">
        <f t="shared" ref="FV350:FW350" si="5860">FV$1*FC350/1000000</f>
        <v>0</v>
      </c>
      <c r="FW350" s="39">
        <f t="shared" si="5860"/>
        <v>0</v>
      </c>
      <c r="FX350" s="39">
        <f t="shared" ref="FX350:GC350" si="5861">FX$1*FE350</f>
        <v>0</v>
      </c>
      <c r="FY350" s="39">
        <f t="shared" si="5861"/>
        <v>0</v>
      </c>
      <c r="FZ350" s="39">
        <f t="shared" si="5861"/>
        <v>0</v>
      </c>
      <c r="GA350" s="39">
        <f t="shared" si="5861"/>
        <v>0</v>
      </c>
      <c r="GB350" s="39">
        <f t="shared" si="5861"/>
        <v>0</v>
      </c>
      <c r="GC350" s="39">
        <f t="shared" si="5861"/>
        <v>0</v>
      </c>
      <c r="GD350" s="39">
        <f t="shared" ref="GD350:GH350" si="5862">GD$1*FK350/1000000</f>
        <v>0</v>
      </c>
      <c r="GE350" s="39">
        <f t="shared" si="5862"/>
        <v>0</v>
      </c>
      <c r="GF350" s="39">
        <f t="shared" si="5862"/>
        <v>0</v>
      </c>
      <c r="GG350" s="39">
        <f t="shared" si="5862"/>
        <v>0</v>
      </c>
      <c r="GH350" s="39">
        <f t="shared" si="5862"/>
        <v>0</v>
      </c>
      <c r="GI350" s="39">
        <f t="shared" ref="GI350:GJ350" si="5863">GI$1*FP350</f>
        <v>0</v>
      </c>
      <c r="GJ350" s="39">
        <f t="shared" si="5863"/>
        <v>0</v>
      </c>
      <c r="GK350" s="2"/>
      <c r="GL350" s="39">
        <f t="shared" si="4395"/>
        <v>0</v>
      </c>
      <c r="GM350" s="39">
        <f t="shared" si="4396"/>
        <v>0</v>
      </c>
      <c r="GN350" s="2" t="s">
        <v>3</v>
      </c>
      <c r="GO350" s="2">
        <f t="shared" si="4397"/>
        <v>4.2</v>
      </c>
      <c r="GP350" s="2">
        <f t="shared" si="4398"/>
        <v>0.38</v>
      </c>
      <c r="GQ350" s="15">
        <f t="shared" si="4399"/>
        <v>15.96</v>
      </c>
      <c r="GR350" s="15">
        <f t="shared" si="4400"/>
        <v>209.29944000000003</v>
      </c>
      <c r="GS350" s="15">
        <f t="shared" si="4401"/>
        <v>49.833200000000005</v>
      </c>
      <c r="GT350" s="2">
        <f t="shared" si="4402"/>
        <v>0</v>
      </c>
      <c r="GU350" s="2">
        <f t="shared" si="4403"/>
        <v>0</v>
      </c>
      <c r="GV350" s="2">
        <f t="shared" si="4404"/>
        <v>15.96</v>
      </c>
      <c r="GW350" s="2">
        <f t="shared" si="4405"/>
        <v>0</v>
      </c>
      <c r="GX350" s="2"/>
      <c r="GY350" s="2"/>
      <c r="GZ350" s="2"/>
      <c r="HA350" s="2"/>
      <c r="HB350" s="2">
        <f t="shared" si="4406"/>
        <v>0</v>
      </c>
      <c r="HC350" s="2">
        <f t="shared" si="4407"/>
        <v>0</v>
      </c>
      <c r="HD350" s="2" t="s">
        <v>3</v>
      </c>
      <c r="HE350" s="2" t="s">
        <v>89</v>
      </c>
      <c r="HF350" s="2" t="s">
        <v>522</v>
      </c>
      <c r="HG350" s="2"/>
      <c r="HH350" s="2"/>
      <c r="HI350" s="2" t="s">
        <v>100</v>
      </c>
      <c r="HJ350" s="2" t="s">
        <v>3</v>
      </c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 t="s">
        <v>3</v>
      </c>
    </row>
    <row r="351" spans="1:268" ht="15.75" customHeight="1" x14ac:dyDescent="0.2">
      <c r="A351" s="16" t="s">
        <v>728</v>
      </c>
      <c r="B351" s="2" t="s">
        <v>99</v>
      </c>
      <c r="C351" s="2"/>
      <c r="D351" s="2"/>
      <c r="E351" s="2"/>
      <c r="F351" s="2" t="s">
        <v>79</v>
      </c>
      <c r="G351" s="2"/>
      <c r="H351" s="2"/>
      <c r="I351" s="2">
        <v>0</v>
      </c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>
        <v>0</v>
      </c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>
        <v>10.35</v>
      </c>
      <c r="AZ351" s="2">
        <v>0.42</v>
      </c>
      <c r="BA351" s="2"/>
      <c r="BB351" s="2"/>
      <c r="BC351" s="2"/>
      <c r="BD351" s="2"/>
      <c r="BE351" s="2"/>
      <c r="BF351" s="2"/>
      <c r="BG351" s="2">
        <v>0.74</v>
      </c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>
        <v>0</v>
      </c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>
        <v>0</v>
      </c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 t="s">
        <v>100</v>
      </c>
      <c r="DK351" s="2"/>
      <c r="DL351" s="2">
        <f t="shared" si="4367"/>
        <v>0.74</v>
      </c>
      <c r="DM351" s="2">
        <f t="shared" si="4368"/>
        <v>0</v>
      </c>
      <c r="DN351" s="2" t="s">
        <v>132</v>
      </c>
      <c r="DO351" s="2" t="s">
        <v>3</v>
      </c>
      <c r="DP351" s="2">
        <f t="shared" si="4369"/>
        <v>4.3469999999999995E-2</v>
      </c>
      <c r="DQ351" s="2">
        <f t="shared" ref="DQ351:DR351" si="5864">K351*$I351+AF351*$AD351+BA351*$AY351</f>
        <v>0</v>
      </c>
      <c r="DR351" s="2">
        <f t="shared" si="5864"/>
        <v>0</v>
      </c>
      <c r="DS351" s="2">
        <f t="shared" ref="DS351:DX351" si="5865">(M351*$I351+AH351*$AD351+BC351*$AY351)/100</f>
        <v>0</v>
      </c>
      <c r="DT351" s="2">
        <f t="shared" si="5865"/>
        <v>0</v>
      </c>
      <c r="DU351" s="2">
        <f t="shared" si="5865"/>
        <v>0</v>
      </c>
      <c r="DV351" s="2">
        <f t="shared" si="5865"/>
        <v>0</v>
      </c>
      <c r="DW351" s="2">
        <f t="shared" si="5865"/>
        <v>7.6589999999999991E-2</v>
      </c>
      <c r="DX351" s="2">
        <f t="shared" si="5865"/>
        <v>0</v>
      </c>
      <c r="DY351" s="2">
        <f t="shared" ref="DY351:EC351" si="5866">S351*$I351+AN351*$AD351+BI351*$AY351</f>
        <v>0</v>
      </c>
      <c r="DZ351" s="2">
        <f t="shared" si="5866"/>
        <v>0</v>
      </c>
      <c r="EA351" s="2">
        <f t="shared" si="5866"/>
        <v>0</v>
      </c>
      <c r="EB351" s="2">
        <f t="shared" si="5866"/>
        <v>0</v>
      </c>
      <c r="EC351" s="2">
        <f t="shared" si="5866"/>
        <v>0</v>
      </c>
      <c r="ED351" s="2">
        <f t="shared" ref="ED351:EE351" si="5867">(X351*$I351+AS351*$AD351+BN351*$AY351)/100</f>
        <v>0</v>
      </c>
      <c r="EE351" s="2">
        <f t="shared" si="5867"/>
        <v>0</v>
      </c>
      <c r="EF351" s="2"/>
      <c r="EG351" s="2">
        <f t="shared" si="4374"/>
        <v>0</v>
      </c>
      <c r="EH351" s="2">
        <f t="shared" si="4375"/>
        <v>0</v>
      </c>
      <c r="EI351" s="39">
        <f t="shared" si="4376"/>
        <v>283.66852751999994</v>
      </c>
      <c r="EJ351" s="39">
        <f t="shared" ref="EJ351:EK351" si="5868">EJ$1*DQ351/1000000</f>
        <v>0</v>
      </c>
      <c r="EK351" s="39">
        <f t="shared" si="5868"/>
        <v>0</v>
      </c>
      <c r="EL351" s="39">
        <f t="shared" ref="EL351:EQ351" si="5869">EL$1*DS351</f>
        <v>0</v>
      </c>
      <c r="EM351" s="39">
        <f t="shared" si="5869"/>
        <v>0</v>
      </c>
      <c r="EN351" s="39">
        <f t="shared" si="5869"/>
        <v>0</v>
      </c>
      <c r="EO351" s="39">
        <f t="shared" si="5869"/>
        <v>0</v>
      </c>
      <c r="EP351" s="39">
        <f t="shared" si="5869"/>
        <v>1004.4012599999999</v>
      </c>
      <c r="EQ351" s="39">
        <f t="shared" si="5869"/>
        <v>0</v>
      </c>
      <c r="ER351" s="39">
        <f t="shared" ref="ER351:EV351" si="5870">ER$1*DY351/1000000</f>
        <v>0</v>
      </c>
      <c r="ES351" s="39">
        <f t="shared" si="5870"/>
        <v>0</v>
      </c>
      <c r="ET351" s="39">
        <f t="shared" si="5870"/>
        <v>0</v>
      </c>
      <c r="EU351" s="39">
        <f t="shared" si="5870"/>
        <v>0</v>
      </c>
      <c r="EV351" s="39">
        <f t="shared" si="5870"/>
        <v>0</v>
      </c>
      <c r="EW351" s="39">
        <f t="shared" ref="EW351:EX351" si="5871">EW$1*ED351</f>
        <v>0</v>
      </c>
      <c r="EX351" s="39">
        <f t="shared" si="5871"/>
        <v>0</v>
      </c>
      <c r="EY351" s="2"/>
      <c r="EZ351" s="39">
        <f t="shared" si="4381"/>
        <v>0</v>
      </c>
      <c r="FA351" s="39">
        <f t="shared" si="4382"/>
        <v>0</v>
      </c>
      <c r="FB351" s="2">
        <f t="shared" si="4383"/>
        <v>0</v>
      </c>
      <c r="FC351" s="2">
        <f t="shared" ref="FC351:FD351" si="5872">BV351*$BT351+CQ351*$CO351</f>
        <v>0</v>
      </c>
      <c r="FD351" s="2">
        <f t="shared" si="5872"/>
        <v>0</v>
      </c>
      <c r="FE351" s="2">
        <f t="shared" ref="FE351:FJ351" si="5873">(BX351*$BT351+CS351*$CO351)/100</f>
        <v>0</v>
      </c>
      <c r="FF351" s="2">
        <f t="shared" si="5873"/>
        <v>0</v>
      </c>
      <c r="FG351" s="2">
        <f t="shared" si="5873"/>
        <v>0</v>
      </c>
      <c r="FH351" s="2">
        <f t="shared" si="5873"/>
        <v>0</v>
      </c>
      <c r="FI351" s="2">
        <f t="shared" si="5873"/>
        <v>0</v>
      </c>
      <c r="FJ351" s="2">
        <f t="shared" si="5873"/>
        <v>0</v>
      </c>
      <c r="FK351" s="2">
        <f t="shared" ref="FK351:FO351" si="5874">CD351*$BT351+CY351*$CO351</f>
        <v>0</v>
      </c>
      <c r="FL351" s="2">
        <f t="shared" si="5874"/>
        <v>0</v>
      </c>
      <c r="FM351" s="2">
        <f t="shared" si="5874"/>
        <v>0</v>
      </c>
      <c r="FN351" s="2">
        <f t="shared" si="5874"/>
        <v>0</v>
      </c>
      <c r="FO351" s="2">
        <f t="shared" si="5874"/>
        <v>0</v>
      </c>
      <c r="FP351" s="2">
        <f t="shared" ref="FP351:FQ351" si="5875">(CI351*$BT351+DD351*$CO351)/100</f>
        <v>0</v>
      </c>
      <c r="FQ351" s="2">
        <f t="shared" si="5875"/>
        <v>0</v>
      </c>
      <c r="FR351" s="2"/>
      <c r="FS351" s="2">
        <f t="shared" si="4388"/>
        <v>0</v>
      </c>
      <c r="FT351" s="2">
        <f t="shared" si="4389"/>
        <v>0</v>
      </c>
      <c r="FU351" s="39">
        <f t="shared" si="4390"/>
        <v>0</v>
      </c>
      <c r="FV351" s="39">
        <f t="shared" ref="FV351:FW351" si="5876">FV$1*FC351/1000000</f>
        <v>0</v>
      </c>
      <c r="FW351" s="39">
        <f t="shared" si="5876"/>
        <v>0</v>
      </c>
      <c r="FX351" s="39">
        <f t="shared" ref="FX351:GC351" si="5877">FX$1*FE351</f>
        <v>0</v>
      </c>
      <c r="FY351" s="39">
        <f t="shared" si="5877"/>
        <v>0</v>
      </c>
      <c r="FZ351" s="39">
        <f t="shared" si="5877"/>
        <v>0</v>
      </c>
      <c r="GA351" s="39">
        <f t="shared" si="5877"/>
        <v>0</v>
      </c>
      <c r="GB351" s="39">
        <f t="shared" si="5877"/>
        <v>0</v>
      </c>
      <c r="GC351" s="39">
        <f t="shared" si="5877"/>
        <v>0</v>
      </c>
      <c r="GD351" s="39">
        <f t="shared" ref="GD351:GH351" si="5878">GD$1*FK351/1000000</f>
        <v>0</v>
      </c>
      <c r="GE351" s="39">
        <f t="shared" si="5878"/>
        <v>0</v>
      </c>
      <c r="GF351" s="39">
        <f t="shared" si="5878"/>
        <v>0</v>
      </c>
      <c r="GG351" s="39">
        <f t="shared" si="5878"/>
        <v>0</v>
      </c>
      <c r="GH351" s="39">
        <f t="shared" si="5878"/>
        <v>0</v>
      </c>
      <c r="GI351" s="39">
        <f t="shared" ref="GI351:GJ351" si="5879">GI$1*FP351</f>
        <v>0</v>
      </c>
      <c r="GJ351" s="39">
        <f t="shared" si="5879"/>
        <v>0</v>
      </c>
      <c r="GK351" s="2"/>
      <c r="GL351" s="39">
        <f t="shared" si="4395"/>
        <v>0</v>
      </c>
      <c r="GM351" s="39">
        <f t="shared" si="4396"/>
        <v>0</v>
      </c>
      <c r="GN351" s="2" t="s">
        <v>3</v>
      </c>
      <c r="GO351" s="2">
        <f t="shared" si="4397"/>
        <v>10.35</v>
      </c>
      <c r="GP351" s="2">
        <f t="shared" si="4398"/>
        <v>0.74</v>
      </c>
      <c r="GQ351" s="15">
        <f t="shared" si="4399"/>
        <v>76.59</v>
      </c>
      <c r="GR351" s="15">
        <f t="shared" si="4400"/>
        <v>1288.0697875199999</v>
      </c>
      <c r="GS351" s="15">
        <f t="shared" si="4401"/>
        <v>124.45118719999999</v>
      </c>
      <c r="GT351" s="2">
        <f t="shared" si="4402"/>
        <v>0</v>
      </c>
      <c r="GU351" s="2">
        <f t="shared" si="4403"/>
        <v>0</v>
      </c>
      <c r="GV351" s="2">
        <f t="shared" si="4404"/>
        <v>76.59</v>
      </c>
      <c r="GW351" s="2">
        <f t="shared" si="4405"/>
        <v>0</v>
      </c>
      <c r="GX351" s="2"/>
      <c r="GY351" s="2"/>
      <c r="GZ351" s="2"/>
      <c r="HA351" s="2"/>
      <c r="HB351" s="2">
        <f t="shared" si="4406"/>
        <v>0</v>
      </c>
      <c r="HC351" s="2">
        <f t="shared" si="4407"/>
        <v>0</v>
      </c>
      <c r="HD351" s="2" t="s">
        <v>3</v>
      </c>
      <c r="HE351" s="2" t="s">
        <v>89</v>
      </c>
      <c r="HF351" s="2" t="s">
        <v>522</v>
      </c>
      <c r="HG351" s="2"/>
      <c r="HH351" s="2"/>
      <c r="HI351" s="2" t="s">
        <v>100</v>
      </c>
      <c r="HJ351" s="2" t="s">
        <v>3</v>
      </c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 t="s">
        <v>3</v>
      </c>
    </row>
    <row r="352" spans="1:268" ht="15.75" customHeight="1" x14ac:dyDescent="0.2">
      <c r="A352" s="16" t="s">
        <v>732</v>
      </c>
      <c r="B352" s="2" t="s">
        <v>99</v>
      </c>
      <c r="C352" s="2"/>
      <c r="D352" s="2"/>
      <c r="E352" s="2"/>
      <c r="F352" s="2" t="s">
        <v>79</v>
      </c>
      <c r="G352" s="2"/>
      <c r="H352" s="2"/>
      <c r="I352" s="2">
        <v>0</v>
      </c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>
        <v>0</v>
      </c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>
        <v>2.2000000000000002</v>
      </c>
      <c r="AZ352" s="2"/>
      <c r="BA352" s="2"/>
      <c r="BB352" s="2"/>
      <c r="BC352" s="2"/>
      <c r="BD352" s="2"/>
      <c r="BE352" s="2"/>
      <c r="BF352" s="2"/>
      <c r="BG352" s="2">
        <v>0.59</v>
      </c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>
        <v>0</v>
      </c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>
        <v>0</v>
      </c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 t="s">
        <v>100</v>
      </c>
      <c r="DK352" s="2"/>
      <c r="DL352" s="2">
        <f t="shared" si="4367"/>
        <v>0.59</v>
      </c>
      <c r="DM352" s="2">
        <f t="shared" si="4368"/>
        <v>0</v>
      </c>
      <c r="DN352" s="2" t="s">
        <v>132</v>
      </c>
      <c r="DO352" s="2" t="s">
        <v>3</v>
      </c>
      <c r="DP352" s="2">
        <f t="shared" si="4369"/>
        <v>0</v>
      </c>
      <c r="DQ352" s="2">
        <f t="shared" ref="DQ352:DR352" si="5880">K352*$I352+AF352*$AD352+BA352*$AY352</f>
        <v>0</v>
      </c>
      <c r="DR352" s="2">
        <f t="shared" si="5880"/>
        <v>0</v>
      </c>
      <c r="DS352" s="2">
        <f t="shared" ref="DS352:DX352" si="5881">(M352*$I352+AH352*$AD352+BC352*$AY352)/100</f>
        <v>0</v>
      </c>
      <c r="DT352" s="2">
        <f t="shared" si="5881"/>
        <v>0</v>
      </c>
      <c r="DU352" s="2">
        <f t="shared" si="5881"/>
        <v>0</v>
      </c>
      <c r="DV352" s="2">
        <f t="shared" si="5881"/>
        <v>0</v>
      </c>
      <c r="DW352" s="2">
        <f t="shared" si="5881"/>
        <v>1.298E-2</v>
      </c>
      <c r="DX352" s="2">
        <f t="shared" si="5881"/>
        <v>0</v>
      </c>
      <c r="DY352" s="2">
        <f t="shared" ref="DY352:EC352" si="5882">S352*$I352+AN352*$AD352+BI352*$AY352</f>
        <v>0</v>
      </c>
      <c r="DZ352" s="2">
        <f t="shared" si="5882"/>
        <v>0</v>
      </c>
      <c r="EA352" s="2">
        <f t="shared" si="5882"/>
        <v>0</v>
      </c>
      <c r="EB352" s="2">
        <f t="shared" si="5882"/>
        <v>0</v>
      </c>
      <c r="EC352" s="2">
        <f t="shared" si="5882"/>
        <v>0</v>
      </c>
      <c r="ED352" s="2">
        <f t="shared" ref="ED352:EE352" si="5883">(X352*$I352+AS352*$AD352+BN352*$AY352)/100</f>
        <v>0</v>
      </c>
      <c r="EE352" s="2">
        <f t="shared" si="5883"/>
        <v>0</v>
      </c>
      <c r="EF352" s="2"/>
      <c r="EG352" s="2">
        <f t="shared" si="4374"/>
        <v>0</v>
      </c>
      <c r="EH352" s="2">
        <f t="shared" si="4375"/>
        <v>0</v>
      </c>
      <c r="EI352" s="39">
        <f t="shared" si="4376"/>
        <v>0</v>
      </c>
      <c r="EJ352" s="39">
        <f t="shared" ref="EJ352:EK352" si="5884">EJ$1*DQ352/1000000</f>
        <v>0</v>
      </c>
      <c r="EK352" s="39">
        <f t="shared" si="5884"/>
        <v>0</v>
      </c>
      <c r="EL352" s="39">
        <f t="shared" ref="EL352:EQ352" si="5885">EL$1*DS352</f>
        <v>0</v>
      </c>
      <c r="EM352" s="39">
        <f t="shared" si="5885"/>
        <v>0</v>
      </c>
      <c r="EN352" s="39">
        <f t="shared" si="5885"/>
        <v>0</v>
      </c>
      <c r="EO352" s="39">
        <f t="shared" si="5885"/>
        <v>0</v>
      </c>
      <c r="EP352" s="39">
        <f t="shared" si="5885"/>
        <v>170.21972</v>
      </c>
      <c r="EQ352" s="39">
        <f t="shared" si="5885"/>
        <v>0</v>
      </c>
      <c r="ER352" s="39">
        <f t="shared" ref="ER352:EV352" si="5886">ER$1*DY352/1000000</f>
        <v>0</v>
      </c>
      <c r="ES352" s="39">
        <f t="shared" si="5886"/>
        <v>0</v>
      </c>
      <c r="ET352" s="39">
        <f t="shared" si="5886"/>
        <v>0</v>
      </c>
      <c r="EU352" s="39">
        <f t="shared" si="5886"/>
        <v>0</v>
      </c>
      <c r="EV352" s="39">
        <f t="shared" si="5886"/>
        <v>0</v>
      </c>
      <c r="EW352" s="39">
        <f t="shared" ref="EW352:EX352" si="5887">EW$1*ED352</f>
        <v>0</v>
      </c>
      <c r="EX352" s="39">
        <f t="shared" si="5887"/>
        <v>0</v>
      </c>
      <c r="EY352" s="2"/>
      <c r="EZ352" s="39">
        <f t="shared" si="4381"/>
        <v>0</v>
      </c>
      <c r="FA352" s="39">
        <f t="shared" si="4382"/>
        <v>0</v>
      </c>
      <c r="FB352" s="2">
        <f t="shared" si="4383"/>
        <v>0</v>
      </c>
      <c r="FC352" s="2">
        <f t="shared" ref="FC352:FD352" si="5888">BV352*$BT352+CQ352*$CO352</f>
        <v>0</v>
      </c>
      <c r="FD352" s="2">
        <f t="shared" si="5888"/>
        <v>0</v>
      </c>
      <c r="FE352" s="2">
        <f t="shared" ref="FE352:FJ352" si="5889">(BX352*$BT352+CS352*$CO352)/100</f>
        <v>0</v>
      </c>
      <c r="FF352" s="2">
        <f t="shared" si="5889"/>
        <v>0</v>
      </c>
      <c r="FG352" s="2">
        <f t="shared" si="5889"/>
        <v>0</v>
      </c>
      <c r="FH352" s="2">
        <f t="shared" si="5889"/>
        <v>0</v>
      </c>
      <c r="FI352" s="2">
        <f t="shared" si="5889"/>
        <v>0</v>
      </c>
      <c r="FJ352" s="2">
        <f t="shared" si="5889"/>
        <v>0</v>
      </c>
      <c r="FK352" s="2">
        <f t="shared" ref="FK352:FO352" si="5890">CD352*$BT352+CY352*$CO352</f>
        <v>0</v>
      </c>
      <c r="FL352" s="2">
        <f t="shared" si="5890"/>
        <v>0</v>
      </c>
      <c r="FM352" s="2">
        <f t="shared" si="5890"/>
        <v>0</v>
      </c>
      <c r="FN352" s="2">
        <f t="shared" si="5890"/>
        <v>0</v>
      </c>
      <c r="FO352" s="2">
        <f t="shared" si="5890"/>
        <v>0</v>
      </c>
      <c r="FP352" s="2">
        <f t="shared" ref="FP352:FQ352" si="5891">(CI352*$BT352+DD352*$CO352)/100</f>
        <v>0</v>
      </c>
      <c r="FQ352" s="2">
        <f t="shared" si="5891"/>
        <v>0</v>
      </c>
      <c r="FR352" s="2"/>
      <c r="FS352" s="2">
        <f t="shared" si="4388"/>
        <v>0</v>
      </c>
      <c r="FT352" s="2">
        <f t="shared" si="4389"/>
        <v>0</v>
      </c>
      <c r="FU352" s="39">
        <f t="shared" si="4390"/>
        <v>0</v>
      </c>
      <c r="FV352" s="39">
        <f t="shared" ref="FV352:FW352" si="5892">FV$1*FC352/1000000</f>
        <v>0</v>
      </c>
      <c r="FW352" s="39">
        <f t="shared" si="5892"/>
        <v>0</v>
      </c>
      <c r="FX352" s="39">
        <f t="shared" ref="FX352:GC352" si="5893">FX$1*FE352</f>
        <v>0</v>
      </c>
      <c r="FY352" s="39">
        <f t="shared" si="5893"/>
        <v>0</v>
      </c>
      <c r="FZ352" s="39">
        <f t="shared" si="5893"/>
        <v>0</v>
      </c>
      <c r="GA352" s="39">
        <f t="shared" si="5893"/>
        <v>0</v>
      </c>
      <c r="GB352" s="39">
        <f t="shared" si="5893"/>
        <v>0</v>
      </c>
      <c r="GC352" s="39">
        <f t="shared" si="5893"/>
        <v>0</v>
      </c>
      <c r="GD352" s="39">
        <f t="shared" ref="GD352:GH352" si="5894">GD$1*FK352/1000000</f>
        <v>0</v>
      </c>
      <c r="GE352" s="39">
        <f t="shared" si="5894"/>
        <v>0</v>
      </c>
      <c r="GF352" s="39">
        <f t="shared" si="5894"/>
        <v>0</v>
      </c>
      <c r="GG352" s="39">
        <f t="shared" si="5894"/>
        <v>0</v>
      </c>
      <c r="GH352" s="39">
        <f t="shared" si="5894"/>
        <v>0</v>
      </c>
      <c r="GI352" s="39">
        <f t="shared" ref="GI352:GJ352" si="5895">GI$1*FP352</f>
        <v>0</v>
      </c>
      <c r="GJ352" s="39">
        <f t="shared" si="5895"/>
        <v>0</v>
      </c>
      <c r="GK352" s="2"/>
      <c r="GL352" s="39">
        <f t="shared" si="4395"/>
        <v>0</v>
      </c>
      <c r="GM352" s="39">
        <f t="shared" si="4396"/>
        <v>0</v>
      </c>
      <c r="GN352" s="2" t="s">
        <v>3</v>
      </c>
      <c r="GO352" s="2">
        <f t="shared" si="4397"/>
        <v>2.2000000000000002</v>
      </c>
      <c r="GP352" s="2">
        <f t="shared" si="4398"/>
        <v>0.59</v>
      </c>
      <c r="GQ352" s="15">
        <f t="shared" si="4399"/>
        <v>12.98</v>
      </c>
      <c r="GR352" s="15">
        <f t="shared" si="4400"/>
        <v>170.21972</v>
      </c>
      <c r="GS352" s="15">
        <f t="shared" si="4401"/>
        <v>77.372599999999991</v>
      </c>
      <c r="GT352" s="2">
        <f t="shared" si="4402"/>
        <v>0</v>
      </c>
      <c r="GU352" s="2">
        <f t="shared" si="4403"/>
        <v>0</v>
      </c>
      <c r="GV352" s="2">
        <f t="shared" si="4404"/>
        <v>12.98</v>
      </c>
      <c r="GW352" s="2">
        <f t="shared" si="4405"/>
        <v>0</v>
      </c>
      <c r="GX352" s="2"/>
      <c r="GY352" s="2"/>
      <c r="GZ352" s="2"/>
      <c r="HA352" s="2"/>
      <c r="HB352" s="2">
        <f t="shared" si="4406"/>
        <v>0</v>
      </c>
      <c r="HC352" s="2">
        <f t="shared" si="4407"/>
        <v>0</v>
      </c>
      <c r="HD352" s="2" t="s">
        <v>3</v>
      </c>
      <c r="HE352" s="2" t="s">
        <v>89</v>
      </c>
      <c r="HF352" s="2" t="s">
        <v>522</v>
      </c>
      <c r="HG352" s="2"/>
      <c r="HH352" s="2"/>
      <c r="HI352" s="2" t="s">
        <v>100</v>
      </c>
      <c r="HJ352" s="2" t="s">
        <v>3</v>
      </c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 t="s">
        <v>3</v>
      </c>
    </row>
    <row r="353" spans="1:268" ht="15.75" customHeight="1" x14ac:dyDescent="0.2">
      <c r="A353" s="32" t="s">
        <v>1082</v>
      </c>
      <c r="B353" s="2" t="s">
        <v>99</v>
      </c>
      <c r="C353" s="2"/>
      <c r="D353" s="2"/>
      <c r="E353" s="2"/>
      <c r="F353" s="2" t="s">
        <v>79</v>
      </c>
      <c r="G353" s="2"/>
      <c r="H353" s="2"/>
      <c r="I353" s="2">
        <v>0</v>
      </c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>
        <v>0</v>
      </c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>
        <v>5.26</v>
      </c>
      <c r="AZ353" s="2"/>
      <c r="BA353" s="2"/>
      <c r="BB353" s="2"/>
      <c r="BC353" s="2"/>
      <c r="BD353" s="2"/>
      <c r="BE353" s="2"/>
      <c r="BF353" s="2"/>
      <c r="BG353" s="2">
        <v>0.38</v>
      </c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>
        <v>0</v>
      </c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>
        <v>0</v>
      </c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 t="s">
        <v>100</v>
      </c>
      <c r="DK353" s="2"/>
      <c r="DL353" s="2">
        <f t="shared" si="4367"/>
        <v>0.38</v>
      </c>
      <c r="DM353" s="2">
        <f t="shared" si="4368"/>
        <v>0</v>
      </c>
      <c r="DN353" s="2" t="s">
        <v>132</v>
      </c>
      <c r="DO353" s="2" t="s">
        <v>3</v>
      </c>
      <c r="DP353" s="2">
        <f t="shared" si="4369"/>
        <v>0</v>
      </c>
      <c r="DQ353" s="2">
        <f t="shared" ref="DQ353:DR353" si="5896">K353*$I353+AF353*$AD353+BA353*$AY353</f>
        <v>0</v>
      </c>
      <c r="DR353" s="2">
        <f t="shared" si="5896"/>
        <v>0</v>
      </c>
      <c r="DS353" s="2">
        <f t="shared" ref="DS353:DX353" si="5897">(M353*$I353+AH353*$AD353+BC353*$AY353)/100</f>
        <v>0</v>
      </c>
      <c r="DT353" s="2">
        <f t="shared" si="5897"/>
        <v>0</v>
      </c>
      <c r="DU353" s="2">
        <f t="shared" si="5897"/>
        <v>0</v>
      </c>
      <c r="DV353" s="2">
        <f t="shared" si="5897"/>
        <v>0</v>
      </c>
      <c r="DW353" s="2">
        <f t="shared" si="5897"/>
        <v>1.9987999999999999E-2</v>
      </c>
      <c r="DX353" s="2">
        <f t="shared" si="5897"/>
        <v>0</v>
      </c>
      <c r="DY353" s="2">
        <f t="shared" ref="DY353:EC353" si="5898">S353*$I353+AN353*$AD353+BI353*$AY353</f>
        <v>0</v>
      </c>
      <c r="DZ353" s="2">
        <f t="shared" si="5898"/>
        <v>0</v>
      </c>
      <c r="EA353" s="2">
        <f t="shared" si="5898"/>
        <v>0</v>
      </c>
      <c r="EB353" s="2">
        <f t="shared" si="5898"/>
        <v>0</v>
      </c>
      <c r="EC353" s="2">
        <f t="shared" si="5898"/>
        <v>0</v>
      </c>
      <c r="ED353" s="2">
        <f t="shared" ref="ED353:EE353" si="5899">(X353*$I353+AS353*$AD353+BN353*$AY353)/100</f>
        <v>0</v>
      </c>
      <c r="EE353" s="2">
        <f t="shared" si="5899"/>
        <v>0</v>
      </c>
      <c r="EF353" s="2"/>
      <c r="EG353" s="2">
        <f t="shared" si="4374"/>
        <v>0</v>
      </c>
      <c r="EH353" s="2">
        <f t="shared" si="4375"/>
        <v>0</v>
      </c>
      <c r="EI353" s="39">
        <f t="shared" si="4376"/>
        <v>0</v>
      </c>
      <c r="EJ353" s="39">
        <f t="shared" ref="EJ353:EK353" si="5900">EJ$1*DQ353/1000000</f>
        <v>0</v>
      </c>
      <c r="EK353" s="39">
        <f t="shared" si="5900"/>
        <v>0</v>
      </c>
      <c r="EL353" s="39">
        <f t="shared" ref="EL353:EQ353" si="5901">EL$1*DS353</f>
        <v>0</v>
      </c>
      <c r="EM353" s="39">
        <f t="shared" si="5901"/>
        <v>0</v>
      </c>
      <c r="EN353" s="39">
        <f t="shared" si="5901"/>
        <v>0</v>
      </c>
      <c r="EO353" s="39">
        <f t="shared" si="5901"/>
        <v>0</v>
      </c>
      <c r="EP353" s="39">
        <f t="shared" si="5901"/>
        <v>262.12263200000001</v>
      </c>
      <c r="EQ353" s="39">
        <f t="shared" si="5901"/>
        <v>0</v>
      </c>
      <c r="ER353" s="39">
        <f t="shared" ref="ER353:EV353" si="5902">ER$1*DY353/1000000</f>
        <v>0</v>
      </c>
      <c r="ES353" s="39">
        <f t="shared" si="5902"/>
        <v>0</v>
      </c>
      <c r="ET353" s="39">
        <f t="shared" si="5902"/>
        <v>0</v>
      </c>
      <c r="EU353" s="39">
        <f t="shared" si="5902"/>
        <v>0</v>
      </c>
      <c r="EV353" s="39">
        <f t="shared" si="5902"/>
        <v>0</v>
      </c>
      <c r="EW353" s="39">
        <f t="shared" ref="EW353:EX353" si="5903">EW$1*ED353</f>
        <v>0</v>
      </c>
      <c r="EX353" s="39">
        <f t="shared" si="5903"/>
        <v>0</v>
      </c>
      <c r="EY353" s="2"/>
      <c r="EZ353" s="39">
        <f t="shared" si="4381"/>
        <v>0</v>
      </c>
      <c r="FA353" s="39">
        <f t="shared" si="4382"/>
        <v>0</v>
      </c>
      <c r="FB353" s="2">
        <f t="shared" si="4383"/>
        <v>0</v>
      </c>
      <c r="FC353" s="2">
        <f t="shared" ref="FC353:FD353" si="5904">BV353*$BT353+CQ353*$CO353</f>
        <v>0</v>
      </c>
      <c r="FD353" s="2">
        <f t="shared" si="5904"/>
        <v>0</v>
      </c>
      <c r="FE353" s="2">
        <f t="shared" ref="FE353:FJ353" si="5905">(BX353*$BT353+CS353*$CO353)/100</f>
        <v>0</v>
      </c>
      <c r="FF353" s="2">
        <f t="shared" si="5905"/>
        <v>0</v>
      </c>
      <c r="FG353" s="2">
        <f t="shared" si="5905"/>
        <v>0</v>
      </c>
      <c r="FH353" s="2">
        <f t="shared" si="5905"/>
        <v>0</v>
      </c>
      <c r="FI353" s="2">
        <f t="shared" si="5905"/>
        <v>0</v>
      </c>
      <c r="FJ353" s="2">
        <f t="shared" si="5905"/>
        <v>0</v>
      </c>
      <c r="FK353" s="2">
        <f t="shared" ref="FK353:FO353" si="5906">CD353*$BT353+CY353*$CO353</f>
        <v>0</v>
      </c>
      <c r="FL353" s="2">
        <f t="shared" si="5906"/>
        <v>0</v>
      </c>
      <c r="FM353" s="2">
        <f t="shared" si="5906"/>
        <v>0</v>
      </c>
      <c r="FN353" s="2">
        <f t="shared" si="5906"/>
        <v>0</v>
      </c>
      <c r="FO353" s="2">
        <f t="shared" si="5906"/>
        <v>0</v>
      </c>
      <c r="FP353" s="2">
        <f t="shared" ref="FP353:FQ353" si="5907">(CI353*$BT353+DD353*$CO353)/100</f>
        <v>0</v>
      </c>
      <c r="FQ353" s="2">
        <f t="shared" si="5907"/>
        <v>0</v>
      </c>
      <c r="FR353" s="2"/>
      <c r="FS353" s="2">
        <f t="shared" si="4388"/>
        <v>0</v>
      </c>
      <c r="FT353" s="2">
        <f t="shared" si="4389"/>
        <v>0</v>
      </c>
      <c r="FU353" s="39">
        <f t="shared" si="4390"/>
        <v>0</v>
      </c>
      <c r="FV353" s="39">
        <f t="shared" ref="FV353:FW353" si="5908">FV$1*FC353/1000000</f>
        <v>0</v>
      </c>
      <c r="FW353" s="39">
        <f t="shared" si="5908"/>
        <v>0</v>
      </c>
      <c r="FX353" s="39">
        <f t="shared" ref="FX353:GC353" si="5909">FX$1*FE353</f>
        <v>0</v>
      </c>
      <c r="FY353" s="39">
        <f t="shared" si="5909"/>
        <v>0</v>
      </c>
      <c r="FZ353" s="39">
        <f t="shared" si="5909"/>
        <v>0</v>
      </c>
      <c r="GA353" s="39">
        <f t="shared" si="5909"/>
        <v>0</v>
      </c>
      <c r="GB353" s="39">
        <f t="shared" si="5909"/>
        <v>0</v>
      </c>
      <c r="GC353" s="39">
        <f t="shared" si="5909"/>
        <v>0</v>
      </c>
      <c r="GD353" s="39">
        <f t="shared" ref="GD353:GH353" si="5910">GD$1*FK353/1000000</f>
        <v>0</v>
      </c>
      <c r="GE353" s="39">
        <f t="shared" si="5910"/>
        <v>0</v>
      </c>
      <c r="GF353" s="39">
        <f t="shared" si="5910"/>
        <v>0</v>
      </c>
      <c r="GG353" s="39">
        <f t="shared" si="5910"/>
        <v>0</v>
      </c>
      <c r="GH353" s="39">
        <f t="shared" si="5910"/>
        <v>0</v>
      </c>
      <c r="GI353" s="39">
        <f t="shared" ref="GI353:GJ353" si="5911">GI$1*FP353</f>
        <v>0</v>
      </c>
      <c r="GJ353" s="39">
        <f t="shared" si="5911"/>
        <v>0</v>
      </c>
      <c r="GK353" s="2"/>
      <c r="GL353" s="39">
        <f t="shared" si="4395"/>
        <v>0</v>
      </c>
      <c r="GM353" s="39">
        <f t="shared" si="4396"/>
        <v>0</v>
      </c>
      <c r="GN353" s="2" t="s">
        <v>3</v>
      </c>
      <c r="GO353" s="2">
        <f t="shared" si="4397"/>
        <v>5.26</v>
      </c>
      <c r="GP353" s="2">
        <f t="shared" si="4398"/>
        <v>0.38</v>
      </c>
      <c r="GQ353" s="15">
        <f t="shared" si="4399"/>
        <v>19.988</v>
      </c>
      <c r="GR353" s="15">
        <f t="shared" si="4400"/>
        <v>262.12263200000001</v>
      </c>
      <c r="GS353" s="15">
        <f t="shared" si="4401"/>
        <v>49.833200000000005</v>
      </c>
      <c r="GT353" s="2">
        <f t="shared" si="4402"/>
        <v>0</v>
      </c>
      <c r="GU353" s="2">
        <f t="shared" si="4403"/>
        <v>0</v>
      </c>
      <c r="GV353" s="2">
        <f t="shared" si="4404"/>
        <v>19.988</v>
      </c>
      <c r="GW353" s="2">
        <f t="shared" si="4405"/>
        <v>0</v>
      </c>
      <c r="GX353" s="2"/>
      <c r="GY353" s="2"/>
      <c r="GZ353" s="2"/>
      <c r="HA353" s="2"/>
      <c r="HB353" s="2">
        <f t="shared" si="4406"/>
        <v>0</v>
      </c>
      <c r="HC353" s="2">
        <f t="shared" si="4407"/>
        <v>0</v>
      </c>
      <c r="HD353" s="2" t="s">
        <v>3</v>
      </c>
      <c r="HE353" s="2" t="s">
        <v>89</v>
      </c>
      <c r="HF353" s="2" t="s">
        <v>522</v>
      </c>
      <c r="HG353" s="2"/>
      <c r="HH353" s="2"/>
      <c r="HI353" s="2" t="s">
        <v>100</v>
      </c>
      <c r="HJ353" s="2" t="s">
        <v>3</v>
      </c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 t="s">
        <v>3</v>
      </c>
    </row>
    <row r="354" spans="1:268" ht="15.75" customHeight="1" x14ac:dyDescent="0.2">
      <c r="A354" s="32" t="s">
        <v>1126</v>
      </c>
      <c r="B354" s="2" t="s">
        <v>99</v>
      </c>
      <c r="C354" s="2"/>
      <c r="D354" s="2"/>
      <c r="E354" s="2"/>
      <c r="F354" s="2" t="s">
        <v>79</v>
      </c>
      <c r="G354" s="2"/>
      <c r="H354" s="2"/>
      <c r="I354" s="2">
        <v>0</v>
      </c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>
        <v>0</v>
      </c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>
        <v>8</v>
      </c>
      <c r="AZ354" s="2"/>
      <c r="BA354" s="2"/>
      <c r="BB354" s="2"/>
      <c r="BC354" s="2"/>
      <c r="BD354" s="2"/>
      <c r="BE354" s="2"/>
      <c r="BF354" s="2"/>
      <c r="BG354" s="2">
        <v>0.35</v>
      </c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>
        <v>0</v>
      </c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>
        <v>0</v>
      </c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 t="s">
        <v>100</v>
      </c>
      <c r="DK354" s="2"/>
      <c r="DL354" s="2">
        <f t="shared" si="4367"/>
        <v>0.35</v>
      </c>
      <c r="DM354" s="2">
        <f t="shared" si="4368"/>
        <v>0</v>
      </c>
      <c r="DN354" s="2" t="s">
        <v>132</v>
      </c>
      <c r="DO354" s="2" t="s">
        <v>3</v>
      </c>
      <c r="DP354" s="2">
        <f t="shared" si="4369"/>
        <v>0</v>
      </c>
      <c r="DQ354" s="2">
        <f t="shared" ref="DQ354:DR354" si="5912">K354*$I354+AF354*$AD354+BA354*$AY354</f>
        <v>0</v>
      </c>
      <c r="DR354" s="2">
        <f t="shared" si="5912"/>
        <v>0</v>
      </c>
      <c r="DS354" s="2">
        <f t="shared" ref="DS354:DX354" si="5913">(M354*$I354+AH354*$AD354+BC354*$AY354)/100</f>
        <v>0</v>
      </c>
      <c r="DT354" s="2">
        <f t="shared" si="5913"/>
        <v>0</v>
      </c>
      <c r="DU354" s="2">
        <f t="shared" si="5913"/>
        <v>0</v>
      </c>
      <c r="DV354" s="2">
        <f t="shared" si="5913"/>
        <v>0</v>
      </c>
      <c r="DW354" s="2">
        <f t="shared" si="5913"/>
        <v>2.7999999999999997E-2</v>
      </c>
      <c r="DX354" s="2">
        <f t="shared" si="5913"/>
        <v>0</v>
      </c>
      <c r="DY354" s="2">
        <f t="shared" ref="DY354:EC354" si="5914">S354*$I354+AN354*$AD354+BI354*$AY354</f>
        <v>0</v>
      </c>
      <c r="DZ354" s="2">
        <f t="shared" si="5914"/>
        <v>0</v>
      </c>
      <c r="EA354" s="2">
        <f t="shared" si="5914"/>
        <v>0</v>
      </c>
      <c r="EB354" s="2">
        <f t="shared" si="5914"/>
        <v>0</v>
      </c>
      <c r="EC354" s="2">
        <f t="shared" si="5914"/>
        <v>0</v>
      </c>
      <c r="ED354" s="2">
        <f t="shared" ref="ED354:EE354" si="5915">(X354*$I354+AS354*$AD354+BN354*$AY354)/100</f>
        <v>0</v>
      </c>
      <c r="EE354" s="2">
        <f t="shared" si="5915"/>
        <v>0</v>
      </c>
      <c r="EF354" s="2"/>
      <c r="EG354" s="2">
        <f t="shared" si="4374"/>
        <v>0</v>
      </c>
      <c r="EH354" s="2">
        <f t="shared" si="4375"/>
        <v>0</v>
      </c>
      <c r="EI354" s="39">
        <f t="shared" si="4376"/>
        <v>0</v>
      </c>
      <c r="EJ354" s="39">
        <f t="shared" ref="EJ354:EK354" si="5916">EJ$1*DQ354/1000000</f>
        <v>0</v>
      </c>
      <c r="EK354" s="39">
        <f t="shared" si="5916"/>
        <v>0</v>
      </c>
      <c r="EL354" s="39">
        <f t="shared" ref="EL354:EQ354" si="5917">EL$1*DS354</f>
        <v>0</v>
      </c>
      <c r="EM354" s="39">
        <f t="shared" si="5917"/>
        <v>0</v>
      </c>
      <c r="EN354" s="39">
        <f t="shared" si="5917"/>
        <v>0</v>
      </c>
      <c r="EO354" s="39">
        <f t="shared" si="5917"/>
        <v>0</v>
      </c>
      <c r="EP354" s="39">
        <f t="shared" si="5917"/>
        <v>367.19199999999995</v>
      </c>
      <c r="EQ354" s="39">
        <f t="shared" si="5917"/>
        <v>0</v>
      </c>
      <c r="ER354" s="39">
        <f t="shared" ref="ER354:EV354" si="5918">ER$1*DY354/1000000</f>
        <v>0</v>
      </c>
      <c r="ES354" s="39">
        <f t="shared" si="5918"/>
        <v>0</v>
      </c>
      <c r="ET354" s="39">
        <f t="shared" si="5918"/>
        <v>0</v>
      </c>
      <c r="EU354" s="39">
        <f t="shared" si="5918"/>
        <v>0</v>
      </c>
      <c r="EV354" s="39">
        <f t="shared" si="5918"/>
        <v>0</v>
      </c>
      <c r="EW354" s="39">
        <f t="shared" ref="EW354:EX354" si="5919">EW$1*ED354</f>
        <v>0</v>
      </c>
      <c r="EX354" s="39">
        <f t="shared" si="5919"/>
        <v>0</v>
      </c>
      <c r="EY354" s="2"/>
      <c r="EZ354" s="39">
        <f t="shared" si="4381"/>
        <v>0</v>
      </c>
      <c r="FA354" s="39">
        <f t="shared" si="4382"/>
        <v>0</v>
      </c>
      <c r="FB354" s="2">
        <f t="shared" si="4383"/>
        <v>0</v>
      </c>
      <c r="FC354" s="2">
        <f t="shared" ref="FC354:FD354" si="5920">BV354*$BT354+CQ354*$CO354</f>
        <v>0</v>
      </c>
      <c r="FD354" s="2">
        <f t="shared" si="5920"/>
        <v>0</v>
      </c>
      <c r="FE354" s="2">
        <f t="shared" ref="FE354:FJ354" si="5921">(BX354*$BT354+CS354*$CO354)/100</f>
        <v>0</v>
      </c>
      <c r="FF354" s="2">
        <f t="shared" si="5921"/>
        <v>0</v>
      </c>
      <c r="FG354" s="2">
        <f t="shared" si="5921"/>
        <v>0</v>
      </c>
      <c r="FH354" s="2">
        <f t="shared" si="5921"/>
        <v>0</v>
      </c>
      <c r="FI354" s="2">
        <f t="shared" si="5921"/>
        <v>0</v>
      </c>
      <c r="FJ354" s="2">
        <f t="shared" si="5921"/>
        <v>0</v>
      </c>
      <c r="FK354" s="2">
        <f t="shared" ref="FK354:FO354" si="5922">CD354*$BT354+CY354*$CO354</f>
        <v>0</v>
      </c>
      <c r="FL354" s="2">
        <f t="shared" si="5922"/>
        <v>0</v>
      </c>
      <c r="FM354" s="2">
        <f t="shared" si="5922"/>
        <v>0</v>
      </c>
      <c r="FN354" s="2">
        <f t="shared" si="5922"/>
        <v>0</v>
      </c>
      <c r="FO354" s="2">
        <f t="shared" si="5922"/>
        <v>0</v>
      </c>
      <c r="FP354" s="2">
        <f t="shared" ref="FP354:FQ354" si="5923">(CI354*$BT354+DD354*$CO354)/100</f>
        <v>0</v>
      </c>
      <c r="FQ354" s="2">
        <f t="shared" si="5923"/>
        <v>0</v>
      </c>
      <c r="FR354" s="2"/>
      <c r="FS354" s="2">
        <f t="shared" si="4388"/>
        <v>0</v>
      </c>
      <c r="FT354" s="2">
        <f t="shared" si="4389"/>
        <v>0</v>
      </c>
      <c r="FU354" s="39">
        <f t="shared" si="4390"/>
        <v>0</v>
      </c>
      <c r="FV354" s="39">
        <f t="shared" ref="FV354:FW354" si="5924">FV$1*FC354/1000000</f>
        <v>0</v>
      </c>
      <c r="FW354" s="39">
        <f t="shared" si="5924"/>
        <v>0</v>
      </c>
      <c r="FX354" s="39">
        <f t="shared" ref="FX354:GC354" si="5925">FX$1*FE354</f>
        <v>0</v>
      </c>
      <c r="FY354" s="39">
        <f t="shared" si="5925"/>
        <v>0</v>
      </c>
      <c r="FZ354" s="39">
        <f t="shared" si="5925"/>
        <v>0</v>
      </c>
      <c r="GA354" s="39">
        <f t="shared" si="5925"/>
        <v>0</v>
      </c>
      <c r="GB354" s="39">
        <f t="shared" si="5925"/>
        <v>0</v>
      </c>
      <c r="GC354" s="39">
        <f t="shared" si="5925"/>
        <v>0</v>
      </c>
      <c r="GD354" s="39">
        <f t="shared" ref="GD354:GH354" si="5926">GD$1*FK354/1000000</f>
        <v>0</v>
      </c>
      <c r="GE354" s="39">
        <f t="shared" si="5926"/>
        <v>0</v>
      </c>
      <c r="GF354" s="39">
        <f t="shared" si="5926"/>
        <v>0</v>
      </c>
      <c r="GG354" s="39">
        <f t="shared" si="5926"/>
        <v>0</v>
      </c>
      <c r="GH354" s="39">
        <f t="shared" si="5926"/>
        <v>0</v>
      </c>
      <c r="GI354" s="39">
        <f t="shared" ref="GI354:GJ354" si="5927">GI$1*FP354</f>
        <v>0</v>
      </c>
      <c r="GJ354" s="39">
        <f t="shared" si="5927"/>
        <v>0</v>
      </c>
      <c r="GK354" s="2"/>
      <c r="GL354" s="39">
        <f t="shared" si="4395"/>
        <v>0</v>
      </c>
      <c r="GM354" s="39">
        <f t="shared" si="4396"/>
        <v>0</v>
      </c>
      <c r="GN354" s="2" t="s">
        <v>3</v>
      </c>
      <c r="GO354" s="2">
        <f t="shared" si="4397"/>
        <v>8</v>
      </c>
      <c r="GP354" s="2">
        <f t="shared" si="4398"/>
        <v>0.35</v>
      </c>
      <c r="GQ354" s="15">
        <f t="shared" si="4399"/>
        <v>28</v>
      </c>
      <c r="GR354" s="15">
        <f t="shared" si="4400"/>
        <v>367.19199999999995</v>
      </c>
      <c r="GS354" s="15">
        <f t="shared" si="4401"/>
        <v>45.898999999999994</v>
      </c>
      <c r="GT354" s="2">
        <f t="shared" si="4402"/>
        <v>0</v>
      </c>
      <c r="GU354" s="2">
        <f t="shared" si="4403"/>
        <v>0</v>
      </c>
      <c r="GV354" s="2">
        <f t="shared" si="4404"/>
        <v>28</v>
      </c>
      <c r="GW354" s="2">
        <f t="shared" si="4405"/>
        <v>0</v>
      </c>
      <c r="GX354" s="2"/>
      <c r="GY354" s="2"/>
      <c r="GZ354" s="2"/>
      <c r="HA354" s="2"/>
      <c r="HB354" s="2">
        <f t="shared" si="4406"/>
        <v>0</v>
      </c>
      <c r="HC354" s="2">
        <f t="shared" si="4407"/>
        <v>0</v>
      </c>
      <c r="HD354" s="2" t="s">
        <v>3</v>
      </c>
      <c r="HE354" s="2" t="s">
        <v>89</v>
      </c>
      <c r="HF354" s="2" t="s">
        <v>522</v>
      </c>
      <c r="HG354" s="2"/>
      <c r="HH354" s="2"/>
      <c r="HI354" s="2" t="s">
        <v>100</v>
      </c>
      <c r="HJ354" s="2" t="s">
        <v>3</v>
      </c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 t="s">
        <v>3</v>
      </c>
    </row>
    <row r="355" spans="1:268" ht="15.75" customHeight="1" x14ac:dyDescent="0.2">
      <c r="A355" s="32" t="s">
        <v>1329</v>
      </c>
      <c r="B355" s="2" t="s">
        <v>99</v>
      </c>
      <c r="C355" s="2"/>
      <c r="D355" s="2"/>
      <c r="E355" s="2"/>
      <c r="F355" s="2" t="s">
        <v>79</v>
      </c>
      <c r="G355" s="2"/>
      <c r="H355" s="2"/>
      <c r="I355" s="2">
        <v>0</v>
      </c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>
        <v>0</v>
      </c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>
        <v>4.12</v>
      </c>
      <c r="AZ355" s="2"/>
      <c r="BA355" s="2"/>
      <c r="BB355" s="2"/>
      <c r="BC355" s="2"/>
      <c r="BD355" s="2"/>
      <c r="BE355" s="2"/>
      <c r="BF355" s="2"/>
      <c r="BG355" s="2">
        <v>0.34</v>
      </c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>
        <v>0</v>
      </c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>
        <v>0</v>
      </c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 t="s">
        <v>100</v>
      </c>
      <c r="DK355" s="2"/>
      <c r="DL355" s="2">
        <f t="shared" si="4367"/>
        <v>0.34</v>
      </c>
      <c r="DM355" s="2">
        <f t="shared" si="4368"/>
        <v>0</v>
      </c>
      <c r="DN355" s="2" t="s">
        <v>132</v>
      </c>
      <c r="DO355" s="2" t="s">
        <v>3</v>
      </c>
      <c r="DP355" s="2">
        <f t="shared" si="4369"/>
        <v>0</v>
      </c>
      <c r="DQ355" s="2">
        <f t="shared" ref="DQ355:DR355" si="5928">K355*$I355+AF355*$AD355+BA355*$AY355</f>
        <v>0</v>
      </c>
      <c r="DR355" s="2">
        <f t="shared" si="5928"/>
        <v>0</v>
      </c>
      <c r="DS355" s="2">
        <f t="shared" ref="DS355:DX355" si="5929">(M355*$I355+AH355*$AD355+BC355*$AY355)/100</f>
        <v>0</v>
      </c>
      <c r="DT355" s="2">
        <f t="shared" si="5929"/>
        <v>0</v>
      </c>
      <c r="DU355" s="2">
        <f t="shared" si="5929"/>
        <v>0</v>
      </c>
      <c r="DV355" s="2">
        <f t="shared" si="5929"/>
        <v>0</v>
      </c>
      <c r="DW355" s="2">
        <f t="shared" si="5929"/>
        <v>1.4008E-2</v>
      </c>
      <c r="DX355" s="2">
        <f t="shared" si="5929"/>
        <v>0</v>
      </c>
      <c r="DY355" s="2">
        <f t="shared" ref="DY355:EC355" si="5930">S355*$I355+AN355*$AD355+BI355*$AY355</f>
        <v>0</v>
      </c>
      <c r="DZ355" s="2">
        <f t="shared" si="5930"/>
        <v>0</v>
      </c>
      <c r="EA355" s="2">
        <f t="shared" si="5930"/>
        <v>0</v>
      </c>
      <c r="EB355" s="2">
        <f t="shared" si="5930"/>
        <v>0</v>
      </c>
      <c r="EC355" s="2">
        <f t="shared" si="5930"/>
        <v>0</v>
      </c>
      <c r="ED355" s="2">
        <f t="shared" ref="ED355:EE355" si="5931">(X355*$I355+AS355*$AD355+BN355*$AY355)/100</f>
        <v>0</v>
      </c>
      <c r="EE355" s="2">
        <f t="shared" si="5931"/>
        <v>0</v>
      </c>
      <c r="EF355" s="2"/>
      <c r="EG355" s="2">
        <f t="shared" si="4374"/>
        <v>0</v>
      </c>
      <c r="EH355" s="2">
        <f t="shared" si="4375"/>
        <v>0</v>
      </c>
      <c r="EI355" s="39">
        <f t="shared" si="4376"/>
        <v>0</v>
      </c>
      <c r="EJ355" s="39">
        <f t="shared" ref="EJ355:EK355" si="5932">EJ$1*DQ355/1000000</f>
        <v>0</v>
      </c>
      <c r="EK355" s="39">
        <f t="shared" si="5932"/>
        <v>0</v>
      </c>
      <c r="EL355" s="39">
        <f t="shared" ref="EL355:EQ355" si="5933">EL$1*DS355</f>
        <v>0</v>
      </c>
      <c r="EM355" s="39">
        <f t="shared" si="5933"/>
        <v>0</v>
      </c>
      <c r="EN355" s="39">
        <f t="shared" si="5933"/>
        <v>0</v>
      </c>
      <c r="EO355" s="39">
        <f t="shared" si="5933"/>
        <v>0</v>
      </c>
      <c r="EP355" s="39">
        <f t="shared" si="5933"/>
        <v>183.70091199999999</v>
      </c>
      <c r="EQ355" s="39">
        <f t="shared" si="5933"/>
        <v>0</v>
      </c>
      <c r="ER355" s="39">
        <f t="shared" ref="ER355:EV355" si="5934">ER$1*DY355/1000000</f>
        <v>0</v>
      </c>
      <c r="ES355" s="39">
        <f t="shared" si="5934"/>
        <v>0</v>
      </c>
      <c r="ET355" s="39">
        <f t="shared" si="5934"/>
        <v>0</v>
      </c>
      <c r="EU355" s="39">
        <f t="shared" si="5934"/>
        <v>0</v>
      </c>
      <c r="EV355" s="39">
        <f t="shared" si="5934"/>
        <v>0</v>
      </c>
      <c r="EW355" s="39">
        <f t="shared" ref="EW355:EX355" si="5935">EW$1*ED355</f>
        <v>0</v>
      </c>
      <c r="EX355" s="39">
        <f t="shared" si="5935"/>
        <v>0</v>
      </c>
      <c r="EY355" s="2"/>
      <c r="EZ355" s="39">
        <f t="shared" si="4381"/>
        <v>0</v>
      </c>
      <c r="FA355" s="39">
        <f t="shared" si="4382"/>
        <v>0</v>
      </c>
      <c r="FB355" s="2">
        <f t="shared" si="4383"/>
        <v>0</v>
      </c>
      <c r="FC355" s="2">
        <f t="shared" ref="FC355:FD355" si="5936">BV355*$BT355+CQ355*$CO355</f>
        <v>0</v>
      </c>
      <c r="FD355" s="2">
        <f t="shared" si="5936"/>
        <v>0</v>
      </c>
      <c r="FE355" s="2">
        <f t="shared" ref="FE355:FJ355" si="5937">(BX355*$BT355+CS355*$CO355)/100</f>
        <v>0</v>
      </c>
      <c r="FF355" s="2">
        <f t="shared" si="5937"/>
        <v>0</v>
      </c>
      <c r="FG355" s="2">
        <f t="shared" si="5937"/>
        <v>0</v>
      </c>
      <c r="FH355" s="2">
        <f t="shared" si="5937"/>
        <v>0</v>
      </c>
      <c r="FI355" s="2">
        <f t="shared" si="5937"/>
        <v>0</v>
      </c>
      <c r="FJ355" s="2">
        <f t="shared" si="5937"/>
        <v>0</v>
      </c>
      <c r="FK355" s="2">
        <f t="shared" ref="FK355:FO355" si="5938">CD355*$BT355+CY355*$CO355</f>
        <v>0</v>
      </c>
      <c r="FL355" s="2">
        <f t="shared" si="5938"/>
        <v>0</v>
      </c>
      <c r="FM355" s="2">
        <f t="shared" si="5938"/>
        <v>0</v>
      </c>
      <c r="FN355" s="2">
        <f t="shared" si="5938"/>
        <v>0</v>
      </c>
      <c r="FO355" s="2">
        <f t="shared" si="5938"/>
        <v>0</v>
      </c>
      <c r="FP355" s="2">
        <f t="shared" ref="FP355:FQ355" si="5939">(CI355*$BT355+DD355*$CO355)/100</f>
        <v>0</v>
      </c>
      <c r="FQ355" s="2">
        <f t="shared" si="5939"/>
        <v>0</v>
      </c>
      <c r="FR355" s="2"/>
      <c r="FS355" s="2">
        <f t="shared" si="4388"/>
        <v>0</v>
      </c>
      <c r="FT355" s="2">
        <f t="shared" si="4389"/>
        <v>0</v>
      </c>
      <c r="FU355" s="39">
        <f t="shared" si="4390"/>
        <v>0</v>
      </c>
      <c r="FV355" s="39">
        <f t="shared" ref="FV355:FW355" si="5940">FV$1*FC355/1000000</f>
        <v>0</v>
      </c>
      <c r="FW355" s="39">
        <f t="shared" si="5940"/>
        <v>0</v>
      </c>
      <c r="FX355" s="39">
        <f t="shared" ref="FX355:GC355" si="5941">FX$1*FE355</f>
        <v>0</v>
      </c>
      <c r="FY355" s="39">
        <f t="shared" si="5941"/>
        <v>0</v>
      </c>
      <c r="FZ355" s="39">
        <f t="shared" si="5941"/>
        <v>0</v>
      </c>
      <c r="GA355" s="39">
        <f t="shared" si="5941"/>
        <v>0</v>
      </c>
      <c r="GB355" s="39">
        <f t="shared" si="5941"/>
        <v>0</v>
      </c>
      <c r="GC355" s="39">
        <f t="shared" si="5941"/>
        <v>0</v>
      </c>
      <c r="GD355" s="39">
        <f t="shared" ref="GD355:GH355" si="5942">GD$1*FK355/1000000</f>
        <v>0</v>
      </c>
      <c r="GE355" s="39">
        <f t="shared" si="5942"/>
        <v>0</v>
      </c>
      <c r="GF355" s="39">
        <f t="shared" si="5942"/>
        <v>0</v>
      </c>
      <c r="GG355" s="39">
        <f t="shared" si="5942"/>
        <v>0</v>
      </c>
      <c r="GH355" s="39">
        <f t="shared" si="5942"/>
        <v>0</v>
      </c>
      <c r="GI355" s="39">
        <f t="shared" ref="GI355:GJ355" si="5943">GI$1*FP355</f>
        <v>0</v>
      </c>
      <c r="GJ355" s="39">
        <f t="shared" si="5943"/>
        <v>0</v>
      </c>
      <c r="GK355" s="2"/>
      <c r="GL355" s="39">
        <f t="shared" si="4395"/>
        <v>0</v>
      </c>
      <c r="GM355" s="39">
        <f t="shared" si="4396"/>
        <v>0</v>
      </c>
      <c r="GN355" s="2" t="s">
        <v>3</v>
      </c>
      <c r="GO355" s="2">
        <f t="shared" si="4397"/>
        <v>4.12</v>
      </c>
      <c r="GP355" s="2">
        <f t="shared" si="4398"/>
        <v>0.34</v>
      </c>
      <c r="GQ355" s="15">
        <f t="shared" si="4399"/>
        <v>14.008000000000003</v>
      </c>
      <c r="GR355" s="15">
        <f t="shared" si="4400"/>
        <v>183.70091199999999</v>
      </c>
      <c r="GS355" s="15">
        <f t="shared" si="4401"/>
        <v>44.587599999999995</v>
      </c>
      <c r="GT355" s="2">
        <f t="shared" si="4402"/>
        <v>0</v>
      </c>
      <c r="GU355" s="2">
        <f t="shared" si="4403"/>
        <v>0</v>
      </c>
      <c r="GV355" s="2">
        <f t="shared" si="4404"/>
        <v>14.007999999999999</v>
      </c>
      <c r="GW355" s="2">
        <f t="shared" si="4405"/>
        <v>0</v>
      </c>
      <c r="GX355" s="2"/>
      <c r="GY355" s="2"/>
      <c r="GZ355" s="2"/>
      <c r="HA355" s="2"/>
      <c r="HB355" s="2">
        <f t="shared" si="4406"/>
        <v>0</v>
      </c>
      <c r="HC355" s="2">
        <f t="shared" si="4407"/>
        <v>0</v>
      </c>
      <c r="HD355" s="2" t="s">
        <v>3</v>
      </c>
      <c r="HE355" s="2" t="s">
        <v>89</v>
      </c>
      <c r="HF355" s="2" t="s">
        <v>522</v>
      </c>
      <c r="HG355" s="2"/>
      <c r="HH355" s="2"/>
      <c r="HI355" s="2" t="s">
        <v>100</v>
      </c>
      <c r="HJ355" s="2" t="s">
        <v>3</v>
      </c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 t="s">
        <v>3</v>
      </c>
    </row>
    <row r="356" spans="1:268" ht="15.75" customHeight="1" x14ac:dyDescent="0.2">
      <c r="A356" s="16" t="s">
        <v>1334</v>
      </c>
      <c r="B356" s="2" t="s">
        <v>99</v>
      </c>
      <c r="C356" s="2"/>
      <c r="D356" s="2"/>
      <c r="E356" s="2"/>
      <c r="F356" s="2" t="s">
        <v>79</v>
      </c>
      <c r="G356" s="2"/>
      <c r="H356" s="2"/>
      <c r="I356" s="2">
        <v>0</v>
      </c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>
        <v>0</v>
      </c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>
        <v>3.0760000000000001</v>
      </c>
      <c r="AZ356" s="2"/>
      <c r="BA356" s="2"/>
      <c r="BB356" s="2"/>
      <c r="BC356" s="2"/>
      <c r="BD356" s="2"/>
      <c r="BE356" s="2"/>
      <c r="BF356" s="2"/>
      <c r="BG356" s="2">
        <v>0.52</v>
      </c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>
        <v>0</v>
      </c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>
        <v>0</v>
      </c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 t="s">
        <v>100</v>
      </c>
      <c r="DK356" s="2"/>
      <c r="DL356" s="2">
        <f t="shared" si="4367"/>
        <v>0.52</v>
      </c>
      <c r="DM356" s="2">
        <f t="shared" si="4368"/>
        <v>0</v>
      </c>
      <c r="DN356" s="2" t="s">
        <v>132</v>
      </c>
      <c r="DO356" s="2" t="s">
        <v>3</v>
      </c>
      <c r="DP356" s="2">
        <f t="shared" si="4369"/>
        <v>0</v>
      </c>
      <c r="DQ356" s="2">
        <f t="shared" ref="DQ356:DR356" si="5944">K356*$I356+AF356*$AD356+BA356*$AY356</f>
        <v>0</v>
      </c>
      <c r="DR356" s="2">
        <f t="shared" si="5944"/>
        <v>0</v>
      </c>
      <c r="DS356" s="2">
        <f t="shared" ref="DS356:DX356" si="5945">(M356*$I356+AH356*$AD356+BC356*$AY356)/100</f>
        <v>0</v>
      </c>
      <c r="DT356" s="2">
        <f t="shared" si="5945"/>
        <v>0</v>
      </c>
      <c r="DU356" s="2">
        <f t="shared" si="5945"/>
        <v>0</v>
      </c>
      <c r="DV356" s="2">
        <f t="shared" si="5945"/>
        <v>0</v>
      </c>
      <c r="DW356" s="2">
        <f t="shared" si="5945"/>
        <v>1.5995200000000001E-2</v>
      </c>
      <c r="DX356" s="2">
        <f t="shared" si="5945"/>
        <v>0</v>
      </c>
      <c r="DY356" s="2">
        <f t="shared" ref="DY356:EC356" si="5946">S356*$I356+AN356*$AD356+BI356*$AY356</f>
        <v>0</v>
      </c>
      <c r="DZ356" s="2">
        <f t="shared" si="5946"/>
        <v>0</v>
      </c>
      <c r="EA356" s="2">
        <f t="shared" si="5946"/>
        <v>0</v>
      </c>
      <c r="EB356" s="2">
        <f t="shared" si="5946"/>
        <v>0</v>
      </c>
      <c r="EC356" s="2">
        <f t="shared" si="5946"/>
        <v>0</v>
      </c>
      <c r="ED356" s="2">
        <f t="shared" ref="ED356:EE356" si="5947">(X356*$I356+AS356*$AD356+BN356*$AY356)/100</f>
        <v>0</v>
      </c>
      <c r="EE356" s="2">
        <f t="shared" si="5947"/>
        <v>0</v>
      </c>
      <c r="EF356" s="2"/>
      <c r="EG356" s="2">
        <f t="shared" si="4374"/>
        <v>0</v>
      </c>
      <c r="EH356" s="2">
        <f t="shared" si="4375"/>
        <v>0</v>
      </c>
      <c r="EI356" s="39">
        <f t="shared" si="4376"/>
        <v>0</v>
      </c>
      <c r="EJ356" s="39">
        <f t="shared" ref="EJ356:EK356" si="5948">EJ$1*DQ356/1000000</f>
        <v>0</v>
      </c>
      <c r="EK356" s="39">
        <f t="shared" si="5948"/>
        <v>0</v>
      </c>
      <c r="EL356" s="39">
        <f t="shared" ref="EL356:EQ356" si="5949">EL$1*DS356</f>
        <v>0</v>
      </c>
      <c r="EM356" s="39">
        <f t="shared" si="5949"/>
        <v>0</v>
      </c>
      <c r="EN356" s="39">
        <f t="shared" si="5949"/>
        <v>0</v>
      </c>
      <c r="EO356" s="39">
        <f t="shared" si="5949"/>
        <v>0</v>
      </c>
      <c r="EP356" s="39">
        <f t="shared" si="5949"/>
        <v>209.76105280000002</v>
      </c>
      <c r="EQ356" s="39">
        <f t="shared" si="5949"/>
        <v>0</v>
      </c>
      <c r="ER356" s="39">
        <f t="shared" ref="ER356:EV356" si="5950">ER$1*DY356/1000000</f>
        <v>0</v>
      </c>
      <c r="ES356" s="39">
        <f t="shared" si="5950"/>
        <v>0</v>
      </c>
      <c r="ET356" s="39">
        <f t="shared" si="5950"/>
        <v>0</v>
      </c>
      <c r="EU356" s="39">
        <f t="shared" si="5950"/>
        <v>0</v>
      </c>
      <c r="EV356" s="39">
        <f t="shared" si="5950"/>
        <v>0</v>
      </c>
      <c r="EW356" s="39">
        <f t="shared" ref="EW356:EX356" si="5951">EW$1*ED356</f>
        <v>0</v>
      </c>
      <c r="EX356" s="39">
        <f t="shared" si="5951"/>
        <v>0</v>
      </c>
      <c r="EY356" s="2"/>
      <c r="EZ356" s="39">
        <f t="shared" si="4381"/>
        <v>0</v>
      </c>
      <c r="FA356" s="39">
        <f t="shared" si="4382"/>
        <v>0</v>
      </c>
      <c r="FB356" s="2">
        <f t="shared" si="4383"/>
        <v>0</v>
      </c>
      <c r="FC356" s="2">
        <f t="shared" ref="FC356:FD356" si="5952">BV356*$BT356+CQ356*$CO356</f>
        <v>0</v>
      </c>
      <c r="FD356" s="2">
        <f t="shared" si="5952"/>
        <v>0</v>
      </c>
      <c r="FE356" s="2">
        <f t="shared" ref="FE356:FJ356" si="5953">(BX356*$BT356+CS356*$CO356)/100</f>
        <v>0</v>
      </c>
      <c r="FF356" s="2">
        <f t="shared" si="5953"/>
        <v>0</v>
      </c>
      <c r="FG356" s="2">
        <f t="shared" si="5953"/>
        <v>0</v>
      </c>
      <c r="FH356" s="2">
        <f t="shared" si="5953"/>
        <v>0</v>
      </c>
      <c r="FI356" s="2">
        <f t="shared" si="5953"/>
        <v>0</v>
      </c>
      <c r="FJ356" s="2">
        <f t="shared" si="5953"/>
        <v>0</v>
      </c>
      <c r="FK356" s="2">
        <f t="shared" ref="FK356:FO356" si="5954">CD356*$BT356+CY356*$CO356</f>
        <v>0</v>
      </c>
      <c r="FL356" s="2">
        <f t="shared" si="5954"/>
        <v>0</v>
      </c>
      <c r="FM356" s="2">
        <f t="shared" si="5954"/>
        <v>0</v>
      </c>
      <c r="FN356" s="2">
        <f t="shared" si="5954"/>
        <v>0</v>
      </c>
      <c r="FO356" s="2">
        <f t="shared" si="5954"/>
        <v>0</v>
      </c>
      <c r="FP356" s="2">
        <f t="shared" ref="FP356:FQ356" si="5955">(CI356*$BT356+DD356*$CO356)/100</f>
        <v>0</v>
      </c>
      <c r="FQ356" s="2">
        <f t="shared" si="5955"/>
        <v>0</v>
      </c>
      <c r="FR356" s="2"/>
      <c r="FS356" s="2">
        <f t="shared" si="4388"/>
        <v>0</v>
      </c>
      <c r="FT356" s="2">
        <f t="shared" si="4389"/>
        <v>0</v>
      </c>
      <c r="FU356" s="39">
        <f t="shared" si="4390"/>
        <v>0</v>
      </c>
      <c r="FV356" s="39">
        <f t="shared" ref="FV356:FW356" si="5956">FV$1*FC356/1000000</f>
        <v>0</v>
      </c>
      <c r="FW356" s="39">
        <f t="shared" si="5956"/>
        <v>0</v>
      </c>
      <c r="FX356" s="39">
        <f t="shared" ref="FX356:GC356" si="5957">FX$1*FE356</f>
        <v>0</v>
      </c>
      <c r="FY356" s="39">
        <f t="shared" si="5957"/>
        <v>0</v>
      </c>
      <c r="FZ356" s="39">
        <f t="shared" si="5957"/>
        <v>0</v>
      </c>
      <c r="GA356" s="39">
        <f t="shared" si="5957"/>
        <v>0</v>
      </c>
      <c r="GB356" s="39">
        <f t="shared" si="5957"/>
        <v>0</v>
      </c>
      <c r="GC356" s="39">
        <f t="shared" si="5957"/>
        <v>0</v>
      </c>
      <c r="GD356" s="39">
        <f t="shared" ref="GD356:GH356" si="5958">GD$1*FK356/1000000</f>
        <v>0</v>
      </c>
      <c r="GE356" s="39">
        <f t="shared" si="5958"/>
        <v>0</v>
      </c>
      <c r="GF356" s="39">
        <f t="shared" si="5958"/>
        <v>0</v>
      </c>
      <c r="GG356" s="39">
        <f t="shared" si="5958"/>
        <v>0</v>
      </c>
      <c r="GH356" s="39">
        <f t="shared" si="5958"/>
        <v>0</v>
      </c>
      <c r="GI356" s="39">
        <f t="shared" ref="GI356:GJ356" si="5959">GI$1*FP356</f>
        <v>0</v>
      </c>
      <c r="GJ356" s="39">
        <f t="shared" si="5959"/>
        <v>0</v>
      </c>
      <c r="GK356" s="2"/>
      <c r="GL356" s="39">
        <f t="shared" si="4395"/>
        <v>0</v>
      </c>
      <c r="GM356" s="39">
        <f t="shared" si="4396"/>
        <v>0</v>
      </c>
      <c r="GN356" s="2" t="s">
        <v>3</v>
      </c>
      <c r="GO356" s="2">
        <f t="shared" si="4397"/>
        <v>3.0760000000000001</v>
      </c>
      <c r="GP356" s="2">
        <f t="shared" si="4398"/>
        <v>0.52</v>
      </c>
      <c r="GQ356" s="15">
        <f t="shared" si="4399"/>
        <v>15.995200000000001</v>
      </c>
      <c r="GR356" s="15">
        <f t="shared" si="4400"/>
        <v>209.76105280000002</v>
      </c>
      <c r="GS356" s="15">
        <f t="shared" si="4401"/>
        <v>68.192800000000005</v>
      </c>
      <c r="GT356" s="2">
        <f t="shared" si="4402"/>
        <v>0</v>
      </c>
      <c r="GU356" s="2">
        <f t="shared" si="4403"/>
        <v>0</v>
      </c>
      <c r="GV356" s="2">
        <f t="shared" si="4404"/>
        <v>15.995200000000001</v>
      </c>
      <c r="GW356" s="2">
        <f t="shared" si="4405"/>
        <v>0</v>
      </c>
      <c r="GX356" s="2"/>
      <c r="GY356" s="2"/>
      <c r="GZ356" s="2"/>
      <c r="HA356" s="2"/>
      <c r="HB356" s="2">
        <f t="shared" si="4406"/>
        <v>0</v>
      </c>
      <c r="HC356" s="2">
        <f t="shared" si="4407"/>
        <v>0</v>
      </c>
      <c r="HD356" s="2" t="s">
        <v>3</v>
      </c>
      <c r="HE356" s="2" t="s">
        <v>89</v>
      </c>
      <c r="HF356" s="2" t="s">
        <v>522</v>
      </c>
      <c r="HG356" s="2"/>
      <c r="HH356" s="2"/>
      <c r="HI356" s="2" t="s">
        <v>100</v>
      </c>
      <c r="HJ356" s="2" t="s">
        <v>3</v>
      </c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 t="s">
        <v>3</v>
      </c>
    </row>
    <row r="357" spans="1:268" ht="15.75" customHeight="1" x14ac:dyDescent="0.2">
      <c r="A357" s="16" t="s">
        <v>1179</v>
      </c>
      <c r="B357" s="2" t="s">
        <v>109</v>
      </c>
      <c r="C357" s="29">
        <f>46+(34+(51.72/60))/60</f>
        <v>46.58103333333333</v>
      </c>
      <c r="D357" s="29">
        <f>-80-(47+(59.46/60))/60</f>
        <v>-80.799850000000006</v>
      </c>
      <c r="E357" s="2"/>
      <c r="F357" s="2" t="s">
        <v>309</v>
      </c>
      <c r="G357" s="2"/>
      <c r="H357" s="2"/>
      <c r="I357" s="2">
        <v>5.68</v>
      </c>
      <c r="J357" s="2">
        <v>1.49</v>
      </c>
      <c r="K357" s="2"/>
      <c r="L357" s="2"/>
      <c r="M357" s="2"/>
      <c r="N357" s="2"/>
      <c r="O357" s="2"/>
      <c r="P357" s="2"/>
      <c r="Q357" s="2">
        <v>1.59</v>
      </c>
      <c r="R357" s="2">
        <v>0.04</v>
      </c>
      <c r="S357" s="2">
        <v>0.87</v>
      </c>
      <c r="T357" s="2">
        <v>0.83</v>
      </c>
      <c r="U357" s="2"/>
      <c r="V357" s="2"/>
      <c r="W357" s="2"/>
      <c r="X357" s="2"/>
      <c r="Y357" s="2"/>
      <c r="Z357" s="2"/>
      <c r="AA357" s="2"/>
      <c r="AB357" s="2"/>
      <c r="AC357" s="2"/>
      <c r="AD357" s="2">
        <v>23.25</v>
      </c>
      <c r="AE357" s="4">
        <v>2.5</v>
      </c>
      <c r="AF357" s="2"/>
      <c r="AG357" s="2"/>
      <c r="AH357" s="2"/>
      <c r="AI357" s="2"/>
      <c r="AJ357" s="2"/>
      <c r="AK357" s="2"/>
      <c r="AL357" s="4">
        <v>2.1</v>
      </c>
      <c r="AM357" s="2">
        <v>0.05</v>
      </c>
      <c r="AN357" s="2">
        <v>0.91</v>
      </c>
      <c r="AO357" s="2">
        <v>1.07</v>
      </c>
      <c r="AP357" s="2"/>
      <c r="AQ357" s="2"/>
      <c r="AR357" s="2"/>
      <c r="AS357" s="2"/>
      <c r="AT357" s="2"/>
      <c r="AU357" s="2"/>
      <c r="AV357" s="2"/>
      <c r="AW357" s="2"/>
      <c r="AX357" s="2"/>
      <c r="AY357" s="2">
        <v>25</v>
      </c>
      <c r="AZ357" s="2">
        <v>2.6</v>
      </c>
      <c r="BA357" s="2"/>
      <c r="BB357" s="2"/>
      <c r="BC357" s="2"/>
      <c r="BD357" s="2"/>
      <c r="BE357" s="2"/>
      <c r="BF357" s="2"/>
      <c r="BG357" s="2">
        <v>0.9</v>
      </c>
      <c r="BH357" s="2">
        <v>0.03</v>
      </c>
      <c r="BI357" s="15">
        <v>1</v>
      </c>
      <c r="BJ357" s="2">
        <v>1.2</v>
      </c>
      <c r="BK357" s="2"/>
      <c r="BL357" s="2"/>
      <c r="BM357" s="2"/>
      <c r="BN357" s="2"/>
      <c r="BO357" s="2"/>
      <c r="BP357" s="2"/>
      <c r="BQ357" s="2"/>
      <c r="BR357" s="2"/>
      <c r="BS357" s="2"/>
      <c r="BT357" s="2">
        <v>5.74</v>
      </c>
      <c r="BU357" s="2">
        <v>1.17</v>
      </c>
      <c r="BV357" s="2"/>
      <c r="BW357" s="2"/>
      <c r="BX357" s="2"/>
      <c r="BY357" s="2"/>
      <c r="BZ357" s="2"/>
      <c r="CA357" s="2"/>
      <c r="CB357" s="2">
        <v>1.26</v>
      </c>
      <c r="CC357" s="2">
        <v>0.03</v>
      </c>
      <c r="CD357" s="2">
        <v>0.66</v>
      </c>
      <c r="CE357" s="2">
        <v>0.62</v>
      </c>
      <c r="CF357" s="2"/>
      <c r="CG357" s="2"/>
      <c r="CH357" s="2"/>
      <c r="CI357" s="2"/>
      <c r="CJ357" s="2"/>
      <c r="CK357" s="2"/>
      <c r="CL357" s="2"/>
      <c r="CM357" s="2"/>
      <c r="CN357" s="2"/>
      <c r="CO357" s="2">
        <v>15.03</v>
      </c>
      <c r="CP357" s="2">
        <v>0.98</v>
      </c>
      <c r="CQ357" s="2"/>
      <c r="CR357" s="2"/>
      <c r="CS357" s="2"/>
      <c r="CT357" s="2"/>
      <c r="CU357" s="2"/>
      <c r="CV357" s="2"/>
      <c r="CW357" s="2">
        <v>2.06</v>
      </c>
      <c r="CX357" s="2">
        <v>0.05</v>
      </c>
      <c r="CY357" s="2">
        <v>0.37</v>
      </c>
      <c r="CZ357" s="2">
        <v>0.42</v>
      </c>
      <c r="DA357" s="2"/>
      <c r="DB357" s="2"/>
      <c r="DC357" s="2"/>
      <c r="DD357" s="2"/>
      <c r="DE357" s="2"/>
      <c r="DF357" s="2"/>
      <c r="DG357" s="2"/>
      <c r="DH357" s="2"/>
      <c r="DI357" s="2"/>
      <c r="DJ357" s="2" t="s">
        <v>81</v>
      </c>
      <c r="DK357" s="2" t="s">
        <v>81</v>
      </c>
      <c r="DL357" s="2">
        <f t="shared" si="4367"/>
        <v>1.4900092712775821</v>
      </c>
      <c r="DM357" s="2">
        <f t="shared" si="4368"/>
        <v>3.9675505284628231E-2</v>
      </c>
      <c r="DN357" s="2" t="s">
        <v>95</v>
      </c>
      <c r="DO357" s="2" t="s">
        <v>3</v>
      </c>
      <c r="DP357" s="2">
        <f t="shared" si="4369"/>
        <v>1.315882</v>
      </c>
      <c r="DQ357" s="2">
        <f t="shared" ref="DQ357:DR357" si="5960">K357*$I357+AF357*$AD357+BA357*$AY357</f>
        <v>0</v>
      </c>
      <c r="DR357" s="2">
        <f t="shared" si="5960"/>
        <v>0</v>
      </c>
      <c r="DS357" s="2">
        <f t="shared" ref="DS357:DX357" si="5961">(M357*$I357+AH357*$AD357+BC357*$AY357)/100</f>
        <v>0</v>
      </c>
      <c r="DT357" s="2">
        <f t="shared" si="5961"/>
        <v>0</v>
      </c>
      <c r="DU357" s="2">
        <f t="shared" si="5961"/>
        <v>0</v>
      </c>
      <c r="DV357" s="2">
        <f t="shared" si="5961"/>
        <v>0</v>
      </c>
      <c r="DW357" s="2">
        <f t="shared" si="5961"/>
        <v>0.803562</v>
      </c>
      <c r="DX357" s="2">
        <f t="shared" si="5961"/>
        <v>2.1397000000000003E-2</v>
      </c>
      <c r="DY357" s="2">
        <f t="shared" ref="DY357:EC357" si="5962">S357*$I357+AN357*$AD357+BI357*$AY357</f>
        <v>51.0991</v>
      </c>
      <c r="DZ357" s="2">
        <f t="shared" si="5962"/>
        <v>59.591900000000003</v>
      </c>
      <c r="EA357" s="2">
        <f t="shared" si="5962"/>
        <v>0</v>
      </c>
      <c r="EB357" s="2">
        <f t="shared" si="5962"/>
        <v>0</v>
      </c>
      <c r="EC357" s="2">
        <f t="shared" si="5962"/>
        <v>0</v>
      </c>
      <c r="ED357" s="2">
        <f t="shared" ref="ED357:EE357" si="5963">(X357*$I357+AS357*$AD357+BN357*$AY357)/100</f>
        <v>0</v>
      </c>
      <c r="EE357" s="2">
        <f t="shared" si="5963"/>
        <v>0</v>
      </c>
      <c r="EF357" s="2"/>
      <c r="EG357" s="2">
        <f t="shared" si="4374"/>
        <v>0</v>
      </c>
      <c r="EH357" s="2">
        <f t="shared" si="4375"/>
        <v>0</v>
      </c>
      <c r="EI357" s="39">
        <f t="shared" si="4376"/>
        <v>8586.9406333120005</v>
      </c>
      <c r="EJ357" s="39">
        <f t="shared" ref="EJ357:EK357" si="5964">EJ$1*DQ357/1000000</f>
        <v>0</v>
      </c>
      <c r="EK357" s="39">
        <f t="shared" si="5964"/>
        <v>0</v>
      </c>
      <c r="EL357" s="39">
        <f t="shared" ref="EL357:EQ357" si="5965">EL$1*DS357</f>
        <v>0</v>
      </c>
      <c r="EM357" s="39">
        <f t="shared" si="5965"/>
        <v>0</v>
      </c>
      <c r="EN357" s="39">
        <f t="shared" si="5965"/>
        <v>0</v>
      </c>
      <c r="EO357" s="39">
        <f t="shared" si="5965"/>
        <v>0</v>
      </c>
      <c r="EP357" s="39">
        <f t="shared" si="5965"/>
        <v>10537.912068</v>
      </c>
      <c r="EQ357" s="39">
        <f t="shared" si="5965"/>
        <v>1553.8399550280001</v>
      </c>
      <c r="ER357" s="39">
        <f t="shared" ref="ER357:EV357" si="5966">ER$1*DY357/1000000</f>
        <v>1450.2614664308678</v>
      </c>
      <c r="ES357" s="39">
        <f t="shared" si="5966"/>
        <v>1985.9431806109326</v>
      </c>
      <c r="ET357" s="39">
        <f t="shared" si="5966"/>
        <v>0</v>
      </c>
      <c r="EU357" s="39">
        <f t="shared" si="5966"/>
        <v>0</v>
      </c>
      <c r="EV357" s="39">
        <f t="shared" si="5966"/>
        <v>0</v>
      </c>
      <c r="EW357" s="39">
        <f t="shared" ref="EW357:EX357" si="5967">EW$1*ED357</f>
        <v>0</v>
      </c>
      <c r="EX357" s="39">
        <f t="shared" si="5967"/>
        <v>0</v>
      </c>
      <c r="EY357" s="2"/>
      <c r="EZ357" s="39">
        <f t="shared" si="4381"/>
        <v>0</v>
      </c>
      <c r="FA357" s="39">
        <f t="shared" si="4382"/>
        <v>0</v>
      </c>
      <c r="FB357" s="2">
        <f t="shared" si="4383"/>
        <v>0.214452</v>
      </c>
      <c r="FC357" s="2">
        <f t="shared" ref="FC357:FD357" si="5968">BV357*$BT357+CQ357*$CO357</f>
        <v>0</v>
      </c>
      <c r="FD357" s="2">
        <f t="shared" si="5968"/>
        <v>0</v>
      </c>
      <c r="FE357" s="2">
        <f t="shared" ref="FE357:FJ357" si="5969">(BX357*$BT357+CS357*$CO357)/100</f>
        <v>0</v>
      </c>
      <c r="FF357" s="2">
        <f t="shared" si="5969"/>
        <v>0</v>
      </c>
      <c r="FG357" s="2">
        <f t="shared" si="5969"/>
        <v>0</v>
      </c>
      <c r="FH357" s="2">
        <f t="shared" si="5969"/>
        <v>0</v>
      </c>
      <c r="FI357" s="2">
        <f t="shared" si="5969"/>
        <v>0.381942</v>
      </c>
      <c r="FJ357" s="2">
        <f t="shared" si="5969"/>
        <v>9.2370000000000004E-3</v>
      </c>
      <c r="FK357" s="2">
        <f t="shared" ref="FK357:FO357" si="5970">CD357*$BT357+CY357*$CO357</f>
        <v>9.349499999999999</v>
      </c>
      <c r="FL357" s="2">
        <f t="shared" si="5970"/>
        <v>9.8713999999999995</v>
      </c>
      <c r="FM357" s="2">
        <f t="shared" si="5970"/>
        <v>0</v>
      </c>
      <c r="FN357" s="2">
        <f t="shared" si="5970"/>
        <v>0</v>
      </c>
      <c r="FO357" s="2">
        <f t="shared" si="5970"/>
        <v>0</v>
      </c>
      <c r="FP357" s="2">
        <f t="shared" ref="FP357:FQ357" si="5971">(CI357*$BT357+DD357*$CO357)/100</f>
        <v>0</v>
      </c>
      <c r="FQ357" s="2">
        <f t="shared" si="5971"/>
        <v>0</v>
      </c>
      <c r="FR357" s="2"/>
      <c r="FS357" s="2">
        <f t="shared" si="4388"/>
        <v>0</v>
      </c>
      <c r="FT357" s="2">
        <f t="shared" si="4389"/>
        <v>0</v>
      </c>
      <c r="FU357" s="39">
        <f t="shared" si="4390"/>
        <v>1399.4314024319999</v>
      </c>
      <c r="FV357" s="39">
        <f t="shared" ref="FV357:FW357" si="5972">FV$1*FC357/1000000</f>
        <v>0</v>
      </c>
      <c r="FW357" s="39">
        <f t="shared" si="5972"/>
        <v>0</v>
      </c>
      <c r="FX357" s="39">
        <f t="shared" ref="FX357:GC357" si="5973">FX$1*FE357</f>
        <v>0</v>
      </c>
      <c r="FY357" s="39">
        <f t="shared" si="5973"/>
        <v>0</v>
      </c>
      <c r="FZ357" s="39">
        <f t="shared" si="5973"/>
        <v>0</v>
      </c>
      <c r="GA357" s="39">
        <f t="shared" si="5973"/>
        <v>0</v>
      </c>
      <c r="GB357" s="39">
        <f t="shared" si="5973"/>
        <v>5008.7873879999997</v>
      </c>
      <c r="GC357" s="39">
        <f t="shared" si="5973"/>
        <v>670.786543188</v>
      </c>
      <c r="GD357" s="39">
        <f t="shared" ref="GD357:GH357" si="5974">GD$1*FK357/1000000</f>
        <v>265.35143633440504</v>
      </c>
      <c r="GE357" s="39">
        <f t="shared" si="5974"/>
        <v>328.97154668810288</v>
      </c>
      <c r="GF357" s="39">
        <f t="shared" si="5974"/>
        <v>0</v>
      </c>
      <c r="GG357" s="39">
        <f t="shared" si="5974"/>
        <v>0</v>
      </c>
      <c r="GH357" s="39">
        <f t="shared" si="5974"/>
        <v>0</v>
      </c>
      <c r="GI357" s="39">
        <f t="shared" ref="GI357:GJ357" si="5975">GI$1*FP357</f>
        <v>0</v>
      </c>
      <c r="GJ357" s="39">
        <f t="shared" si="5975"/>
        <v>0</v>
      </c>
      <c r="GK357" s="2"/>
      <c r="GL357" s="39">
        <f t="shared" si="4395"/>
        <v>0</v>
      </c>
      <c r="GM357" s="39">
        <f t="shared" si="4396"/>
        <v>0</v>
      </c>
      <c r="GN357" s="2" t="s">
        <v>3</v>
      </c>
      <c r="GO357" s="2">
        <f t="shared" si="4397"/>
        <v>53.93</v>
      </c>
      <c r="GP357" s="4">
        <f t="shared" si="4398"/>
        <v>1.4900092712775821</v>
      </c>
      <c r="GQ357" s="15">
        <f t="shared" si="4399"/>
        <v>803.56200000000001</v>
      </c>
      <c r="GR357" s="15">
        <f t="shared" si="4400"/>
        <v>24114.8973033818</v>
      </c>
      <c r="GS357" s="15">
        <f t="shared" si="4401"/>
        <v>447.15181352460229</v>
      </c>
      <c r="GT357" s="2">
        <f t="shared" si="4402"/>
        <v>90.312000000000012</v>
      </c>
      <c r="GU357" s="2">
        <f t="shared" si="4403"/>
        <v>488.25</v>
      </c>
      <c r="GV357" s="2">
        <f t="shared" si="4404"/>
        <v>225</v>
      </c>
      <c r="GW357" s="2">
        <f t="shared" si="4405"/>
        <v>20.77</v>
      </c>
      <c r="GX357" s="4">
        <f t="shared" ref="GX357:GX359" si="5976">(BT357*CB357+CO357*CW357)/GW357</f>
        <v>1.8389118921521426</v>
      </c>
      <c r="GY357" s="15">
        <f t="shared" ref="GY357:GY359" si="5977">1000*GW357*GX357/100</f>
        <v>381.94200000000006</v>
      </c>
      <c r="GZ357" s="15">
        <f t="shared" ref="GZ357:GZ359" si="5978">SUM(FU357:GM357)</f>
        <v>7673.3283166425072</v>
      </c>
      <c r="HA357" s="15">
        <f t="shared" ref="HA357:HA359" si="5979">GZ357/GW357</f>
        <v>369.44286550999072</v>
      </c>
      <c r="HB357" s="2">
        <f t="shared" si="4406"/>
        <v>72.324000000000012</v>
      </c>
      <c r="HC357" s="2">
        <f t="shared" si="4407"/>
        <v>309.61799999999999</v>
      </c>
      <c r="HD357" s="2" t="s">
        <v>3</v>
      </c>
      <c r="HE357" s="2" t="s">
        <v>89</v>
      </c>
      <c r="HF357" s="2" t="s">
        <v>408</v>
      </c>
      <c r="HG357" s="2" t="s">
        <v>409</v>
      </c>
      <c r="HH357" s="2"/>
      <c r="HI357" s="2" t="s">
        <v>81</v>
      </c>
      <c r="HJ357" s="2" t="s">
        <v>3</v>
      </c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 t="s">
        <v>3</v>
      </c>
    </row>
    <row r="358" spans="1:268" ht="15.75" customHeight="1" x14ac:dyDescent="0.2">
      <c r="A358" s="16" t="s">
        <v>1180</v>
      </c>
      <c r="B358" s="2" t="s">
        <v>109</v>
      </c>
      <c r="C358" s="29">
        <f>46+(29+(32.28/60))/60</f>
        <v>46.4923</v>
      </c>
      <c r="D358" s="29">
        <f>-81-(4+(3.93/60))/60</f>
        <v>-81.06775833333333</v>
      </c>
      <c r="E358" s="2"/>
      <c r="F358" s="2" t="s">
        <v>200</v>
      </c>
      <c r="G358" s="2"/>
      <c r="H358" s="2"/>
      <c r="I358" s="2">
        <v>20.9</v>
      </c>
      <c r="J358" s="2">
        <v>2.4300000000000002</v>
      </c>
      <c r="K358" s="2">
        <v>0.6</v>
      </c>
      <c r="L358" s="2"/>
      <c r="M358" s="2"/>
      <c r="N358" s="2"/>
      <c r="O358" s="2"/>
      <c r="P358" s="2"/>
      <c r="Q358" s="2">
        <v>1.65</v>
      </c>
      <c r="R358" s="2">
        <v>0.04</v>
      </c>
      <c r="S358" s="2">
        <v>1.3</v>
      </c>
      <c r="T358" s="2">
        <v>1.5</v>
      </c>
      <c r="U358" s="2"/>
      <c r="V358" s="2"/>
      <c r="W358" s="2"/>
      <c r="X358" s="2"/>
      <c r="Y358" s="2"/>
      <c r="Z358" s="2"/>
      <c r="AA358" s="2"/>
      <c r="AB358" s="2"/>
      <c r="AC358" s="2"/>
      <c r="AD358" s="2">
        <v>40.799999999999997</v>
      </c>
      <c r="AE358" s="2">
        <v>1.44</v>
      </c>
      <c r="AF358" s="2">
        <v>0.4</v>
      </c>
      <c r="AG358" s="2"/>
      <c r="AH358" s="2"/>
      <c r="AI358" s="2"/>
      <c r="AJ358" s="2"/>
      <c r="AK358" s="2"/>
      <c r="AL358" s="2">
        <v>1.27</v>
      </c>
      <c r="AM358" s="2">
        <v>0.02</v>
      </c>
      <c r="AN358" s="2">
        <v>1.2</v>
      </c>
      <c r="AO358" s="2">
        <v>1.5</v>
      </c>
      <c r="AP358" s="2"/>
      <c r="AQ358" s="2"/>
      <c r="AR358" s="2"/>
      <c r="AS358" s="2"/>
      <c r="AT358" s="2"/>
      <c r="AU358" s="2"/>
      <c r="AV358" s="2"/>
      <c r="AW358" s="2"/>
      <c r="AX358" s="2"/>
      <c r="AY358" s="2">
        <v>0</v>
      </c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>
        <v>20.9</v>
      </c>
      <c r="BU358" s="2">
        <v>2.4300000000000002</v>
      </c>
      <c r="BV358" s="2">
        <v>0.6</v>
      </c>
      <c r="BW358" s="2"/>
      <c r="BX358" s="2"/>
      <c r="BY358" s="2"/>
      <c r="BZ358" s="2"/>
      <c r="CA358" s="2"/>
      <c r="CB358" s="2">
        <v>1.65</v>
      </c>
      <c r="CC358" s="2">
        <v>0.04</v>
      </c>
      <c r="CD358" s="2">
        <v>1.3</v>
      </c>
      <c r="CE358" s="2">
        <v>1.5</v>
      </c>
      <c r="CF358" s="2"/>
      <c r="CG358" s="2"/>
      <c r="CH358" s="2"/>
      <c r="CI358" s="2"/>
      <c r="CJ358" s="2"/>
      <c r="CK358" s="2"/>
      <c r="CL358" s="2"/>
      <c r="CM358" s="2"/>
      <c r="CN358" s="2"/>
      <c r="CO358" s="2">
        <v>40.799999999999997</v>
      </c>
      <c r="CP358" s="2">
        <v>1.44</v>
      </c>
      <c r="CQ358" s="2">
        <v>0.4</v>
      </c>
      <c r="CR358" s="2"/>
      <c r="CS358" s="2"/>
      <c r="CT358" s="2"/>
      <c r="CU358" s="2"/>
      <c r="CV358" s="2"/>
      <c r="CW358" s="2">
        <v>1.27</v>
      </c>
      <c r="CX358" s="2">
        <v>0.02</v>
      </c>
      <c r="CY358" s="2">
        <v>1.2</v>
      </c>
      <c r="CZ358" s="2">
        <v>1.5</v>
      </c>
      <c r="DA358" s="2"/>
      <c r="DB358" s="2"/>
      <c r="DC358" s="2"/>
      <c r="DD358" s="2"/>
      <c r="DE358" s="2"/>
      <c r="DF358" s="2"/>
      <c r="DG358" s="2"/>
      <c r="DH358" s="2"/>
      <c r="DI358" s="2"/>
      <c r="DJ358" s="2" t="s">
        <v>81</v>
      </c>
      <c r="DK358" s="2" t="s">
        <v>81</v>
      </c>
      <c r="DL358" s="2">
        <f t="shared" si="4367"/>
        <v>1.3987196110210696</v>
      </c>
      <c r="DM358" s="2">
        <f t="shared" si="4368"/>
        <v>2.6774716369529983E-2</v>
      </c>
      <c r="DN358" s="2" t="s">
        <v>965</v>
      </c>
      <c r="DO358" s="2" t="s">
        <v>3</v>
      </c>
      <c r="DP358" s="2">
        <f t="shared" si="4369"/>
        <v>1.0953899999999999</v>
      </c>
      <c r="DQ358" s="2">
        <f t="shared" ref="DQ358:DR358" si="5980">K358*$I358+AF358*$AD358+BA358*$AY358</f>
        <v>28.86</v>
      </c>
      <c r="DR358" s="2">
        <f t="shared" si="5980"/>
        <v>0</v>
      </c>
      <c r="DS358" s="2">
        <f t="shared" ref="DS358:DX358" si="5981">(M358*$I358+AH358*$AD358+BC358*$AY358)/100</f>
        <v>0</v>
      </c>
      <c r="DT358" s="2">
        <f t="shared" si="5981"/>
        <v>0</v>
      </c>
      <c r="DU358" s="2">
        <f t="shared" si="5981"/>
        <v>0</v>
      </c>
      <c r="DV358" s="2">
        <f t="shared" si="5981"/>
        <v>0</v>
      </c>
      <c r="DW358" s="2">
        <f t="shared" si="5981"/>
        <v>0.86300999999999983</v>
      </c>
      <c r="DX358" s="2">
        <f t="shared" si="5981"/>
        <v>1.652E-2</v>
      </c>
      <c r="DY358" s="2">
        <f t="shared" ref="DY358:EC358" si="5982">S358*$I358+AN358*$AD358+BI358*$AY358</f>
        <v>76.13</v>
      </c>
      <c r="DZ358" s="2">
        <f t="shared" si="5982"/>
        <v>92.55</v>
      </c>
      <c r="EA358" s="2">
        <f t="shared" si="5982"/>
        <v>0</v>
      </c>
      <c r="EB358" s="2">
        <f t="shared" si="5982"/>
        <v>0</v>
      </c>
      <c r="EC358" s="2">
        <f t="shared" si="5982"/>
        <v>0</v>
      </c>
      <c r="ED358" s="2">
        <f t="shared" ref="ED358:EE358" si="5983">(X358*$I358+AS358*$AD358+BN358*$AY358)/100</f>
        <v>0</v>
      </c>
      <c r="EE358" s="2">
        <f t="shared" si="5983"/>
        <v>0</v>
      </c>
      <c r="EF358" s="2"/>
      <c r="EG358" s="2">
        <f t="shared" si="4374"/>
        <v>0</v>
      </c>
      <c r="EH358" s="2">
        <f t="shared" si="4375"/>
        <v>0</v>
      </c>
      <c r="EI358" s="39">
        <f t="shared" si="4376"/>
        <v>7148.0945102399992</v>
      </c>
      <c r="EJ358" s="39">
        <f t="shared" ref="EJ358:EK358" si="5984">EJ$1*DQ358/1000000</f>
        <v>1180.3832797427651</v>
      </c>
      <c r="EK358" s="39">
        <f t="shared" si="5984"/>
        <v>0</v>
      </c>
      <c r="EL358" s="39">
        <f t="shared" ref="EL358:EQ358" si="5985">EL$1*DS358</f>
        <v>0</v>
      </c>
      <c r="EM358" s="39">
        <f t="shared" si="5985"/>
        <v>0</v>
      </c>
      <c r="EN358" s="39">
        <f t="shared" si="5985"/>
        <v>0</v>
      </c>
      <c r="EO358" s="39">
        <f t="shared" si="5985"/>
        <v>0</v>
      </c>
      <c r="EP358" s="39">
        <f t="shared" si="5985"/>
        <v>11317.513139999997</v>
      </c>
      <c r="EQ358" s="39">
        <f t="shared" si="5985"/>
        <v>1199.6745364799999</v>
      </c>
      <c r="ER358" s="39">
        <f t="shared" ref="ER358:EV358" si="5986">ER$1*DY358/1000000</f>
        <v>2160.6722122186488</v>
      </c>
      <c r="ES358" s="39">
        <f t="shared" si="5986"/>
        <v>3084.2957073954981</v>
      </c>
      <c r="ET358" s="39">
        <f t="shared" si="5986"/>
        <v>0</v>
      </c>
      <c r="EU358" s="39">
        <f t="shared" si="5986"/>
        <v>0</v>
      </c>
      <c r="EV358" s="39">
        <f t="shared" si="5986"/>
        <v>0</v>
      </c>
      <c r="EW358" s="39">
        <f t="shared" ref="EW358:EX358" si="5987">EW$1*ED358</f>
        <v>0</v>
      </c>
      <c r="EX358" s="39">
        <f t="shared" si="5987"/>
        <v>0</v>
      </c>
      <c r="EY358" s="2"/>
      <c r="EZ358" s="39">
        <f t="shared" si="4381"/>
        <v>0</v>
      </c>
      <c r="FA358" s="39">
        <f t="shared" si="4382"/>
        <v>0</v>
      </c>
      <c r="FB358" s="2">
        <f t="shared" si="4383"/>
        <v>1.0953899999999999</v>
      </c>
      <c r="FC358" s="2">
        <f t="shared" ref="FC358:FD358" si="5988">BV358*$BT358+CQ358*$CO358</f>
        <v>28.86</v>
      </c>
      <c r="FD358" s="2">
        <f t="shared" si="5988"/>
        <v>0</v>
      </c>
      <c r="FE358" s="2">
        <f t="shared" ref="FE358:FJ358" si="5989">(BX358*$BT358+CS358*$CO358)/100</f>
        <v>0</v>
      </c>
      <c r="FF358" s="2">
        <f t="shared" si="5989"/>
        <v>0</v>
      </c>
      <c r="FG358" s="2">
        <f t="shared" si="5989"/>
        <v>0</v>
      </c>
      <c r="FH358" s="2">
        <f t="shared" si="5989"/>
        <v>0</v>
      </c>
      <c r="FI358" s="2">
        <f t="shared" si="5989"/>
        <v>0.86300999999999983</v>
      </c>
      <c r="FJ358" s="2">
        <f t="shared" si="5989"/>
        <v>1.652E-2</v>
      </c>
      <c r="FK358" s="2">
        <f t="shared" ref="FK358:FO358" si="5990">CD358*$BT358+CY358*$CO358</f>
        <v>76.13</v>
      </c>
      <c r="FL358" s="2">
        <f t="shared" si="5990"/>
        <v>92.55</v>
      </c>
      <c r="FM358" s="2">
        <f t="shared" si="5990"/>
        <v>0</v>
      </c>
      <c r="FN358" s="2">
        <f t="shared" si="5990"/>
        <v>0</v>
      </c>
      <c r="FO358" s="2">
        <f t="shared" si="5990"/>
        <v>0</v>
      </c>
      <c r="FP358" s="2">
        <f t="shared" ref="FP358:FQ358" si="5991">(CI358*$BT358+DD358*$CO358)/100</f>
        <v>0</v>
      </c>
      <c r="FQ358" s="2">
        <f t="shared" si="5991"/>
        <v>0</v>
      </c>
      <c r="FR358" s="2"/>
      <c r="FS358" s="2">
        <f t="shared" si="4388"/>
        <v>0</v>
      </c>
      <c r="FT358" s="2">
        <f t="shared" si="4389"/>
        <v>0</v>
      </c>
      <c r="FU358" s="39">
        <f t="shared" si="4390"/>
        <v>7148.0945102399992</v>
      </c>
      <c r="FV358" s="39">
        <f t="shared" ref="FV358:FW358" si="5992">FV$1*FC358/1000000</f>
        <v>1180.3832797427651</v>
      </c>
      <c r="FW358" s="39">
        <f t="shared" si="5992"/>
        <v>0</v>
      </c>
      <c r="FX358" s="39">
        <f t="shared" ref="FX358:GC358" si="5993">FX$1*FE358</f>
        <v>0</v>
      </c>
      <c r="FY358" s="39">
        <f t="shared" si="5993"/>
        <v>0</v>
      </c>
      <c r="FZ358" s="39">
        <f t="shared" si="5993"/>
        <v>0</v>
      </c>
      <c r="GA358" s="39">
        <f t="shared" si="5993"/>
        <v>0</v>
      </c>
      <c r="GB358" s="39">
        <f t="shared" si="5993"/>
        <v>11317.513139999997</v>
      </c>
      <c r="GC358" s="39">
        <f t="shared" si="5993"/>
        <v>1199.6745364799999</v>
      </c>
      <c r="GD358" s="39">
        <f t="shared" ref="GD358:GH358" si="5994">GD$1*FK358/1000000</f>
        <v>2160.6722122186488</v>
      </c>
      <c r="GE358" s="39">
        <f t="shared" si="5994"/>
        <v>3084.2957073954981</v>
      </c>
      <c r="GF358" s="39">
        <f t="shared" si="5994"/>
        <v>0</v>
      </c>
      <c r="GG358" s="39">
        <f t="shared" si="5994"/>
        <v>0</v>
      </c>
      <c r="GH358" s="39">
        <f t="shared" si="5994"/>
        <v>0</v>
      </c>
      <c r="GI358" s="39">
        <f t="shared" ref="GI358:GJ358" si="5995">GI$1*FP358</f>
        <v>0</v>
      </c>
      <c r="GJ358" s="39">
        <f t="shared" si="5995"/>
        <v>0</v>
      </c>
      <c r="GK358" s="2"/>
      <c r="GL358" s="39">
        <f t="shared" si="4395"/>
        <v>0</v>
      </c>
      <c r="GM358" s="39">
        <f t="shared" si="4396"/>
        <v>0</v>
      </c>
      <c r="GN358" s="2" t="s">
        <v>3</v>
      </c>
      <c r="GO358" s="2">
        <f t="shared" si="4397"/>
        <v>61.699999999999996</v>
      </c>
      <c r="GP358" s="4">
        <f t="shared" si="4398"/>
        <v>1.3987196110210696</v>
      </c>
      <c r="GQ358" s="15">
        <f t="shared" si="4399"/>
        <v>863.00999999999988</v>
      </c>
      <c r="GR358" s="15">
        <f t="shared" si="4400"/>
        <v>26090.633386076908</v>
      </c>
      <c r="GS358" s="15">
        <f t="shared" si="4401"/>
        <v>422.86277773220274</v>
      </c>
      <c r="GT358" s="2">
        <f t="shared" si="4402"/>
        <v>344.84999999999991</v>
      </c>
      <c r="GU358" s="2">
        <f t="shared" si="4403"/>
        <v>518.16</v>
      </c>
      <c r="GV358" s="2">
        <f t="shared" si="4404"/>
        <v>0</v>
      </c>
      <c r="GW358" s="2">
        <f t="shared" si="4405"/>
        <v>61.699999999999996</v>
      </c>
      <c r="GX358" s="4">
        <f t="shared" si="5976"/>
        <v>1.3987196110210696</v>
      </c>
      <c r="GY358" s="15">
        <f t="shared" si="5977"/>
        <v>863.00999999999988</v>
      </c>
      <c r="GZ358" s="15">
        <f t="shared" si="5978"/>
        <v>26090.633386076908</v>
      </c>
      <c r="HA358" s="15">
        <f t="shared" si="5979"/>
        <v>422.86277773220274</v>
      </c>
      <c r="HB358" s="2">
        <f t="shared" si="4406"/>
        <v>344.84999999999991</v>
      </c>
      <c r="HC358" s="2">
        <f t="shared" si="4407"/>
        <v>518.16</v>
      </c>
      <c r="HD358" s="2" t="s">
        <v>3</v>
      </c>
      <c r="HE358" s="2" t="s">
        <v>89</v>
      </c>
      <c r="HF358" s="2" t="s">
        <v>408</v>
      </c>
      <c r="HG358" s="2" t="s">
        <v>409</v>
      </c>
      <c r="HH358" s="2"/>
      <c r="HI358" s="2" t="s">
        <v>81</v>
      </c>
      <c r="HJ358" s="2" t="s">
        <v>3</v>
      </c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 t="s">
        <v>3</v>
      </c>
    </row>
    <row r="359" spans="1:268" ht="15.75" customHeight="1" x14ac:dyDescent="0.2">
      <c r="A359" s="16" t="s">
        <v>1186</v>
      </c>
      <c r="B359" s="2" t="s">
        <v>120</v>
      </c>
      <c r="C359" s="29">
        <f>46+(25+(25.67/60))/60</f>
        <v>46.42379722222222</v>
      </c>
      <c r="D359" s="29">
        <f>-81-(23+(15.04/60))/60</f>
        <v>-81.38751111111111</v>
      </c>
      <c r="E359" s="2"/>
      <c r="F359" s="2" t="s">
        <v>632</v>
      </c>
      <c r="G359" s="2"/>
      <c r="H359" s="2"/>
      <c r="I359" s="2">
        <v>0</v>
      </c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19">
        <f>8.98+1.365965-0.11057-0.245903-0.248532</f>
        <v>9.7409599999999994</v>
      </c>
      <c r="AE359" s="4">
        <f>(0.34*8.98+1.39*1.365965-1.29*0.11057-1.33*0.245903-1.41*0.248532)/AD359</f>
        <v>0.42416506586619801</v>
      </c>
      <c r="AF359" s="2"/>
      <c r="AG359" s="2"/>
      <c r="AH359" s="2"/>
      <c r="AI359" s="2"/>
      <c r="AJ359" s="2"/>
      <c r="AK359" s="2"/>
      <c r="AL359" s="4">
        <f>(0.5*8.98+2.21*1.365965-2.06*0.11057-2.37*0.245903-2.45*0.248532)/AD359</f>
        <v>0.62512472487311321</v>
      </c>
      <c r="AM359" s="19">
        <f>(0.012*8.98+0.083*1.365965-0.083*0.11057-0.083*0.245903-0.083*0.248532)/AD359</f>
        <v>1.7546492337510881E-2</v>
      </c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>
        <v>2.57</v>
      </c>
      <c r="AZ359" s="2">
        <v>0.5</v>
      </c>
      <c r="BA359" s="2"/>
      <c r="BB359" s="2"/>
      <c r="BC359" s="2"/>
      <c r="BD359" s="2"/>
      <c r="BE359" s="2"/>
      <c r="BF359" s="2"/>
      <c r="BG359" s="2">
        <v>0.7</v>
      </c>
      <c r="BH359" s="2">
        <v>0.02</v>
      </c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19">
        <f>1.365965-0.11057-0.245903-0.248532</f>
        <v>0.76096000000000008</v>
      </c>
      <c r="BU359" s="4">
        <f>(1.39*1.365965-1.29*0.11057-1.33*0.245903-1.41*0.248532)/BT359</f>
        <v>1.4173871688393607</v>
      </c>
      <c r="BV359" s="2"/>
      <c r="BW359" s="2"/>
      <c r="BX359" s="2"/>
      <c r="BY359" s="2"/>
      <c r="BZ359" s="2"/>
      <c r="CA359" s="2"/>
      <c r="CB359" s="4">
        <f>(2.21*1.365965-2.06*0.11057-2.37*0.245903-2.45*0.248532)/BT359</f>
        <v>2.1017069753994959</v>
      </c>
      <c r="CC359" s="2">
        <v>8.3000000000000004E-2</v>
      </c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>
        <v>0</v>
      </c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 t="s">
        <v>81</v>
      </c>
      <c r="DK359" s="2" t="s">
        <v>81</v>
      </c>
      <c r="DL359" s="2">
        <f t="shared" si="4367"/>
        <v>0.64075546829816687</v>
      </c>
      <c r="DM359" s="2">
        <f t="shared" si="4368"/>
        <v>1.8058679420613826E-2</v>
      </c>
      <c r="DN359" s="2" t="s">
        <v>1187</v>
      </c>
      <c r="DO359" s="2" t="s">
        <v>3</v>
      </c>
      <c r="DP359" s="2">
        <f t="shared" si="4369"/>
        <v>5.41677494E-2</v>
      </c>
      <c r="DQ359" s="2">
        <f t="shared" ref="DQ359:DR359" si="5996">K359*$I359+AF359*$AD359+BA359*$AY359</f>
        <v>0</v>
      </c>
      <c r="DR359" s="2">
        <f t="shared" si="5996"/>
        <v>0</v>
      </c>
      <c r="DS359" s="2">
        <f t="shared" ref="DS359:DX359" si="5997">(M359*$I359+AH359*$AD359+BC359*$AY359)/100</f>
        <v>0</v>
      </c>
      <c r="DT359" s="2">
        <f t="shared" si="5997"/>
        <v>0</v>
      </c>
      <c r="DU359" s="2">
        <f t="shared" si="5997"/>
        <v>0</v>
      </c>
      <c r="DV359" s="2">
        <f t="shared" si="5997"/>
        <v>0</v>
      </c>
      <c r="DW359" s="2">
        <f t="shared" si="5997"/>
        <v>7.8883149400000005E-2</v>
      </c>
      <c r="DX359" s="2">
        <f t="shared" si="5997"/>
        <v>2.2231968E-3</v>
      </c>
      <c r="DY359" s="2">
        <f t="shared" ref="DY359:EC359" si="5998">S359*$I359+AN359*$AD359+BI359*$AY359</f>
        <v>0</v>
      </c>
      <c r="DZ359" s="2">
        <f t="shared" si="5998"/>
        <v>0</v>
      </c>
      <c r="EA359" s="2">
        <f t="shared" si="5998"/>
        <v>0</v>
      </c>
      <c r="EB359" s="2">
        <f t="shared" si="5998"/>
        <v>0</v>
      </c>
      <c r="EC359" s="2">
        <f t="shared" si="5998"/>
        <v>0</v>
      </c>
      <c r="ED359" s="2">
        <f t="shared" ref="ED359:EE359" si="5999">(X359*$I359+AS359*$AD359+BN359*$AY359)/100</f>
        <v>0</v>
      </c>
      <c r="EE359" s="2">
        <f t="shared" si="5999"/>
        <v>0</v>
      </c>
      <c r="EF359" s="2"/>
      <c r="EG359" s="2">
        <f t="shared" si="4374"/>
        <v>0</v>
      </c>
      <c r="EH359" s="2">
        <f t="shared" si="4375"/>
        <v>0</v>
      </c>
      <c r="EI359" s="39">
        <f t="shared" si="4376"/>
        <v>353.47793216863039</v>
      </c>
      <c r="EJ359" s="39">
        <f t="shared" ref="EJ359:EK359" si="6000">EJ$1*DQ359/1000000</f>
        <v>0</v>
      </c>
      <c r="EK359" s="39">
        <f t="shared" si="6000"/>
        <v>0</v>
      </c>
      <c r="EL359" s="39">
        <f t="shared" ref="EL359:EQ359" si="6001">EL$1*DS359</f>
        <v>0</v>
      </c>
      <c r="EM359" s="39">
        <f t="shared" si="6001"/>
        <v>0</v>
      </c>
      <c r="EN359" s="39">
        <f t="shared" si="6001"/>
        <v>0</v>
      </c>
      <c r="EO359" s="39">
        <f t="shared" si="6001"/>
        <v>0</v>
      </c>
      <c r="EP359" s="39">
        <f t="shared" si="6001"/>
        <v>1034.4736212316</v>
      </c>
      <c r="EQ359" s="39">
        <f t="shared" si="6001"/>
        <v>161.44749337432319</v>
      </c>
      <c r="ER359" s="39">
        <f t="shared" ref="ER359:EV359" si="6002">ER$1*DY359/1000000</f>
        <v>0</v>
      </c>
      <c r="ES359" s="39">
        <f t="shared" si="6002"/>
        <v>0</v>
      </c>
      <c r="ET359" s="39">
        <f t="shared" si="6002"/>
        <v>0</v>
      </c>
      <c r="EU359" s="39">
        <f t="shared" si="6002"/>
        <v>0</v>
      </c>
      <c r="EV359" s="39">
        <f t="shared" si="6002"/>
        <v>0</v>
      </c>
      <c r="EW359" s="39">
        <f t="shared" ref="EW359:EX359" si="6003">EW$1*ED359</f>
        <v>0</v>
      </c>
      <c r="EX359" s="39">
        <f t="shared" si="6003"/>
        <v>0</v>
      </c>
      <c r="EY359" s="2"/>
      <c r="EZ359" s="39">
        <f t="shared" si="4381"/>
        <v>0</v>
      </c>
      <c r="FA359" s="39">
        <f t="shared" si="4382"/>
        <v>0</v>
      </c>
      <c r="FB359" s="2">
        <f t="shared" si="4383"/>
        <v>1.0785749399999999E-2</v>
      </c>
      <c r="FC359" s="2">
        <f t="shared" ref="FC359:FD359" si="6004">BV359*$BT359+CQ359*$CO359</f>
        <v>0</v>
      </c>
      <c r="FD359" s="2">
        <f t="shared" si="6004"/>
        <v>0</v>
      </c>
      <c r="FE359" s="2">
        <f t="shared" ref="FE359:FJ359" si="6005">(BX359*$BT359+CS359*$CO359)/100</f>
        <v>0</v>
      </c>
      <c r="FF359" s="2">
        <f t="shared" si="6005"/>
        <v>0</v>
      </c>
      <c r="FG359" s="2">
        <f t="shared" si="6005"/>
        <v>0</v>
      </c>
      <c r="FH359" s="2">
        <f t="shared" si="6005"/>
        <v>0</v>
      </c>
      <c r="FI359" s="2">
        <f t="shared" si="6005"/>
        <v>1.5993149400000007E-2</v>
      </c>
      <c r="FJ359" s="2">
        <f t="shared" si="6005"/>
        <v>6.3159680000000006E-4</v>
      </c>
      <c r="FK359" s="2">
        <f t="shared" ref="FK359:FO359" si="6006">CD359*$BT359+CY359*$CO359</f>
        <v>0</v>
      </c>
      <c r="FL359" s="2">
        <f t="shared" si="6006"/>
        <v>0</v>
      </c>
      <c r="FM359" s="2">
        <f t="shared" si="6006"/>
        <v>0</v>
      </c>
      <c r="FN359" s="2">
        <f t="shared" si="6006"/>
        <v>0</v>
      </c>
      <c r="FO359" s="2">
        <f t="shared" si="6006"/>
        <v>0</v>
      </c>
      <c r="FP359" s="2">
        <f t="shared" ref="FP359:FQ359" si="6007">(CI359*$BT359+DD359*$CO359)/100</f>
        <v>0</v>
      </c>
      <c r="FQ359" s="2">
        <f t="shared" si="6007"/>
        <v>0</v>
      </c>
      <c r="FR359" s="2"/>
      <c r="FS359" s="2">
        <f t="shared" si="4388"/>
        <v>0</v>
      </c>
      <c r="FT359" s="2">
        <f t="shared" si="4389"/>
        <v>0</v>
      </c>
      <c r="FU359" s="39">
        <f t="shared" si="4390"/>
        <v>70.38365885663039</v>
      </c>
      <c r="FV359" s="39">
        <f t="shared" ref="FV359:FW359" si="6008">FV$1*FC359/1000000</f>
        <v>0</v>
      </c>
      <c r="FW359" s="39">
        <f t="shared" si="6008"/>
        <v>0</v>
      </c>
      <c r="FX359" s="39">
        <f t="shared" ref="FX359:GC359" si="6009">FX$1*FE359</f>
        <v>0</v>
      </c>
      <c r="FY359" s="39">
        <f t="shared" si="6009"/>
        <v>0</v>
      </c>
      <c r="FZ359" s="39">
        <f t="shared" si="6009"/>
        <v>0</v>
      </c>
      <c r="GA359" s="39">
        <f t="shared" si="6009"/>
        <v>0</v>
      </c>
      <c r="GB359" s="39">
        <f t="shared" si="6009"/>
        <v>209.7341612316001</v>
      </c>
      <c r="GC359" s="39">
        <f t="shared" si="6009"/>
        <v>45.866258975923195</v>
      </c>
      <c r="GD359" s="39">
        <f t="shared" ref="GD359:GH359" si="6010">GD$1*FK359/1000000</f>
        <v>0</v>
      </c>
      <c r="GE359" s="39">
        <f t="shared" si="6010"/>
        <v>0</v>
      </c>
      <c r="GF359" s="39">
        <f t="shared" si="6010"/>
        <v>0</v>
      </c>
      <c r="GG359" s="39">
        <f t="shared" si="6010"/>
        <v>0</v>
      </c>
      <c r="GH359" s="39">
        <f t="shared" si="6010"/>
        <v>0</v>
      </c>
      <c r="GI359" s="39">
        <f t="shared" ref="GI359:GJ359" si="6011">GI$1*FP359</f>
        <v>0</v>
      </c>
      <c r="GJ359" s="39">
        <f t="shared" si="6011"/>
        <v>0</v>
      </c>
      <c r="GK359" s="2"/>
      <c r="GL359" s="39">
        <f t="shared" si="4395"/>
        <v>0</v>
      </c>
      <c r="GM359" s="39">
        <f t="shared" si="4396"/>
        <v>0</v>
      </c>
      <c r="GN359" s="2" t="s">
        <v>3</v>
      </c>
      <c r="GO359" s="4">
        <f t="shared" si="4397"/>
        <v>12.31096</v>
      </c>
      <c r="GP359" s="4">
        <f t="shared" si="4398"/>
        <v>0.64075546829816687</v>
      </c>
      <c r="GQ359" s="15">
        <f t="shared" si="4399"/>
        <v>78.883149400000008</v>
      </c>
      <c r="GR359" s="15">
        <f t="shared" si="4400"/>
        <v>1549.3990467745534</v>
      </c>
      <c r="GS359" s="15">
        <f t="shared" si="4401"/>
        <v>125.85525797943893</v>
      </c>
      <c r="GT359" s="2">
        <f t="shared" si="4402"/>
        <v>0</v>
      </c>
      <c r="GU359" s="2">
        <f t="shared" si="4403"/>
        <v>60.893149399999999</v>
      </c>
      <c r="GV359" s="2">
        <f t="shared" si="4404"/>
        <v>17.989999999999998</v>
      </c>
      <c r="GW359" s="19">
        <f t="shared" si="4405"/>
        <v>0.76096000000000008</v>
      </c>
      <c r="GX359" s="4">
        <f t="shared" si="5976"/>
        <v>2.1017069753994959</v>
      </c>
      <c r="GY359" s="15">
        <f t="shared" si="5977"/>
        <v>15.993149400000004</v>
      </c>
      <c r="GZ359" s="15">
        <f t="shared" si="5978"/>
        <v>325.98407906415366</v>
      </c>
      <c r="HA359" s="15">
        <f t="shared" si="5979"/>
        <v>428.38530154561818</v>
      </c>
      <c r="HB359" s="2">
        <f t="shared" si="4406"/>
        <v>15.993149400000007</v>
      </c>
      <c r="HC359" s="2">
        <f t="shared" si="4407"/>
        <v>0</v>
      </c>
      <c r="HD359" s="2" t="s">
        <v>3</v>
      </c>
      <c r="HE359" s="2" t="s">
        <v>89</v>
      </c>
      <c r="HF359" s="2" t="s">
        <v>408</v>
      </c>
      <c r="HG359" s="2" t="s">
        <v>409</v>
      </c>
      <c r="HH359" s="2"/>
      <c r="HI359" s="2" t="s">
        <v>81</v>
      </c>
      <c r="HJ359" s="2" t="s">
        <v>3</v>
      </c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 t="s">
        <v>3</v>
      </c>
    </row>
    <row r="360" spans="1:268" ht="15.75" customHeight="1" x14ac:dyDescent="0.2">
      <c r="A360" s="16" t="s">
        <v>1192</v>
      </c>
      <c r="B360" s="2" t="s">
        <v>99</v>
      </c>
      <c r="C360" s="29">
        <f>46+(48+(18/60))/60</f>
        <v>46.805</v>
      </c>
      <c r="D360" s="29">
        <f>-80-(52+(41.03/60))/60</f>
        <v>-80.878063888888889</v>
      </c>
      <c r="E360" s="2"/>
      <c r="F360" s="2" t="s">
        <v>1193</v>
      </c>
      <c r="G360" s="2"/>
      <c r="H360" s="2"/>
      <c r="I360" s="2">
        <v>0</v>
      </c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>
        <v>0.26400000000000001</v>
      </c>
      <c r="AE360" s="4">
        <v>0.7</v>
      </c>
      <c r="AF360" s="2">
        <v>0.23</v>
      </c>
      <c r="AG360" s="2"/>
      <c r="AH360" s="2"/>
      <c r="AI360" s="2"/>
      <c r="AJ360" s="2"/>
      <c r="AK360" s="2"/>
      <c r="AL360" s="2">
        <v>0.65</v>
      </c>
      <c r="AM360" s="2">
        <v>0.03</v>
      </c>
      <c r="AN360" s="2">
        <v>0.62</v>
      </c>
      <c r="AO360" s="4">
        <v>8</v>
      </c>
      <c r="AP360" s="2"/>
      <c r="AQ360" s="2"/>
      <c r="AR360" s="2"/>
      <c r="AS360" s="2"/>
      <c r="AT360" s="2"/>
      <c r="AU360" s="2"/>
      <c r="AV360" s="2"/>
      <c r="AW360" s="2"/>
      <c r="AX360" s="2"/>
      <c r="AY360" s="2">
        <v>8.6999999999999994E-2</v>
      </c>
      <c r="AZ360" s="2">
        <v>0.7</v>
      </c>
      <c r="BA360" s="2">
        <v>0.6</v>
      </c>
      <c r="BB360" s="2"/>
      <c r="BC360" s="2"/>
      <c r="BD360" s="2"/>
      <c r="BE360" s="2"/>
      <c r="BF360" s="2"/>
      <c r="BG360" s="2">
        <v>0.4</v>
      </c>
      <c r="BH360" s="2">
        <v>0.02</v>
      </c>
      <c r="BI360" s="2">
        <v>1.2</v>
      </c>
      <c r="BJ360" s="2">
        <v>1.1000000000000001</v>
      </c>
      <c r="BK360" s="2"/>
      <c r="BL360" s="2"/>
      <c r="BM360" s="2"/>
      <c r="BN360" s="2"/>
      <c r="BO360" s="2"/>
      <c r="BP360" s="2"/>
      <c r="BQ360" s="2"/>
      <c r="BR360" s="2"/>
      <c r="BS360" s="2"/>
      <c r="BT360" s="2">
        <v>0</v>
      </c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>
        <v>0</v>
      </c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 t="s">
        <v>81</v>
      </c>
      <c r="DK360" s="2" t="s">
        <v>81</v>
      </c>
      <c r="DL360" s="2">
        <f t="shared" si="4367"/>
        <v>0.58803418803418805</v>
      </c>
      <c r="DM360" s="2">
        <f t="shared" si="4368"/>
        <v>2.7521367521367524E-2</v>
      </c>
      <c r="DN360" s="2" t="s">
        <v>150</v>
      </c>
      <c r="DO360" s="2" t="s">
        <v>3</v>
      </c>
      <c r="DP360" s="2">
        <f t="shared" si="4369"/>
        <v>2.4569999999999995E-3</v>
      </c>
      <c r="DQ360" s="2">
        <f t="shared" ref="DQ360:DR360" si="6012">K360*$I360+AF360*$AD360+BA360*$AY360</f>
        <v>0.11291999999999999</v>
      </c>
      <c r="DR360" s="2">
        <f t="shared" si="6012"/>
        <v>0</v>
      </c>
      <c r="DS360" s="2">
        <f t="shared" ref="DS360:DX360" si="6013">(M360*$I360+AH360*$AD360+BC360*$AY360)/100</f>
        <v>0</v>
      </c>
      <c r="DT360" s="2">
        <f t="shared" si="6013"/>
        <v>0</v>
      </c>
      <c r="DU360" s="2">
        <f t="shared" si="6013"/>
        <v>0</v>
      </c>
      <c r="DV360" s="2">
        <f t="shared" si="6013"/>
        <v>0</v>
      </c>
      <c r="DW360" s="2">
        <f t="shared" si="6013"/>
        <v>2.0639999999999999E-3</v>
      </c>
      <c r="DX360" s="2">
        <f t="shared" si="6013"/>
        <v>9.6600000000000003E-5</v>
      </c>
      <c r="DY360" s="2">
        <f t="shared" ref="DY360:EC360" si="6014">S360*$I360+AN360*$AD360+BI360*$AY360</f>
        <v>0.26807999999999998</v>
      </c>
      <c r="DZ360" s="2">
        <f t="shared" si="6014"/>
        <v>2.2077</v>
      </c>
      <c r="EA360" s="2">
        <f t="shared" si="6014"/>
        <v>0</v>
      </c>
      <c r="EB360" s="2">
        <f t="shared" si="6014"/>
        <v>0</v>
      </c>
      <c r="EC360" s="2">
        <f t="shared" si="6014"/>
        <v>0</v>
      </c>
      <c r="ED360" s="2">
        <f t="shared" ref="ED360:EE360" si="6015">(X360*$I360+AS360*$AD360+BN360*$AY360)/100</f>
        <v>0</v>
      </c>
      <c r="EE360" s="2">
        <f t="shared" si="6015"/>
        <v>0</v>
      </c>
      <c r="EF360" s="2"/>
      <c r="EG360" s="2">
        <f t="shared" si="4374"/>
        <v>0</v>
      </c>
      <c r="EH360" s="2">
        <f t="shared" si="4375"/>
        <v>0</v>
      </c>
      <c r="EI360" s="39">
        <f t="shared" si="4376"/>
        <v>16.033438511999996</v>
      </c>
      <c r="EJ360" s="39">
        <f t="shared" ref="EJ360:EK360" si="6016">EJ$1*DQ360/1000000</f>
        <v>4.6184643086816717</v>
      </c>
      <c r="EK360" s="39">
        <f t="shared" si="6016"/>
        <v>0</v>
      </c>
      <c r="EL360" s="39">
        <f t="shared" ref="EL360:EQ360" si="6017">EL$1*DS360</f>
        <v>0</v>
      </c>
      <c r="EM360" s="39">
        <f t="shared" si="6017"/>
        <v>0</v>
      </c>
      <c r="EN360" s="39">
        <f t="shared" si="6017"/>
        <v>0</v>
      </c>
      <c r="EO360" s="39">
        <f t="shared" si="6017"/>
        <v>0</v>
      </c>
      <c r="EP360" s="39">
        <f t="shared" si="6017"/>
        <v>27.067295999999999</v>
      </c>
      <c r="EQ360" s="39">
        <f t="shared" si="6017"/>
        <v>7.0150460183999996</v>
      </c>
      <c r="ER360" s="39">
        <f t="shared" ref="ER360:EV360" si="6018">ER$1*DY360/1000000</f>
        <v>7.6084724372990333</v>
      </c>
      <c r="ES360" s="39">
        <f t="shared" si="6018"/>
        <v>73.573199710610936</v>
      </c>
      <c r="ET360" s="39">
        <f t="shared" si="6018"/>
        <v>0</v>
      </c>
      <c r="EU360" s="39">
        <f t="shared" si="6018"/>
        <v>0</v>
      </c>
      <c r="EV360" s="39">
        <f t="shared" si="6018"/>
        <v>0</v>
      </c>
      <c r="EW360" s="39">
        <f t="shared" ref="EW360:EX360" si="6019">EW$1*ED360</f>
        <v>0</v>
      </c>
      <c r="EX360" s="39">
        <f t="shared" si="6019"/>
        <v>0</v>
      </c>
      <c r="EY360" s="2"/>
      <c r="EZ360" s="39">
        <f t="shared" si="4381"/>
        <v>0</v>
      </c>
      <c r="FA360" s="39">
        <f t="shared" si="4382"/>
        <v>0</v>
      </c>
      <c r="FB360" s="2">
        <f t="shared" si="4383"/>
        <v>0</v>
      </c>
      <c r="FC360" s="2">
        <f t="shared" ref="FC360:FD360" si="6020">BV360*$BT360+CQ360*$CO360</f>
        <v>0</v>
      </c>
      <c r="FD360" s="2">
        <f t="shared" si="6020"/>
        <v>0</v>
      </c>
      <c r="FE360" s="2">
        <f t="shared" ref="FE360:FJ360" si="6021">(BX360*$BT360+CS360*$CO360)/100</f>
        <v>0</v>
      </c>
      <c r="FF360" s="2">
        <f t="shared" si="6021"/>
        <v>0</v>
      </c>
      <c r="FG360" s="2">
        <f t="shared" si="6021"/>
        <v>0</v>
      </c>
      <c r="FH360" s="2">
        <f t="shared" si="6021"/>
        <v>0</v>
      </c>
      <c r="FI360" s="2">
        <f t="shared" si="6021"/>
        <v>0</v>
      </c>
      <c r="FJ360" s="2">
        <f t="shared" si="6021"/>
        <v>0</v>
      </c>
      <c r="FK360" s="2">
        <f t="shared" ref="FK360:FO360" si="6022">CD360*$BT360+CY360*$CO360</f>
        <v>0</v>
      </c>
      <c r="FL360" s="2">
        <f t="shared" si="6022"/>
        <v>0</v>
      </c>
      <c r="FM360" s="2">
        <f t="shared" si="6022"/>
        <v>0</v>
      </c>
      <c r="FN360" s="2">
        <f t="shared" si="6022"/>
        <v>0</v>
      </c>
      <c r="FO360" s="2">
        <f t="shared" si="6022"/>
        <v>0</v>
      </c>
      <c r="FP360" s="2">
        <f t="shared" ref="FP360:FQ360" si="6023">(CI360*$BT360+DD360*$CO360)/100</f>
        <v>0</v>
      </c>
      <c r="FQ360" s="2">
        <f t="shared" si="6023"/>
        <v>0</v>
      </c>
      <c r="FR360" s="2"/>
      <c r="FS360" s="2">
        <f t="shared" si="4388"/>
        <v>0</v>
      </c>
      <c r="FT360" s="2">
        <f t="shared" si="4389"/>
        <v>0</v>
      </c>
      <c r="FU360" s="39">
        <f t="shared" si="4390"/>
        <v>0</v>
      </c>
      <c r="FV360" s="39">
        <f t="shared" ref="FV360:FW360" si="6024">FV$1*FC360/1000000</f>
        <v>0</v>
      </c>
      <c r="FW360" s="39">
        <f t="shared" si="6024"/>
        <v>0</v>
      </c>
      <c r="FX360" s="39">
        <f t="shared" ref="FX360:GC360" si="6025">FX$1*FE360</f>
        <v>0</v>
      </c>
      <c r="FY360" s="39">
        <f t="shared" si="6025"/>
        <v>0</v>
      </c>
      <c r="FZ360" s="39">
        <f t="shared" si="6025"/>
        <v>0</v>
      </c>
      <c r="GA360" s="39">
        <f t="shared" si="6025"/>
        <v>0</v>
      </c>
      <c r="GB360" s="39">
        <f t="shared" si="6025"/>
        <v>0</v>
      </c>
      <c r="GC360" s="39">
        <f t="shared" si="6025"/>
        <v>0</v>
      </c>
      <c r="GD360" s="39">
        <f t="shared" ref="GD360:GH360" si="6026">GD$1*FK360/1000000</f>
        <v>0</v>
      </c>
      <c r="GE360" s="39">
        <f t="shared" si="6026"/>
        <v>0</v>
      </c>
      <c r="GF360" s="39">
        <f t="shared" si="6026"/>
        <v>0</v>
      </c>
      <c r="GG360" s="39">
        <f t="shared" si="6026"/>
        <v>0</v>
      </c>
      <c r="GH360" s="39">
        <f t="shared" si="6026"/>
        <v>0</v>
      </c>
      <c r="GI360" s="39">
        <f t="shared" ref="GI360:GJ360" si="6027">GI$1*FP360</f>
        <v>0</v>
      </c>
      <c r="GJ360" s="39">
        <f t="shared" si="6027"/>
        <v>0</v>
      </c>
      <c r="GK360" s="2"/>
      <c r="GL360" s="39">
        <f t="shared" si="4395"/>
        <v>0</v>
      </c>
      <c r="GM360" s="39">
        <f t="shared" si="4396"/>
        <v>0</v>
      </c>
      <c r="GN360" s="2" t="s">
        <v>3</v>
      </c>
      <c r="GO360" s="2">
        <f t="shared" si="4397"/>
        <v>0.35099999999999998</v>
      </c>
      <c r="GP360" s="4">
        <f t="shared" si="4398"/>
        <v>0.58803418803418805</v>
      </c>
      <c r="GQ360" s="15">
        <f t="shared" si="4399"/>
        <v>2.0640000000000001</v>
      </c>
      <c r="GR360" s="15">
        <f t="shared" si="4400"/>
        <v>135.91591698699165</v>
      </c>
      <c r="GS360" s="15">
        <f t="shared" si="4401"/>
        <v>387.22483472077397</v>
      </c>
      <c r="GT360" s="2">
        <f t="shared" si="4402"/>
        <v>0</v>
      </c>
      <c r="GU360" s="2">
        <f t="shared" si="4403"/>
        <v>1.716</v>
      </c>
      <c r="GV360" s="2">
        <f t="shared" si="4404"/>
        <v>0.34799999999999998</v>
      </c>
      <c r="GW360" s="2">
        <f t="shared" si="4405"/>
        <v>0</v>
      </c>
      <c r="GX360" s="2"/>
      <c r="GY360" s="2"/>
      <c r="GZ360" s="2"/>
      <c r="HA360" s="2"/>
      <c r="HB360" s="2">
        <f t="shared" si="4406"/>
        <v>0</v>
      </c>
      <c r="HC360" s="2">
        <f t="shared" si="4407"/>
        <v>0</v>
      </c>
      <c r="HD360" s="2" t="s">
        <v>3</v>
      </c>
      <c r="HE360" s="2" t="s">
        <v>89</v>
      </c>
      <c r="HF360" s="2" t="s">
        <v>408</v>
      </c>
      <c r="HG360" s="2" t="s">
        <v>409</v>
      </c>
      <c r="HH360" s="2"/>
      <c r="HI360" s="2" t="s">
        <v>81</v>
      </c>
      <c r="HJ360" s="2" t="s">
        <v>3</v>
      </c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 t="s">
        <v>3</v>
      </c>
    </row>
    <row r="361" spans="1:268" ht="15.75" customHeight="1" x14ac:dyDescent="0.2">
      <c r="A361" s="16" t="s">
        <v>1194</v>
      </c>
      <c r="B361" s="2" t="s">
        <v>120</v>
      </c>
      <c r="C361" s="29">
        <f>46+(46+(41.16/60))/60</f>
        <v>46.778100000000002</v>
      </c>
      <c r="D361" s="29">
        <f>-80-(52+(32.52/60))/60</f>
        <v>-80.875699999999995</v>
      </c>
      <c r="E361" s="2"/>
      <c r="F361" s="2" t="s">
        <v>1184</v>
      </c>
      <c r="G361" s="2"/>
      <c r="H361" s="2"/>
      <c r="I361" s="2">
        <v>0.42</v>
      </c>
      <c r="J361" s="2">
        <v>4.26</v>
      </c>
      <c r="K361" s="2">
        <v>0.69</v>
      </c>
      <c r="L361" s="2"/>
      <c r="M361" s="2"/>
      <c r="N361" s="2"/>
      <c r="O361" s="2"/>
      <c r="P361" s="2"/>
      <c r="Q361" s="2">
        <v>0.36</v>
      </c>
      <c r="R361" s="2"/>
      <c r="S361" s="4">
        <f>0.4*3.43</f>
        <v>1.3720000000000001</v>
      </c>
      <c r="T361" s="4">
        <f>0.6*3.43</f>
        <v>2.0579999999999998</v>
      </c>
      <c r="U361" s="2"/>
      <c r="V361" s="2"/>
      <c r="W361" s="2"/>
      <c r="X361" s="2"/>
      <c r="Y361" s="2"/>
      <c r="Z361" s="2"/>
      <c r="AA361" s="2"/>
      <c r="AB361" s="2"/>
      <c r="AC361" s="2"/>
      <c r="AD361" s="4">
        <f>6.06+0.64</f>
        <v>6.6999999999999993</v>
      </c>
      <c r="AE361" s="4">
        <f>(0.21*6.06+4.51*0.64)/AD361</f>
        <v>0.62074626865671645</v>
      </c>
      <c r="AF361" s="4">
        <f>(0*6.06+0.75*0.64)/AD361</f>
        <v>7.1641791044776124E-2</v>
      </c>
      <c r="AG361" s="2"/>
      <c r="AH361" s="2"/>
      <c r="AI361" s="2"/>
      <c r="AJ361" s="2"/>
      <c r="AK361" s="2"/>
      <c r="AL361" s="4">
        <f>(0.75*6.06+0.39*0.64)/AD361</f>
        <v>0.7156119402985075</v>
      </c>
      <c r="AM361" s="2"/>
      <c r="AN361" s="4">
        <f>0.4*((0*6.06+3.44*0.64)/(6.06+0.64))</f>
        <v>0.13143880597014929</v>
      </c>
      <c r="AO361" s="4">
        <f>0.6*((0*6.06+3.44*0.64)/(6.06+0.64))</f>
        <v>0.1971582089552239</v>
      </c>
      <c r="AP361" s="2"/>
      <c r="AQ361" s="2"/>
      <c r="AR361" s="2"/>
      <c r="AS361" s="2"/>
      <c r="AT361" s="2"/>
      <c r="AU361" s="2"/>
      <c r="AV361" s="2"/>
      <c r="AW361" s="2"/>
      <c r="AX361" s="2"/>
      <c r="AY361" s="2">
        <v>0.32</v>
      </c>
      <c r="AZ361" s="2">
        <v>3.44</v>
      </c>
      <c r="BA361" s="2">
        <v>0.52</v>
      </c>
      <c r="BB361" s="2"/>
      <c r="BC361" s="2"/>
      <c r="BD361" s="2"/>
      <c r="BE361" s="2"/>
      <c r="BF361" s="2"/>
      <c r="BG361" s="2">
        <v>0.32</v>
      </c>
      <c r="BH361" s="2"/>
      <c r="BI361" s="4">
        <f>0.4*2.78</f>
        <v>1.1119999999999999</v>
      </c>
      <c r="BJ361" s="4">
        <f>0.6*2.78</f>
        <v>1.6679999999999999</v>
      </c>
      <c r="BK361" s="2"/>
      <c r="BL361" s="2"/>
      <c r="BM361" s="2"/>
      <c r="BN361" s="2"/>
      <c r="BO361" s="2"/>
      <c r="BP361" s="2"/>
      <c r="BQ361" s="2"/>
      <c r="BR361" s="2"/>
      <c r="BS361" s="2"/>
      <c r="BT361" s="2">
        <v>0</v>
      </c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>
        <v>0</v>
      </c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 t="s">
        <v>81</v>
      </c>
      <c r="DK361" s="2"/>
      <c r="DL361" s="2">
        <f t="shared" si="4367"/>
        <v>0.67852150537634415</v>
      </c>
      <c r="DM361" s="2">
        <f t="shared" si="4368"/>
        <v>0</v>
      </c>
      <c r="DN361" s="2" t="s">
        <v>1185</v>
      </c>
      <c r="DO361" s="2" t="s">
        <v>3</v>
      </c>
      <c r="DP361" s="2">
        <f t="shared" si="4369"/>
        <v>7.0489999999999997E-2</v>
      </c>
      <c r="DQ361" s="2">
        <f t="shared" ref="DQ361:DR361" si="6028">K361*$I361+AF361*$AD361+BA361*$AY361</f>
        <v>0.93619999999999992</v>
      </c>
      <c r="DR361" s="2">
        <f t="shared" si="6028"/>
        <v>0</v>
      </c>
      <c r="DS361" s="2">
        <f t="shared" ref="DS361:DX361" si="6029">(M361*$I361+AH361*$AD361+BC361*$AY361)/100</f>
        <v>0</v>
      </c>
      <c r="DT361" s="2">
        <f t="shared" si="6029"/>
        <v>0</v>
      </c>
      <c r="DU361" s="2">
        <f t="shared" si="6029"/>
        <v>0</v>
      </c>
      <c r="DV361" s="2">
        <f t="shared" si="6029"/>
        <v>0</v>
      </c>
      <c r="DW361" s="2">
        <f t="shared" si="6029"/>
        <v>5.0482000000000006E-2</v>
      </c>
      <c r="DX361" s="2">
        <f t="shared" si="6029"/>
        <v>0</v>
      </c>
      <c r="DY361" s="2">
        <f t="shared" ref="DY361:EC361" si="6030">S361*$I361+AN361*$AD361+BI361*$AY361</f>
        <v>1.8127199999999999</v>
      </c>
      <c r="DZ361" s="2">
        <f t="shared" si="6030"/>
        <v>2.7190799999999999</v>
      </c>
      <c r="EA361" s="2">
        <f t="shared" si="6030"/>
        <v>0</v>
      </c>
      <c r="EB361" s="2">
        <f t="shared" si="6030"/>
        <v>0</v>
      </c>
      <c r="EC361" s="2">
        <f t="shared" si="6030"/>
        <v>0</v>
      </c>
      <c r="ED361" s="2">
        <f t="shared" ref="ED361:EE361" si="6031">(X361*$I361+AS361*$AD361+BN361*$AY361)/100</f>
        <v>0</v>
      </c>
      <c r="EE361" s="2">
        <f t="shared" si="6031"/>
        <v>0</v>
      </c>
      <c r="EF361" s="2"/>
      <c r="EG361" s="2">
        <f t="shared" si="4374"/>
        <v>0</v>
      </c>
      <c r="EH361" s="2">
        <f t="shared" si="4375"/>
        <v>0</v>
      </c>
      <c r="EI361" s="39">
        <f t="shared" si="4376"/>
        <v>459.99067184</v>
      </c>
      <c r="EJ361" s="39">
        <f t="shared" ref="EJ361:EK361" si="6032">EJ$1*DQ361/1000000</f>
        <v>38.290881028938898</v>
      </c>
      <c r="EK361" s="39">
        <f t="shared" si="6032"/>
        <v>0</v>
      </c>
      <c r="EL361" s="39">
        <f t="shared" ref="EL361:EQ361" si="6033">EL$1*DS361</f>
        <v>0</v>
      </c>
      <c r="EM361" s="39">
        <f t="shared" si="6033"/>
        <v>0</v>
      </c>
      <c r="EN361" s="39">
        <f t="shared" si="6033"/>
        <v>0</v>
      </c>
      <c r="EO361" s="39">
        <f t="shared" si="6033"/>
        <v>0</v>
      </c>
      <c r="EP361" s="39">
        <f t="shared" si="6033"/>
        <v>662.02094800000009</v>
      </c>
      <c r="EQ361" s="39">
        <f t="shared" si="6033"/>
        <v>0</v>
      </c>
      <c r="ER361" s="39">
        <f t="shared" ref="ER361:EV361" si="6034">ER$1*DY361/1000000</f>
        <v>51.447441646302238</v>
      </c>
      <c r="ES361" s="39">
        <f t="shared" si="6034"/>
        <v>90.615308180064304</v>
      </c>
      <c r="ET361" s="39">
        <f t="shared" si="6034"/>
        <v>0</v>
      </c>
      <c r="EU361" s="39">
        <f t="shared" si="6034"/>
        <v>0</v>
      </c>
      <c r="EV361" s="39">
        <f t="shared" si="6034"/>
        <v>0</v>
      </c>
      <c r="EW361" s="39">
        <f t="shared" ref="EW361:EX361" si="6035">EW$1*ED361</f>
        <v>0</v>
      </c>
      <c r="EX361" s="39">
        <f t="shared" si="6035"/>
        <v>0</v>
      </c>
      <c r="EY361" s="2"/>
      <c r="EZ361" s="39">
        <f t="shared" si="4381"/>
        <v>0</v>
      </c>
      <c r="FA361" s="39">
        <f t="shared" si="4382"/>
        <v>0</v>
      </c>
      <c r="FB361" s="2">
        <f t="shared" si="4383"/>
        <v>0</v>
      </c>
      <c r="FC361" s="2">
        <f t="shared" ref="FC361:FD361" si="6036">BV361*$BT361+CQ361*$CO361</f>
        <v>0</v>
      </c>
      <c r="FD361" s="2">
        <f t="shared" si="6036"/>
        <v>0</v>
      </c>
      <c r="FE361" s="2">
        <f t="shared" ref="FE361:FJ361" si="6037">(BX361*$BT361+CS361*$CO361)/100</f>
        <v>0</v>
      </c>
      <c r="FF361" s="2">
        <f t="shared" si="6037"/>
        <v>0</v>
      </c>
      <c r="FG361" s="2">
        <f t="shared" si="6037"/>
        <v>0</v>
      </c>
      <c r="FH361" s="2">
        <f t="shared" si="6037"/>
        <v>0</v>
      </c>
      <c r="FI361" s="2">
        <f t="shared" si="6037"/>
        <v>0</v>
      </c>
      <c r="FJ361" s="2">
        <f t="shared" si="6037"/>
        <v>0</v>
      </c>
      <c r="FK361" s="2">
        <f t="shared" ref="FK361:FO361" si="6038">CD361*$BT361+CY361*$CO361</f>
        <v>0</v>
      </c>
      <c r="FL361" s="2">
        <f t="shared" si="6038"/>
        <v>0</v>
      </c>
      <c r="FM361" s="2">
        <f t="shared" si="6038"/>
        <v>0</v>
      </c>
      <c r="FN361" s="2">
        <f t="shared" si="6038"/>
        <v>0</v>
      </c>
      <c r="FO361" s="2">
        <f t="shared" si="6038"/>
        <v>0</v>
      </c>
      <c r="FP361" s="2">
        <f t="shared" ref="FP361:FQ361" si="6039">(CI361*$BT361+DD361*$CO361)/100</f>
        <v>0</v>
      </c>
      <c r="FQ361" s="2">
        <f t="shared" si="6039"/>
        <v>0</v>
      </c>
      <c r="FR361" s="2"/>
      <c r="FS361" s="2">
        <f t="shared" si="4388"/>
        <v>0</v>
      </c>
      <c r="FT361" s="2">
        <f t="shared" si="4389"/>
        <v>0</v>
      </c>
      <c r="FU361" s="39">
        <f t="shared" si="4390"/>
        <v>0</v>
      </c>
      <c r="FV361" s="39">
        <f t="shared" ref="FV361:FW361" si="6040">FV$1*FC361/1000000</f>
        <v>0</v>
      </c>
      <c r="FW361" s="39">
        <f t="shared" si="6040"/>
        <v>0</v>
      </c>
      <c r="FX361" s="39">
        <f t="shared" ref="FX361:GC361" si="6041">FX$1*FE361</f>
        <v>0</v>
      </c>
      <c r="FY361" s="39">
        <f t="shared" si="6041"/>
        <v>0</v>
      </c>
      <c r="FZ361" s="39">
        <f t="shared" si="6041"/>
        <v>0</v>
      </c>
      <c r="GA361" s="39">
        <f t="shared" si="6041"/>
        <v>0</v>
      </c>
      <c r="GB361" s="39">
        <f t="shared" si="6041"/>
        <v>0</v>
      </c>
      <c r="GC361" s="39">
        <f t="shared" si="6041"/>
        <v>0</v>
      </c>
      <c r="GD361" s="39">
        <f t="shared" ref="GD361:GH361" si="6042">GD$1*FK361/1000000</f>
        <v>0</v>
      </c>
      <c r="GE361" s="39">
        <f t="shared" si="6042"/>
        <v>0</v>
      </c>
      <c r="GF361" s="39">
        <f t="shared" si="6042"/>
        <v>0</v>
      </c>
      <c r="GG361" s="39">
        <f t="shared" si="6042"/>
        <v>0</v>
      </c>
      <c r="GH361" s="39">
        <f t="shared" si="6042"/>
        <v>0</v>
      </c>
      <c r="GI361" s="39">
        <f t="shared" ref="GI361:GJ361" si="6043">GI$1*FP361</f>
        <v>0</v>
      </c>
      <c r="GJ361" s="39">
        <f t="shared" si="6043"/>
        <v>0</v>
      </c>
      <c r="GK361" s="2"/>
      <c r="GL361" s="39">
        <f t="shared" si="4395"/>
        <v>0</v>
      </c>
      <c r="GM361" s="39">
        <f t="shared" si="4396"/>
        <v>0</v>
      </c>
      <c r="GN361" s="2" t="s">
        <v>3</v>
      </c>
      <c r="GO361" s="4">
        <f t="shared" si="4397"/>
        <v>7.4399999999999995</v>
      </c>
      <c r="GP361" s="4">
        <f t="shared" si="4398"/>
        <v>0.67852150537634415</v>
      </c>
      <c r="GQ361" s="15">
        <f t="shared" si="4399"/>
        <v>50.481999999999999</v>
      </c>
      <c r="GR361" s="15">
        <f t="shared" si="4400"/>
        <v>1302.3652506953056</v>
      </c>
      <c r="GS361" s="15">
        <f t="shared" si="4401"/>
        <v>175.04909283539055</v>
      </c>
      <c r="GT361" s="2">
        <f t="shared" si="4402"/>
        <v>1.5119999999999998</v>
      </c>
      <c r="GU361" s="2">
        <f t="shared" si="4403"/>
        <v>47.946000000000005</v>
      </c>
      <c r="GV361" s="2">
        <f t="shared" si="4404"/>
        <v>1.024</v>
      </c>
      <c r="GW361" s="2">
        <f t="shared" si="4405"/>
        <v>0</v>
      </c>
      <c r="GX361" s="2"/>
      <c r="GY361" s="2"/>
      <c r="GZ361" s="2"/>
      <c r="HA361" s="2"/>
      <c r="HB361" s="2">
        <f t="shared" si="4406"/>
        <v>0</v>
      </c>
      <c r="HC361" s="2">
        <f t="shared" si="4407"/>
        <v>0</v>
      </c>
      <c r="HD361" s="2" t="s">
        <v>3</v>
      </c>
      <c r="HE361" s="2" t="s">
        <v>89</v>
      </c>
      <c r="HF361" s="2" t="s">
        <v>408</v>
      </c>
      <c r="HG361" s="2" t="s">
        <v>409</v>
      </c>
      <c r="HH361" s="2"/>
      <c r="HI361" s="2" t="s">
        <v>81</v>
      </c>
      <c r="HJ361" s="2" t="s">
        <v>3</v>
      </c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 t="s">
        <v>3</v>
      </c>
    </row>
    <row r="362" spans="1:268" ht="15.75" customHeight="1" x14ac:dyDescent="0.2">
      <c r="A362" s="16" t="s">
        <v>1188</v>
      </c>
      <c r="B362" s="2" t="s">
        <v>99</v>
      </c>
      <c r="C362" s="29">
        <f>46+(25+(25.67/60))/60</f>
        <v>46.42379722222222</v>
      </c>
      <c r="D362" s="29">
        <f>-81-(23+(15.04/60))/60</f>
        <v>-81.38751111111111</v>
      </c>
      <c r="E362" s="2"/>
      <c r="F362" s="2" t="s">
        <v>975</v>
      </c>
      <c r="G362" s="2"/>
      <c r="H362" s="2"/>
      <c r="I362" s="2">
        <v>0</v>
      </c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>
        <v>0.18</v>
      </c>
      <c r="AE362" s="2">
        <v>0.78</v>
      </c>
      <c r="AF362" s="2"/>
      <c r="AG362" s="2"/>
      <c r="AH362" s="2"/>
      <c r="AI362" s="2"/>
      <c r="AJ362" s="2"/>
      <c r="AK362" s="2"/>
      <c r="AL362" s="2">
        <v>2.3199999999999998</v>
      </c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>
        <v>0.04</v>
      </c>
      <c r="AZ362" s="4">
        <v>0.8</v>
      </c>
      <c r="BA362" s="2"/>
      <c r="BB362" s="2"/>
      <c r="BC362" s="2"/>
      <c r="BD362" s="2"/>
      <c r="BE362" s="2"/>
      <c r="BF362" s="2"/>
      <c r="BG362" s="2">
        <v>2.93</v>
      </c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>
        <v>0</v>
      </c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>
        <v>0</v>
      </c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 t="s">
        <v>81</v>
      </c>
      <c r="DK362" s="2"/>
      <c r="DL362" s="2">
        <f t="shared" si="4367"/>
        <v>2.4309090909090907</v>
      </c>
      <c r="DM362" s="2">
        <f t="shared" si="4368"/>
        <v>0</v>
      </c>
      <c r="DN362" s="2" t="s">
        <v>1182</v>
      </c>
      <c r="DO362" s="2" t="s">
        <v>3</v>
      </c>
      <c r="DP362" s="2">
        <f t="shared" si="4369"/>
        <v>1.7240000000000001E-3</v>
      </c>
      <c r="DQ362" s="2">
        <f t="shared" ref="DQ362:DR362" si="6044">K362*$I362+AF362*$AD362+BA362*$AY362</f>
        <v>0</v>
      </c>
      <c r="DR362" s="2">
        <f t="shared" si="6044"/>
        <v>0</v>
      </c>
      <c r="DS362" s="2">
        <f t="shared" ref="DS362:DX362" si="6045">(M362*$I362+AH362*$AD362+BC362*$AY362)/100</f>
        <v>0</v>
      </c>
      <c r="DT362" s="2">
        <f t="shared" si="6045"/>
        <v>0</v>
      </c>
      <c r="DU362" s="2">
        <f t="shared" si="6045"/>
        <v>0</v>
      </c>
      <c r="DV362" s="2">
        <f t="shared" si="6045"/>
        <v>0</v>
      </c>
      <c r="DW362" s="2">
        <f t="shared" si="6045"/>
        <v>5.3479999999999995E-3</v>
      </c>
      <c r="DX362" s="2">
        <f t="shared" si="6045"/>
        <v>0</v>
      </c>
      <c r="DY362" s="2">
        <f t="shared" ref="DY362:EC362" si="6046">S362*$I362+AN362*$AD362+BI362*$AY362</f>
        <v>0</v>
      </c>
      <c r="DZ362" s="2">
        <f t="shared" si="6046"/>
        <v>0</v>
      </c>
      <c r="EA362" s="2">
        <f t="shared" si="6046"/>
        <v>0</v>
      </c>
      <c r="EB362" s="2">
        <f t="shared" si="6046"/>
        <v>0</v>
      </c>
      <c r="EC362" s="2">
        <f t="shared" si="6046"/>
        <v>0</v>
      </c>
      <c r="ED362" s="2">
        <f t="shared" ref="ED362:EE362" si="6047">(X362*$I362+AS362*$AD362+BN362*$AY362)/100</f>
        <v>0</v>
      </c>
      <c r="EE362" s="2">
        <f t="shared" si="6047"/>
        <v>0</v>
      </c>
      <c r="EF362" s="2"/>
      <c r="EG362" s="2">
        <f t="shared" si="4374"/>
        <v>0</v>
      </c>
      <c r="EH362" s="2">
        <f t="shared" si="4375"/>
        <v>0</v>
      </c>
      <c r="EI362" s="39">
        <f t="shared" si="4376"/>
        <v>11.250161984</v>
      </c>
      <c r="EJ362" s="39">
        <f t="shared" ref="EJ362:EK362" si="6048">EJ$1*DQ362/1000000</f>
        <v>0</v>
      </c>
      <c r="EK362" s="39">
        <f t="shared" si="6048"/>
        <v>0</v>
      </c>
      <c r="EL362" s="39">
        <f t="shared" ref="EL362:EQ362" si="6049">EL$1*DS362</f>
        <v>0</v>
      </c>
      <c r="EM362" s="39">
        <f t="shared" si="6049"/>
        <v>0</v>
      </c>
      <c r="EN362" s="39">
        <f t="shared" si="6049"/>
        <v>0</v>
      </c>
      <c r="EO362" s="39">
        <f t="shared" si="6049"/>
        <v>0</v>
      </c>
      <c r="EP362" s="39">
        <f t="shared" si="6049"/>
        <v>70.13367199999999</v>
      </c>
      <c r="EQ362" s="39">
        <f t="shared" si="6049"/>
        <v>0</v>
      </c>
      <c r="ER362" s="39">
        <f t="shared" ref="ER362:EV362" si="6050">ER$1*DY362/1000000</f>
        <v>0</v>
      </c>
      <c r="ES362" s="39">
        <f t="shared" si="6050"/>
        <v>0</v>
      </c>
      <c r="ET362" s="39">
        <f t="shared" si="6050"/>
        <v>0</v>
      </c>
      <c r="EU362" s="39">
        <f t="shared" si="6050"/>
        <v>0</v>
      </c>
      <c r="EV362" s="39">
        <f t="shared" si="6050"/>
        <v>0</v>
      </c>
      <c r="EW362" s="39">
        <f t="shared" ref="EW362:EX362" si="6051">EW$1*ED362</f>
        <v>0</v>
      </c>
      <c r="EX362" s="39">
        <f t="shared" si="6051"/>
        <v>0</v>
      </c>
      <c r="EY362" s="2"/>
      <c r="EZ362" s="39">
        <f t="shared" si="4381"/>
        <v>0</v>
      </c>
      <c r="FA362" s="39">
        <f t="shared" si="4382"/>
        <v>0</v>
      </c>
      <c r="FB362" s="2">
        <f t="shared" si="4383"/>
        <v>0</v>
      </c>
      <c r="FC362" s="2">
        <f t="shared" ref="FC362:FD362" si="6052">BV362*$BT362+CQ362*$CO362</f>
        <v>0</v>
      </c>
      <c r="FD362" s="2">
        <f t="shared" si="6052"/>
        <v>0</v>
      </c>
      <c r="FE362" s="2">
        <f t="shared" ref="FE362:FJ362" si="6053">(BX362*$BT362+CS362*$CO362)/100</f>
        <v>0</v>
      </c>
      <c r="FF362" s="2">
        <f t="shared" si="6053"/>
        <v>0</v>
      </c>
      <c r="FG362" s="2">
        <f t="shared" si="6053"/>
        <v>0</v>
      </c>
      <c r="FH362" s="2">
        <f t="shared" si="6053"/>
        <v>0</v>
      </c>
      <c r="FI362" s="2">
        <f t="shared" si="6053"/>
        <v>0</v>
      </c>
      <c r="FJ362" s="2">
        <f t="shared" si="6053"/>
        <v>0</v>
      </c>
      <c r="FK362" s="2">
        <f t="shared" ref="FK362:FO362" si="6054">CD362*$BT362+CY362*$CO362</f>
        <v>0</v>
      </c>
      <c r="FL362" s="2">
        <f t="shared" si="6054"/>
        <v>0</v>
      </c>
      <c r="FM362" s="2">
        <f t="shared" si="6054"/>
        <v>0</v>
      </c>
      <c r="FN362" s="2">
        <f t="shared" si="6054"/>
        <v>0</v>
      </c>
      <c r="FO362" s="2">
        <f t="shared" si="6054"/>
        <v>0</v>
      </c>
      <c r="FP362" s="2">
        <f t="shared" ref="FP362:FQ362" si="6055">(CI362*$BT362+DD362*$CO362)/100</f>
        <v>0</v>
      </c>
      <c r="FQ362" s="2">
        <f t="shared" si="6055"/>
        <v>0</v>
      </c>
      <c r="FR362" s="2"/>
      <c r="FS362" s="2">
        <f t="shared" si="4388"/>
        <v>0</v>
      </c>
      <c r="FT362" s="2">
        <f t="shared" si="4389"/>
        <v>0</v>
      </c>
      <c r="FU362" s="39">
        <f t="shared" si="4390"/>
        <v>0</v>
      </c>
      <c r="FV362" s="39">
        <f t="shared" ref="FV362:FW362" si="6056">FV$1*FC362/1000000</f>
        <v>0</v>
      </c>
      <c r="FW362" s="39">
        <f t="shared" si="6056"/>
        <v>0</v>
      </c>
      <c r="FX362" s="39">
        <f t="shared" ref="FX362:GC362" si="6057">FX$1*FE362</f>
        <v>0</v>
      </c>
      <c r="FY362" s="39">
        <f t="shared" si="6057"/>
        <v>0</v>
      </c>
      <c r="FZ362" s="39">
        <f t="shared" si="6057"/>
        <v>0</v>
      </c>
      <c r="GA362" s="39">
        <f t="shared" si="6057"/>
        <v>0</v>
      </c>
      <c r="GB362" s="39">
        <f t="shared" si="6057"/>
        <v>0</v>
      </c>
      <c r="GC362" s="39">
        <f t="shared" si="6057"/>
        <v>0</v>
      </c>
      <c r="GD362" s="39">
        <f t="shared" ref="GD362:GH362" si="6058">GD$1*FK362/1000000</f>
        <v>0</v>
      </c>
      <c r="GE362" s="39">
        <f t="shared" si="6058"/>
        <v>0</v>
      </c>
      <c r="GF362" s="39">
        <f t="shared" si="6058"/>
        <v>0</v>
      </c>
      <c r="GG362" s="39">
        <f t="shared" si="6058"/>
        <v>0</v>
      </c>
      <c r="GH362" s="39">
        <f t="shared" si="6058"/>
        <v>0</v>
      </c>
      <c r="GI362" s="39">
        <f t="shared" ref="GI362:GJ362" si="6059">GI$1*FP362</f>
        <v>0</v>
      </c>
      <c r="GJ362" s="39">
        <f t="shared" si="6059"/>
        <v>0</v>
      </c>
      <c r="GK362" s="2"/>
      <c r="GL362" s="39">
        <f t="shared" si="4395"/>
        <v>0</v>
      </c>
      <c r="GM362" s="39">
        <f t="shared" si="4396"/>
        <v>0</v>
      </c>
      <c r="GN362" s="2" t="s">
        <v>3</v>
      </c>
      <c r="GO362" s="2">
        <f t="shared" si="4397"/>
        <v>0.22</v>
      </c>
      <c r="GP362" s="4">
        <f t="shared" si="4398"/>
        <v>2.4309090909090907</v>
      </c>
      <c r="GQ362" s="15">
        <f t="shared" si="4399"/>
        <v>5.3479999999999999</v>
      </c>
      <c r="GR362" s="15">
        <f t="shared" si="4400"/>
        <v>81.383833983999992</v>
      </c>
      <c r="GS362" s="15">
        <f t="shared" si="4401"/>
        <v>369.92651810909086</v>
      </c>
      <c r="GT362" s="2">
        <f t="shared" si="4402"/>
        <v>0</v>
      </c>
      <c r="GU362" s="2">
        <f t="shared" si="4403"/>
        <v>4.1759999999999993</v>
      </c>
      <c r="GV362" s="2">
        <f t="shared" si="4404"/>
        <v>1.1720000000000002</v>
      </c>
      <c r="GW362" s="2">
        <f t="shared" si="4405"/>
        <v>0</v>
      </c>
      <c r="GX362" s="2"/>
      <c r="GY362" s="2"/>
      <c r="GZ362" s="2"/>
      <c r="HA362" s="2"/>
      <c r="HB362" s="2">
        <f t="shared" si="4406"/>
        <v>0</v>
      </c>
      <c r="HC362" s="2">
        <f t="shared" si="4407"/>
        <v>0</v>
      </c>
      <c r="HD362" s="2" t="s">
        <v>3</v>
      </c>
      <c r="HE362" s="2" t="s">
        <v>89</v>
      </c>
      <c r="HF362" s="2" t="s">
        <v>408</v>
      </c>
      <c r="HG362" s="2" t="s">
        <v>409</v>
      </c>
      <c r="HH362" s="2"/>
      <c r="HI362" s="2" t="s">
        <v>81</v>
      </c>
      <c r="HJ362" s="2" t="s">
        <v>3</v>
      </c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 t="s">
        <v>3</v>
      </c>
    </row>
    <row r="363" spans="1:268" ht="15.75" customHeight="1" x14ac:dyDescent="0.2">
      <c r="A363" s="16" t="s">
        <v>1189</v>
      </c>
      <c r="B363" s="2" t="s">
        <v>99</v>
      </c>
      <c r="C363" s="29">
        <f>46+(44+(27.74/60))/60</f>
        <v>46.741038888888887</v>
      </c>
      <c r="D363" s="29">
        <f>-81-(7+(57.94/60))/60</f>
        <v>-81.132761111111108</v>
      </c>
      <c r="E363" s="2"/>
      <c r="F363" s="2" t="s">
        <v>1190</v>
      </c>
      <c r="G363" s="2"/>
      <c r="H363" s="2"/>
      <c r="I363" s="2">
        <v>0</v>
      </c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>
        <v>1.56</v>
      </c>
      <c r="AE363" s="2">
        <v>0.46</v>
      </c>
      <c r="AF363" s="2"/>
      <c r="AG363" s="2"/>
      <c r="AH363" s="2"/>
      <c r="AI363" s="2"/>
      <c r="AJ363" s="2"/>
      <c r="AK363" s="2"/>
      <c r="AL363" s="2">
        <v>0.94</v>
      </c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>
        <v>0.8</v>
      </c>
      <c r="AZ363" s="2">
        <v>0.56999999999999995</v>
      </c>
      <c r="BA363" s="2"/>
      <c r="BB363" s="2"/>
      <c r="BC363" s="2"/>
      <c r="BD363" s="2"/>
      <c r="BE363" s="2"/>
      <c r="BF363" s="2"/>
      <c r="BG363" s="2">
        <v>1.17</v>
      </c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>
        <v>0</v>
      </c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>
        <v>0</v>
      </c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 t="s">
        <v>81</v>
      </c>
      <c r="DK363" s="2"/>
      <c r="DL363" s="2">
        <f t="shared" si="4367"/>
        <v>1.0179661016949151</v>
      </c>
      <c r="DM363" s="2">
        <f t="shared" si="4368"/>
        <v>0</v>
      </c>
      <c r="DN363" s="2" t="s">
        <v>1191</v>
      </c>
      <c r="DO363" s="2" t="s">
        <v>3</v>
      </c>
      <c r="DP363" s="2">
        <f t="shared" si="4369"/>
        <v>1.1736E-2</v>
      </c>
      <c r="DQ363" s="2">
        <f t="shared" ref="DQ363:DR363" si="6060">K363*$I363+AF363*$AD363+BA363*$AY363</f>
        <v>0</v>
      </c>
      <c r="DR363" s="2">
        <f t="shared" si="6060"/>
        <v>0</v>
      </c>
      <c r="DS363" s="2">
        <f t="shared" ref="DS363:DX363" si="6061">(M363*$I363+AH363*$AD363+BC363*$AY363)/100</f>
        <v>0</v>
      </c>
      <c r="DT363" s="2">
        <f t="shared" si="6061"/>
        <v>0</v>
      </c>
      <c r="DU363" s="2">
        <f t="shared" si="6061"/>
        <v>0</v>
      </c>
      <c r="DV363" s="2">
        <f t="shared" si="6061"/>
        <v>0</v>
      </c>
      <c r="DW363" s="2">
        <f t="shared" si="6061"/>
        <v>2.4024E-2</v>
      </c>
      <c r="DX363" s="2">
        <f t="shared" si="6061"/>
        <v>0</v>
      </c>
      <c r="DY363" s="2">
        <f t="shared" ref="DY363:EC363" si="6062">S363*$I363+AN363*$AD363+BI363*$AY363</f>
        <v>0</v>
      </c>
      <c r="DZ363" s="2">
        <f t="shared" si="6062"/>
        <v>0</v>
      </c>
      <c r="EA363" s="2">
        <f t="shared" si="6062"/>
        <v>0</v>
      </c>
      <c r="EB363" s="2">
        <f t="shared" si="6062"/>
        <v>0</v>
      </c>
      <c r="EC363" s="2">
        <f t="shared" si="6062"/>
        <v>0</v>
      </c>
      <c r="ED363" s="2">
        <f t="shared" ref="ED363:EE363" si="6063">(X363*$I363+AS363*$AD363+BN363*$AY363)/100</f>
        <v>0</v>
      </c>
      <c r="EE363" s="2">
        <f t="shared" si="6063"/>
        <v>0</v>
      </c>
      <c r="EF363" s="2"/>
      <c r="EG363" s="2">
        <f t="shared" si="4374"/>
        <v>0</v>
      </c>
      <c r="EH363" s="2">
        <f t="shared" si="4375"/>
        <v>0</v>
      </c>
      <c r="EI363" s="39">
        <f t="shared" si="4376"/>
        <v>76.584629375999995</v>
      </c>
      <c r="EJ363" s="39">
        <f t="shared" ref="EJ363:EK363" si="6064">EJ$1*DQ363/1000000</f>
        <v>0</v>
      </c>
      <c r="EK363" s="39">
        <f t="shared" si="6064"/>
        <v>0</v>
      </c>
      <c r="EL363" s="39">
        <f t="shared" ref="EL363:EQ363" si="6065">EL$1*DS363</f>
        <v>0</v>
      </c>
      <c r="EM363" s="39">
        <f t="shared" si="6065"/>
        <v>0</v>
      </c>
      <c r="EN363" s="39">
        <f t="shared" si="6065"/>
        <v>0</v>
      </c>
      <c r="EO363" s="39">
        <f t="shared" si="6065"/>
        <v>0</v>
      </c>
      <c r="EP363" s="39">
        <f t="shared" si="6065"/>
        <v>315.05073600000003</v>
      </c>
      <c r="EQ363" s="39">
        <f t="shared" si="6065"/>
        <v>0</v>
      </c>
      <c r="ER363" s="39">
        <f t="shared" ref="ER363:EV363" si="6066">ER$1*DY363/1000000</f>
        <v>0</v>
      </c>
      <c r="ES363" s="39">
        <f t="shared" si="6066"/>
        <v>0</v>
      </c>
      <c r="ET363" s="39">
        <f t="shared" si="6066"/>
        <v>0</v>
      </c>
      <c r="EU363" s="39">
        <f t="shared" si="6066"/>
        <v>0</v>
      </c>
      <c r="EV363" s="39">
        <f t="shared" si="6066"/>
        <v>0</v>
      </c>
      <c r="EW363" s="39">
        <f t="shared" ref="EW363:EX363" si="6067">EW$1*ED363</f>
        <v>0</v>
      </c>
      <c r="EX363" s="39">
        <f t="shared" si="6067"/>
        <v>0</v>
      </c>
      <c r="EY363" s="2"/>
      <c r="EZ363" s="39">
        <f t="shared" si="4381"/>
        <v>0</v>
      </c>
      <c r="FA363" s="39">
        <f t="shared" si="4382"/>
        <v>0</v>
      </c>
      <c r="FB363" s="2">
        <f t="shared" si="4383"/>
        <v>0</v>
      </c>
      <c r="FC363" s="2">
        <f t="shared" ref="FC363:FD363" si="6068">BV363*$BT363+CQ363*$CO363</f>
        <v>0</v>
      </c>
      <c r="FD363" s="2">
        <f t="shared" si="6068"/>
        <v>0</v>
      </c>
      <c r="FE363" s="2">
        <f t="shared" ref="FE363:FJ363" si="6069">(BX363*$BT363+CS363*$CO363)/100</f>
        <v>0</v>
      </c>
      <c r="FF363" s="2">
        <f t="shared" si="6069"/>
        <v>0</v>
      </c>
      <c r="FG363" s="2">
        <f t="shared" si="6069"/>
        <v>0</v>
      </c>
      <c r="FH363" s="2">
        <f t="shared" si="6069"/>
        <v>0</v>
      </c>
      <c r="FI363" s="2">
        <f t="shared" si="6069"/>
        <v>0</v>
      </c>
      <c r="FJ363" s="2">
        <f t="shared" si="6069"/>
        <v>0</v>
      </c>
      <c r="FK363" s="2">
        <f t="shared" ref="FK363:FO363" si="6070">CD363*$BT363+CY363*$CO363</f>
        <v>0</v>
      </c>
      <c r="FL363" s="2">
        <f t="shared" si="6070"/>
        <v>0</v>
      </c>
      <c r="FM363" s="2">
        <f t="shared" si="6070"/>
        <v>0</v>
      </c>
      <c r="FN363" s="2">
        <f t="shared" si="6070"/>
        <v>0</v>
      </c>
      <c r="FO363" s="2">
        <f t="shared" si="6070"/>
        <v>0</v>
      </c>
      <c r="FP363" s="2">
        <f t="shared" ref="FP363:FQ363" si="6071">(CI363*$BT363+DD363*$CO363)/100</f>
        <v>0</v>
      </c>
      <c r="FQ363" s="2">
        <f t="shared" si="6071"/>
        <v>0</v>
      </c>
      <c r="FR363" s="2"/>
      <c r="FS363" s="2">
        <f t="shared" si="4388"/>
        <v>0</v>
      </c>
      <c r="FT363" s="2">
        <f t="shared" si="4389"/>
        <v>0</v>
      </c>
      <c r="FU363" s="39">
        <f t="shared" si="4390"/>
        <v>0</v>
      </c>
      <c r="FV363" s="39">
        <f t="shared" ref="FV363:FW363" si="6072">FV$1*FC363/1000000</f>
        <v>0</v>
      </c>
      <c r="FW363" s="39">
        <f t="shared" si="6072"/>
        <v>0</v>
      </c>
      <c r="FX363" s="39">
        <f t="shared" ref="FX363:GC363" si="6073">FX$1*FE363</f>
        <v>0</v>
      </c>
      <c r="FY363" s="39">
        <f t="shared" si="6073"/>
        <v>0</v>
      </c>
      <c r="FZ363" s="39">
        <f t="shared" si="6073"/>
        <v>0</v>
      </c>
      <c r="GA363" s="39">
        <f t="shared" si="6073"/>
        <v>0</v>
      </c>
      <c r="GB363" s="39">
        <f t="shared" si="6073"/>
        <v>0</v>
      </c>
      <c r="GC363" s="39">
        <f t="shared" si="6073"/>
        <v>0</v>
      </c>
      <c r="GD363" s="39">
        <f t="shared" ref="GD363:GH363" si="6074">GD$1*FK363/1000000</f>
        <v>0</v>
      </c>
      <c r="GE363" s="39">
        <f t="shared" si="6074"/>
        <v>0</v>
      </c>
      <c r="GF363" s="39">
        <f t="shared" si="6074"/>
        <v>0</v>
      </c>
      <c r="GG363" s="39">
        <f t="shared" si="6074"/>
        <v>0</v>
      </c>
      <c r="GH363" s="39">
        <f t="shared" si="6074"/>
        <v>0</v>
      </c>
      <c r="GI363" s="39">
        <f t="shared" ref="GI363:GJ363" si="6075">GI$1*FP363</f>
        <v>0</v>
      </c>
      <c r="GJ363" s="39">
        <f t="shared" si="6075"/>
        <v>0</v>
      </c>
      <c r="GK363" s="2"/>
      <c r="GL363" s="39">
        <f t="shared" si="4395"/>
        <v>0</v>
      </c>
      <c r="GM363" s="39">
        <f t="shared" si="4396"/>
        <v>0</v>
      </c>
      <c r="GN363" s="2" t="s">
        <v>3</v>
      </c>
      <c r="GO363" s="2">
        <f t="shared" si="4397"/>
        <v>2.3600000000000003</v>
      </c>
      <c r="GP363" s="4">
        <f t="shared" si="4398"/>
        <v>1.0179661016949151</v>
      </c>
      <c r="GQ363" s="15">
        <f t="shared" si="4399"/>
        <v>24.024000000000001</v>
      </c>
      <c r="GR363" s="15">
        <f t="shared" si="4400"/>
        <v>391.63536537600004</v>
      </c>
      <c r="GS363" s="15">
        <f t="shared" si="4401"/>
        <v>165.94718871864407</v>
      </c>
      <c r="GT363" s="2">
        <f t="shared" si="4402"/>
        <v>0</v>
      </c>
      <c r="GU363" s="2">
        <f t="shared" si="4403"/>
        <v>14.663999999999998</v>
      </c>
      <c r="GV363" s="2">
        <f t="shared" si="4404"/>
        <v>9.36</v>
      </c>
      <c r="GW363" s="2">
        <f t="shared" si="4405"/>
        <v>0</v>
      </c>
      <c r="GX363" s="2"/>
      <c r="GY363" s="2"/>
      <c r="GZ363" s="2"/>
      <c r="HA363" s="2"/>
      <c r="HB363" s="2">
        <f t="shared" si="4406"/>
        <v>0</v>
      </c>
      <c r="HC363" s="2">
        <f t="shared" si="4407"/>
        <v>0</v>
      </c>
      <c r="HD363" s="2" t="s">
        <v>3</v>
      </c>
      <c r="HE363" s="2" t="s">
        <v>89</v>
      </c>
      <c r="HF363" s="2" t="s">
        <v>408</v>
      </c>
      <c r="HG363" s="2" t="s">
        <v>409</v>
      </c>
      <c r="HH363" s="2"/>
      <c r="HI363" s="2" t="s">
        <v>81</v>
      </c>
      <c r="HJ363" s="2" t="s">
        <v>3</v>
      </c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 t="s">
        <v>3</v>
      </c>
    </row>
    <row r="364" spans="1:268" ht="15.75" customHeight="1" x14ac:dyDescent="0.2">
      <c r="A364" s="16" t="s">
        <v>1195</v>
      </c>
      <c r="B364" s="2" t="s">
        <v>120</v>
      </c>
      <c r="C364" s="29">
        <f>46+(25+(25.67/60))/60</f>
        <v>46.42379722222222</v>
      </c>
      <c r="D364" s="29">
        <f>-81-(23+(15.04/60))/60</f>
        <v>-81.38751111111111</v>
      </c>
      <c r="E364" s="2"/>
      <c r="F364" s="2" t="s">
        <v>1184</v>
      </c>
      <c r="G364" s="2"/>
      <c r="H364" s="2"/>
      <c r="I364" s="2">
        <v>0</v>
      </c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>
        <v>0</v>
      </c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>
        <v>14.2</v>
      </c>
      <c r="AZ364" s="2">
        <v>2.5</v>
      </c>
      <c r="BA364" s="15">
        <f>0.03*31.1/0.9072</f>
        <v>1.0284391534391535</v>
      </c>
      <c r="BB364" s="15">
        <f>0.4*31.1/0.9072</f>
        <v>13.71252204585538</v>
      </c>
      <c r="BC364" s="2"/>
      <c r="BD364" s="2"/>
      <c r="BE364" s="2"/>
      <c r="BF364" s="2"/>
      <c r="BG364" s="2">
        <v>2.5</v>
      </c>
      <c r="BH364" s="2">
        <v>0.05</v>
      </c>
      <c r="BI364" s="15">
        <f>0.08*31.1/0.9072</f>
        <v>2.742504409171076</v>
      </c>
      <c r="BJ364" s="15">
        <f>0.12*31.1/0.9072</f>
        <v>4.1137566137566139</v>
      </c>
      <c r="BK364" s="2"/>
      <c r="BL364" s="2"/>
      <c r="BM364" s="2"/>
      <c r="BN364" s="2"/>
      <c r="BO364" s="2"/>
      <c r="BP364" s="2"/>
      <c r="BQ364" s="2"/>
      <c r="BR364" s="2"/>
      <c r="BS364" s="2"/>
      <c r="BT364" s="2">
        <v>0</v>
      </c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>
        <v>0</v>
      </c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 t="s">
        <v>81</v>
      </c>
      <c r="DK364" s="2" t="s">
        <v>81</v>
      </c>
      <c r="DL364" s="2">
        <f t="shared" si="4367"/>
        <v>2.5</v>
      </c>
      <c r="DM364" s="2">
        <f t="shared" si="4368"/>
        <v>0.05</v>
      </c>
      <c r="DN364" s="2" t="s">
        <v>1196</v>
      </c>
      <c r="DO364" s="2" t="s">
        <v>3</v>
      </c>
      <c r="DP364" s="2">
        <f t="shared" si="4369"/>
        <v>0.35499999999999998</v>
      </c>
      <c r="DQ364" s="2">
        <f t="shared" ref="DQ364:DR364" si="6076">K364*$I364+AF364*$AD364+BA364*$AY364</f>
        <v>14.60383597883598</v>
      </c>
      <c r="DR364" s="2">
        <f t="shared" si="6076"/>
        <v>194.71781305114638</v>
      </c>
      <c r="DS364" s="2">
        <f t="shared" ref="DS364:DX364" si="6077">(M364*$I364+AH364*$AD364+BC364*$AY364)/100</f>
        <v>0</v>
      </c>
      <c r="DT364" s="2">
        <f t="shared" si="6077"/>
        <v>0</v>
      </c>
      <c r="DU364" s="2">
        <f t="shared" si="6077"/>
        <v>0</v>
      </c>
      <c r="DV364" s="2">
        <f t="shared" si="6077"/>
        <v>0</v>
      </c>
      <c r="DW364" s="2">
        <f t="shared" si="6077"/>
        <v>0.35499999999999998</v>
      </c>
      <c r="DX364" s="2">
        <f t="shared" si="6077"/>
        <v>7.0999999999999995E-3</v>
      </c>
      <c r="DY364" s="2">
        <f t="shared" ref="DY364:EC364" si="6078">S364*$I364+AN364*$AD364+BI364*$AY364</f>
        <v>38.943562610229279</v>
      </c>
      <c r="DZ364" s="2">
        <f t="shared" si="6078"/>
        <v>58.415343915343918</v>
      </c>
      <c r="EA364" s="2">
        <f t="shared" si="6078"/>
        <v>0</v>
      </c>
      <c r="EB364" s="2">
        <f t="shared" si="6078"/>
        <v>0</v>
      </c>
      <c r="EC364" s="2">
        <f t="shared" si="6078"/>
        <v>0</v>
      </c>
      <c r="ED364" s="2">
        <f t="shared" ref="ED364:EE364" si="6079">(X364*$I364+AS364*$AD364+BN364*$AY364)/100</f>
        <v>0</v>
      </c>
      <c r="EE364" s="2">
        <f t="shared" si="6079"/>
        <v>0</v>
      </c>
      <c r="EF364" s="2"/>
      <c r="EG364" s="2">
        <f t="shared" si="4374"/>
        <v>0</v>
      </c>
      <c r="EH364" s="2">
        <f t="shared" si="4375"/>
        <v>0</v>
      </c>
      <c r="EI364" s="39">
        <f t="shared" si="4376"/>
        <v>2316.5936799999999</v>
      </c>
      <c r="EJ364" s="39">
        <f t="shared" ref="EJ364:EK364" si="6080">EJ$1*DQ364/1000000</f>
        <v>597.30158730158723</v>
      </c>
      <c r="EK364" s="39">
        <f t="shared" si="6080"/>
        <v>98.611111111111086</v>
      </c>
      <c r="EL364" s="39">
        <f t="shared" ref="EL364:EQ364" si="6081">EL$1*DS364</f>
        <v>0</v>
      </c>
      <c r="EM364" s="39">
        <f t="shared" si="6081"/>
        <v>0</v>
      </c>
      <c r="EN364" s="39">
        <f t="shared" si="6081"/>
        <v>0</v>
      </c>
      <c r="EO364" s="39">
        <f t="shared" si="6081"/>
        <v>0</v>
      </c>
      <c r="EP364" s="39">
        <f t="shared" si="6081"/>
        <v>4655.4699999999993</v>
      </c>
      <c r="EQ364" s="39">
        <f t="shared" si="6081"/>
        <v>515.59862039999985</v>
      </c>
      <c r="ER364" s="39">
        <f t="shared" ref="ER364:EV364" si="6082">ER$1*DY364/1000000</f>
        <v>1105.2708994708994</v>
      </c>
      <c r="ES364" s="39">
        <f t="shared" si="6082"/>
        <v>1946.7335978835981</v>
      </c>
      <c r="ET364" s="39">
        <f t="shared" si="6082"/>
        <v>0</v>
      </c>
      <c r="EU364" s="39">
        <f t="shared" si="6082"/>
        <v>0</v>
      </c>
      <c r="EV364" s="39">
        <f t="shared" si="6082"/>
        <v>0</v>
      </c>
      <c r="EW364" s="39">
        <f t="shared" ref="EW364:EX364" si="6083">EW$1*ED364</f>
        <v>0</v>
      </c>
      <c r="EX364" s="39">
        <f t="shared" si="6083"/>
        <v>0</v>
      </c>
      <c r="EY364" s="2"/>
      <c r="EZ364" s="39">
        <f t="shared" si="4381"/>
        <v>0</v>
      </c>
      <c r="FA364" s="39">
        <f t="shared" si="4382"/>
        <v>0</v>
      </c>
      <c r="FB364" s="2">
        <f t="shared" si="4383"/>
        <v>0</v>
      </c>
      <c r="FC364" s="2">
        <f t="shared" ref="FC364:FD364" si="6084">BV364*$BT364+CQ364*$CO364</f>
        <v>0</v>
      </c>
      <c r="FD364" s="2">
        <f t="shared" si="6084"/>
        <v>0</v>
      </c>
      <c r="FE364" s="2">
        <f t="shared" ref="FE364:FJ364" si="6085">(BX364*$BT364+CS364*$CO364)/100</f>
        <v>0</v>
      </c>
      <c r="FF364" s="2">
        <f t="shared" si="6085"/>
        <v>0</v>
      </c>
      <c r="FG364" s="2">
        <f t="shared" si="6085"/>
        <v>0</v>
      </c>
      <c r="FH364" s="2">
        <f t="shared" si="6085"/>
        <v>0</v>
      </c>
      <c r="FI364" s="2">
        <f t="shared" si="6085"/>
        <v>0</v>
      </c>
      <c r="FJ364" s="2">
        <f t="shared" si="6085"/>
        <v>0</v>
      </c>
      <c r="FK364" s="2">
        <f t="shared" ref="FK364:FO364" si="6086">CD364*$BT364+CY364*$CO364</f>
        <v>0</v>
      </c>
      <c r="FL364" s="2">
        <f t="shared" si="6086"/>
        <v>0</v>
      </c>
      <c r="FM364" s="2">
        <f t="shared" si="6086"/>
        <v>0</v>
      </c>
      <c r="FN364" s="2">
        <f t="shared" si="6086"/>
        <v>0</v>
      </c>
      <c r="FO364" s="2">
        <f t="shared" si="6086"/>
        <v>0</v>
      </c>
      <c r="FP364" s="2">
        <f t="shared" ref="FP364:FQ364" si="6087">(CI364*$BT364+DD364*$CO364)/100</f>
        <v>0</v>
      </c>
      <c r="FQ364" s="2">
        <f t="shared" si="6087"/>
        <v>0</v>
      </c>
      <c r="FR364" s="2"/>
      <c r="FS364" s="2">
        <f t="shared" si="4388"/>
        <v>0</v>
      </c>
      <c r="FT364" s="2">
        <f t="shared" si="4389"/>
        <v>0</v>
      </c>
      <c r="FU364" s="39">
        <f t="shared" si="4390"/>
        <v>0</v>
      </c>
      <c r="FV364" s="39">
        <f t="shared" ref="FV364:FW364" si="6088">FV$1*FC364/1000000</f>
        <v>0</v>
      </c>
      <c r="FW364" s="39">
        <f t="shared" si="6088"/>
        <v>0</v>
      </c>
      <c r="FX364" s="39">
        <f t="shared" ref="FX364:GC364" si="6089">FX$1*FE364</f>
        <v>0</v>
      </c>
      <c r="FY364" s="39">
        <f t="shared" si="6089"/>
        <v>0</v>
      </c>
      <c r="FZ364" s="39">
        <f t="shared" si="6089"/>
        <v>0</v>
      </c>
      <c r="GA364" s="39">
        <f t="shared" si="6089"/>
        <v>0</v>
      </c>
      <c r="GB364" s="39">
        <f t="shared" si="6089"/>
        <v>0</v>
      </c>
      <c r="GC364" s="39">
        <f t="shared" si="6089"/>
        <v>0</v>
      </c>
      <c r="GD364" s="39">
        <f t="shared" ref="GD364:GH364" si="6090">GD$1*FK364/1000000</f>
        <v>0</v>
      </c>
      <c r="GE364" s="39">
        <f t="shared" si="6090"/>
        <v>0</v>
      </c>
      <c r="GF364" s="39">
        <f t="shared" si="6090"/>
        <v>0</v>
      </c>
      <c r="GG364" s="39">
        <f t="shared" si="6090"/>
        <v>0</v>
      </c>
      <c r="GH364" s="39">
        <f t="shared" si="6090"/>
        <v>0</v>
      </c>
      <c r="GI364" s="39">
        <f t="shared" ref="GI364:GJ364" si="6091">GI$1*FP364</f>
        <v>0</v>
      </c>
      <c r="GJ364" s="39">
        <f t="shared" si="6091"/>
        <v>0</v>
      </c>
      <c r="GK364" s="2"/>
      <c r="GL364" s="39">
        <f t="shared" si="4395"/>
        <v>0</v>
      </c>
      <c r="GM364" s="39">
        <f t="shared" si="4396"/>
        <v>0</v>
      </c>
      <c r="GN364" s="2" t="s">
        <v>3</v>
      </c>
      <c r="GO364" s="2">
        <f t="shared" si="4397"/>
        <v>14.2</v>
      </c>
      <c r="GP364" s="2">
        <f t="shared" si="4398"/>
        <v>2.5</v>
      </c>
      <c r="GQ364" s="15">
        <f t="shared" si="4399"/>
        <v>355</v>
      </c>
      <c r="GR364" s="15">
        <f t="shared" si="4400"/>
        <v>11235.579496167196</v>
      </c>
      <c r="GS364" s="15">
        <f t="shared" si="4401"/>
        <v>791.2379926878308</v>
      </c>
      <c r="GT364" s="2">
        <f t="shared" si="4402"/>
        <v>0</v>
      </c>
      <c r="GU364" s="2">
        <f t="shared" si="4403"/>
        <v>0</v>
      </c>
      <c r="GV364" s="2">
        <f t="shared" si="4404"/>
        <v>355</v>
      </c>
      <c r="GW364" s="2">
        <f t="shared" si="4405"/>
        <v>0</v>
      </c>
      <c r="GX364" s="2"/>
      <c r="GY364" s="2"/>
      <c r="GZ364" s="2"/>
      <c r="HA364" s="2"/>
      <c r="HB364" s="2">
        <f t="shared" si="4406"/>
        <v>0</v>
      </c>
      <c r="HC364" s="2">
        <f t="shared" si="4407"/>
        <v>0</v>
      </c>
      <c r="HD364" s="2" t="s">
        <v>3</v>
      </c>
      <c r="HE364" s="2" t="s">
        <v>89</v>
      </c>
      <c r="HF364" s="2" t="s">
        <v>408</v>
      </c>
      <c r="HG364" s="2" t="s">
        <v>409</v>
      </c>
      <c r="HH364" s="2"/>
      <c r="HI364" s="2" t="s">
        <v>81</v>
      </c>
      <c r="HJ364" s="2" t="s">
        <v>3</v>
      </c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 t="s">
        <v>3</v>
      </c>
    </row>
    <row r="365" spans="1:268" ht="15.75" customHeight="1" x14ac:dyDescent="0.2">
      <c r="A365" s="16" t="s">
        <v>1183</v>
      </c>
      <c r="B365" s="2" t="s">
        <v>99</v>
      </c>
      <c r="C365" s="29">
        <f>46+(34+(1.28/60))/60</f>
        <v>46.567022222222221</v>
      </c>
      <c r="D365" s="29">
        <f>-80-(53+(52.29/60))/60</f>
        <v>-80.897858333333332</v>
      </c>
      <c r="E365" s="2"/>
      <c r="F365" s="2" t="s">
        <v>1184</v>
      </c>
      <c r="G365" s="2"/>
      <c r="H365" s="2"/>
      <c r="I365" s="2">
        <v>0</v>
      </c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>
        <v>0.56000000000000005</v>
      </c>
      <c r="AE365" s="2">
        <v>0.49</v>
      </c>
      <c r="AF365" s="2"/>
      <c r="AG365" s="2"/>
      <c r="AH365" s="2"/>
      <c r="AI365" s="2"/>
      <c r="AJ365" s="2"/>
      <c r="AK365" s="2"/>
      <c r="AL365" s="2">
        <v>1.17</v>
      </c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>
        <v>1.59</v>
      </c>
      <c r="AZ365" s="2">
        <v>0.97</v>
      </c>
      <c r="BA365" s="2"/>
      <c r="BB365" s="2"/>
      <c r="BC365" s="2"/>
      <c r="BD365" s="2"/>
      <c r="BE365" s="2"/>
      <c r="BF365" s="2"/>
      <c r="BG365" s="2">
        <v>1.27</v>
      </c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>
        <v>0</v>
      </c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>
        <v>0</v>
      </c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 t="s">
        <v>81</v>
      </c>
      <c r="DK365" s="2"/>
      <c r="DL365" s="2">
        <f t="shared" si="4367"/>
        <v>1.2439534883720929</v>
      </c>
      <c r="DM365" s="2">
        <f t="shared" si="4368"/>
        <v>0</v>
      </c>
      <c r="DN365" s="2" t="s">
        <v>1185</v>
      </c>
      <c r="DO365" s="2" t="s">
        <v>3</v>
      </c>
      <c r="DP365" s="2">
        <f t="shared" si="4369"/>
        <v>1.8166999999999999E-2</v>
      </c>
      <c r="DQ365" s="2">
        <f t="shared" ref="DQ365:DR365" si="6092">K365*$I365+AF365*$AD365+BA365*$AY365</f>
        <v>0</v>
      </c>
      <c r="DR365" s="2">
        <f t="shared" si="6092"/>
        <v>0</v>
      </c>
      <c r="DS365" s="2">
        <f t="shared" ref="DS365:DX365" si="6093">(M365*$I365+AH365*$AD365+BC365*$AY365)/100</f>
        <v>0</v>
      </c>
      <c r="DT365" s="2">
        <f t="shared" si="6093"/>
        <v>0</v>
      </c>
      <c r="DU365" s="2">
        <f t="shared" si="6093"/>
        <v>0</v>
      </c>
      <c r="DV365" s="2">
        <f t="shared" si="6093"/>
        <v>0</v>
      </c>
      <c r="DW365" s="2">
        <f t="shared" si="6093"/>
        <v>2.6745000000000001E-2</v>
      </c>
      <c r="DX365" s="2">
        <f t="shared" si="6093"/>
        <v>0</v>
      </c>
      <c r="DY365" s="2">
        <f t="shared" ref="DY365:EC365" si="6094">S365*$I365+AN365*$AD365+BI365*$AY365</f>
        <v>0</v>
      </c>
      <c r="DZ365" s="2">
        <f t="shared" si="6094"/>
        <v>0</v>
      </c>
      <c r="EA365" s="2">
        <f t="shared" si="6094"/>
        <v>0</v>
      </c>
      <c r="EB365" s="2">
        <f t="shared" si="6094"/>
        <v>0</v>
      </c>
      <c r="EC365" s="2">
        <f t="shared" si="6094"/>
        <v>0</v>
      </c>
      <c r="ED365" s="2">
        <f t="shared" ref="ED365:EE365" si="6095">(X365*$I365+AS365*$AD365+BN365*$AY365)/100</f>
        <v>0</v>
      </c>
      <c r="EE365" s="2">
        <f t="shared" si="6095"/>
        <v>0</v>
      </c>
      <c r="EF365" s="2"/>
      <c r="EG365" s="2">
        <f t="shared" si="4374"/>
        <v>0</v>
      </c>
      <c r="EH365" s="2">
        <f t="shared" si="4375"/>
        <v>0</v>
      </c>
      <c r="EI365" s="39">
        <f t="shared" si="4376"/>
        <v>118.55086587199999</v>
      </c>
      <c r="EJ365" s="39">
        <f t="shared" ref="EJ365:EK365" si="6096">EJ$1*DQ365/1000000</f>
        <v>0</v>
      </c>
      <c r="EK365" s="39">
        <f t="shared" si="6096"/>
        <v>0</v>
      </c>
      <c r="EL365" s="39">
        <f t="shared" ref="EL365:EQ365" si="6097">EL$1*DS365</f>
        <v>0</v>
      </c>
      <c r="EM365" s="39">
        <f t="shared" si="6097"/>
        <v>0</v>
      </c>
      <c r="EN365" s="39">
        <f t="shared" si="6097"/>
        <v>0</v>
      </c>
      <c r="EO365" s="39">
        <f t="shared" si="6097"/>
        <v>0</v>
      </c>
      <c r="EP365" s="39">
        <f t="shared" si="6097"/>
        <v>350.73393000000004</v>
      </c>
      <c r="EQ365" s="39">
        <f t="shared" si="6097"/>
        <v>0</v>
      </c>
      <c r="ER365" s="39">
        <f t="shared" ref="ER365:EV365" si="6098">ER$1*DY365/1000000</f>
        <v>0</v>
      </c>
      <c r="ES365" s="39">
        <f t="shared" si="6098"/>
        <v>0</v>
      </c>
      <c r="ET365" s="39">
        <f t="shared" si="6098"/>
        <v>0</v>
      </c>
      <c r="EU365" s="39">
        <f t="shared" si="6098"/>
        <v>0</v>
      </c>
      <c r="EV365" s="39">
        <f t="shared" si="6098"/>
        <v>0</v>
      </c>
      <c r="EW365" s="39">
        <f t="shared" ref="EW365:EX365" si="6099">EW$1*ED365</f>
        <v>0</v>
      </c>
      <c r="EX365" s="39">
        <f t="shared" si="6099"/>
        <v>0</v>
      </c>
      <c r="EY365" s="2"/>
      <c r="EZ365" s="39">
        <f t="shared" si="4381"/>
        <v>0</v>
      </c>
      <c r="FA365" s="39">
        <f t="shared" si="4382"/>
        <v>0</v>
      </c>
      <c r="FB365" s="2">
        <f t="shared" si="4383"/>
        <v>0</v>
      </c>
      <c r="FC365" s="2">
        <f t="shared" ref="FC365:FD365" si="6100">BV365*$BT365+CQ365*$CO365</f>
        <v>0</v>
      </c>
      <c r="FD365" s="2">
        <f t="shared" si="6100"/>
        <v>0</v>
      </c>
      <c r="FE365" s="2">
        <f t="shared" ref="FE365:FJ365" si="6101">(BX365*$BT365+CS365*$CO365)/100</f>
        <v>0</v>
      </c>
      <c r="FF365" s="2">
        <f t="shared" si="6101"/>
        <v>0</v>
      </c>
      <c r="FG365" s="2">
        <f t="shared" si="6101"/>
        <v>0</v>
      </c>
      <c r="FH365" s="2">
        <f t="shared" si="6101"/>
        <v>0</v>
      </c>
      <c r="FI365" s="2">
        <f t="shared" si="6101"/>
        <v>0</v>
      </c>
      <c r="FJ365" s="2">
        <f t="shared" si="6101"/>
        <v>0</v>
      </c>
      <c r="FK365" s="2">
        <f t="shared" ref="FK365:FO365" si="6102">CD365*$BT365+CY365*$CO365</f>
        <v>0</v>
      </c>
      <c r="FL365" s="2">
        <f t="shared" si="6102"/>
        <v>0</v>
      </c>
      <c r="FM365" s="2">
        <f t="shared" si="6102"/>
        <v>0</v>
      </c>
      <c r="FN365" s="2">
        <f t="shared" si="6102"/>
        <v>0</v>
      </c>
      <c r="FO365" s="2">
        <f t="shared" si="6102"/>
        <v>0</v>
      </c>
      <c r="FP365" s="2">
        <f t="shared" ref="FP365:FQ365" si="6103">(CI365*$BT365+DD365*$CO365)/100</f>
        <v>0</v>
      </c>
      <c r="FQ365" s="2">
        <f t="shared" si="6103"/>
        <v>0</v>
      </c>
      <c r="FR365" s="2"/>
      <c r="FS365" s="2">
        <f t="shared" si="4388"/>
        <v>0</v>
      </c>
      <c r="FT365" s="2">
        <f t="shared" si="4389"/>
        <v>0</v>
      </c>
      <c r="FU365" s="39">
        <f t="shared" si="4390"/>
        <v>0</v>
      </c>
      <c r="FV365" s="39">
        <f t="shared" ref="FV365:FW365" si="6104">FV$1*FC365/1000000</f>
        <v>0</v>
      </c>
      <c r="FW365" s="39">
        <f t="shared" si="6104"/>
        <v>0</v>
      </c>
      <c r="FX365" s="39">
        <f t="shared" ref="FX365:GC365" si="6105">FX$1*FE365</f>
        <v>0</v>
      </c>
      <c r="FY365" s="39">
        <f t="shared" si="6105"/>
        <v>0</v>
      </c>
      <c r="FZ365" s="39">
        <f t="shared" si="6105"/>
        <v>0</v>
      </c>
      <c r="GA365" s="39">
        <f t="shared" si="6105"/>
        <v>0</v>
      </c>
      <c r="GB365" s="39">
        <f t="shared" si="6105"/>
        <v>0</v>
      </c>
      <c r="GC365" s="39">
        <f t="shared" si="6105"/>
        <v>0</v>
      </c>
      <c r="GD365" s="39">
        <f t="shared" ref="GD365:GH365" si="6106">GD$1*FK365/1000000</f>
        <v>0</v>
      </c>
      <c r="GE365" s="39">
        <f t="shared" si="6106"/>
        <v>0</v>
      </c>
      <c r="GF365" s="39">
        <f t="shared" si="6106"/>
        <v>0</v>
      </c>
      <c r="GG365" s="39">
        <f t="shared" si="6106"/>
        <v>0</v>
      </c>
      <c r="GH365" s="39">
        <f t="shared" si="6106"/>
        <v>0</v>
      </c>
      <c r="GI365" s="39">
        <f t="shared" ref="GI365:GJ365" si="6107">GI$1*FP365</f>
        <v>0</v>
      </c>
      <c r="GJ365" s="39">
        <f t="shared" si="6107"/>
        <v>0</v>
      </c>
      <c r="GK365" s="2"/>
      <c r="GL365" s="39">
        <f t="shared" si="4395"/>
        <v>0</v>
      </c>
      <c r="GM365" s="39">
        <f t="shared" si="4396"/>
        <v>0</v>
      </c>
      <c r="GN365" s="2" t="s">
        <v>3</v>
      </c>
      <c r="GO365" s="2">
        <f t="shared" si="4397"/>
        <v>2.1500000000000004</v>
      </c>
      <c r="GP365" s="4">
        <f t="shared" si="4398"/>
        <v>1.2439534883720929</v>
      </c>
      <c r="GQ365" s="15">
        <f t="shared" si="4399"/>
        <v>26.745000000000001</v>
      </c>
      <c r="GR365" s="15">
        <f t="shared" si="4400"/>
        <v>469.28479587200002</v>
      </c>
      <c r="GS365" s="15">
        <f t="shared" si="4401"/>
        <v>218.27199807999997</v>
      </c>
      <c r="GT365" s="2">
        <f t="shared" si="4402"/>
        <v>0</v>
      </c>
      <c r="GU365" s="2">
        <f t="shared" si="4403"/>
        <v>6.5520000000000005</v>
      </c>
      <c r="GV365" s="2">
        <f t="shared" si="4404"/>
        <v>20.193000000000005</v>
      </c>
      <c r="GW365" s="2">
        <f t="shared" si="4405"/>
        <v>0</v>
      </c>
      <c r="GX365" s="2"/>
      <c r="GY365" s="2"/>
      <c r="GZ365" s="2"/>
      <c r="HA365" s="2"/>
      <c r="HB365" s="2">
        <f t="shared" si="4406"/>
        <v>0</v>
      </c>
      <c r="HC365" s="2">
        <f t="shared" si="4407"/>
        <v>0</v>
      </c>
      <c r="HD365" s="2" t="s">
        <v>3</v>
      </c>
      <c r="HE365" s="2" t="s">
        <v>89</v>
      </c>
      <c r="HF365" s="2" t="s">
        <v>408</v>
      </c>
      <c r="HG365" s="2" t="s">
        <v>409</v>
      </c>
      <c r="HH365" s="2"/>
      <c r="HI365" s="2" t="s">
        <v>81</v>
      </c>
      <c r="HJ365" s="2" t="s">
        <v>3</v>
      </c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 t="s">
        <v>3</v>
      </c>
    </row>
    <row r="366" spans="1:268" ht="15.75" customHeight="1" x14ac:dyDescent="0.2">
      <c r="A366" s="16" t="s">
        <v>1197</v>
      </c>
      <c r="B366" s="2" t="s">
        <v>99</v>
      </c>
      <c r="C366" s="29">
        <f>46+(25+(4.7/60))/60</f>
        <v>46.417972222222225</v>
      </c>
      <c r="D366" s="29">
        <f>-81-(18+(46.3/60))/60</f>
        <v>-81.312861111111104</v>
      </c>
      <c r="E366" s="2"/>
      <c r="F366" s="2" t="s">
        <v>1198</v>
      </c>
      <c r="G366" s="2"/>
      <c r="H366" s="2"/>
      <c r="I366" s="2">
        <v>0</v>
      </c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>
        <v>8.5500000000000007</v>
      </c>
      <c r="AE366" s="2">
        <v>0.31</v>
      </c>
      <c r="AF366" s="2">
        <v>0.03</v>
      </c>
      <c r="AG366" s="2"/>
      <c r="AH366" s="2"/>
      <c r="AI366" s="2"/>
      <c r="AJ366" s="2"/>
      <c r="AK366" s="2"/>
      <c r="AL366" s="2">
        <v>0.45</v>
      </c>
      <c r="AM366" s="2">
        <v>0.01</v>
      </c>
      <c r="AN366" s="2">
        <v>7.0000000000000007E-2</v>
      </c>
      <c r="AO366" s="2">
        <v>0.02</v>
      </c>
      <c r="AP366" s="2"/>
      <c r="AQ366" s="2"/>
      <c r="AR366" s="2"/>
      <c r="AS366" s="2"/>
      <c r="AT366" s="2"/>
      <c r="AU366" s="2"/>
      <c r="AV366" s="2"/>
      <c r="AW366" s="2"/>
      <c r="AX366" s="2"/>
      <c r="AY366" s="15">
        <v>2</v>
      </c>
      <c r="AZ366" s="4">
        <v>0.3</v>
      </c>
      <c r="BA366" s="2">
        <v>0.04</v>
      </c>
      <c r="BB366" s="2"/>
      <c r="BC366" s="2"/>
      <c r="BD366" s="2"/>
      <c r="BE366" s="2"/>
      <c r="BF366" s="2"/>
      <c r="BG366" s="2">
        <v>0.38</v>
      </c>
      <c r="BH366" s="2">
        <v>0.01</v>
      </c>
      <c r="BI366" s="2">
        <v>0.09</v>
      </c>
      <c r="BJ366" s="2">
        <v>0.03</v>
      </c>
      <c r="BK366" s="2"/>
      <c r="BL366" s="2"/>
      <c r="BM366" s="2"/>
      <c r="BN366" s="2"/>
      <c r="BO366" s="2"/>
      <c r="BP366" s="2"/>
      <c r="BQ366" s="2"/>
      <c r="BR366" s="2"/>
      <c r="BS366" s="2"/>
      <c r="BT366" s="2">
        <v>0</v>
      </c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>
        <v>0</v>
      </c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 t="s">
        <v>81</v>
      </c>
      <c r="DK366" s="2" t="s">
        <v>81</v>
      </c>
      <c r="DL366" s="2">
        <f t="shared" si="4367"/>
        <v>0.43672985781990525</v>
      </c>
      <c r="DM366" s="2">
        <f t="shared" si="4368"/>
        <v>0.01</v>
      </c>
      <c r="DN366" s="2" t="s">
        <v>589</v>
      </c>
      <c r="DO366" s="2" t="s">
        <v>3</v>
      </c>
      <c r="DP366" s="2">
        <f t="shared" si="4369"/>
        <v>3.2504999999999999E-2</v>
      </c>
      <c r="DQ366" s="2">
        <f t="shared" ref="DQ366:DR366" si="6108">K366*$I366+AF366*$AD366+BA366*$AY366</f>
        <v>0.33650000000000002</v>
      </c>
      <c r="DR366" s="2">
        <f t="shared" si="6108"/>
        <v>0</v>
      </c>
      <c r="DS366" s="2">
        <f t="shared" ref="DS366:DX366" si="6109">(M366*$I366+AH366*$AD366+BC366*$AY366)/100</f>
        <v>0</v>
      </c>
      <c r="DT366" s="2">
        <f t="shared" si="6109"/>
        <v>0</v>
      </c>
      <c r="DU366" s="2">
        <f t="shared" si="6109"/>
        <v>0</v>
      </c>
      <c r="DV366" s="2">
        <f t="shared" si="6109"/>
        <v>0</v>
      </c>
      <c r="DW366" s="2">
        <f t="shared" si="6109"/>
        <v>4.6075000000000005E-2</v>
      </c>
      <c r="DX366" s="2">
        <f t="shared" si="6109"/>
        <v>1.0550000000000002E-3</v>
      </c>
      <c r="DY366" s="2">
        <f t="shared" ref="DY366:EC366" si="6110">S366*$I366+AN366*$AD366+BI366*$AY366</f>
        <v>0.77850000000000019</v>
      </c>
      <c r="DZ366" s="2">
        <f t="shared" si="6110"/>
        <v>0.23100000000000001</v>
      </c>
      <c r="EA366" s="2">
        <f t="shared" si="6110"/>
        <v>0</v>
      </c>
      <c r="EB366" s="2">
        <f t="shared" si="6110"/>
        <v>0</v>
      </c>
      <c r="EC366" s="2">
        <f t="shared" si="6110"/>
        <v>0</v>
      </c>
      <c r="ED366" s="2">
        <f t="shared" ref="ED366:EE366" si="6111">(X366*$I366+AS366*$AD366+BN366*$AY366)/100</f>
        <v>0</v>
      </c>
      <c r="EE366" s="2">
        <f t="shared" si="6111"/>
        <v>0</v>
      </c>
      <c r="EF366" s="2"/>
      <c r="EG366" s="2">
        <f t="shared" si="4374"/>
        <v>0</v>
      </c>
      <c r="EH366" s="2">
        <f t="shared" si="4375"/>
        <v>0</v>
      </c>
      <c r="EI366" s="39">
        <f t="shared" si="4376"/>
        <v>212.11514807999998</v>
      </c>
      <c r="EJ366" s="39">
        <f t="shared" ref="EJ366:EK366" si="6112">EJ$1*DQ366/1000000</f>
        <v>13.762958199356914</v>
      </c>
      <c r="EK366" s="39">
        <f t="shared" si="6112"/>
        <v>0</v>
      </c>
      <c r="EL366" s="39">
        <f t="shared" ref="EL366:EQ366" si="6113">EL$1*DS366</f>
        <v>0</v>
      </c>
      <c r="EM366" s="39">
        <f t="shared" si="6113"/>
        <v>0</v>
      </c>
      <c r="EN366" s="39">
        <f t="shared" si="6113"/>
        <v>0</v>
      </c>
      <c r="EO366" s="39">
        <f t="shared" si="6113"/>
        <v>0</v>
      </c>
      <c r="EP366" s="39">
        <f t="shared" si="6113"/>
        <v>604.22755000000006</v>
      </c>
      <c r="EQ366" s="39">
        <f t="shared" si="6113"/>
        <v>76.613597819999995</v>
      </c>
      <c r="ER366" s="39">
        <f t="shared" ref="ER366:EV366" si="6114">ER$1*DY366/1000000</f>
        <v>22.094881350482318</v>
      </c>
      <c r="ES366" s="39">
        <f t="shared" si="6114"/>
        <v>7.6982421221864961</v>
      </c>
      <c r="ET366" s="39">
        <f t="shared" si="6114"/>
        <v>0</v>
      </c>
      <c r="EU366" s="39">
        <f t="shared" si="6114"/>
        <v>0</v>
      </c>
      <c r="EV366" s="39">
        <f t="shared" si="6114"/>
        <v>0</v>
      </c>
      <c r="EW366" s="39">
        <f t="shared" ref="EW366:EX366" si="6115">EW$1*ED366</f>
        <v>0</v>
      </c>
      <c r="EX366" s="39">
        <f t="shared" si="6115"/>
        <v>0</v>
      </c>
      <c r="EY366" s="2"/>
      <c r="EZ366" s="39">
        <f t="shared" si="4381"/>
        <v>0</v>
      </c>
      <c r="FA366" s="39">
        <f t="shared" si="4382"/>
        <v>0</v>
      </c>
      <c r="FB366" s="2">
        <f t="shared" si="4383"/>
        <v>0</v>
      </c>
      <c r="FC366" s="2">
        <f t="shared" ref="FC366:FD366" si="6116">BV366*$BT366+CQ366*$CO366</f>
        <v>0</v>
      </c>
      <c r="FD366" s="2">
        <f t="shared" si="6116"/>
        <v>0</v>
      </c>
      <c r="FE366" s="2">
        <f t="shared" ref="FE366:FJ366" si="6117">(BX366*$BT366+CS366*$CO366)/100</f>
        <v>0</v>
      </c>
      <c r="FF366" s="2">
        <f t="shared" si="6117"/>
        <v>0</v>
      </c>
      <c r="FG366" s="2">
        <f t="shared" si="6117"/>
        <v>0</v>
      </c>
      <c r="FH366" s="2">
        <f t="shared" si="6117"/>
        <v>0</v>
      </c>
      <c r="FI366" s="2">
        <f t="shared" si="6117"/>
        <v>0</v>
      </c>
      <c r="FJ366" s="2">
        <f t="shared" si="6117"/>
        <v>0</v>
      </c>
      <c r="FK366" s="2">
        <f t="shared" ref="FK366:FO366" si="6118">CD366*$BT366+CY366*$CO366</f>
        <v>0</v>
      </c>
      <c r="FL366" s="2">
        <f t="shared" si="6118"/>
        <v>0</v>
      </c>
      <c r="FM366" s="2">
        <f t="shared" si="6118"/>
        <v>0</v>
      </c>
      <c r="FN366" s="2">
        <f t="shared" si="6118"/>
        <v>0</v>
      </c>
      <c r="FO366" s="2">
        <f t="shared" si="6118"/>
        <v>0</v>
      </c>
      <c r="FP366" s="2">
        <f t="shared" ref="FP366:FQ366" si="6119">(CI366*$BT366+DD366*$CO366)/100</f>
        <v>0</v>
      </c>
      <c r="FQ366" s="2">
        <f t="shared" si="6119"/>
        <v>0</v>
      </c>
      <c r="FR366" s="2"/>
      <c r="FS366" s="2">
        <f t="shared" si="4388"/>
        <v>0</v>
      </c>
      <c r="FT366" s="2">
        <f t="shared" si="4389"/>
        <v>0</v>
      </c>
      <c r="FU366" s="39">
        <f t="shared" si="4390"/>
        <v>0</v>
      </c>
      <c r="FV366" s="39">
        <f t="shared" ref="FV366:FW366" si="6120">FV$1*FC366/1000000</f>
        <v>0</v>
      </c>
      <c r="FW366" s="39">
        <f t="shared" si="6120"/>
        <v>0</v>
      </c>
      <c r="FX366" s="39">
        <f t="shared" ref="FX366:GC366" si="6121">FX$1*FE366</f>
        <v>0</v>
      </c>
      <c r="FY366" s="39">
        <f t="shared" si="6121"/>
        <v>0</v>
      </c>
      <c r="FZ366" s="39">
        <f t="shared" si="6121"/>
        <v>0</v>
      </c>
      <c r="GA366" s="39">
        <f t="shared" si="6121"/>
        <v>0</v>
      </c>
      <c r="GB366" s="39">
        <f t="shared" si="6121"/>
        <v>0</v>
      </c>
      <c r="GC366" s="39">
        <f t="shared" si="6121"/>
        <v>0</v>
      </c>
      <c r="GD366" s="39">
        <f t="shared" ref="GD366:GH366" si="6122">GD$1*FK366/1000000</f>
        <v>0</v>
      </c>
      <c r="GE366" s="39">
        <f t="shared" si="6122"/>
        <v>0</v>
      </c>
      <c r="GF366" s="39">
        <f t="shared" si="6122"/>
        <v>0</v>
      </c>
      <c r="GG366" s="39">
        <f t="shared" si="6122"/>
        <v>0</v>
      </c>
      <c r="GH366" s="39">
        <f t="shared" si="6122"/>
        <v>0</v>
      </c>
      <c r="GI366" s="39">
        <f t="shared" ref="GI366:GJ366" si="6123">GI$1*FP366</f>
        <v>0</v>
      </c>
      <c r="GJ366" s="39">
        <f t="shared" si="6123"/>
        <v>0</v>
      </c>
      <c r="GK366" s="2"/>
      <c r="GL366" s="39">
        <f t="shared" si="4395"/>
        <v>0</v>
      </c>
      <c r="GM366" s="39">
        <f t="shared" si="4396"/>
        <v>0</v>
      </c>
      <c r="GN366" s="2" t="s">
        <v>3</v>
      </c>
      <c r="GO366" s="15">
        <f t="shared" si="4397"/>
        <v>10.55</v>
      </c>
      <c r="GP366" s="4">
        <f t="shared" si="4398"/>
        <v>0.43672985781990525</v>
      </c>
      <c r="GQ366" s="15">
        <f t="shared" si="4399"/>
        <v>46.075000000000003</v>
      </c>
      <c r="GR366" s="15">
        <f t="shared" si="4400"/>
        <v>936.51237757202568</v>
      </c>
      <c r="GS366" s="15">
        <f t="shared" si="4401"/>
        <v>88.768945741424233</v>
      </c>
      <c r="GT366" s="2">
        <f t="shared" si="4402"/>
        <v>0</v>
      </c>
      <c r="GU366" s="2">
        <f t="shared" si="4403"/>
        <v>38.475000000000001</v>
      </c>
      <c r="GV366" s="2">
        <f t="shared" si="4404"/>
        <v>7.6</v>
      </c>
      <c r="GW366" s="2">
        <f t="shared" si="4405"/>
        <v>0</v>
      </c>
      <c r="GX366" s="2"/>
      <c r="GY366" s="2"/>
      <c r="GZ366" s="2"/>
      <c r="HA366" s="2"/>
      <c r="HB366" s="2">
        <f t="shared" si="4406"/>
        <v>0</v>
      </c>
      <c r="HC366" s="2">
        <f t="shared" si="4407"/>
        <v>0</v>
      </c>
      <c r="HD366" s="2" t="s">
        <v>3</v>
      </c>
      <c r="HE366" s="2" t="s">
        <v>89</v>
      </c>
      <c r="HF366" s="2" t="s">
        <v>408</v>
      </c>
      <c r="HG366" s="2" t="s">
        <v>409</v>
      </c>
      <c r="HH366" s="2"/>
      <c r="HI366" s="2" t="s">
        <v>81</v>
      </c>
      <c r="HJ366" s="2" t="s">
        <v>3</v>
      </c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 t="s">
        <v>3</v>
      </c>
    </row>
    <row r="367" spans="1:268" ht="15.75" customHeight="1" x14ac:dyDescent="0.2">
      <c r="A367" s="16" t="s">
        <v>406</v>
      </c>
      <c r="B367" s="2" t="s">
        <v>99</v>
      </c>
      <c r="C367" s="2"/>
      <c r="D367" s="2"/>
      <c r="E367" s="2"/>
      <c r="F367" s="2" t="s">
        <v>129</v>
      </c>
      <c r="G367" s="2"/>
      <c r="H367" s="2"/>
      <c r="I367" s="2">
        <v>0</v>
      </c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>
        <v>0.57499999999999996</v>
      </c>
      <c r="AE367" s="2">
        <v>0.56999999999999995</v>
      </c>
      <c r="AF367" s="2">
        <v>0.94</v>
      </c>
      <c r="AG367" s="2"/>
      <c r="AH367" s="2"/>
      <c r="AI367" s="2"/>
      <c r="AJ367" s="2"/>
      <c r="AK367" s="2"/>
      <c r="AL367" s="4">
        <v>0.4</v>
      </c>
      <c r="AM367" s="2">
        <v>0.01</v>
      </c>
      <c r="AN367" s="4">
        <v>3.1</v>
      </c>
      <c r="AO367" s="2">
        <v>2.23</v>
      </c>
      <c r="AP367" s="2"/>
      <c r="AQ367" s="2"/>
      <c r="AR367" s="2"/>
      <c r="AS367" s="2"/>
      <c r="AT367" s="2"/>
      <c r="AU367" s="2"/>
      <c r="AV367" s="2"/>
      <c r="AW367" s="2"/>
      <c r="AX367" s="2"/>
      <c r="AY367" s="2">
        <v>0.38200000000000001</v>
      </c>
      <c r="AZ367" s="2">
        <v>0.61</v>
      </c>
      <c r="BA367" s="2">
        <v>1.32</v>
      </c>
      <c r="BB367" s="2"/>
      <c r="BC367" s="2"/>
      <c r="BD367" s="2"/>
      <c r="BE367" s="2"/>
      <c r="BF367" s="2"/>
      <c r="BG367" s="2">
        <v>0.51</v>
      </c>
      <c r="BH367" s="2">
        <v>0.02</v>
      </c>
      <c r="BI367" s="2">
        <v>3.66</v>
      </c>
      <c r="BJ367" s="2">
        <v>4.49</v>
      </c>
      <c r="BK367" s="2"/>
      <c r="BL367" s="2"/>
      <c r="BM367" s="2"/>
      <c r="BN367" s="2"/>
      <c r="BO367" s="2"/>
      <c r="BP367" s="2"/>
      <c r="BQ367" s="2"/>
      <c r="BR367" s="2"/>
      <c r="BS367" s="2"/>
      <c r="BT367" s="2">
        <v>0</v>
      </c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>
        <v>0</v>
      </c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 t="s">
        <v>81</v>
      </c>
      <c r="DK367" s="2" t="s">
        <v>81</v>
      </c>
      <c r="DL367" s="2">
        <f t="shared" si="4367"/>
        <v>0.4439080459770115</v>
      </c>
      <c r="DM367" s="2">
        <f t="shared" si="4368"/>
        <v>1.3991640543364681E-2</v>
      </c>
      <c r="DN367" s="2" t="s">
        <v>407</v>
      </c>
      <c r="DO367" s="2" t="s">
        <v>3</v>
      </c>
      <c r="DP367" s="2">
        <f t="shared" si="4369"/>
        <v>5.6077000000000002E-3</v>
      </c>
      <c r="DQ367" s="2">
        <f t="shared" ref="DQ367:DR367" si="6124">K367*$I367+AF367*$AD367+BA367*$AY367</f>
        <v>1.04474</v>
      </c>
      <c r="DR367" s="2">
        <f t="shared" si="6124"/>
        <v>0</v>
      </c>
      <c r="DS367" s="2">
        <f t="shared" ref="DS367:DX367" si="6125">(M367*$I367+AH367*$AD367+BC367*$AY367)/100</f>
        <v>0</v>
      </c>
      <c r="DT367" s="2">
        <f t="shared" si="6125"/>
        <v>0</v>
      </c>
      <c r="DU367" s="2">
        <f t="shared" si="6125"/>
        <v>0</v>
      </c>
      <c r="DV367" s="2">
        <f t="shared" si="6125"/>
        <v>0</v>
      </c>
      <c r="DW367" s="2">
        <f t="shared" si="6125"/>
        <v>4.2481999999999997E-3</v>
      </c>
      <c r="DX367" s="2">
        <f t="shared" si="6125"/>
        <v>1.339E-4</v>
      </c>
      <c r="DY367" s="2">
        <f t="shared" ref="DY367:EC367" si="6126">S367*$I367+AN367*$AD367+BI367*$AY367</f>
        <v>3.1806200000000002</v>
      </c>
      <c r="DZ367" s="2">
        <f t="shared" si="6126"/>
        <v>2.99743</v>
      </c>
      <c r="EA367" s="2">
        <f t="shared" si="6126"/>
        <v>0</v>
      </c>
      <c r="EB367" s="2">
        <f t="shared" si="6126"/>
        <v>0</v>
      </c>
      <c r="EC367" s="2">
        <f t="shared" si="6126"/>
        <v>0</v>
      </c>
      <c r="ED367" s="2">
        <f t="shared" ref="ED367:EE367" si="6127">(X367*$I367+AS367*$AD367+BN367*$AY367)/100</f>
        <v>0</v>
      </c>
      <c r="EE367" s="2">
        <f t="shared" si="6127"/>
        <v>0</v>
      </c>
      <c r="EF367" s="2"/>
      <c r="EG367" s="2">
        <f t="shared" si="4374"/>
        <v>0</v>
      </c>
      <c r="EH367" s="2">
        <f t="shared" si="4375"/>
        <v>0</v>
      </c>
      <c r="EI367" s="39">
        <f t="shared" si="4376"/>
        <v>36.5936968432</v>
      </c>
      <c r="EJ367" s="39">
        <f t="shared" ref="EJ367:EK367" si="6128">EJ$1*DQ367/1000000</f>
        <v>42.730201929260446</v>
      </c>
      <c r="EK367" s="39">
        <f t="shared" si="6128"/>
        <v>0</v>
      </c>
      <c r="EL367" s="39">
        <f t="shared" ref="EL367:EQ367" si="6129">EL$1*DS367</f>
        <v>0</v>
      </c>
      <c r="EM367" s="39">
        <f t="shared" si="6129"/>
        <v>0</v>
      </c>
      <c r="EN367" s="39">
        <f t="shared" si="6129"/>
        <v>0</v>
      </c>
      <c r="EO367" s="39">
        <f t="shared" si="6129"/>
        <v>0</v>
      </c>
      <c r="EP367" s="39">
        <f t="shared" si="6129"/>
        <v>55.710894799999998</v>
      </c>
      <c r="EQ367" s="39">
        <f t="shared" si="6129"/>
        <v>9.7237542635999983</v>
      </c>
      <c r="ER367" s="39">
        <f t="shared" ref="ER367:EV367" si="6130">ER$1*DY367/1000000</f>
        <v>90.270290971061087</v>
      </c>
      <c r="ES367" s="39">
        <f t="shared" si="6130"/>
        <v>99.891523308681684</v>
      </c>
      <c r="ET367" s="39">
        <f t="shared" si="6130"/>
        <v>0</v>
      </c>
      <c r="EU367" s="39">
        <f t="shared" si="6130"/>
        <v>0</v>
      </c>
      <c r="EV367" s="39">
        <f t="shared" si="6130"/>
        <v>0</v>
      </c>
      <c r="EW367" s="39">
        <f t="shared" ref="EW367:EX367" si="6131">EW$1*ED367</f>
        <v>0</v>
      </c>
      <c r="EX367" s="39">
        <f t="shared" si="6131"/>
        <v>0</v>
      </c>
      <c r="EY367" s="2"/>
      <c r="EZ367" s="39">
        <f t="shared" si="4381"/>
        <v>0</v>
      </c>
      <c r="FA367" s="39">
        <f t="shared" si="4382"/>
        <v>0</v>
      </c>
      <c r="FB367" s="2">
        <f t="shared" si="4383"/>
        <v>0</v>
      </c>
      <c r="FC367" s="2">
        <f t="shared" ref="FC367:FD367" si="6132">BV367*$BT367+CQ367*$CO367</f>
        <v>0</v>
      </c>
      <c r="FD367" s="2">
        <f t="shared" si="6132"/>
        <v>0</v>
      </c>
      <c r="FE367" s="2">
        <f t="shared" ref="FE367:FJ367" si="6133">(BX367*$BT367+CS367*$CO367)/100</f>
        <v>0</v>
      </c>
      <c r="FF367" s="2">
        <f t="shared" si="6133"/>
        <v>0</v>
      </c>
      <c r="FG367" s="2">
        <f t="shared" si="6133"/>
        <v>0</v>
      </c>
      <c r="FH367" s="2">
        <f t="shared" si="6133"/>
        <v>0</v>
      </c>
      <c r="FI367" s="2">
        <f t="shared" si="6133"/>
        <v>0</v>
      </c>
      <c r="FJ367" s="2">
        <f t="shared" si="6133"/>
        <v>0</v>
      </c>
      <c r="FK367" s="2">
        <f t="shared" ref="FK367:FO367" si="6134">CD367*$BT367+CY367*$CO367</f>
        <v>0</v>
      </c>
      <c r="FL367" s="2">
        <f t="shared" si="6134"/>
        <v>0</v>
      </c>
      <c r="FM367" s="2">
        <f t="shared" si="6134"/>
        <v>0</v>
      </c>
      <c r="FN367" s="2">
        <f t="shared" si="6134"/>
        <v>0</v>
      </c>
      <c r="FO367" s="2">
        <f t="shared" si="6134"/>
        <v>0</v>
      </c>
      <c r="FP367" s="2">
        <f t="shared" ref="FP367:FQ367" si="6135">(CI367*$BT367+DD367*$CO367)/100</f>
        <v>0</v>
      </c>
      <c r="FQ367" s="2">
        <f t="shared" si="6135"/>
        <v>0</v>
      </c>
      <c r="FR367" s="2"/>
      <c r="FS367" s="2">
        <f t="shared" si="4388"/>
        <v>0</v>
      </c>
      <c r="FT367" s="2">
        <f t="shared" si="4389"/>
        <v>0</v>
      </c>
      <c r="FU367" s="39">
        <f t="shared" si="4390"/>
        <v>0</v>
      </c>
      <c r="FV367" s="39">
        <f t="shared" ref="FV367:FW367" si="6136">FV$1*FC367/1000000</f>
        <v>0</v>
      </c>
      <c r="FW367" s="39">
        <f t="shared" si="6136"/>
        <v>0</v>
      </c>
      <c r="FX367" s="39">
        <f t="shared" ref="FX367:GC367" si="6137">FX$1*FE367</f>
        <v>0</v>
      </c>
      <c r="FY367" s="39">
        <f t="shared" si="6137"/>
        <v>0</v>
      </c>
      <c r="FZ367" s="39">
        <f t="shared" si="6137"/>
        <v>0</v>
      </c>
      <c r="GA367" s="39">
        <f t="shared" si="6137"/>
        <v>0</v>
      </c>
      <c r="GB367" s="39">
        <f t="shared" si="6137"/>
        <v>0</v>
      </c>
      <c r="GC367" s="39">
        <f t="shared" si="6137"/>
        <v>0</v>
      </c>
      <c r="GD367" s="39">
        <f t="shared" ref="GD367:GH367" si="6138">GD$1*FK367/1000000</f>
        <v>0</v>
      </c>
      <c r="GE367" s="39">
        <f t="shared" si="6138"/>
        <v>0</v>
      </c>
      <c r="GF367" s="39">
        <f t="shared" si="6138"/>
        <v>0</v>
      </c>
      <c r="GG367" s="39">
        <f t="shared" si="6138"/>
        <v>0</v>
      </c>
      <c r="GH367" s="39">
        <f t="shared" si="6138"/>
        <v>0</v>
      </c>
      <c r="GI367" s="39">
        <f t="shared" ref="GI367:GJ367" si="6139">GI$1*FP367</f>
        <v>0</v>
      </c>
      <c r="GJ367" s="39">
        <f t="shared" si="6139"/>
        <v>0</v>
      </c>
      <c r="GK367" s="2"/>
      <c r="GL367" s="39">
        <f t="shared" si="4395"/>
        <v>0</v>
      </c>
      <c r="GM367" s="39">
        <f t="shared" si="4396"/>
        <v>0</v>
      </c>
      <c r="GN367" s="2" t="s">
        <v>3</v>
      </c>
      <c r="GO367" s="2">
        <f t="shared" si="4397"/>
        <v>0.95699999999999996</v>
      </c>
      <c r="GP367" s="4">
        <f t="shared" si="4398"/>
        <v>0.4439080459770115</v>
      </c>
      <c r="GQ367" s="15">
        <f t="shared" si="4399"/>
        <v>4.2481999999999998</v>
      </c>
      <c r="GR367" s="15">
        <f t="shared" si="4400"/>
        <v>334.92036211580319</v>
      </c>
      <c r="GS367" s="15">
        <f t="shared" si="4401"/>
        <v>349.96903042403676</v>
      </c>
      <c r="GT367" s="2">
        <f t="shared" si="4402"/>
        <v>0</v>
      </c>
      <c r="GU367" s="2">
        <f t="shared" si="4403"/>
        <v>2.2999999999999998</v>
      </c>
      <c r="GV367" s="2">
        <f t="shared" si="4404"/>
        <v>1.9481999999999999</v>
      </c>
      <c r="GW367" s="2">
        <f t="shared" si="4405"/>
        <v>0</v>
      </c>
      <c r="GX367" s="2"/>
      <c r="GY367" s="2"/>
      <c r="GZ367" s="2"/>
      <c r="HA367" s="2"/>
      <c r="HB367" s="2">
        <f t="shared" si="4406"/>
        <v>0</v>
      </c>
      <c r="HC367" s="2">
        <f t="shared" si="4407"/>
        <v>0</v>
      </c>
      <c r="HD367" s="2" t="s">
        <v>3</v>
      </c>
      <c r="HE367" s="2" t="s">
        <v>89</v>
      </c>
      <c r="HF367" s="2" t="s">
        <v>408</v>
      </c>
      <c r="HG367" s="2" t="s">
        <v>409</v>
      </c>
      <c r="HH367" s="2"/>
      <c r="HI367" s="2" t="s">
        <v>81</v>
      </c>
      <c r="HJ367" s="2" t="s">
        <v>3</v>
      </c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 t="s">
        <v>3</v>
      </c>
    </row>
    <row r="368" spans="1:268" ht="15.75" customHeight="1" x14ac:dyDescent="0.2">
      <c r="A368" s="16" t="s">
        <v>911</v>
      </c>
      <c r="B368" s="2" t="s">
        <v>99</v>
      </c>
      <c r="C368" s="2"/>
      <c r="D368" s="2"/>
      <c r="E368" s="2"/>
      <c r="F368" s="2" t="s">
        <v>912</v>
      </c>
      <c r="G368" s="2"/>
      <c r="H368" s="2"/>
      <c r="I368" s="2">
        <v>0</v>
      </c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>
        <v>14.082000000000001</v>
      </c>
      <c r="AE368" s="2">
        <v>0.08</v>
      </c>
      <c r="AF368" s="2"/>
      <c r="AG368" s="2"/>
      <c r="AH368" s="2"/>
      <c r="AI368" s="2"/>
      <c r="AJ368" s="2"/>
      <c r="AK368" s="2"/>
      <c r="AL368" s="2">
        <v>0.35</v>
      </c>
      <c r="AM368" s="2">
        <v>1.6E-2</v>
      </c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>
        <v>43.973999999999997</v>
      </c>
      <c r="AZ368" s="2">
        <v>0.08</v>
      </c>
      <c r="BA368" s="2"/>
      <c r="BB368" s="2"/>
      <c r="BC368" s="2"/>
      <c r="BD368" s="2"/>
      <c r="BE368" s="2"/>
      <c r="BF368" s="2"/>
      <c r="BG368" s="2">
        <v>0.31</v>
      </c>
      <c r="BH368" s="2">
        <v>1.4999999999999999E-2</v>
      </c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>
        <v>0</v>
      </c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>
        <v>0</v>
      </c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 t="s">
        <v>81</v>
      </c>
      <c r="DK368" s="2" t="s">
        <v>81</v>
      </c>
      <c r="DL368" s="2">
        <f t="shared" si="4367"/>
        <v>0.31970235634559735</v>
      </c>
      <c r="DM368" s="2">
        <f t="shared" si="4368"/>
        <v>1.5242558908639934E-2</v>
      </c>
      <c r="DN368" s="2" t="s">
        <v>913</v>
      </c>
      <c r="DO368" s="2" t="s">
        <v>3</v>
      </c>
      <c r="DP368" s="2">
        <f t="shared" si="4369"/>
        <v>4.6444799999999994E-2</v>
      </c>
      <c r="DQ368" s="2">
        <f t="shared" ref="DQ368:DR368" si="6140">K368*$I368+AF368*$AD368+BA368*$AY368</f>
        <v>0</v>
      </c>
      <c r="DR368" s="2">
        <f t="shared" si="6140"/>
        <v>0</v>
      </c>
      <c r="DS368" s="2">
        <f t="shared" ref="DS368:DX368" si="6141">(M368*$I368+AH368*$AD368+BC368*$AY368)/100</f>
        <v>0</v>
      </c>
      <c r="DT368" s="2">
        <f t="shared" si="6141"/>
        <v>0</v>
      </c>
      <c r="DU368" s="2">
        <f t="shared" si="6141"/>
        <v>0</v>
      </c>
      <c r="DV368" s="2">
        <f t="shared" si="6141"/>
        <v>0</v>
      </c>
      <c r="DW368" s="2">
        <f t="shared" si="6141"/>
        <v>0.1856064</v>
      </c>
      <c r="DX368" s="2">
        <f t="shared" si="6141"/>
        <v>8.8492199999999997E-3</v>
      </c>
      <c r="DY368" s="2">
        <f t="shared" ref="DY368:EC368" si="6142">S368*$I368+AN368*$AD368+BI368*$AY368</f>
        <v>0</v>
      </c>
      <c r="DZ368" s="2">
        <f t="shared" si="6142"/>
        <v>0</v>
      </c>
      <c r="EA368" s="2">
        <f t="shared" si="6142"/>
        <v>0</v>
      </c>
      <c r="EB368" s="2">
        <f t="shared" si="6142"/>
        <v>0</v>
      </c>
      <c r="EC368" s="2">
        <f t="shared" si="6142"/>
        <v>0</v>
      </c>
      <c r="ED368" s="2">
        <f t="shared" ref="ED368:EE368" si="6143">(X368*$I368+AS368*$AD368+BN368*$AY368)/100</f>
        <v>0</v>
      </c>
      <c r="EE368" s="2">
        <f t="shared" si="6143"/>
        <v>0</v>
      </c>
      <c r="EF368" s="2"/>
      <c r="EG368" s="2">
        <f t="shared" si="4374"/>
        <v>0</v>
      </c>
      <c r="EH368" s="2">
        <f t="shared" si="4375"/>
        <v>0</v>
      </c>
      <c r="EI368" s="39">
        <f t="shared" si="4376"/>
        <v>303.08092999679997</v>
      </c>
      <c r="EJ368" s="39">
        <f t="shared" ref="EJ368:EK368" si="6144">EJ$1*DQ368/1000000</f>
        <v>0</v>
      </c>
      <c r="EK368" s="39">
        <f t="shared" si="6144"/>
        <v>0</v>
      </c>
      <c r="EL368" s="39">
        <f t="shared" ref="EL368:EQ368" si="6145">EL$1*DS368</f>
        <v>0</v>
      </c>
      <c r="EM368" s="39">
        <f t="shared" si="6145"/>
        <v>0</v>
      </c>
      <c r="EN368" s="39">
        <f t="shared" si="6145"/>
        <v>0</v>
      </c>
      <c r="EO368" s="39">
        <f t="shared" si="6145"/>
        <v>0</v>
      </c>
      <c r="EP368" s="39">
        <f t="shared" si="6145"/>
        <v>2434.0423295999999</v>
      </c>
      <c r="EQ368" s="39">
        <f t="shared" si="6145"/>
        <v>642.62614417127986</v>
      </c>
      <c r="ER368" s="39">
        <f t="shared" ref="ER368:EV368" si="6146">ER$1*DY368/1000000</f>
        <v>0</v>
      </c>
      <c r="ES368" s="39">
        <f t="shared" si="6146"/>
        <v>0</v>
      </c>
      <c r="ET368" s="39">
        <f t="shared" si="6146"/>
        <v>0</v>
      </c>
      <c r="EU368" s="39">
        <f t="shared" si="6146"/>
        <v>0</v>
      </c>
      <c r="EV368" s="39">
        <f t="shared" si="6146"/>
        <v>0</v>
      </c>
      <c r="EW368" s="39">
        <f t="shared" ref="EW368:EX368" si="6147">EW$1*ED368</f>
        <v>0</v>
      </c>
      <c r="EX368" s="39">
        <f t="shared" si="6147"/>
        <v>0</v>
      </c>
      <c r="EY368" s="2"/>
      <c r="EZ368" s="39">
        <f t="shared" si="4381"/>
        <v>0</v>
      </c>
      <c r="FA368" s="39">
        <f t="shared" si="4382"/>
        <v>0</v>
      </c>
      <c r="FB368" s="2">
        <f t="shared" si="4383"/>
        <v>0</v>
      </c>
      <c r="FC368" s="2">
        <f t="shared" ref="FC368:FD368" si="6148">BV368*$BT368+CQ368*$CO368</f>
        <v>0</v>
      </c>
      <c r="FD368" s="2">
        <f t="shared" si="6148"/>
        <v>0</v>
      </c>
      <c r="FE368" s="2">
        <f t="shared" ref="FE368:FJ368" si="6149">(BX368*$BT368+CS368*$CO368)/100</f>
        <v>0</v>
      </c>
      <c r="FF368" s="2">
        <f t="shared" si="6149"/>
        <v>0</v>
      </c>
      <c r="FG368" s="2">
        <f t="shared" si="6149"/>
        <v>0</v>
      </c>
      <c r="FH368" s="2">
        <f t="shared" si="6149"/>
        <v>0</v>
      </c>
      <c r="FI368" s="2">
        <f t="shared" si="6149"/>
        <v>0</v>
      </c>
      <c r="FJ368" s="2">
        <f t="shared" si="6149"/>
        <v>0</v>
      </c>
      <c r="FK368" s="2">
        <f t="shared" ref="FK368:FO368" si="6150">CD368*$BT368+CY368*$CO368</f>
        <v>0</v>
      </c>
      <c r="FL368" s="2">
        <f t="shared" si="6150"/>
        <v>0</v>
      </c>
      <c r="FM368" s="2">
        <f t="shared" si="6150"/>
        <v>0</v>
      </c>
      <c r="FN368" s="2">
        <f t="shared" si="6150"/>
        <v>0</v>
      </c>
      <c r="FO368" s="2">
        <f t="shared" si="6150"/>
        <v>0</v>
      </c>
      <c r="FP368" s="2">
        <f t="shared" ref="FP368:FQ368" si="6151">(CI368*$BT368+DD368*$CO368)/100</f>
        <v>0</v>
      </c>
      <c r="FQ368" s="2">
        <f t="shared" si="6151"/>
        <v>0</v>
      </c>
      <c r="FR368" s="2"/>
      <c r="FS368" s="2">
        <f t="shared" si="4388"/>
        <v>0</v>
      </c>
      <c r="FT368" s="2">
        <f t="shared" si="4389"/>
        <v>0</v>
      </c>
      <c r="FU368" s="39">
        <f t="shared" si="4390"/>
        <v>0</v>
      </c>
      <c r="FV368" s="39">
        <f t="shared" ref="FV368:FW368" si="6152">FV$1*FC368/1000000</f>
        <v>0</v>
      </c>
      <c r="FW368" s="39">
        <f t="shared" si="6152"/>
        <v>0</v>
      </c>
      <c r="FX368" s="39">
        <f t="shared" ref="FX368:GC368" si="6153">FX$1*FE368</f>
        <v>0</v>
      </c>
      <c r="FY368" s="39">
        <f t="shared" si="6153"/>
        <v>0</v>
      </c>
      <c r="FZ368" s="39">
        <f t="shared" si="6153"/>
        <v>0</v>
      </c>
      <c r="GA368" s="39">
        <f t="shared" si="6153"/>
        <v>0</v>
      </c>
      <c r="GB368" s="39">
        <f t="shared" si="6153"/>
        <v>0</v>
      </c>
      <c r="GC368" s="39">
        <f t="shared" si="6153"/>
        <v>0</v>
      </c>
      <c r="GD368" s="39">
        <f t="shared" ref="GD368:GH368" si="6154">GD$1*FK368/1000000</f>
        <v>0</v>
      </c>
      <c r="GE368" s="39">
        <f t="shared" si="6154"/>
        <v>0</v>
      </c>
      <c r="GF368" s="39">
        <f t="shared" si="6154"/>
        <v>0</v>
      </c>
      <c r="GG368" s="39">
        <f t="shared" si="6154"/>
        <v>0</v>
      </c>
      <c r="GH368" s="39">
        <f t="shared" si="6154"/>
        <v>0</v>
      </c>
      <c r="GI368" s="39">
        <f t="shared" ref="GI368:GJ368" si="6155">GI$1*FP368</f>
        <v>0</v>
      </c>
      <c r="GJ368" s="39">
        <f t="shared" si="6155"/>
        <v>0</v>
      </c>
      <c r="GK368" s="2"/>
      <c r="GL368" s="39">
        <f t="shared" si="4395"/>
        <v>0</v>
      </c>
      <c r="GM368" s="39">
        <f t="shared" si="4396"/>
        <v>0</v>
      </c>
      <c r="GN368" s="2" t="s">
        <v>3</v>
      </c>
      <c r="GO368" s="4">
        <f t="shared" si="4397"/>
        <v>58.055999999999997</v>
      </c>
      <c r="GP368" s="4">
        <f t="shared" si="4398"/>
        <v>0.31970235634559735</v>
      </c>
      <c r="GQ368" s="15">
        <f t="shared" si="4399"/>
        <v>185.60640000000001</v>
      </c>
      <c r="GR368" s="15">
        <f t="shared" si="4400"/>
        <v>3379.7494037680799</v>
      </c>
      <c r="GS368" s="15">
        <f t="shared" si="4401"/>
        <v>58.215333536035551</v>
      </c>
      <c r="GT368" s="2">
        <f t="shared" si="4402"/>
        <v>0</v>
      </c>
      <c r="GU368" s="2">
        <f t="shared" si="4403"/>
        <v>49.286999999999999</v>
      </c>
      <c r="GV368" s="2">
        <f t="shared" si="4404"/>
        <v>136.31939999999997</v>
      </c>
      <c r="GW368" s="2">
        <f t="shared" si="4405"/>
        <v>0</v>
      </c>
      <c r="GX368" s="2"/>
      <c r="GY368" s="2"/>
      <c r="GZ368" s="2"/>
      <c r="HA368" s="2"/>
      <c r="HB368" s="2">
        <f t="shared" si="4406"/>
        <v>0</v>
      </c>
      <c r="HC368" s="2">
        <f t="shared" si="4407"/>
        <v>0</v>
      </c>
      <c r="HD368" s="2" t="s">
        <v>3</v>
      </c>
      <c r="HE368" s="2" t="s">
        <v>89</v>
      </c>
      <c r="HF368" s="2" t="s">
        <v>408</v>
      </c>
      <c r="HG368" s="2"/>
      <c r="HH368" s="2"/>
      <c r="HI368" s="2" t="s">
        <v>81</v>
      </c>
      <c r="HJ368" s="2" t="s">
        <v>3</v>
      </c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 t="s">
        <v>3</v>
      </c>
    </row>
    <row r="369" spans="1:268" ht="15.75" customHeight="1" x14ac:dyDescent="0.2">
      <c r="A369" s="16" t="s">
        <v>1181</v>
      </c>
      <c r="B369" s="2" t="s">
        <v>99</v>
      </c>
      <c r="C369" s="29">
        <f>46+(23+(51.34/60))/60</f>
        <v>46.397594444444444</v>
      </c>
      <c r="D369" s="29">
        <f>-81-(25+(36.92/60))/60</f>
        <v>-81.426922222222217</v>
      </c>
      <c r="E369" s="2"/>
      <c r="F369" s="2" t="s">
        <v>975</v>
      </c>
      <c r="G369" s="2"/>
      <c r="H369" s="2"/>
      <c r="I369" s="2">
        <v>0</v>
      </c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>
        <v>0</v>
      </c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>
        <f>0.786-0.125</f>
        <v>0.66100000000000003</v>
      </c>
      <c r="AZ369" s="2">
        <v>0.76</v>
      </c>
      <c r="BA369" s="2"/>
      <c r="BB369" s="2"/>
      <c r="BC369" s="2"/>
      <c r="BD369" s="2"/>
      <c r="BE369" s="2"/>
      <c r="BF369" s="2"/>
      <c r="BG369" s="2">
        <v>0.56999999999999995</v>
      </c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>
        <v>0</v>
      </c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>
        <v>0</v>
      </c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 t="s">
        <v>100</v>
      </c>
      <c r="DK369" s="2"/>
      <c r="DL369" s="2">
        <f t="shared" si="4367"/>
        <v>0.56999999999999995</v>
      </c>
      <c r="DM369" s="2">
        <f t="shared" si="4368"/>
        <v>0</v>
      </c>
      <c r="DN369" s="2" t="s">
        <v>1182</v>
      </c>
      <c r="DO369" s="2" t="s">
        <v>3</v>
      </c>
      <c r="DP369" s="2">
        <f t="shared" si="4369"/>
        <v>5.0236000000000005E-3</v>
      </c>
      <c r="DQ369" s="2">
        <f t="shared" ref="DQ369:DR369" si="6156">K369*$I369+AF369*$AD369+BA369*$AY369</f>
        <v>0</v>
      </c>
      <c r="DR369" s="2">
        <f t="shared" si="6156"/>
        <v>0</v>
      </c>
      <c r="DS369" s="2">
        <f t="shared" ref="DS369:DX369" si="6157">(M369*$I369+AH369*$AD369+BC369*$AY369)/100</f>
        <v>0</v>
      </c>
      <c r="DT369" s="2">
        <f t="shared" si="6157"/>
        <v>0</v>
      </c>
      <c r="DU369" s="2">
        <f t="shared" si="6157"/>
        <v>0</v>
      </c>
      <c r="DV369" s="2">
        <f t="shared" si="6157"/>
        <v>0</v>
      </c>
      <c r="DW369" s="2">
        <f t="shared" si="6157"/>
        <v>3.7677000000000001E-3</v>
      </c>
      <c r="DX369" s="2">
        <f t="shared" si="6157"/>
        <v>0</v>
      </c>
      <c r="DY369" s="2">
        <f t="shared" ref="DY369:EC369" si="6158">S369*$I369+AN369*$AD369+BI369*$AY369</f>
        <v>0</v>
      </c>
      <c r="DZ369" s="2">
        <f t="shared" si="6158"/>
        <v>0</v>
      </c>
      <c r="EA369" s="2">
        <f t="shared" si="6158"/>
        <v>0</v>
      </c>
      <c r="EB369" s="2">
        <f t="shared" si="6158"/>
        <v>0</v>
      </c>
      <c r="EC369" s="2">
        <f t="shared" si="6158"/>
        <v>0</v>
      </c>
      <c r="ED369" s="2">
        <f t="shared" ref="ED369:EE369" si="6159">(X369*$I369+AS369*$AD369+BN369*$AY369)/100</f>
        <v>0</v>
      </c>
      <c r="EE369" s="2">
        <f t="shared" si="6159"/>
        <v>0</v>
      </c>
      <c r="EF369" s="2"/>
      <c r="EG369" s="2">
        <f t="shared" si="4374"/>
        <v>0</v>
      </c>
      <c r="EH369" s="2">
        <f t="shared" si="4375"/>
        <v>0</v>
      </c>
      <c r="EI369" s="39">
        <f t="shared" si="4376"/>
        <v>32.782084537599999</v>
      </c>
      <c r="EJ369" s="39">
        <f t="shared" ref="EJ369:EK369" si="6160">EJ$1*DQ369/1000000</f>
        <v>0</v>
      </c>
      <c r="EK369" s="39">
        <f t="shared" si="6160"/>
        <v>0</v>
      </c>
      <c r="EL369" s="39">
        <f t="shared" ref="EL369:EQ369" si="6161">EL$1*DS369</f>
        <v>0</v>
      </c>
      <c r="EM369" s="39">
        <f t="shared" si="6161"/>
        <v>0</v>
      </c>
      <c r="EN369" s="39">
        <f t="shared" si="6161"/>
        <v>0</v>
      </c>
      <c r="EO369" s="39">
        <f t="shared" si="6161"/>
        <v>0</v>
      </c>
      <c r="EP369" s="39">
        <f t="shared" si="6161"/>
        <v>49.409617799999999</v>
      </c>
      <c r="EQ369" s="39">
        <f t="shared" si="6161"/>
        <v>0</v>
      </c>
      <c r="ER369" s="39">
        <f t="shared" ref="ER369:EV369" si="6162">ER$1*DY369/1000000</f>
        <v>0</v>
      </c>
      <c r="ES369" s="39">
        <f t="shared" si="6162"/>
        <v>0</v>
      </c>
      <c r="ET369" s="39">
        <f t="shared" si="6162"/>
        <v>0</v>
      </c>
      <c r="EU369" s="39">
        <f t="shared" si="6162"/>
        <v>0</v>
      </c>
      <c r="EV369" s="39">
        <f t="shared" si="6162"/>
        <v>0</v>
      </c>
      <c r="EW369" s="39">
        <f t="shared" ref="EW369:EX369" si="6163">EW$1*ED369</f>
        <v>0</v>
      </c>
      <c r="EX369" s="39">
        <f t="shared" si="6163"/>
        <v>0</v>
      </c>
      <c r="EY369" s="2"/>
      <c r="EZ369" s="39">
        <f t="shared" si="4381"/>
        <v>0</v>
      </c>
      <c r="FA369" s="39">
        <f t="shared" si="4382"/>
        <v>0</v>
      </c>
      <c r="FB369" s="2">
        <f t="shared" si="4383"/>
        <v>0</v>
      </c>
      <c r="FC369" s="2">
        <f t="shared" ref="FC369:FD369" si="6164">BV369*$BT369+CQ369*$CO369</f>
        <v>0</v>
      </c>
      <c r="FD369" s="2">
        <f t="shared" si="6164"/>
        <v>0</v>
      </c>
      <c r="FE369" s="2">
        <f t="shared" ref="FE369:FJ369" si="6165">(BX369*$BT369+CS369*$CO369)/100</f>
        <v>0</v>
      </c>
      <c r="FF369" s="2">
        <f t="shared" si="6165"/>
        <v>0</v>
      </c>
      <c r="FG369" s="2">
        <f t="shared" si="6165"/>
        <v>0</v>
      </c>
      <c r="FH369" s="2">
        <f t="shared" si="6165"/>
        <v>0</v>
      </c>
      <c r="FI369" s="2">
        <f t="shared" si="6165"/>
        <v>0</v>
      </c>
      <c r="FJ369" s="2">
        <f t="shared" si="6165"/>
        <v>0</v>
      </c>
      <c r="FK369" s="2">
        <f t="shared" ref="FK369:FO369" si="6166">CD369*$BT369+CY369*$CO369</f>
        <v>0</v>
      </c>
      <c r="FL369" s="2">
        <f t="shared" si="6166"/>
        <v>0</v>
      </c>
      <c r="FM369" s="2">
        <f t="shared" si="6166"/>
        <v>0</v>
      </c>
      <c r="FN369" s="2">
        <f t="shared" si="6166"/>
        <v>0</v>
      </c>
      <c r="FO369" s="2">
        <f t="shared" si="6166"/>
        <v>0</v>
      </c>
      <c r="FP369" s="2">
        <f t="shared" ref="FP369:FQ369" si="6167">(CI369*$BT369+DD369*$CO369)/100</f>
        <v>0</v>
      </c>
      <c r="FQ369" s="2">
        <f t="shared" si="6167"/>
        <v>0</v>
      </c>
      <c r="FR369" s="2"/>
      <c r="FS369" s="2">
        <f t="shared" si="4388"/>
        <v>0</v>
      </c>
      <c r="FT369" s="2">
        <f t="shared" si="4389"/>
        <v>0</v>
      </c>
      <c r="FU369" s="39">
        <f t="shared" si="4390"/>
        <v>0</v>
      </c>
      <c r="FV369" s="39">
        <f t="shared" ref="FV369:FW369" si="6168">FV$1*FC369/1000000</f>
        <v>0</v>
      </c>
      <c r="FW369" s="39">
        <f t="shared" si="6168"/>
        <v>0</v>
      </c>
      <c r="FX369" s="39">
        <f t="shared" ref="FX369:GC369" si="6169">FX$1*FE369</f>
        <v>0</v>
      </c>
      <c r="FY369" s="39">
        <f t="shared" si="6169"/>
        <v>0</v>
      </c>
      <c r="FZ369" s="39">
        <f t="shared" si="6169"/>
        <v>0</v>
      </c>
      <c r="GA369" s="39">
        <f t="shared" si="6169"/>
        <v>0</v>
      </c>
      <c r="GB369" s="39">
        <f t="shared" si="6169"/>
        <v>0</v>
      </c>
      <c r="GC369" s="39">
        <f t="shared" si="6169"/>
        <v>0</v>
      </c>
      <c r="GD369" s="39">
        <f t="shared" ref="GD369:GH369" si="6170">GD$1*FK369/1000000</f>
        <v>0</v>
      </c>
      <c r="GE369" s="39">
        <f t="shared" si="6170"/>
        <v>0</v>
      </c>
      <c r="GF369" s="39">
        <f t="shared" si="6170"/>
        <v>0</v>
      </c>
      <c r="GG369" s="39">
        <f t="shared" si="6170"/>
        <v>0</v>
      </c>
      <c r="GH369" s="39">
        <f t="shared" si="6170"/>
        <v>0</v>
      </c>
      <c r="GI369" s="39">
        <f t="shared" ref="GI369:GJ369" si="6171">GI$1*FP369</f>
        <v>0</v>
      </c>
      <c r="GJ369" s="39">
        <f t="shared" si="6171"/>
        <v>0</v>
      </c>
      <c r="GK369" s="2"/>
      <c r="GL369" s="39">
        <f t="shared" si="4395"/>
        <v>0</v>
      </c>
      <c r="GM369" s="39">
        <f t="shared" si="4396"/>
        <v>0</v>
      </c>
      <c r="GN369" s="2" t="s">
        <v>3</v>
      </c>
      <c r="GO369" s="2">
        <f t="shared" si="4397"/>
        <v>0.66100000000000003</v>
      </c>
      <c r="GP369" s="2">
        <f t="shared" si="4398"/>
        <v>0.56999999999999995</v>
      </c>
      <c r="GQ369" s="15">
        <f t="shared" si="4399"/>
        <v>3.7676999999999996</v>
      </c>
      <c r="GR369" s="15">
        <f t="shared" si="4400"/>
        <v>82.191702337599992</v>
      </c>
      <c r="GS369" s="15">
        <f t="shared" si="4401"/>
        <v>124.34448159999998</v>
      </c>
      <c r="GT369" s="2">
        <f t="shared" si="4402"/>
        <v>0</v>
      </c>
      <c r="GU369" s="2">
        <f t="shared" si="4403"/>
        <v>0</v>
      </c>
      <c r="GV369" s="2">
        <f t="shared" si="4404"/>
        <v>3.7676999999999996</v>
      </c>
      <c r="GW369" s="2">
        <f t="shared" si="4405"/>
        <v>0</v>
      </c>
      <c r="GX369" s="2"/>
      <c r="GY369" s="2"/>
      <c r="GZ369" s="2"/>
      <c r="HA369" s="2"/>
      <c r="HB369" s="2">
        <f t="shared" si="4406"/>
        <v>0</v>
      </c>
      <c r="HC369" s="2">
        <f t="shared" si="4407"/>
        <v>0</v>
      </c>
      <c r="HD369" s="2" t="s">
        <v>3</v>
      </c>
      <c r="HE369" s="2" t="s">
        <v>89</v>
      </c>
      <c r="HF369" s="2" t="s">
        <v>408</v>
      </c>
      <c r="HG369" s="2" t="s">
        <v>409</v>
      </c>
      <c r="HH369" s="2"/>
      <c r="HI369" s="2" t="s">
        <v>100</v>
      </c>
      <c r="HJ369" s="2" t="s">
        <v>3</v>
      </c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 t="s">
        <v>3</v>
      </c>
    </row>
    <row r="370" spans="1:268" ht="15.75" customHeight="1" x14ac:dyDescent="0.2">
      <c r="A370" s="16" t="s">
        <v>974</v>
      </c>
      <c r="B370" s="2" t="s">
        <v>99</v>
      </c>
      <c r="C370" s="2"/>
      <c r="D370" s="2"/>
      <c r="E370" s="2"/>
      <c r="F370" s="2" t="s">
        <v>975</v>
      </c>
      <c r="G370" s="2"/>
      <c r="H370" s="2"/>
      <c r="I370" s="2">
        <v>0</v>
      </c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>
        <v>0</v>
      </c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19">
        <v>9.2609999999999998E-2</v>
      </c>
      <c r="AZ370" s="2">
        <v>0.27</v>
      </c>
      <c r="BA370" s="2"/>
      <c r="BB370" s="2"/>
      <c r="BC370" s="2"/>
      <c r="BD370" s="2"/>
      <c r="BE370" s="2"/>
      <c r="BF370" s="2"/>
      <c r="BG370" s="2">
        <v>0.53</v>
      </c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>
        <v>0</v>
      </c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>
        <v>0</v>
      </c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 t="s">
        <v>100</v>
      </c>
      <c r="DK370" s="2"/>
      <c r="DL370" s="2">
        <f t="shared" si="4367"/>
        <v>0.53</v>
      </c>
      <c r="DM370" s="2">
        <f t="shared" si="4368"/>
        <v>0</v>
      </c>
      <c r="DN370" s="2" t="s">
        <v>976</v>
      </c>
      <c r="DO370" s="2" t="s">
        <v>3</v>
      </c>
      <c r="DP370" s="2">
        <f t="shared" si="4369"/>
        <v>2.5004699999999999E-4</v>
      </c>
      <c r="DQ370" s="2">
        <f t="shared" ref="DQ370:DR370" si="6172">K370*$I370+AF370*$AD370+BA370*$AY370</f>
        <v>0</v>
      </c>
      <c r="DR370" s="2">
        <f t="shared" si="6172"/>
        <v>0</v>
      </c>
      <c r="DS370" s="2">
        <f t="shared" ref="DS370:DX370" si="6173">(M370*$I370+AH370*$AD370+BC370*$AY370)/100</f>
        <v>0</v>
      </c>
      <c r="DT370" s="2">
        <f t="shared" si="6173"/>
        <v>0</v>
      </c>
      <c r="DU370" s="2">
        <f t="shared" si="6173"/>
        <v>0</v>
      </c>
      <c r="DV370" s="2">
        <f t="shared" si="6173"/>
        <v>0</v>
      </c>
      <c r="DW370" s="2">
        <f t="shared" si="6173"/>
        <v>4.9083299999999998E-4</v>
      </c>
      <c r="DX370" s="2">
        <f t="shared" si="6173"/>
        <v>0</v>
      </c>
      <c r="DY370" s="2">
        <f t="shared" ref="DY370:EC370" si="6174">S370*$I370+AN370*$AD370+BI370*$AY370</f>
        <v>0</v>
      </c>
      <c r="DZ370" s="2">
        <f t="shared" si="6174"/>
        <v>0</v>
      </c>
      <c r="EA370" s="2">
        <f t="shared" si="6174"/>
        <v>0</v>
      </c>
      <c r="EB370" s="2">
        <f t="shared" si="6174"/>
        <v>0</v>
      </c>
      <c r="EC370" s="2">
        <f t="shared" si="6174"/>
        <v>0</v>
      </c>
      <c r="ED370" s="2">
        <f t="shared" ref="ED370:EE370" si="6175">(X370*$I370+AS370*$AD370+BN370*$AY370)/100</f>
        <v>0</v>
      </c>
      <c r="EE370" s="2">
        <f t="shared" si="6175"/>
        <v>0</v>
      </c>
      <c r="EF370" s="2"/>
      <c r="EG370" s="2">
        <f t="shared" si="4374"/>
        <v>0</v>
      </c>
      <c r="EH370" s="2">
        <f t="shared" si="4375"/>
        <v>0</v>
      </c>
      <c r="EI370" s="39">
        <f t="shared" si="4376"/>
        <v>1.6317107039519998</v>
      </c>
      <c r="EJ370" s="39">
        <f t="shared" ref="EJ370:EK370" si="6176">EJ$1*DQ370/1000000</f>
        <v>0</v>
      </c>
      <c r="EK370" s="39">
        <f t="shared" si="6176"/>
        <v>0</v>
      </c>
      <c r="EL370" s="39">
        <f t="shared" ref="EL370:EQ370" si="6177">EL$1*DS370</f>
        <v>0</v>
      </c>
      <c r="EM370" s="39">
        <f t="shared" si="6177"/>
        <v>0</v>
      </c>
      <c r="EN370" s="39">
        <f t="shared" si="6177"/>
        <v>0</v>
      </c>
      <c r="EO370" s="39">
        <f t="shared" si="6177"/>
        <v>0</v>
      </c>
      <c r="EP370" s="39">
        <f t="shared" si="6177"/>
        <v>6.4367839619999998</v>
      </c>
      <c r="EQ370" s="39">
        <f t="shared" si="6177"/>
        <v>0</v>
      </c>
      <c r="ER370" s="39">
        <f t="shared" ref="ER370:EV370" si="6178">ER$1*DY370/1000000</f>
        <v>0</v>
      </c>
      <c r="ES370" s="39">
        <f t="shared" si="6178"/>
        <v>0</v>
      </c>
      <c r="ET370" s="39">
        <f t="shared" si="6178"/>
        <v>0</v>
      </c>
      <c r="EU370" s="39">
        <f t="shared" si="6178"/>
        <v>0</v>
      </c>
      <c r="EV370" s="39">
        <f t="shared" si="6178"/>
        <v>0</v>
      </c>
      <c r="EW370" s="39">
        <f t="shared" ref="EW370:EX370" si="6179">EW$1*ED370</f>
        <v>0</v>
      </c>
      <c r="EX370" s="39">
        <f t="shared" si="6179"/>
        <v>0</v>
      </c>
      <c r="EY370" s="2"/>
      <c r="EZ370" s="39">
        <f t="shared" si="4381"/>
        <v>0</v>
      </c>
      <c r="FA370" s="39">
        <f t="shared" si="4382"/>
        <v>0</v>
      </c>
      <c r="FB370" s="2">
        <f t="shared" si="4383"/>
        <v>0</v>
      </c>
      <c r="FC370" s="2">
        <f t="shared" ref="FC370:FD370" si="6180">BV370*$BT370+CQ370*$CO370</f>
        <v>0</v>
      </c>
      <c r="FD370" s="2">
        <f t="shared" si="6180"/>
        <v>0</v>
      </c>
      <c r="FE370" s="2">
        <f t="shared" ref="FE370:FJ370" si="6181">(BX370*$BT370+CS370*$CO370)/100</f>
        <v>0</v>
      </c>
      <c r="FF370" s="2">
        <f t="shared" si="6181"/>
        <v>0</v>
      </c>
      <c r="FG370" s="2">
        <f t="shared" si="6181"/>
        <v>0</v>
      </c>
      <c r="FH370" s="2">
        <f t="shared" si="6181"/>
        <v>0</v>
      </c>
      <c r="FI370" s="2">
        <f t="shared" si="6181"/>
        <v>0</v>
      </c>
      <c r="FJ370" s="2">
        <f t="shared" si="6181"/>
        <v>0</v>
      </c>
      <c r="FK370" s="2">
        <f t="shared" ref="FK370:FO370" si="6182">CD370*$BT370+CY370*$CO370</f>
        <v>0</v>
      </c>
      <c r="FL370" s="2">
        <f t="shared" si="6182"/>
        <v>0</v>
      </c>
      <c r="FM370" s="2">
        <f t="shared" si="6182"/>
        <v>0</v>
      </c>
      <c r="FN370" s="2">
        <f t="shared" si="6182"/>
        <v>0</v>
      </c>
      <c r="FO370" s="2">
        <f t="shared" si="6182"/>
        <v>0</v>
      </c>
      <c r="FP370" s="2">
        <f t="shared" ref="FP370:FQ370" si="6183">(CI370*$BT370+DD370*$CO370)/100</f>
        <v>0</v>
      </c>
      <c r="FQ370" s="2">
        <f t="shared" si="6183"/>
        <v>0</v>
      </c>
      <c r="FR370" s="2"/>
      <c r="FS370" s="2">
        <f t="shared" si="4388"/>
        <v>0</v>
      </c>
      <c r="FT370" s="2">
        <f t="shared" si="4389"/>
        <v>0</v>
      </c>
      <c r="FU370" s="39">
        <f t="shared" si="4390"/>
        <v>0</v>
      </c>
      <c r="FV370" s="39">
        <f t="shared" ref="FV370:FW370" si="6184">FV$1*FC370/1000000</f>
        <v>0</v>
      </c>
      <c r="FW370" s="39">
        <f t="shared" si="6184"/>
        <v>0</v>
      </c>
      <c r="FX370" s="39">
        <f t="shared" ref="FX370:GC370" si="6185">FX$1*FE370</f>
        <v>0</v>
      </c>
      <c r="FY370" s="39">
        <f t="shared" si="6185"/>
        <v>0</v>
      </c>
      <c r="FZ370" s="39">
        <f t="shared" si="6185"/>
        <v>0</v>
      </c>
      <c r="GA370" s="39">
        <f t="shared" si="6185"/>
        <v>0</v>
      </c>
      <c r="GB370" s="39">
        <f t="shared" si="6185"/>
        <v>0</v>
      </c>
      <c r="GC370" s="39">
        <f t="shared" si="6185"/>
        <v>0</v>
      </c>
      <c r="GD370" s="39">
        <f t="shared" ref="GD370:GH370" si="6186">GD$1*FK370/1000000</f>
        <v>0</v>
      </c>
      <c r="GE370" s="39">
        <f t="shared" si="6186"/>
        <v>0</v>
      </c>
      <c r="GF370" s="39">
        <f t="shared" si="6186"/>
        <v>0</v>
      </c>
      <c r="GG370" s="39">
        <f t="shared" si="6186"/>
        <v>0</v>
      </c>
      <c r="GH370" s="39">
        <f t="shared" si="6186"/>
        <v>0</v>
      </c>
      <c r="GI370" s="39">
        <f t="shared" ref="GI370:GJ370" si="6187">GI$1*FP370</f>
        <v>0</v>
      </c>
      <c r="GJ370" s="39">
        <f t="shared" si="6187"/>
        <v>0</v>
      </c>
      <c r="GK370" s="2"/>
      <c r="GL370" s="39">
        <f t="shared" si="4395"/>
        <v>0</v>
      </c>
      <c r="GM370" s="39">
        <f t="shared" si="4396"/>
        <v>0</v>
      </c>
      <c r="GN370" s="2" t="s">
        <v>3</v>
      </c>
      <c r="GO370" s="19">
        <f t="shared" si="4397"/>
        <v>9.2609999999999998E-2</v>
      </c>
      <c r="GP370" s="2">
        <f t="shared" si="4398"/>
        <v>0.53</v>
      </c>
      <c r="GQ370" s="15">
        <f t="shared" si="4399"/>
        <v>0.49083300000000002</v>
      </c>
      <c r="GR370" s="15">
        <f t="shared" si="4400"/>
        <v>8.0684946659519987</v>
      </c>
      <c r="GS370" s="15">
        <f t="shared" si="4401"/>
        <v>87.123363199999986</v>
      </c>
      <c r="GT370" s="2">
        <f t="shared" si="4402"/>
        <v>0</v>
      </c>
      <c r="GU370" s="2">
        <f t="shared" si="4403"/>
        <v>0</v>
      </c>
      <c r="GV370" s="2">
        <f t="shared" si="4404"/>
        <v>0.49083300000000002</v>
      </c>
      <c r="GW370" s="2">
        <f t="shared" si="4405"/>
        <v>0</v>
      </c>
      <c r="GX370" s="2"/>
      <c r="GY370" s="2"/>
      <c r="GZ370" s="2"/>
      <c r="HA370" s="2"/>
      <c r="HB370" s="2">
        <f t="shared" si="4406"/>
        <v>0</v>
      </c>
      <c r="HC370" s="2">
        <f t="shared" si="4407"/>
        <v>0</v>
      </c>
      <c r="HD370" s="2" t="s">
        <v>3</v>
      </c>
      <c r="HE370" s="2" t="s">
        <v>89</v>
      </c>
      <c r="HF370" s="2" t="s">
        <v>408</v>
      </c>
      <c r="HG370" s="2"/>
      <c r="HH370" s="2"/>
      <c r="HI370" s="2" t="s">
        <v>100</v>
      </c>
      <c r="HJ370" s="2" t="s">
        <v>3</v>
      </c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 t="s">
        <v>3</v>
      </c>
    </row>
    <row r="371" spans="1:268" ht="15.75" customHeight="1" x14ac:dyDescent="0.2">
      <c r="A371" s="16" t="s">
        <v>693</v>
      </c>
      <c r="B371" s="2" t="s">
        <v>109</v>
      </c>
      <c r="C371" s="2"/>
      <c r="D371" s="2"/>
      <c r="E371" s="2"/>
      <c r="F371" s="2" t="s">
        <v>694</v>
      </c>
      <c r="G371" s="2"/>
      <c r="H371" s="2"/>
      <c r="I371" s="4">
        <f>9.568+9.581+3.174</f>
        <v>22.323</v>
      </c>
      <c r="J371" s="4">
        <f>(0.08*9.568+0.06*9.581+0.05*3.174)/I371</f>
        <v>6.715047260672849E-2</v>
      </c>
      <c r="K371" s="4">
        <f>(0.219*9.568+0.172*9.581+0.07*3.174)/I371</f>
        <v>0.17764207319804681</v>
      </c>
      <c r="L371" s="2"/>
      <c r="M371" s="2"/>
      <c r="N371" s="2"/>
      <c r="O371" s="2"/>
      <c r="P371" s="2"/>
      <c r="Q371" s="4">
        <f>(0.09*9.568+0.06*9.581+0.05*3.174)/I371</f>
        <v>7.143663486090579E-2</v>
      </c>
      <c r="R371" s="2">
        <v>6.0000000000000001E-3</v>
      </c>
      <c r="S371" s="4">
        <f>(0.252*9.568+0.214*9.581+0.134*3.174)/I371</f>
        <v>0.21891260135286478</v>
      </c>
      <c r="T371" s="4">
        <f>(2.9*9.568+2.2*9.581+1.38*3.174)/I371</f>
        <v>2.3834395018590691</v>
      </c>
      <c r="U371" s="2"/>
      <c r="V371" s="2"/>
      <c r="W371" s="2"/>
      <c r="X371" s="2"/>
      <c r="Y371" s="2"/>
      <c r="Z371" s="2"/>
      <c r="AA371" s="2"/>
      <c r="AB371" s="2"/>
      <c r="AC371" s="2"/>
      <c r="AD371" s="2">
        <f>18.759+26.589+1.91+3.399</f>
        <v>50.656999999999996</v>
      </c>
      <c r="AE371" s="4">
        <f>(0.08*18.759+0.05*26.589+0.06*1.91+0.03*3.399)/AD371</f>
        <v>6.0144501253528632E-2</v>
      </c>
      <c r="AF371" s="4">
        <f>(0.233*18.759+0.109*26.589+0.098*1.91+0.08*3.399)/AD371</f>
        <v>0.15255834336814261</v>
      </c>
      <c r="AG371" s="2"/>
      <c r="AH371" s="2"/>
      <c r="AI371" s="2"/>
      <c r="AJ371" s="2"/>
      <c r="AK371" s="2"/>
      <c r="AL371" s="4">
        <f>(0.1*18.759+0.05*26.589+0.07*1.91+0.06*3.399)/AD371</f>
        <v>6.994077817478335E-2</v>
      </c>
      <c r="AM371" s="2">
        <v>6.0000000000000001E-3</v>
      </c>
      <c r="AN371" s="4">
        <f>(2.97*18.759+1.56*26.589+1.32*1.91+0.97*3.399)/AD371</f>
        <v>2.033505734646742</v>
      </c>
      <c r="AO371" s="4">
        <f>(0.256*18.759+0.193*26.589+0.155*1.91+0.12*3.399)/AD371</f>
        <v>0.20999883530410407</v>
      </c>
      <c r="AP371" s="2"/>
      <c r="AQ371" s="2"/>
      <c r="AR371" s="2"/>
      <c r="AS371" s="2"/>
      <c r="AT371" s="2"/>
      <c r="AU371" s="2"/>
      <c r="AV371" s="2"/>
      <c r="AW371" s="2"/>
      <c r="AX371" s="2"/>
      <c r="AY371" s="2">
        <v>8.2349999999999994</v>
      </c>
      <c r="AZ371" s="2">
        <v>6.6000000000000003E-2</v>
      </c>
      <c r="BA371" s="2">
        <v>0.14599999999999999</v>
      </c>
      <c r="BB371" s="2"/>
      <c r="BC371" s="2"/>
      <c r="BD371" s="2"/>
      <c r="BE371" s="2"/>
      <c r="BF371" s="2"/>
      <c r="BG371" s="2">
        <v>7.0000000000000007E-2</v>
      </c>
      <c r="BH371" s="2">
        <v>6.0000000000000001E-3</v>
      </c>
      <c r="BI371" s="2">
        <v>0.216</v>
      </c>
      <c r="BJ371" s="2">
        <v>2.2200000000000002</v>
      </c>
      <c r="BK371" s="2"/>
      <c r="BL371" s="2"/>
      <c r="BM371" s="2"/>
      <c r="BN371" s="2"/>
      <c r="BO371" s="2"/>
      <c r="BP371" s="2"/>
      <c r="BQ371" s="2"/>
      <c r="BR371" s="2"/>
      <c r="BS371" s="2"/>
      <c r="BT371" s="2">
        <v>4.9790000000000001</v>
      </c>
      <c r="BU371" s="2">
        <v>0.05</v>
      </c>
      <c r="BV371" s="2">
        <v>0.14499999999999999</v>
      </c>
      <c r="BW371" s="2"/>
      <c r="BX371" s="2"/>
      <c r="BY371" s="2"/>
      <c r="BZ371" s="2"/>
      <c r="CA371" s="2"/>
      <c r="CB371" s="2">
        <v>0.06</v>
      </c>
      <c r="CC371" s="2">
        <v>6.0000000000000001E-3</v>
      </c>
      <c r="CD371" s="2">
        <v>0.20799999999999999</v>
      </c>
      <c r="CE371" s="2">
        <v>2.0299999999999998</v>
      </c>
      <c r="CF371" s="2"/>
      <c r="CG371" s="2"/>
      <c r="CH371" s="2"/>
      <c r="CI371" s="2"/>
      <c r="CJ371" s="2"/>
      <c r="CK371" s="2"/>
      <c r="CL371" s="2"/>
      <c r="CM371" s="2"/>
      <c r="CN371" s="2"/>
      <c r="CO371" s="2">
        <v>33.899000000000001</v>
      </c>
      <c r="CP371" s="2">
        <v>0.06</v>
      </c>
      <c r="CQ371" s="19">
        <v>0.18</v>
      </c>
      <c r="CR371" s="2"/>
      <c r="CS371" s="2"/>
      <c r="CT371" s="2"/>
      <c r="CU371" s="2"/>
      <c r="CV371" s="2"/>
      <c r="CW371" s="2">
        <v>7.0000000000000007E-2</v>
      </c>
      <c r="CX371" s="2">
        <v>6.0000000000000001E-3</v>
      </c>
      <c r="CY371" s="2">
        <v>0.20799999999999999</v>
      </c>
      <c r="CZ371" s="2">
        <v>2.35</v>
      </c>
      <c r="DA371" s="2"/>
      <c r="DB371" s="2"/>
      <c r="DC371" s="2"/>
      <c r="DD371" s="2"/>
      <c r="DE371" s="2"/>
      <c r="DF371" s="2"/>
      <c r="DG371" s="2"/>
      <c r="DH371" s="2"/>
      <c r="DI371" s="2"/>
      <c r="DJ371" s="2" t="s">
        <v>81</v>
      </c>
      <c r="DK371" s="2" t="s">
        <v>81</v>
      </c>
      <c r="DL371" s="2">
        <f t="shared" si="4367"/>
        <v>7.0357938804408063E-2</v>
      </c>
      <c r="DM371" s="2">
        <f t="shared" si="4368"/>
        <v>6.000000000000001E-3</v>
      </c>
      <c r="DN371" s="2" t="s">
        <v>150</v>
      </c>
      <c r="DO371" s="2" t="s">
        <v>3</v>
      </c>
      <c r="DP371" s="2">
        <f t="shared" si="4369"/>
        <v>5.08925E-2</v>
      </c>
      <c r="DQ371" s="2">
        <f t="shared" ref="DQ371:DR371" si="6188">K371*$I371+AF371*$AD371+BA371*$AY371</f>
        <v>12.895962000000001</v>
      </c>
      <c r="DR371" s="2">
        <f t="shared" si="6188"/>
        <v>0</v>
      </c>
      <c r="DS371" s="2">
        <f t="shared" ref="DS371:DX371" si="6189">(M371*$I371+AH371*$AD371+BC371*$AY371)/100</f>
        <v>0</v>
      </c>
      <c r="DT371" s="2">
        <f t="shared" si="6189"/>
        <v>0</v>
      </c>
      <c r="DU371" s="2">
        <f t="shared" si="6189"/>
        <v>0</v>
      </c>
      <c r="DV371" s="2">
        <f t="shared" si="6189"/>
        <v>0</v>
      </c>
      <c r="DW371" s="2">
        <f t="shared" si="6189"/>
        <v>5.7141200000000003E-2</v>
      </c>
      <c r="DX371" s="2">
        <f t="shared" si="6189"/>
        <v>4.8729000000000003E-3</v>
      </c>
      <c r="DY371" s="2">
        <f t="shared" ref="DY371:EC371" si="6190">S371*$I371+AN371*$AD371+BI371*$AY371</f>
        <v>109.67684600000001</v>
      </c>
      <c r="DZ371" s="2">
        <f t="shared" si="6190"/>
        <v>82.125130999999996</v>
      </c>
      <c r="EA371" s="2">
        <f t="shared" si="6190"/>
        <v>0</v>
      </c>
      <c r="EB371" s="2">
        <f t="shared" si="6190"/>
        <v>0</v>
      </c>
      <c r="EC371" s="2">
        <f t="shared" si="6190"/>
        <v>0</v>
      </c>
      <c r="ED371" s="2">
        <f t="shared" ref="ED371:EE371" si="6191">(X371*$I371+AS371*$AD371+BN371*$AY371)/100</f>
        <v>0</v>
      </c>
      <c r="EE371" s="2">
        <f t="shared" si="6191"/>
        <v>0</v>
      </c>
      <c r="EF371" s="2"/>
      <c r="EG371" s="2">
        <f t="shared" si="4374"/>
        <v>0</v>
      </c>
      <c r="EH371" s="2">
        <f t="shared" si="4375"/>
        <v>0</v>
      </c>
      <c r="EI371" s="39">
        <f t="shared" si="4376"/>
        <v>332.10491228000001</v>
      </c>
      <c r="EJ371" s="39">
        <f t="shared" ref="EJ371:EK371" si="6192">EJ$1*DQ371/1000000</f>
        <v>527.44899241157555</v>
      </c>
      <c r="EK371" s="39">
        <f t="shared" si="6192"/>
        <v>0</v>
      </c>
      <c r="EL371" s="39">
        <f t="shared" ref="EL371:EQ371" si="6193">EL$1*DS371</f>
        <v>0</v>
      </c>
      <c r="EM371" s="39">
        <f t="shared" si="6193"/>
        <v>0</v>
      </c>
      <c r="EN371" s="39">
        <f t="shared" si="6193"/>
        <v>0</v>
      </c>
      <c r="EO371" s="39">
        <f t="shared" si="6193"/>
        <v>0</v>
      </c>
      <c r="EP371" s="39">
        <f t="shared" si="6193"/>
        <v>749.34969680000006</v>
      </c>
      <c r="EQ371" s="39">
        <f t="shared" si="6193"/>
        <v>353.8676784996</v>
      </c>
      <c r="ER371" s="39">
        <f t="shared" ref="ER371:EV371" si="6194">ER$1*DY371/1000000</f>
        <v>3112.7770061209003</v>
      </c>
      <c r="ES371" s="39">
        <f t="shared" si="6194"/>
        <v>2736.8794058627009</v>
      </c>
      <c r="ET371" s="39">
        <f t="shared" si="6194"/>
        <v>0</v>
      </c>
      <c r="EU371" s="39">
        <f t="shared" si="6194"/>
        <v>0</v>
      </c>
      <c r="EV371" s="39">
        <f t="shared" si="6194"/>
        <v>0</v>
      </c>
      <c r="EW371" s="39">
        <f t="shared" ref="EW371:EX371" si="6195">EW$1*ED371</f>
        <v>0</v>
      </c>
      <c r="EX371" s="39">
        <f t="shared" si="6195"/>
        <v>0</v>
      </c>
      <c r="EY371" s="2"/>
      <c r="EZ371" s="39">
        <f t="shared" si="4381"/>
        <v>0</v>
      </c>
      <c r="FA371" s="39">
        <f t="shared" si="4382"/>
        <v>0</v>
      </c>
      <c r="FB371" s="2">
        <f t="shared" si="4383"/>
        <v>2.2828899999999999E-2</v>
      </c>
      <c r="FC371" s="2">
        <f t="shared" ref="FC371:FD371" si="6196">BV371*$BT371+CQ371*$CO371</f>
        <v>6.8237750000000004</v>
      </c>
      <c r="FD371" s="2">
        <f t="shared" si="6196"/>
        <v>0</v>
      </c>
      <c r="FE371" s="2">
        <f t="shared" ref="FE371:FJ371" si="6197">(BX371*$BT371+CS371*$CO371)/100</f>
        <v>0</v>
      </c>
      <c r="FF371" s="2">
        <f t="shared" si="6197"/>
        <v>0</v>
      </c>
      <c r="FG371" s="2">
        <f t="shared" si="6197"/>
        <v>0</v>
      </c>
      <c r="FH371" s="2">
        <f t="shared" si="6197"/>
        <v>0</v>
      </c>
      <c r="FI371" s="2">
        <f t="shared" si="6197"/>
        <v>2.6716700000000003E-2</v>
      </c>
      <c r="FJ371" s="2">
        <f t="shared" si="6197"/>
        <v>2.3326800000000002E-3</v>
      </c>
      <c r="FK371" s="2">
        <f t="shared" ref="FK371:FO371" si="6198">CD371*$BT371+CY371*$CO371</f>
        <v>8.0866240000000005</v>
      </c>
      <c r="FL371" s="2">
        <f t="shared" si="6198"/>
        <v>89.770020000000002</v>
      </c>
      <c r="FM371" s="2">
        <f t="shared" si="6198"/>
        <v>0</v>
      </c>
      <c r="FN371" s="2">
        <f t="shared" si="6198"/>
        <v>0</v>
      </c>
      <c r="FO371" s="2">
        <f t="shared" si="6198"/>
        <v>0</v>
      </c>
      <c r="FP371" s="2">
        <f t="shared" ref="FP371:FQ371" si="6199">(CI371*$BT371+DD371*$CO371)/100</f>
        <v>0</v>
      </c>
      <c r="FQ371" s="2">
        <f t="shared" si="6199"/>
        <v>0</v>
      </c>
      <c r="FR371" s="2"/>
      <c r="FS371" s="2">
        <f t="shared" si="4388"/>
        <v>0</v>
      </c>
      <c r="FT371" s="2">
        <f t="shared" si="4389"/>
        <v>0</v>
      </c>
      <c r="FU371" s="39">
        <f t="shared" si="4390"/>
        <v>148.97263510240001</v>
      </c>
      <c r="FV371" s="39">
        <f t="shared" ref="FV371:FW371" si="6200">FV$1*FC371/1000000</f>
        <v>279.09459163987134</v>
      </c>
      <c r="FW371" s="39">
        <f t="shared" si="6200"/>
        <v>0</v>
      </c>
      <c r="FX371" s="39">
        <f t="shared" ref="FX371:GC371" si="6201">FX$1*FE371</f>
        <v>0</v>
      </c>
      <c r="FY371" s="39">
        <f t="shared" si="6201"/>
        <v>0</v>
      </c>
      <c r="FZ371" s="39">
        <f t="shared" si="6201"/>
        <v>0</v>
      </c>
      <c r="GA371" s="39">
        <f t="shared" si="6201"/>
        <v>0</v>
      </c>
      <c r="GB371" s="39">
        <f t="shared" si="6201"/>
        <v>350.36280380000005</v>
      </c>
      <c r="GC371" s="39">
        <f t="shared" si="6201"/>
        <v>169.39811124431998</v>
      </c>
      <c r="GD371" s="39">
        <f t="shared" ref="GD371:GH371" si="6202">GD$1*FK371/1000000</f>
        <v>229.50930996270094</v>
      </c>
      <c r="GE371" s="39">
        <f t="shared" si="6202"/>
        <v>2991.6508626559485</v>
      </c>
      <c r="GF371" s="39">
        <f t="shared" si="6202"/>
        <v>0</v>
      </c>
      <c r="GG371" s="39">
        <f t="shared" si="6202"/>
        <v>0</v>
      </c>
      <c r="GH371" s="39">
        <f t="shared" si="6202"/>
        <v>0</v>
      </c>
      <c r="GI371" s="39">
        <f t="shared" ref="GI371:GJ371" si="6203">GI$1*FP371</f>
        <v>0</v>
      </c>
      <c r="GJ371" s="39">
        <f t="shared" si="6203"/>
        <v>0</v>
      </c>
      <c r="GK371" s="2"/>
      <c r="GL371" s="39">
        <f t="shared" si="4395"/>
        <v>0</v>
      </c>
      <c r="GM371" s="39">
        <f t="shared" si="4396"/>
        <v>0</v>
      </c>
      <c r="GN371" s="2" t="s">
        <v>3</v>
      </c>
      <c r="GO371" s="4">
        <f t="shared" si="4397"/>
        <v>81.214999999999989</v>
      </c>
      <c r="GP371" s="19">
        <f t="shared" si="4398"/>
        <v>7.0357938804408063E-2</v>
      </c>
      <c r="GQ371" s="15">
        <f t="shared" si="4399"/>
        <v>57.141199999999998</v>
      </c>
      <c r="GR371" s="15">
        <f t="shared" si="4400"/>
        <v>7812.4276919747772</v>
      </c>
      <c r="GS371" s="15">
        <f t="shared" si="4401"/>
        <v>96.19439379393927</v>
      </c>
      <c r="GT371" s="2">
        <f t="shared" si="4402"/>
        <v>15.946799999999998</v>
      </c>
      <c r="GU371" s="2">
        <f t="shared" si="4403"/>
        <v>35.429900000000004</v>
      </c>
      <c r="GV371" s="2">
        <f t="shared" si="4404"/>
        <v>5.7645000000000008</v>
      </c>
      <c r="GW371" s="4">
        <f t="shared" si="4405"/>
        <v>38.878</v>
      </c>
      <c r="GX371" s="4">
        <f>(BT371*CB371+CO371*CW371)/GW371</f>
        <v>6.8719327125880969E-2</v>
      </c>
      <c r="GY371" s="15">
        <f>1000*GW371*GX371/100</f>
        <v>26.716700000000007</v>
      </c>
      <c r="GZ371" s="15">
        <f>SUM(FU371:GM371)</f>
        <v>4168.988314405241</v>
      </c>
      <c r="HA371" s="15">
        <f>GZ371/GW371</f>
        <v>107.2325817790329</v>
      </c>
      <c r="HB371" s="2">
        <f t="shared" si="4406"/>
        <v>2.9874000000000001</v>
      </c>
      <c r="HC371" s="2">
        <f t="shared" si="4407"/>
        <v>23.729300000000002</v>
      </c>
      <c r="HD371" s="2" t="s">
        <v>3</v>
      </c>
      <c r="HE371" s="2" t="s">
        <v>89</v>
      </c>
      <c r="HF371" s="2" t="s">
        <v>90</v>
      </c>
      <c r="HG371" s="2" t="s">
        <v>695</v>
      </c>
      <c r="HH371" s="2"/>
      <c r="HI371" s="2" t="s">
        <v>81</v>
      </c>
      <c r="HJ371" s="2" t="s">
        <v>3</v>
      </c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 t="s">
        <v>3</v>
      </c>
    </row>
    <row r="372" spans="1:268" ht="15.75" customHeight="1" x14ac:dyDescent="0.2">
      <c r="A372" s="16" t="s">
        <v>702</v>
      </c>
      <c r="B372" s="2" t="s">
        <v>99</v>
      </c>
      <c r="C372" s="2"/>
      <c r="D372" s="2"/>
      <c r="E372" s="2"/>
      <c r="F372" s="2" t="s">
        <v>703</v>
      </c>
      <c r="G372" s="2"/>
      <c r="H372" s="2"/>
      <c r="I372" s="19">
        <v>0.28591800000000001</v>
      </c>
      <c r="J372" s="2">
        <v>0.77</v>
      </c>
      <c r="K372" s="2"/>
      <c r="L372" s="2"/>
      <c r="M372" s="2"/>
      <c r="N372" s="2"/>
      <c r="O372" s="2"/>
      <c r="P372" s="2"/>
      <c r="Q372" s="2">
        <v>1.23</v>
      </c>
      <c r="R372" s="19">
        <v>2.8899999999999999E-2</v>
      </c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19">
        <v>0.51318299999999994</v>
      </c>
      <c r="AE372" s="2">
        <v>0.62</v>
      </c>
      <c r="AF372" s="2"/>
      <c r="AG372" s="2"/>
      <c r="AH372" s="2"/>
      <c r="AI372" s="2"/>
      <c r="AJ372" s="2"/>
      <c r="AK372" s="2"/>
      <c r="AL372" s="2">
        <v>1.05</v>
      </c>
      <c r="AM372" s="19">
        <v>2.8899999999999999E-2</v>
      </c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19">
        <v>0.43927899999999998</v>
      </c>
      <c r="AZ372" s="2">
        <v>0.41</v>
      </c>
      <c r="BA372" s="2"/>
      <c r="BB372" s="2"/>
      <c r="BC372" s="2"/>
      <c r="BD372" s="2"/>
      <c r="BE372" s="2"/>
      <c r="BF372" s="2"/>
      <c r="BG372" s="2">
        <v>0.65</v>
      </c>
      <c r="BH372" s="19">
        <v>2.8899999999999999E-2</v>
      </c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>
        <v>0</v>
      </c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>
        <v>0</v>
      </c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 t="s">
        <v>81</v>
      </c>
      <c r="DK372" s="2" t="s">
        <v>81</v>
      </c>
      <c r="DL372" s="2">
        <f t="shared" si="4367"/>
        <v>0.94967024661250998</v>
      </c>
      <c r="DM372" s="2">
        <f t="shared" si="4368"/>
        <v>2.8900000000000002E-2</v>
      </c>
      <c r="DN372" s="2" t="s">
        <v>704</v>
      </c>
      <c r="DO372" s="2" t="s">
        <v>3</v>
      </c>
      <c r="DP372" s="2">
        <f t="shared" si="4369"/>
        <v>7.1843471000000002E-3</v>
      </c>
      <c r="DQ372" s="2">
        <f t="shared" ref="DQ372:DR372" si="6204">K372*$I372+AF372*$AD372+BA372*$AY372</f>
        <v>0</v>
      </c>
      <c r="DR372" s="2">
        <f t="shared" si="6204"/>
        <v>0</v>
      </c>
      <c r="DS372" s="2">
        <f t="shared" ref="DS372:DX372" si="6205">(M372*$I372+AH372*$AD372+BC372*$AY372)/100</f>
        <v>0</v>
      </c>
      <c r="DT372" s="2">
        <f t="shared" si="6205"/>
        <v>0</v>
      </c>
      <c r="DU372" s="2">
        <f t="shared" si="6205"/>
        <v>0</v>
      </c>
      <c r="DV372" s="2">
        <f t="shared" si="6205"/>
        <v>0</v>
      </c>
      <c r="DW372" s="2">
        <f t="shared" si="6205"/>
        <v>1.17605264E-2</v>
      </c>
      <c r="DX372" s="2">
        <f t="shared" si="6205"/>
        <v>3.5789181999999997E-4</v>
      </c>
      <c r="DY372" s="2">
        <f t="shared" ref="DY372:EC372" si="6206">S372*$I372+AN372*$AD372+BI372*$AY372</f>
        <v>0</v>
      </c>
      <c r="DZ372" s="2">
        <f t="shared" si="6206"/>
        <v>0</v>
      </c>
      <c r="EA372" s="2">
        <f t="shared" si="6206"/>
        <v>0</v>
      </c>
      <c r="EB372" s="2">
        <f t="shared" si="6206"/>
        <v>0</v>
      </c>
      <c r="EC372" s="2">
        <f t="shared" si="6206"/>
        <v>0</v>
      </c>
      <c r="ED372" s="2">
        <f t="shared" ref="ED372:EE372" si="6207">(X372*$I372+AS372*$AD372+BN372*$AY372)/100</f>
        <v>0</v>
      </c>
      <c r="EE372" s="2">
        <f t="shared" si="6207"/>
        <v>0</v>
      </c>
      <c r="EF372" s="2"/>
      <c r="EG372" s="2">
        <f t="shared" si="4374"/>
        <v>0</v>
      </c>
      <c r="EH372" s="2">
        <f t="shared" si="4375"/>
        <v>0</v>
      </c>
      <c r="EI372" s="39">
        <f t="shared" si="4376"/>
        <v>46.882290385313603</v>
      </c>
      <c r="EJ372" s="39">
        <f t="shared" ref="EJ372:EK372" si="6208">EJ$1*DQ372/1000000</f>
        <v>0</v>
      </c>
      <c r="EK372" s="39">
        <f t="shared" si="6208"/>
        <v>0</v>
      </c>
      <c r="EL372" s="39">
        <f t="shared" ref="EL372:EQ372" si="6209">EL$1*DS372</f>
        <v>0</v>
      </c>
      <c r="EM372" s="39">
        <f t="shared" si="6209"/>
        <v>0</v>
      </c>
      <c r="EN372" s="39">
        <f t="shared" si="6209"/>
        <v>0</v>
      </c>
      <c r="EO372" s="39">
        <f t="shared" si="6209"/>
        <v>0</v>
      </c>
      <c r="EP372" s="39">
        <f t="shared" si="6209"/>
        <v>154.22754320960001</v>
      </c>
      <c r="EQ372" s="39">
        <f t="shared" si="6209"/>
        <v>25.989933611893676</v>
      </c>
      <c r="ER372" s="39">
        <f t="shared" ref="ER372:EV372" si="6210">ER$1*DY372/1000000</f>
        <v>0</v>
      </c>
      <c r="ES372" s="39">
        <f t="shared" si="6210"/>
        <v>0</v>
      </c>
      <c r="ET372" s="39">
        <f t="shared" si="6210"/>
        <v>0</v>
      </c>
      <c r="EU372" s="39">
        <f t="shared" si="6210"/>
        <v>0</v>
      </c>
      <c r="EV372" s="39">
        <f t="shared" si="6210"/>
        <v>0</v>
      </c>
      <c r="EW372" s="39">
        <f t="shared" ref="EW372:EX372" si="6211">EW$1*ED372</f>
        <v>0</v>
      </c>
      <c r="EX372" s="39">
        <f t="shared" si="6211"/>
        <v>0</v>
      </c>
      <c r="EY372" s="2"/>
      <c r="EZ372" s="39">
        <f t="shared" si="4381"/>
        <v>0</v>
      </c>
      <c r="FA372" s="39">
        <f t="shared" si="4382"/>
        <v>0</v>
      </c>
      <c r="FB372" s="2">
        <f t="shared" si="4383"/>
        <v>0</v>
      </c>
      <c r="FC372" s="2">
        <f t="shared" ref="FC372:FD372" si="6212">BV372*$BT372+CQ372*$CO372</f>
        <v>0</v>
      </c>
      <c r="FD372" s="2">
        <f t="shared" si="6212"/>
        <v>0</v>
      </c>
      <c r="FE372" s="2">
        <f t="shared" ref="FE372:FJ372" si="6213">(BX372*$BT372+CS372*$CO372)/100</f>
        <v>0</v>
      </c>
      <c r="FF372" s="2">
        <f t="shared" si="6213"/>
        <v>0</v>
      </c>
      <c r="FG372" s="2">
        <f t="shared" si="6213"/>
        <v>0</v>
      </c>
      <c r="FH372" s="2">
        <f t="shared" si="6213"/>
        <v>0</v>
      </c>
      <c r="FI372" s="2">
        <f t="shared" si="6213"/>
        <v>0</v>
      </c>
      <c r="FJ372" s="2">
        <f t="shared" si="6213"/>
        <v>0</v>
      </c>
      <c r="FK372" s="2">
        <f t="shared" ref="FK372:FO372" si="6214">CD372*$BT372+CY372*$CO372</f>
        <v>0</v>
      </c>
      <c r="FL372" s="2">
        <f t="shared" si="6214"/>
        <v>0</v>
      </c>
      <c r="FM372" s="2">
        <f t="shared" si="6214"/>
        <v>0</v>
      </c>
      <c r="FN372" s="2">
        <f t="shared" si="6214"/>
        <v>0</v>
      </c>
      <c r="FO372" s="2">
        <f t="shared" si="6214"/>
        <v>0</v>
      </c>
      <c r="FP372" s="2">
        <f t="shared" ref="FP372:FQ372" si="6215">(CI372*$BT372+DD372*$CO372)/100</f>
        <v>0</v>
      </c>
      <c r="FQ372" s="2">
        <f t="shared" si="6215"/>
        <v>0</v>
      </c>
      <c r="FR372" s="2"/>
      <c r="FS372" s="2">
        <f t="shared" si="4388"/>
        <v>0</v>
      </c>
      <c r="FT372" s="2">
        <f t="shared" si="4389"/>
        <v>0</v>
      </c>
      <c r="FU372" s="39">
        <f t="shared" si="4390"/>
        <v>0</v>
      </c>
      <c r="FV372" s="39">
        <f t="shared" ref="FV372:FW372" si="6216">FV$1*FC372/1000000</f>
        <v>0</v>
      </c>
      <c r="FW372" s="39">
        <f t="shared" si="6216"/>
        <v>0</v>
      </c>
      <c r="FX372" s="39">
        <f t="shared" ref="FX372:GC372" si="6217">FX$1*FE372</f>
        <v>0</v>
      </c>
      <c r="FY372" s="39">
        <f t="shared" si="6217"/>
        <v>0</v>
      </c>
      <c r="FZ372" s="39">
        <f t="shared" si="6217"/>
        <v>0</v>
      </c>
      <c r="GA372" s="39">
        <f t="shared" si="6217"/>
        <v>0</v>
      </c>
      <c r="GB372" s="39">
        <f t="shared" si="6217"/>
        <v>0</v>
      </c>
      <c r="GC372" s="39">
        <f t="shared" si="6217"/>
        <v>0</v>
      </c>
      <c r="GD372" s="39">
        <f t="shared" ref="GD372:GH372" si="6218">GD$1*FK372/1000000</f>
        <v>0</v>
      </c>
      <c r="GE372" s="39">
        <f t="shared" si="6218"/>
        <v>0</v>
      </c>
      <c r="GF372" s="39">
        <f t="shared" si="6218"/>
        <v>0</v>
      </c>
      <c r="GG372" s="39">
        <f t="shared" si="6218"/>
        <v>0</v>
      </c>
      <c r="GH372" s="39">
        <f t="shared" si="6218"/>
        <v>0</v>
      </c>
      <c r="GI372" s="39">
        <f t="shared" ref="GI372:GJ372" si="6219">GI$1*FP372</f>
        <v>0</v>
      </c>
      <c r="GJ372" s="39">
        <f t="shared" si="6219"/>
        <v>0</v>
      </c>
      <c r="GK372" s="2"/>
      <c r="GL372" s="39">
        <f t="shared" si="4395"/>
        <v>0</v>
      </c>
      <c r="GM372" s="39">
        <f t="shared" si="4396"/>
        <v>0</v>
      </c>
      <c r="GN372" s="2" t="s">
        <v>3</v>
      </c>
      <c r="GO372" s="19">
        <f t="shared" si="4397"/>
        <v>1.2383799999999998</v>
      </c>
      <c r="GP372" s="4">
        <f t="shared" si="4398"/>
        <v>0.94967024661250998</v>
      </c>
      <c r="GQ372" s="15">
        <f t="shared" si="4399"/>
        <v>11.760526400000002</v>
      </c>
      <c r="GR372" s="15">
        <f t="shared" si="4400"/>
        <v>227.09976720680731</v>
      </c>
      <c r="GS372" s="15">
        <f t="shared" si="4401"/>
        <v>183.38455660363326</v>
      </c>
      <c r="GT372" s="2">
        <f t="shared" si="4402"/>
        <v>3.5167914000000002</v>
      </c>
      <c r="GU372" s="2">
        <f t="shared" si="4403"/>
        <v>5.3884215000000006</v>
      </c>
      <c r="GV372" s="2">
        <f t="shared" si="4404"/>
        <v>2.8553135000000003</v>
      </c>
      <c r="GW372" s="2">
        <f t="shared" si="4405"/>
        <v>0</v>
      </c>
      <c r="GX372" s="2"/>
      <c r="GY372" s="2"/>
      <c r="GZ372" s="2"/>
      <c r="HA372" s="2"/>
      <c r="HB372" s="2">
        <f t="shared" si="4406"/>
        <v>0</v>
      </c>
      <c r="HC372" s="2">
        <f t="shared" si="4407"/>
        <v>0</v>
      </c>
      <c r="HD372" s="2" t="s">
        <v>3</v>
      </c>
      <c r="HE372" s="2" t="s">
        <v>89</v>
      </c>
      <c r="HF372" s="2" t="s">
        <v>90</v>
      </c>
      <c r="HG372" s="2" t="s">
        <v>162</v>
      </c>
      <c r="HH372" s="2"/>
      <c r="HI372" s="2" t="s">
        <v>81</v>
      </c>
      <c r="HJ372" s="2" t="s">
        <v>3</v>
      </c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 t="s">
        <v>3</v>
      </c>
    </row>
    <row r="373" spans="1:268" ht="15.75" customHeight="1" x14ac:dyDescent="0.2">
      <c r="A373" s="16" t="s">
        <v>159</v>
      </c>
      <c r="B373" s="2" t="s">
        <v>99</v>
      </c>
      <c r="C373" s="2"/>
      <c r="D373" s="2"/>
      <c r="E373" s="2"/>
      <c r="F373" s="2" t="s">
        <v>160</v>
      </c>
      <c r="G373" s="2"/>
      <c r="H373" s="2"/>
      <c r="I373" s="2">
        <v>46.9</v>
      </c>
      <c r="J373" s="2">
        <v>0.24</v>
      </c>
      <c r="K373" s="2">
        <v>0.16</v>
      </c>
      <c r="L373" s="2"/>
      <c r="M373" s="2"/>
      <c r="N373" s="2"/>
      <c r="O373" s="2"/>
      <c r="P373" s="2"/>
      <c r="Q373" s="4">
        <v>0.1</v>
      </c>
      <c r="R373" s="2"/>
      <c r="S373" s="2">
        <v>0.41</v>
      </c>
      <c r="T373" s="2">
        <v>1.68</v>
      </c>
      <c r="U373" s="2"/>
      <c r="V373" s="2"/>
      <c r="W373" s="2"/>
      <c r="X373" s="2"/>
      <c r="Y373" s="2"/>
      <c r="Z373" s="2"/>
      <c r="AA373" s="2"/>
      <c r="AB373" s="2"/>
      <c r="AC373" s="2"/>
      <c r="AD373" s="2">
        <v>69.900000000000006</v>
      </c>
      <c r="AE373" s="2">
        <v>0.22</v>
      </c>
      <c r="AF373" s="2">
        <v>0.11</v>
      </c>
      <c r="AG373" s="2"/>
      <c r="AH373" s="2"/>
      <c r="AI373" s="2"/>
      <c r="AJ373" s="2"/>
      <c r="AK373" s="2"/>
      <c r="AL373" s="2">
        <v>0.09</v>
      </c>
      <c r="AM373" s="2"/>
      <c r="AN373" s="2">
        <v>0.31</v>
      </c>
      <c r="AO373" s="2">
        <v>1.28</v>
      </c>
      <c r="AP373" s="2"/>
      <c r="AQ373" s="2"/>
      <c r="AR373" s="2"/>
      <c r="AS373" s="2"/>
      <c r="AT373" s="2"/>
      <c r="AU373" s="2"/>
      <c r="AV373" s="2"/>
      <c r="AW373" s="2"/>
      <c r="AX373" s="2"/>
      <c r="AY373" s="2">
        <v>91.7</v>
      </c>
      <c r="AZ373" s="2">
        <v>0.22</v>
      </c>
      <c r="BA373" s="4">
        <v>0.1</v>
      </c>
      <c r="BB373" s="2"/>
      <c r="BC373" s="2"/>
      <c r="BD373" s="2"/>
      <c r="BE373" s="2"/>
      <c r="BF373" s="2"/>
      <c r="BG373" s="4">
        <v>0.1</v>
      </c>
      <c r="BH373" s="2"/>
      <c r="BI373" s="2">
        <v>0.38</v>
      </c>
      <c r="BJ373" s="4">
        <v>1.5</v>
      </c>
      <c r="BK373" s="2"/>
      <c r="BL373" s="2"/>
      <c r="BM373" s="2"/>
      <c r="BN373" s="2"/>
      <c r="BO373" s="2"/>
      <c r="BP373" s="2"/>
      <c r="BQ373" s="2"/>
      <c r="BR373" s="2"/>
      <c r="BS373" s="2"/>
      <c r="BT373" s="2">
        <v>0</v>
      </c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>
        <v>0</v>
      </c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 t="s">
        <v>81</v>
      </c>
      <c r="DK373" s="2"/>
      <c r="DL373" s="2">
        <f t="shared" si="4367"/>
        <v>9.6647482014388511E-2</v>
      </c>
      <c r="DM373" s="2">
        <f t="shared" si="4368"/>
        <v>0</v>
      </c>
      <c r="DN373" s="2" t="s">
        <v>161</v>
      </c>
      <c r="DO373" s="2" t="s">
        <v>3</v>
      </c>
      <c r="DP373" s="2">
        <f t="shared" si="4369"/>
        <v>0.46808</v>
      </c>
      <c r="DQ373" s="2">
        <f t="shared" ref="DQ373:DR373" si="6220">K373*$I373+AF373*$AD373+BA373*$AY373</f>
        <v>24.363</v>
      </c>
      <c r="DR373" s="2">
        <f t="shared" si="6220"/>
        <v>0</v>
      </c>
      <c r="DS373" s="2">
        <f t="shared" ref="DS373:DX373" si="6221">(M373*$I373+AH373*$AD373+BC373*$AY373)/100</f>
        <v>0</v>
      </c>
      <c r="DT373" s="2">
        <f t="shared" si="6221"/>
        <v>0</v>
      </c>
      <c r="DU373" s="2">
        <f t="shared" si="6221"/>
        <v>0</v>
      </c>
      <c r="DV373" s="2">
        <f t="shared" si="6221"/>
        <v>0</v>
      </c>
      <c r="DW373" s="2">
        <f t="shared" si="6221"/>
        <v>0.20151000000000002</v>
      </c>
      <c r="DX373" s="2">
        <f t="shared" si="6221"/>
        <v>0</v>
      </c>
      <c r="DY373" s="2">
        <f t="shared" ref="DY373:EC373" si="6222">S373*$I373+AN373*$AD373+BI373*$AY373</f>
        <v>75.744</v>
      </c>
      <c r="DZ373" s="2">
        <f t="shared" si="6222"/>
        <v>305.81400000000002</v>
      </c>
      <c r="EA373" s="2">
        <f t="shared" si="6222"/>
        <v>0</v>
      </c>
      <c r="EB373" s="2">
        <f t="shared" si="6222"/>
        <v>0</v>
      </c>
      <c r="EC373" s="2">
        <f t="shared" si="6222"/>
        <v>0</v>
      </c>
      <c r="ED373" s="2">
        <f t="shared" ref="ED373:EE373" si="6223">(X373*$I373+AS373*$AD373+BN373*$AY373)/100</f>
        <v>0</v>
      </c>
      <c r="EE373" s="2">
        <f t="shared" si="6223"/>
        <v>0</v>
      </c>
      <c r="EF373" s="2"/>
      <c r="EG373" s="2">
        <f t="shared" si="4374"/>
        <v>0</v>
      </c>
      <c r="EH373" s="2">
        <f t="shared" si="4375"/>
        <v>0</v>
      </c>
      <c r="EI373" s="39">
        <f t="shared" si="4376"/>
        <v>3054.5103372799999</v>
      </c>
      <c r="EJ373" s="39">
        <f t="shared" ref="EJ373:EK373" si="6224">EJ$1*DQ373/1000000</f>
        <v>996.45453376205774</v>
      </c>
      <c r="EK373" s="39">
        <f t="shared" si="6224"/>
        <v>0</v>
      </c>
      <c r="EL373" s="39">
        <f t="shared" ref="EL373:EQ373" si="6225">EL$1*DS373</f>
        <v>0</v>
      </c>
      <c r="EM373" s="39">
        <f t="shared" si="6225"/>
        <v>0</v>
      </c>
      <c r="EN373" s="39">
        <f t="shared" si="6225"/>
        <v>0</v>
      </c>
      <c r="EO373" s="39">
        <f t="shared" si="6225"/>
        <v>0</v>
      </c>
      <c r="EP373" s="39">
        <f t="shared" si="6225"/>
        <v>2642.6021400000004</v>
      </c>
      <c r="EQ373" s="39">
        <f t="shared" si="6225"/>
        <v>0</v>
      </c>
      <c r="ER373" s="39">
        <f t="shared" ref="ER373:EV373" si="6226">ER$1*DY373/1000000</f>
        <v>2149.7170109324757</v>
      </c>
      <c r="ES373" s="39">
        <f t="shared" si="6226"/>
        <v>10191.472798070739</v>
      </c>
      <c r="ET373" s="39">
        <f t="shared" si="6226"/>
        <v>0</v>
      </c>
      <c r="EU373" s="39">
        <f t="shared" si="6226"/>
        <v>0</v>
      </c>
      <c r="EV373" s="39">
        <f t="shared" si="6226"/>
        <v>0</v>
      </c>
      <c r="EW373" s="39">
        <f t="shared" ref="EW373:EX373" si="6227">EW$1*ED373</f>
        <v>0</v>
      </c>
      <c r="EX373" s="39">
        <f t="shared" si="6227"/>
        <v>0</v>
      </c>
      <c r="EY373" s="2"/>
      <c r="EZ373" s="39">
        <f t="shared" si="4381"/>
        <v>0</v>
      </c>
      <c r="FA373" s="39">
        <f t="shared" si="4382"/>
        <v>0</v>
      </c>
      <c r="FB373" s="2">
        <f t="shared" si="4383"/>
        <v>0</v>
      </c>
      <c r="FC373" s="2">
        <f t="shared" ref="FC373:FD373" si="6228">BV373*$BT373+CQ373*$CO373</f>
        <v>0</v>
      </c>
      <c r="FD373" s="2">
        <f t="shared" si="6228"/>
        <v>0</v>
      </c>
      <c r="FE373" s="2">
        <f t="shared" ref="FE373:FJ373" si="6229">(BX373*$BT373+CS373*$CO373)/100</f>
        <v>0</v>
      </c>
      <c r="FF373" s="2">
        <f t="shared" si="6229"/>
        <v>0</v>
      </c>
      <c r="FG373" s="2">
        <f t="shared" si="6229"/>
        <v>0</v>
      </c>
      <c r="FH373" s="2">
        <f t="shared" si="6229"/>
        <v>0</v>
      </c>
      <c r="FI373" s="2">
        <f t="shared" si="6229"/>
        <v>0</v>
      </c>
      <c r="FJ373" s="2">
        <f t="shared" si="6229"/>
        <v>0</v>
      </c>
      <c r="FK373" s="2">
        <f t="shared" ref="FK373:FO373" si="6230">CD373*$BT373+CY373*$CO373</f>
        <v>0</v>
      </c>
      <c r="FL373" s="2">
        <f t="shared" si="6230"/>
        <v>0</v>
      </c>
      <c r="FM373" s="2">
        <f t="shared" si="6230"/>
        <v>0</v>
      </c>
      <c r="FN373" s="2">
        <f t="shared" si="6230"/>
        <v>0</v>
      </c>
      <c r="FO373" s="2">
        <f t="shared" si="6230"/>
        <v>0</v>
      </c>
      <c r="FP373" s="2">
        <f t="shared" ref="FP373:FQ373" si="6231">(CI373*$BT373+DD373*$CO373)/100</f>
        <v>0</v>
      </c>
      <c r="FQ373" s="2">
        <f t="shared" si="6231"/>
        <v>0</v>
      </c>
      <c r="FR373" s="2"/>
      <c r="FS373" s="2">
        <f t="shared" si="4388"/>
        <v>0</v>
      </c>
      <c r="FT373" s="2">
        <f t="shared" si="4389"/>
        <v>0</v>
      </c>
      <c r="FU373" s="39">
        <f t="shared" si="4390"/>
        <v>0</v>
      </c>
      <c r="FV373" s="39">
        <f t="shared" ref="FV373:FW373" si="6232">FV$1*FC373/1000000</f>
        <v>0</v>
      </c>
      <c r="FW373" s="39">
        <f t="shared" si="6232"/>
        <v>0</v>
      </c>
      <c r="FX373" s="39">
        <f t="shared" ref="FX373:GC373" si="6233">FX$1*FE373</f>
        <v>0</v>
      </c>
      <c r="FY373" s="39">
        <f t="shared" si="6233"/>
        <v>0</v>
      </c>
      <c r="FZ373" s="39">
        <f t="shared" si="6233"/>
        <v>0</v>
      </c>
      <c r="GA373" s="39">
        <f t="shared" si="6233"/>
        <v>0</v>
      </c>
      <c r="GB373" s="39">
        <f t="shared" si="6233"/>
        <v>0</v>
      </c>
      <c r="GC373" s="39">
        <f t="shared" si="6233"/>
        <v>0</v>
      </c>
      <c r="GD373" s="39">
        <f t="shared" ref="GD373:GH373" si="6234">GD$1*FK373/1000000</f>
        <v>0</v>
      </c>
      <c r="GE373" s="39">
        <f t="shared" si="6234"/>
        <v>0</v>
      </c>
      <c r="GF373" s="39">
        <f t="shared" si="6234"/>
        <v>0</v>
      </c>
      <c r="GG373" s="39">
        <f t="shared" si="6234"/>
        <v>0</v>
      </c>
      <c r="GH373" s="39">
        <f t="shared" si="6234"/>
        <v>0</v>
      </c>
      <c r="GI373" s="39">
        <f t="shared" ref="GI373:GJ373" si="6235">GI$1*FP373</f>
        <v>0</v>
      </c>
      <c r="GJ373" s="39">
        <f t="shared" si="6235"/>
        <v>0</v>
      </c>
      <c r="GK373" s="2"/>
      <c r="GL373" s="39">
        <f t="shared" si="4395"/>
        <v>0</v>
      </c>
      <c r="GM373" s="39">
        <f t="shared" si="4396"/>
        <v>0</v>
      </c>
      <c r="GN373" s="2" t="s">
        <v>3</v>
      </c>
      <c r="GO373" s="2">
        <f t="shared" si="4397"/>
        <v>208.5</v>
      </c>
      <c r="GP373" s="19">
        <f t="shared" si="4398"/>
        <v>9.6647482014388511E-2</v>
      </c>
      <c r="GQ373" s="15">
        <f t="shared" si="4399"/>
        <v>201.51000000000005</v>
      </c>
      <c r="GR373" s="15">
        <f t="shared" si="4400"/>
        <v>19034.756820045273</v>
      </c>
      <c r="GS373" s="15">
        <f t="shared" si="4401"/>
        <v>91.293797698058867</v>
      </c>
      <c r="GT373" s="2">
        <f t="shared" si="4402"/>
        <v>46.9</v>
      </c>
      <c r="GU373" s="2">
        <f t="shared" si="4403"/>
        <v>62.91</v>
      </c>
      <c r="GV373" s="2">
        <f t="shared" si="4404"/>
        <v>91.7</v>
      </c>
      <c r="GW373" s="2">
        <f t="shared" si="4405"/>
        <v>0</v>
      </c>
      <c r="GX373" s="2"/>
      <c r="GY373" s="2"/>
      <c r="GZ373" s="2"/>
      <c r="HA373" s="2"/>
      <c r="HB373" s="2">
        <f t="shared" si="4406"/>
        <v>0</v>
      </c>
      <c r="HC373" s="2">
        <f t="shared" si="4407"/>
        <v>0</v>
      </c>
      <c r="HD373" s="2" t="s">
        <v>3</v>
      </c>
      <c r="HE373" s="2" t="s">
        <v>89</v>
      </c>
      <c r="HF373" s="2" t="s">
        <v>90</v>
      </c>
      <c r="HG373" s="2" t="s">
        <v>162</v>
      </c>
      <c r="HH373" s="2"/>
      <c r="HI373" s="2" t="s">
        <v>81</v>
      </c>
      <c r="HJ373" s="2" t="s">
        <v>3</v>
      </c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 t="s">
        <v>3</v>
      </c>
    </row>
    <row r="374" spans="1:268" ht="15.75" customHeight="1" x14ac:dyDescent="0.2">
      <c r="A374" s="16" t="s">
        <v>625</v>
      </c>
      <c r="B374" s="2" t="s">
        <v>99</v>
      </c>
      <c r="C374" s="2"/>
      <c r="D374" s="2"/>
      <c r="E374" s="2"/>
      <c r="F374" s="2" t="s">
        <v>626</v>
      </c>
      <c r="G374" s="2"/>
      <c r="H374" s="2"/>
      <c r="I374" s="2">
        <v>0</v>
      </c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>
        <v>10.984999999999999</v>
      </c>
      <c r="AE374" s="2">
        <v>0.15</v>
      </c>
      <c r="AF374" s="2">
        <v>0.09</v>
      </c>
      <c r="AG374" s="2"/>
      <c r="AH374" s="2"/>
      <c r="AI374" s="2"/>
      <c r="AJ374" s="2"/>
      <c r="AK374" s="2"/>
      <c r="AL374" s="2">
        <v>0.09</v>
      </c>
      <c r="AM374" s="19">
        <v>6.4000000000000003E-3</v>
      </c>
      <c r="AN374" s="2">
        <v>0.27</v>
      </c>
      <c r="AO374" s="2">
        <v>0.81</v>
      </c>
      <c r="AP374" s="2"/>
      <c r="AQ374" s="2"/>
      <c r="AR374" s="2"/>
      <c r="AS374" s="2"/>
      <c r="AT374" s="2"/>
      <c r="AU374" s="2"/>
      <c r="AV374" s="2"/>
      <c r="AW374" s="2"/>
      <c r="AX374" s="2"/>
      <c r="AY374" s="2">
        <v>10.875</v>
      </c>
      <c r="AZ374" s="2">
        <v>0.13</v>
      </c>
      <c r="BA374" s="2">
        <v>0.08</v>
      </c>
      <c r="BB374" s="2"/>
      <c r="BC374" s="2"/>
      <c r="BD374" s="2"/>
      <c r="BE374" s="2"/>
      <c r="BF374" s="2"/>
      <c r="BG374" s="2">
        <v>0.08</v>
      </c>
      <c r="BH374" s="19">
        <v>5.4000000000000003E-3</v>
      </c>
      <c r="BI374" s="4">
        <v>0.2</v>
      </c>
      <c r="BJ374" s="2">
        <v>0.64</v>
      </c>
      <c r="BK374" s="2"/>
      <c r="BL374" s="2"/>
      <c r="BM374" s="2"/>
      <c r="BN374" s="2"/>
      <c r="BO374" s="2"/>
      <c r="BP374" s="2"/>
      <c r="BQ374" s="2"/>
      <c r="BR374" s="2"/>
      <c r="BS374" s="2"/>
      <c r="BT374" s="2">
        <v>0</v>
      </c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>
        <v>0</v>
      </c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 t="s">
        <v>81</v>
      </c>
      <c r="DK374" s="2" t="s">
        <v>81</v>
      </c>
      <c r="DL374" s="2">
        <f t="shared" si="4367"/>
        <v>8.5025160109789569E-2</v>
      </c>
      <c r="DM374" s="2">
        <f t="shared" si="4368"/>
        <v>5.9025160109789573E-3</v>
      </c>
      <c r="DN374" s="2" t="s">
        <v>627</v>
      </c>
      <c r="DO374" s="2" t="s">
        <v>3</v>
      </c>
      <c r="DP374" s="2">
        <f t="shared" si="4369"/>
        <v>3.0614999999999996E-2</v>
      </c>
      <c r="DQ374" s="2">
        <f t="shared" ref="DQ374:DR374" si="6236">K374*$I374+AF374*$AD374+BA374*$AY374</f>
        <v>1.8586499999999999</v>
      </c>
      <c r="DR374" s="2">
        <f t="shared" si="6236"/>
        <v>0</v>
      </c>
      <c r="DS374" s="2">
        <f t="shared" ref="DS374:DX374" si="6237">(M374*$I374+AH374*$AD374+BC374*$AY374)/100</f>
        <v>0</v>
      </c>
      <c r="DT374" s="2">
        <f t="shared" si="6237"/>
        <v>0</v>
      </c>
      <c r="DU374" s="2">
        <f t="shared" si="6237"/>
        <v>0</v>
      </c>
      <c r="DV374" s="2">
        <f t="shared" si="6237"/>
        <v>0</v>
      </c>
      <c r="DW374" s="2">
        <f t="shared" si="6237"/>
        <v>1.8586499999999999E-2</v>
      </c>
      <c r="DX374" s="2">
        <f t="shared" si="6237"/>
        <v>1.2902900000000001E-3</v>
      </c>
      <c r="DY374" s="2">
        <f t="shared" ref="DY374:EC374" si="6238">S374*$I374+AN374*$AD374+BI374*$AY374</f>
        <v>5.1409500000000001</v>
      </c>
      <c r="DZ374" s="2">
        <f t="shared" si="6238"/>
        <v>15.857849999999999</v>
      </c>
      <c r="EA374" s="2">
        <f t="shared" si="6238"/>
        <v>0</v>
      </c>
      <c r="EB374" s="2">
        <f t="shared" si="6238"/>
        <v>0</v>
      </c>
      <c r="EC374" s="2">
        <f t="shared" si="6238"/>
        <v>0</v>
      </c>
      <c r="ED374" s="2">
        <f t="shared" ref="ED374:EE374" si="6239">(X374*$I374+AS374*$AD374+BN374*$AY374)/100</f>
        <v>0</v>
      </c>
      <c r="EE374" s="2">
        <f t="shared" si="6239"/>
        <v>0</v>
      </c>
      <c r="EF374" s="2"/>
      <c r="EG374" s="2">
        <f t="shared" si="4374"/>
        <v>0</v>
      </c>
      <c r="EH374" s="2">
        <f t="shared" si="4375"/>
        <v>0</v>
      </c>
      <c r="EI374" s="39">
        <f t="shared" si="4376"/>
        <v>199.78173383999999</v>
      </c>
      <c r="EJ374" s="39">
        <f t="shared" ref="EJ374:EK374" si="6240">EJ$1*DQ374/1000000</f>
        <v>76.019382636655948</v>
      </c>
      <c r="EK374" s="39">
        <f t="shared" si="6240"/>
        <v>0</v>
      </c>
      <c r="EL374" s="39">
        <f t="shared" ref="EL374:EQ374" si="6241">EL$1*DS374</f>
        <v>0</v>
      </c>
      <c r="EM374" s="39">
        <f t="shared" si="6241"/>
        <v>0</v>
      </c>
      <c r="EN374" s="39">
        <f t="shared" si="6241"/>
        <v>0</v>
      </c>
      <c r="EO374" s="39">
        <f t="shared" si="6241"/>
        <v>0</v>
      </c>
      <c r="EP374" s="39">
        <f t="shared" si="6241"/>
        <v>243.74336099999999</v>
      </c>
      <c r="EQ374" s="39">
        <f t="shared" si="6241"/>
        <v>93.700245621959994</v>
      </c>
      <c r="ER374" s="39">
        <f t="shared" ref="ER374:EV374" si="6242">ER$1*DY374/1000000</f>
        <v>145.90710376205786</v>
      </c>
      <c r="ES374" s="39">
        <f t="shared" si="6242"/>
        <v>528.47432397106115</v>
      </c>
      <c r="ET374" s="39">
        <f t="shared" si="6242"/>
        <v>0</v>
      </c>
      <c r="EU374" s="39">
        <f t="shared" si="6242"/>
        <v>0</v>
      </c>
      <c r="EV374" s="39">
        <f t="shared" si="6242"/>
        <v>0</v>
      </c>
      <c r="EW374" s="39">
        <f t="shared" ref="EW374:EX374" si="6243">EW$1*ED374</f>
        <v>0</v>
      </c>
      <c r="EX374" s="39">
        <f t="shared" si="6243"/>
        <v>0</v>
      </c>
      <c r="EY374" s="2"/>
      <c r="EZ374" s="39">
        <f t="shared" si="4381"/>
        <v>0</v>
      </c>
      <c r="FA374" s="39">
        <f t="shared" si="4382"/>
        <v>0</v>
      </c>
      <c r="FB374" s="2">
        <f t="shared" si="4383"/>
        <v>0</v>
      </c>
      <c r="FC374" s="2">
        <f t="shared" ref="FC374:FD374" si="6244">BV374*$BT374+CQ374*$CO374</f>
        <v>0</v>
      </c>
      <c r="FD374" s="2">
        <f t="shared" si="6244"/>
        <v>0</v>
      </c>
      <c r="FE374" s="2">
        <f t="shared" ref="FE374:FJ374" si="6245">(BX374*$BT374+CS374*$CO374)/100</f>
        <v>0</v>
      </c>
      <c r="FF374" s="2">
        <f t="shared" si="6245"/>
        <v>0</v>
      </c>
      <c r="FG374" s="2">
        <f t="shared" si="6245"/>
        <v>0</v>
      </c>
      <c r="FH374" s="2">
        <f t="shared" si="6245"/>
        <v>0</v>
      </c>
      <c r="FI374" s="2">
        <f t="shared" si="6245"/>
        <v>0</v>
      </c>
      <c r="FJ374" s="2">
        <f t="shared" si="6245"/>
        <v>0</v>
      </c>
      <c r="FK374" s="2">
        <f t="shared" ref="FK374:FO374" si="6246">CD374*$BT374+CY374*$CO374</f>
        <v>0</v>
      </c>
      <c r="FL374" s="2">
        <f t="shared" si="6246"/>
        <v>0</v>
      </c>
      <c r="FM374" s="2">
        <f t="shared" si="6246"/>
        <v>0</v>
      </c>
      <c r="FN374" s="2">
        <f t="shared" si="6246"/>
        <v>0</v>
      </c>
      <c r="FO374" s="2">
        <f t="shared" si="6246"/>
        <v>0</v>
      </c>
      <c r="FP374" s="2">
        <f t="shared" ref="FP374:FQ374" si="6247">(CI374*$BT374+DD374*$CO374)/100</f>
        <v>0</v>
      </c>
      <c r="FQ374" s="2">
        <f t="shared" si="6247"/>
        <v>0</v>
      </c>
      <c r="FR374" s="2"/>
      <c r="FS374" s="2">
        <f t="shared" si="4388"/>
        <v>0</v>
      </c>
      <c r="FT374" s="2">
        <f t="shared" si="4389"/>
        <v>0</v>
      </c>
      <c r="FU374" s="39">
        <f t="shared" si="4390"/>
        <v>0</v>
      </c>
      <c r="FV374" s="39">
        <f t="shared" ref="FV374:FW374" si="6248">FV$1*FC374/1000000</f>
        <v>0</v>
      </c>
      <c r="FW374" s="39">
        <f t="shared" si="6248"/>
        <v>0</v>
      </c>
      <c r="FX374" s="39">
        <f t="shared" ref="FX374:GC374" si="6249">FX$1*FE374</f>
        <v>0</v>
      </c>
      <c r="FY374" s="39">
        <f t="shared" si="6249"/>
        <v>0</v>
      </c>
      <c r="FZ374" s="39">
        <f t="shared" si="6249"/>
        <v>0</v>
      </c>
      <c r="GA374" s="39">
        <f t="shared" si="6249"/>
        <v>0</v>
      </c>
      <c r="GB374" s="39">
        <f t="shared" si="6249"/>
        <v>0</v>
      </c>
      <c r="GC374" s="39">
        <f t="shared" si="6249"/>
        <v>0</v>
      </c>
      <c r="GD374" s="39">
        <f t="shared" ref="GD374:GH374" si="6250">GD$1*FK374/1000000</f>
        <v>0</v>
      </c>
      <c r="GE374" s="39">
        <f t="shared" si="6250"/>
        <v>0</v>
      </c>
      <c r="GF374" s="39">
        <f t="shared" si="6250"/>
        <v>0</v>
      </c>
      <c r="GG374" s="39">
        <f t="shared" si="6250"/>
        <v>0</v>
      </c>
      <c r="GH374" s="39">
        <f t="shared" si="6250"/>
        <v>0</v>
      </c>
      <c r="GI374" s="39">
        <f t="shared" ref="GI374:GJ374" si="6251">GI$1*FP374</f>
        <v>0</v>
      </c>
      <c r="GJ374" s="39">
        <f t="shared" si="6251"/>
        <v>0</v>
      </c>
      <c r="GK374" s="2"/>
      <c r="GL374" s="39">
        <f t="shared" si="4395"/>
        <v>0</v>
      </c>
      <c r="GM374" s="39">
        <f t="shared" si="4396"/>
        <v>0</v>
      </c>
      <c r="GN374" s="2" t="s">
        <v>3</v>
      </c>
      <c r="GO374" s="2">
        <f t="shared" si="4397"/>
        <v>21.86</v>
      </c>
      <c r="GP374" s="19">
        <f t="shared" si="4398"/>
        <v>8.5025160109789569E-2</v>
      </c>
      <c r="GQ374" s="15">
        <f t="shared" si="4399"/>
        <v>18.586499999999997</v>
      </c>
      <c r="GR374" s="15">
        <f t="shared" si="4400"/>
        <v>1287.6261508317348</v>
      </c>
      <c r="GS374" s="15">
        <f t="shared" si="4401"/>
        <v>58.903300586996103</v>
      </c>
      <c r="GT374" s="2">
        <f t="shared" si="4402"/>
        <v>0</v>
      </c>
      <c r="GU374" s="2">
        <f t="shared" si="4403"/>
        <v>9.8864999999999981</v>
      </c>
      <c r="GV374" s="2">
        <f t="shared" si="4404"/>
        <v>8.6999999999999993</v>
      </c>
      <c r="GW374" s="2">
        <f t="shared" si="4405"/>
        <v>0</v>
      </c>
      <c r="GX374" s="2"/>
      <c r="GY374" s="2"/>
      <c r="GZ374" s="2"/>
      <c r="HA374" s="2"/>
      <c r="HB374" s="2">
        <f t="shared" si="4406"/>
        <v>0</v>
      </c>
      <c r="HC374" s="2">
        <f t="shared" si="4407"/>
        <v>0</v>
      </c>
      <c r="HD374" s="2" t="s">
        <v>3</v>
      </c>
      <c r="HE374" s="2" t="s">
        <v>89</v>
      </c>
      <c r="HF374" s="2" t="s">
        <v>90</v>
      </c>
      <c r="HG374" s="2" t="s">
        <v>162</v>
      </c>
      <c r="HH374" s="2"/>
      <c r="HI374" s="2" t="s">
        <v>81</v>
      </c>
      <c r="HJ374" s="2" t="s">
        <v>3</v>
      </c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 t="s">
        <v>3</v>
      </c>
    </row>
    <row r="375" spans="1:268" ht="15.75" customHeight="1" x14ac:dyDescent="0.2">
      <c r="A375" s="16" t="s">
        <v>633</v>
      </c>
      <c r="B375" s="2" t="s">
        <v>109</v>
      </c>
      <c r="C375" s="2"/>
      <c r="D375" s="2"/>
      <c r="E375" s="2"/>
      <c r="F375" s="2" t="s">
        <v>634</v>
      </c>
      <c r="G375" s="2"/>
      <c r="H375" s="2"/>
      <c r="I375" s="2">
        <f>62.5+23.6</f>
        <v>86.1</v>
      </c>
      <c r="J375" s="4">
        <f>(0.35*62.5+0.31*23.6)/I375</f>
        <v>0.33903600464576078</v>
      </c>
      <c r="K375" s="4">
        <f>(0.09*62.5+0.08*23.6)/I375</f>
        <v>8.7259001161440197E-2</v>
      </c>
      <c r="L375" s="2"/>
      <c r="M375" s="2"/>
      <c r="N375" s="2"/>
      <c r="O375" s="2"/>
      <c r="P375" s="2"/>
      <c r="Q375" s="4">
        <f>(58.29/(58.29+32.07))*((0.21*62.5+0.22*23.6)/(62.5+23.6))</f>
        <v>0.13723630834771638</v>
      </c>
      <c r="R375" s="19">
        <f>(58.29/(58.29+32.07))*((0.01*62.5+0.01*23.6)/(62.5+23.6))</f>
        <v>6.4508632138114211E-3</v>
      </c>
      <c r="S375" s="4">
        <f>(0.18*62.5+0.17*23.6)/I375</f>
        <v>0.17725900116144019</v>
      </c>
      <c r="T375" s="4">
        <f>(0.12*62.5+0.11*23.6)/I375</f>
        <v>0.1172590011614402</v>
      </c>
      <c r="U375" s="2"/>
      <c r="V375" s="2"/>
      <c r="W375" s="2"/>
      <c r="X375" s="2"/>
      <c r="Y375" s="2"/>
      <c r="Z375" s="2"/>
      <c r="AA375" s="2"/>
      <c r="AB375" s="2"/>
      <c r="AC375" s="2"/>
      <c r="AD375" s="15">
        <f>66.1+114.9</f>
        <v>181</v>
      </c>
      <c r="AE375" s="2">
        <f>(0.34*66.1+0.34*114.9)/AD375</f>
        <v>0.34</v>
      </c>
      <c r="AF375" s="4">
        <f>(0.1*66.1+0.08*114.9)/AD375</f>
        <v>8.7303867403314916E-2</v>
      </c>
      <c r="AG375" s="2"/>
      <c r="AH375" s="2"/>
      <c r="AI375" s="2"/>
      <c r="AJ375" s="2"/>
      <c r="AK375" s="2"/>
      <c r="AL375" s="2">
        <f>(58.29/(58.29+32.07))*((0.24*66.1+0.23*114.9)/(66.1+114.9))</f>
        <v>0.15072566639519269</v>
      </c>
      <c r="AM375" s="2">
        <f>(58.29/(58.29+32.07))*((0.01*66.1+0.01*114.9)/(66.1+114.9))</f>
        <v>6.4508632138114211E-3</v>
      </c>
      <c r="AN375" s="4">
        <f>(0.21*66.1+0.17*114.9)/AD375</f>
        <v>0.18460773480662984</v>
      </c>
      <c r="AO375" s="4">
        <f>(0.14*66.1+0.09*114.9)/AD375</f>
        <v>0.10825966850828729</v>
      </c>
      <c r="AP375" s="2"/>
      <c r="AQ375" s="2"/>
      <c r="AR375" s="2"/>
      <c r="AS375" s="2"/>
      <c r="AT375" s="2"/>
      <c r="AU375" s="2"/>
      <c r="AV375" s="2"/>
      <c r="AW375" s="2"/>
      <c r="AX375" s="2"/>
      <c r="AY375" s="2">
        <v>19.2</v>
      </c>
      <c r="AZ375" s="2">
        <v>0.32</v>
      </c>
      <c r="BA375" s="2">
        <v>0.06</v>
      </c>
      <c r="BB375" s="2"/>
      <c r="BC375" s="2"/>
      <c r="BD375" s="2"/>
      <c r="BE375" s="2"/>
      <c r="BF375" s="2"/>
      <c r="BG375" s="4">
        <f>(58.29/(58.29+32.07))*0.22</f>
        <v>0.14191899070385125</v>
      </c>
      <c r="BH375" s="19">
        <f>(58.93/(58.93+32.07))*0.01</f>
        <v>6.4758241758241753E-3</v>
      </c>
      <c r="BI375" s="2">
        <v>0.13</v>
      </c>
      <c r="BJ375" s="2">
        <v>0.08</v>
      </c>
      <c r="BK375" s="2"/>
      <c r="BL375" s="2"/>
      <c r="BM375" s="2"/>
      <c r="BN375" s="2"/>
      <c r="BO375" s="2"/>
      <c r="BP375" s="2"/>
      <c r="BQ375" s="2"/>
      <c r="BR375" s="2"/>
      <c r="BS375" s="2"/>
      <c r="BT375" s="2">
        <v>62.5</v>
      </c>
      <c r="BU375" s="2">
        <v>0.35</v>
      </c>
      <c r="BV375" s="2">
        <v>0.09</v>
      </c>
      <c r="BW375" s="2"/>
      <c r="BX375" s="2"/>
      <c r="BY375" s="2"/>
      <c r="BZ375" s="2"/>
      <c r="CA375" s="2"/>
      <c r="CB375" s="4">
        <v>0.13546812749003984</v>
      </c>
      <c r="CC375" s="19">
        <f>0.01*(58.93/(58.93+32.07))</f>
        <v>6.4758241758241753E-3</v>
      </c>
      <c r="CD375" s="2">
        <v>0.18</v>
      </c>
      <c r="CE375" s="2">
        <v>0.12</v>
      </c>
      <c r="CF375" s="2"/>
      <c r="CG375" s="2"/>
      <c r="CH375" s="2"/>
      <c r="CI375" s="2"/>
      <c r="CJ375" s="2"/>
      <c r="CK375" s="2"/>
      <c r="CL375" s="2"/>
      <c r="CM375" s="2"/>
      <c r="CN375" s="2"/>
      <c r="CO375" s="2">
        <v>66.099999999999994</v>
      </c>
      <c r="CP375" s="2">
        <v>0.34</v>
      </c>
      <c r="CQ375" s="4">
        <v>0.1</v>
      </c>
      <c r="CR375" s="2"/>
      <c r="CS375" s="2"/>
      <c r="CT375" s="2"/>
      <c r="CU375" s="2"/>
      <c r="CV375" s="2"/>
      <c r="CW375" s="4">
        <f>(58.29/(58.29+32.07))*0.24</f>
        <v>0.15482071713147411</v>
      </c>
      <c r="CX375" s="19">
        <f>0.01*(58.93/(58.93+32.07))</f>
        <v>6.4758241758241753E-3</v>
      </c>
      <c r="CY375" s="2">
        <v>0.21</v>
      </c>
      <c r="CZ375" s="2">
        <v>0.14000000000000001</v>
      </c>
      <c r="DA375" s="2"/>
      <c r="DB375" s="2"/>
      <c r="DC375" s="2"/>
      <c r="DD375" s="2"/>
      <c r="DE375" s="2"/>
      <c r="DF375" s="2"/>
      <c r="DG375" s="2"/>
      <c r="DH375" s="2"/>
      <c r="DI375" s="2"/>
      <c r="DJ375" s="2" t="s">
        <v>81</v>
      </c>
      <c r="DK375" s="2" t="s">
        <v>81</v>
      </c>
      <c r="DL375" s="2">
        <f t="shared" si="4367"/>
        <v>0.14607836670549146</v>
      </c>
      <c r="DM375" s="2">
        <f t="shared" si="4368"/>
        <v>6.4525371588713045E-3</v>
      </c>
      <c r="DN375" s="2" t="s">
        <v>95</v>
      </c>
      <c r="DO375" s="2" t="s">
        <v>3</v>
      </c>
      <c r="DP375" s="2">
        <f t="shared" si="4369"/>
        <v>0.96875000000000011</v>
      </c>
      <c r="DQ375" s="2">
        <f t="shared" ref="DQ375:DR375" si="6252">K375*$I375+AF375*$AD375+BA375*$AY375</f>
        <v>24.467000000000002</v>
      </c>
      <c r="DR375" s="2">
        <f t="shared" si="6252"/>
        <v>0</v>
      </c>
      <c r="DS375" s="2">
        <f t="shared" ref="DS375:DX375" si="6253">(M375*$I375+AH375*$AD375+BC375*$AY375)/100</f>
        <v>0</v>
      </c>
      <c r="DT375" s="2">
        <f t="shared" si="6253"/>
        <v>0</v>
      </c>
      <c r="DU375" s="2">
        <f t="shared" si="6253"/>
        <v>0</v>
      </c>
      <c r="DV375" s="2">
        <f t="shared" si="6253"/>
        <v>0</v>
      </c>
      <c r="DW375" s="2">
        <f t="shared" si="6253"/>
        <v>0.41822236387782202</v>
      </c>
      <c r="DX375" s="2">
        <f t="shared" si="6253"/>
        <v>1.8473613885848547E-2</v>
      </c>
      <c r="DY375" s="2">
        <f t="shared" ref="DY375:EC375" si="6254">S375*$I375+AN375*$AD375+BI375*$AY375</f>
        <v>51.172000000000004</v>
      </c>
      <c r="DZ375" s="2">
        <f t="shared" si="6254"/>
        <v>31.227</v>
      </c>
      <c r="EA375" s="2">
        <f t="shared" si="6254"/>
        <v>0</v>
      </c>
      <c r="EB375" s="2">
        <f t="shared" si="6254"/>
        <v>0</v>
      </c>
      <c r="EC375" s="2">
        <f t="shared" si="6254"/>
        <v>0</v>
      </c>
      <c r="ED375" s="2">
        <f t="shared" ref="ED375:EE375" si="6255">(X375*$I375+AS375*$AD375+BN375*$AY375)/100</f>
        <v>0</v>
      </c>
      <c r="EE375" s="2">
        <f t="shared" si="6255"/>
        <v>0</v>
      </c>
      <c r="EF375" s="2"/>
      <c r="EG375" s="2">
        <f t="shared" si="4374"/>
        <v>0</v>
      </c>
      <c r="EH375" s="2">
        <f t="shared" si="4375"/>
        <v>0</v>
      </c>
      <c r="EI375" s="39">
        <f t="shared" si="4376"/>
        <v>6321.6905000000006</v>
      </c>
      <c r="EJ375" s="39">
        <f t="shared" ref="EJ375:EK375" si="6256">EJ$1*DQ375/1000000</f>
        <v>1000.7081672025723</v>
      </c>
      <c r="EK375" s="39">
        <f t="shared" si="6256"/>
        <v>0</v>
      </c>
      <c r="EL375" s="39">
        <f t="shared" ref="EL375:EQ375" si="6257">EL$1*DS375</f>
        <v>0</v>
      </c>
      <c r="EM375" s="39">
        <f t="shared" si="6257"/>
        <v>0</v>
      </c>
      <c r="EN375" s="39">
        <f t="shared" si="6257"/>
        <v>0</v>
      </c>
      <c r="EO375" s="39">
        <f t="shared" si="6257"/>
        <v>0</v>
      </c>
      <c r="EP375" s="39">
        <f t="shared" si="6257"/>
        <v>5484.5680798937583</v>
      </c>
      <c r="EQ375" s="39">
        <f t="shared" si="6257"/>
        <v>1341.5450469501116</v>
      </c>
      <c r="ER375" s="39">
        <f t="shared" ref="ER375:EV375" si="6258">ER$1*DY375/1000000</f>
        <v>1452.330466881029</v>
      </c>
      <c r="ES375" s="39">
        <f t="shared" si="6258"/>
        <v>1040.6623668810289</v>
      </c>
      <c r="ET375" s="39">
        <f t="shared" si="6258"/>
        <v>0</v>
      </c>
      <c r="EU375" s="39">
        <f t="shared" si="6258"/>
        <v>0</v>
      </c>
      <c r="EV375" s="39">
        <f t="shared" si="6258"/>
        <v>0</v>
      </c>
      <c r="EW375" s="39">
        <f t="shared" ref="EW375:EX375" si="6259">EW$1*ED375</f>
        <v>0</v>
      </c>
      <c r="EX375" s="39">
        <f t="shared" si="6259"/>
        <v>0</v>
      </c>
      <c r="EY375" s="2"/>
      <c r="EZ375" s="39">
        <f t="shared" si="4381"/>
        <v>0</v>
      </c>
      <c r="FA375" s="39">
        <f t="shared" si="4382"/>
        <v>0</v>
      </c>
      <c r="FB375" s="2">
        <f t="shared" si="4383"/>
        <v>0.44349000000000005</v>
      </c>
      <c r="FC375" s="2">
        <f t="shared" ref="FC375:FD375" si="6260">BV375*$BT375+CQ375*$CO375</f>
        <v>12.234999999999999</v>
      </c>
      <c r="FD375" s="2">
        <f t="shared" si="6260"/>
        <v>0</v>
      </c>
      <c r="FE375" s="2">
        <f t="shared" ref="FE375:FJ375" si="6261">(BX375*$BT375+CS375*$CO375)/100</f>
        <v>0</v>
      </c>
      <c r="FF375" s="2">
        <f t="shared" si="6261"/>
        <v>0</v>
      </c>
      <c r="FG375" s="2">
        <f t="shared" si="6261"/>
        <v>0</v>
      </c>
      <c r="FH375" s="2">
        <f t="shared" si="6261"/>
        <v>0</v>
      </c>
      <c r="FI375" s="2">
        <f t="shared" si="6261"/>
        <v>0.1870040737051793</v>
      </c>
      <c r="FJ375" s="2">
        <f t="shared" si="6261"/>
        <v>8.32790989010989E-3</v>
      </c>
      <c r="FK375" s="2">
        <f t="shared" ref="FK375:FO375" si="6262">CD375*$BT375+CY375*$CO375</f>
        <v>25.131</v>
      </c>
      <c r="FL375" s="2">
        <f t="shared" si="6262"/>
        <v>16.753999999999998</v>
      </c>
      <c r="FM375" s="2">
        <f t="shared" si="6262"/>
        <v>0</v>
      </c>
      <c r="FN375" s="2">
        <f t="shared" si="6262"/>
        <v>0</v>
      </c>
      <c r="FO375" s="2">
        <f t="shared" si="6262"/>
        <v>0</v>
      </c>
      <c r="FP375" s="2">
        <f t="shared" ref="FP375:FQ375" si="6263">(CI375*$BT375+DD375*$CO375)/100</f>
        <v>0</v>
      </c>
      <c r="FQ375" s="2">
        <f t="shared" si="6263"/>
        <v>0</v>
      </c>
      <c r="FR375" s="2"/>
      <c r="FS375" s="2">
        <f t="shared" si="4388"/>
        <v>0</v>
      </c>
      <c r="FT375" s="2">
        <f t="shared" si="4389"/>
        <v>0</v>
      </c>
      <c r="FU375" s="39">
        <f t="shared" si="4390"/>
        <v>2894.0454398400002</v>
      </c>
      <c r="FV375" s="39">
        <f t="shared" ref="FV375:FW375" si="6264">FV$1*FC375/1000000</f>
        <v>500.41543408360121</v>
      </c>
      <c r="FW375" s="39">
        <f t="shared" si="6264"/>
        <v>0</v>
      </c>
      <c r="FX375" s="39">
        <f t="shared" ref="FX375:GC375" si="6265">FX$1*FE375</f>
        <v>0</v>
      </c>
      <c r="FY375" s="39">
        <f t="shared" si="6265"/>
        <v>0</v>
      </c>
      <c r="FZ375" s="39">
        <f t="shared" si="6265"/>
        <v>0</v>
      </c>
      <c r="GA375" s="39">
        <f t="shared" si="6265"/>
        <v>0</v>
      </c>
      <c r="GB375" s="39">
        <f t="shared" si="6265"/>
        <v>2452.3714225697213</v>
      </c>
      <c r="GC375" s="39">
        <f t="shared" si="6265"/>
        <v>604.76885213467244</v>
      </c>
      <c r="GD375" s="39">
        <f t="shared" ref="GD375:GH375" si="6266">GD$1*FK375/1000000</f>
        <v>713.251718971061</v>
      </c>
      <c r="GE375" s="39">
        <f t="shared" si="6266"/>
        <v>558.33917106109323</v>
      </c>
      <c r="GF375" s="39">
        <f t="shared" si="6266"/>
        <v>0</v>
      </c>
      <c r="GG375" s="39">
        <f t="shared" si="6266"/>
        <v>0</v>
      </c>
      <c r="GH375" s="39">
        <f t="shared" si="6266"/>
        <v>0</v>
      </c>
      <c r="GI375" s="39">
        <f t="shared" ref="GI375:GJ375" si="6267">GI$1*FP375</f>
        <v>0</v>
      </c>
      <c r="GJ375" s="39">
        <f t="shared" si="6267"/>
        <v>0</v>
      </c>
      <c r="GK375" s="2"/>
      <c r="GL375" s="39">
        <f t="shared" si="4395"/>
        <v>0</v>
      </c>
      <c r="GM375" s="39">
        <f t="shared" si="4396"/>
        <v>0</v>
      </c>
      <c r="GN375" s="2" t="s">
        <v>3</v>
      </c>
      <c r="GO375" s="15">
        <f t="shared" si="4397"/>
        <v>286.3</v>
      </c>
      <c r="GP375" s="4">
        <f t="shared" si="4398"/>
        <v>0.14607836670549146</v>
      </c>
      <c r="GQ375" s="15">
        <f t="shared" si="4399"/>
        <v>418.22236387782209</v>
      </c>
      <c r="GR375" s="15">
        <f t="shared" si="4400"/>
        <v>16641.504627808503</v>
      </c>
      <c r="GS375" s="15">
        <f t="shared" si="4401"/>
        <v>58.126107676592746</v>
      </c>
      <c r="GT375" s="2">
        <f t="shared" si="4402"/>
        <v>118.1604614873838</v>
      </c>
      <c r="GU375" s="2">
        <f t="shared" si="4403"/>
        <v>272.81345617529877</v>
      </c>
      <c r="GV375" s="2">
        <f t="shared" si="4404"/>
        <v>27.248446215139438</v>
      </c>
      <c r="GW375" s="2">
        <f t="shared" si="4405"/>
        <v>128.6</v>
      </c>
      <c r="GX375" s="4">
        <f t="shared" ref="GX375:GX376" si="6268">(BT375*CB375+CO375*CW375)/GW375</f>
        <v>0.14541529837105699</v>
      </c>
      <c r="GY375" s="15">
        <f t="shared" ref="GY375:GY376" si="6269">1000*GW375*GX375/100</f>
        <v>187.00407370517928</v>
      </c>
      <c r="GZ375" s="15">
        <f t="shared" ref="GZ375:GZ376" si="6270">SUM(FU375:GM375)</f>
        <v>7723.1920386601496</v>
      </c>
      <c r="HA375" s="15">
        <f t="shared" ref="HA375:HA376" si="6271">GZ375/GW375</f>
        <v>60.05592565054549</v>
      </c>
      <c r="HB375" s="2">
        <f t="shared" si="4406"/>
        <v>84.667579681274916</v>
      </c>
      <c r="HC375" s="2">
        <f t="shared" si="4407"/>
        <v>102.33649402390438</v>
      </c>
      <c r="HD375" s="2" t="s">
        <v>3</v>
      </c>
      <c r="HE375" s="2" t="s">
        <v>89</v>
      </c>
      <c r="HF375" s="2" t="s">
        <v>90</v>
      </c>
      <c r="HG375" s="2" t="s">
        <v>162</v>
      </c>
      <c r="HH375" s="2"/>
      <c r="HI375" s="2" t="s">
        <v>81</v>
      </c>
      <c r="HJ375" s="2" t="s">
        <v>3</v>
      </c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 t="s">
        <v>3</v>
      </c>
    </row>
    <row r="376" spans="1:268" ht="15.75" customHeight="1" x14ac:dyDescent="0.2">
      <c r="A376" s="16" t="s">
        <v>196</v>
      </c>
      <c r="B376" s="2"/>
      <c r="C376" s="2"/>
      <c r="D376" s="2"/>
      <c r="E376" s="2"/>
      <c r="F376" s="2" t="s">
        <v>197</v>
      </c>
      <c r="G376" s="2"/>
      <c r="H376" s="2"/>
      <c r="I376" s="2">
        <v>169.01</v>
      </c>
      <c r="J376" s="4">
        <v>5.3973729365126316E-2</v>
      </c>
      <c r="K376" s="4">
        <v>0.15692089225489614</v>
      </c>
      <c r="L376" s="2"/>
      <c r="M376" s="2"/>
      <c r="N376" s="2"/>
      <c r="O376" s="2"/>
      <c r="P376" s="2"/>
      <c r="Q376" s="4">
        <v>0.16276847523815161</v>
      </c>
      <c r="R376" s="2"/>
      <c r="S376" s="4">
        <v>3.8727634341163246</v>
      </c>
      <c r="T376" s="4">
        <v>1.7400606827998344</v>
      </c>
      <c r="U376" s="4">
        <v>0.46323098041536004</v>
      </c>
      <c r="V376" s="2"/>
      <c r="W376" s="2"/>
      <c r="X376" s="2"/>
      <c r="Y376" s="2"/>
      <c r="Z376" s="2"/>
      <c r="AA376" s="2"/>
      <c r="AB376" s="2"/>
      <c r="AC376" s="2"/>
      <c r="AD376" s="2">
        <v>123.4</v>
      </c>
      <c r="AE376" s="4">
        <v>5.0729335494327385E-2</v>
      </c>
      <c r="AF376" s="4">
        <v>0.13868732576985413</v>
      </c>
      <c r="AG376" s="2"/>
      <c r="AH376" s="2"/>
      <c r="AI376" s="2"/>
      <c r="AJ376" s="2"/>
      <c r="AK376" s="2"/>
      <c r="AL376" s="4">
        <v>0.15887520259319285</v>
      </c>
      <c r="AM376" s="2"/>
      <c r="AN376" s="4">
        <v>3.6139807666126416</v>
      </c>
      <c r="AO376" s="4">
        <v>1.6354221977309562</v>
      </c>
      <c r="AP376" s="4">
        <v>0.44915793030794171</v>
      </c>
      <c r="AQ376" s="2"/>
      <c r="AR376" s="2"/>
      <c r="AS376" s="2"/>
      <c r="AT376" s="2"/>
      <c r="AU376" s="2"/>
      <c r="AV376" s="2"/>
      <c r="AW376" s="2"/>
      <c r="AX376" s="2"/>
      <c r="AY376" s="2">
        <v>55.540000000000006</v>
      </c>
      <c r="AZ376" s="4">
        <v>5.6543032048973707E-2</v>
      </c>
      <c r="BA376" s="4">
        <v>0.16773014043932299</v>
      </c>
      <c r="BB376" s="2"/>
      <c r="BC376" s="2"/>
      <c r="BD376" s="2"/>
      <c r="BE376" s="2"/>
      <c r="BF376" s="2"/>
      <c r="BG376" s="4">
        <v>0.16585163845876846</v>
      </c>
      <c r="BH376" s="2"/>
      <c r="BI376" s="4">
        <v>3.9191215700396111</v>
      </c>
      <c r="BJ376" s="4">
        <v>1.7474789701116309</v>
      </c>
      <c r="BK376" s="4">
        <v>0.44931811307166003</v>
      </c>
      <c r="BL376" s="4"/>
      <c r="BM376" s="4"/>
      <c r="BN376" s="2"/>
      <c r="BO376" s="2"/>
      <c r="BP376" s="2"/>
      <c r="BQ376" s="2"/>
      <c r="BR376" s="2"/>
      <c r="BS376" s="2"/>
      <c r="BT376" s="2">
        <v>60.910000000000004</v>
      </c>
      <c r="BU376" s="4">
        <v>9.7292726974224253E-2</v>
      </c>
      <c r="BV376" s="4">
        <v>0.17392956821539976</v>
      </c>
      <c r="BW376" s="2"/>
      <c r="BX376" s="2"/>
      <c r="BY376" s="2"/>
      <c r="BZ376" s="2"/>
      <c r="CA376" s="2"/>
      <c r="CB376" s="4">
        <v>0.21475127236906913</v>
      </c>
      <c r="CC376" s="2"/>
      <c r="CD376" s="4">
        <v>2.9358104843211295</v>
      </c>
      <c r="CE376" s="4">
        <v>1.236532099819406</v>
      </c>
      <c r="CF376" s="4">
        <v>0.23138828763749791</v>
      </c>
      <c r="CG376" s="4"/>
      <c r="CH376" s="4"/>
      <c r="CI376" s="2"/>
      <c r="CJ376" s="2"/>
      <c r="CK376" s="2"/>
      <c r="CL376" s="2"/>
      <c r="CM376" s="2"/>
      <c r="CN376" s="2"/>
      <c r="CO376" s="2">
        <v>64.31</v>
      </c>
      <c r="CP376" s="4">
        <v>4.4458093609081012E-2</v>
      </c>
      <c r="CQ376" s="4">
        <v>7.5727631783548438E-2</v>
      </c>
      <c r="CR376" s="2"/>
      <c r="CS376" s="2"/>
      <c r="CT376" s="2"/>
      <c r="CU376" s="2"/>
      <c r="CV376" s="2"/>
      <c r="CW376" s="4">
        <v>0.1513497123308972</v>
      </c>
      <c r="CX376" s="2"/>
      <c r="CY376" s="4">
        <v>2.4107949619032807</v>
      </c>
      <c r="CZ376" s="4">
        <v>1.1161566474887266</v>
      </c>
      <c r="DA376" s="4">
        <v>0.33619648577204164</v>
      </c>
      <c r="DB376" s="4"/>
      <c r="DC376" s="4"/>
      <c r="DD376" s="2"/>
      <c r="DE376" s="2"/>
      <c r="DF376" s="2"/>
      <c r="DG376" s="2"/>
      <c r="DH376" s="2"/>
      <c r="DI376" s="2"/>
      <c r="DJ376" s="2" t="s">
        <v>81</v>
      </c>
      <c r="DK376" s="2"/>
      <c r="DL376" s="2">
        <f t="shared" si="4367"/>
        <v>0.16187986779709729</v>
      </c>
      <c r="DM376" s="2">
        <f t="shared" si="4368"/>
        <v>0</v>
      </c>
      <c r="DN376" s="2" t="s">
        <v>95</v>
      </c>
      <c r="DO376" s="2" t="s">
        <v>3</v>
      </c>
      <c r="DP376" s="2">
        <f t="shared" si="4369"/>
        <v>0.18522499999999997</v>
      </c>
      <c r="DQ376" s="2">
        <f t="shared" ref="DQ376:DR376" si="6272">K376*$I376+AF376*$AD376+BA376*$AY376</f>
        <v>52.950947999999997</v>
      </c>
      <c r="DR376" s="2">
        <f t="shared" si="6272"/>
        <v>0</v>
      </c>
      <c r="DS376" s="2">
        <f t="shared" ref="DS376:DX376" si="6273">(M376*$I376+AH376*$AD376+BC376*$AY376)/100</f>
        <v>0</v>
      </c>
      <c r="DT376" s="2">
        <f t="shared" si="6273"/>
        <v>0</v>
      </c>
      <c r="DU376" s="2">
        <f t="shared" si="6273"/>
        <v>0</v>
      </c>
      <c r="DV376" s="2">
        <f t="shared" si="6273"/>
        <v>0</v>
      </c>
      <c r="DW376" s="2">
        <f t="shared" si="6273"/>
        <v>0.56326100000000001</v>
      </c>
      <c r="DX376" s="2">
        <f t="shared" si="6273"/>
        <v>0</v>
      </c>
      <c r="DY376" s="2">
        <f t="shared" ref="DY376:EC376" si="6274">S376*$I376+AN376*$AD376+BI376*$AY376</f>
        <v>1318.1689866000002</v>
      </c>
      <c r="DZ376" s="2">
        <f t="shared" si="6274"/>
        <v>592.95373719999998</v>
      </c>
      <c r="EA376" s="2">
        <f t="shared" si="6274"/>
        <v>158.6718846</v>
      </c>
      <c r="EB376" s="2">
        <f t="shared" si="6274"/>
        <v>0</v>
      </c>
      <c r="EC376" s="2">
        <f t="shared" si="6274"/>
        <v>0</v>
      </c>
      <c r="ED376" s="2">
        <f t="shared" ref="ED376:EE376" si="6275">(X376*$I376+AS376*$AD376+BN376*$AY376)/100</f>
        <v>0</v>
      </c>
      <c r="EE376" s="2">
        <f t="shared" si="6275"/>
        <v>0</v>
      </c>
      <c r="EF376" s="2"/>
      <c r="EG376" s="2">
        <f t="shared" si="4374"/>
        <v>0</v>
      </c>
      <c r="EH376" s="2">
        <f t="shared" si="4375"/>
        <v>0</v>
      </c>
      <c r="EI376" s="39">
        <f t="shared" si="4376"/>
        <v>1208.7072235999999</v>
      </c>
      <c r="EJ376" s="39">
        <f t="shared" ref="EJ376:EK376" si="6276">EJ$1*DQ376/1000000</f>
        <v>2165.7107992282954</v>
      </c>
      <c r="EK376" s="39">
        <f t="shared" si="6276"/>
        <v>0</v>
      </c>
      <c r="EL376" s="39">
        <f t="shared" ref="EL376:EQ376" si="6277">EL$1*DS376</f>
        <v>0</v>
      </c>
      <c r="EM376" s="39">
        <f t="shared" si="6277"/>
        <v>0</v>
      </c>
      <c r="EN376" s="39">
        <f t="shared" si="6277"/>
        <v>0</v>
      </c>
      <c r="EO376" s="39">
        <f t="shared" si="6277"/>
        <v>0</v>
      </c>
      <c r="EP376" s="39">
        <f t="shared" si="6277"/>
        <v>7386.604754</v>
      </c>
      <c r="EQ376" s="39">
        <f t="shared" si="6277"/>
        <v>0</v>
      </c>
      <c r="ER376" s="39">
        <f t="shared" ref="ER376:EV376" si="6278">ER$1*DY376/1000000</f>
        <v>37411.416003612729</v>
      </c>
      <c r="ES376" s="39">
        <f t="shared" si="6278"/>
        <v>19760.612278012733</v>
      </c>
      <c r="ET376" s="39">
        <f t="shared" si="6278"/>
        <v>11353.458032166562</v>
      </c>
      <c r="EU376" s="39">
        <f t="shared" si="6278"/>
        <v>0</v>
      </c>
      <c r="EV376" s="39">
        <f t="shared" si="6278"/>
        <v>0</v>
      </c>
      <c r="EW376" s="39">
        <f t="shared" ref="EW376:EX376" si="6279">EW$1*ED376</f>
        <v>0</v>
      </c>
      <c r="EX376" s="39">
        <f t="shared" si="6279"/>
        <v>0</v>
      </c>
      <c r="EY376" s="2"/>
      <c r="EZ376" s="39">
        <f t="shared" si="4381"/>
        <v>0</v>
      </c>
      <c r="FA376" s="39">
        <f t="shared" si="4382"/>
        <v>0</v>
      </c>
      <c r="FB376" s="2">
        <f t="shared" si="4383"/>
        <v>8.7852E-2</v>
      </c>
      <c r="FC376" s="2">
        <f t="shared" ref="FC376:FD376" si="6280">BV376*$BT376+CQ376*$CO376</f>
        <v>15.464093999999999</v>
      </c>
      <c r="FD376" s="2">
        <f t="shared" si="6280"/>
        <v>0</v>
      </c>
      <c r="FE376" s="2">
        <f t="shared" ref="FE376:FJ376" si="6281">(BX376*$BT376+CS376*$CO376)/100</f>
        <v>0</v>
      </c>
      <c r="FF376" s="2">
        <f t="shared" si="6281"/>
        <v>0</v>
      </c>
      <c r="FG376" s="2">
        <f t="shared" si="6281"/>
        <v>0</v>
      </c>
      <c r="FH376" s="2">
        <f t="shared" si="6281"/>
        <v>0</v>
      </c>
      <c r="FI376" s="2">
        <f t="shared" si="6281"/>
        <v>0.22813800000000001</v>
      </c>
      <c r="FJ376" s="2">
        <f t="shared" si="6281"/>
        <v>0</v>
      </c>
      <c r="FK376" s="2">
        <f t="shared" ref="FK376:FO376" si="6282">CD376*$BT376+CY376*$CO376</f>
        <v>333.85844059999999</v>
      </c>
      <c r="FL376" s="2">
        <f t="shared" si="6282"/>
        <v>147.09720420000002</v>
      </c>
      <c r="FM376" s="2">
        <f t="shared" si="6282"/>
        <v>35.714656599999998</v>
      </c>
      <c r="FN376" s="2">
        <f t="shared" si="6282"/>
        <v>0</v>
      </c>
      <c r="FO376" s="2">
        <f t="shared" si="6282"/>
        <v>0</v>
      </c>
      <c r="FP376" s="2">
        <f t="shared" ref="FP376:FQ376" si="6283">(CI376*$BT376+DD376*$CO376)/100</f>
        <v>0</v>
      </c>
      <c r="FQ376" s="2">
        <f t="shared" si="6283"/>
        <v>0</v>
      </c>
      <c r="FR376" s="2"/>
      <c r="FS376" s="2">
        <f t="shared" si="4388"/>
        <v>0</v>
      </c>
      <c r="FT376" s="2">
        <f t="shared" si="4389"/>
        <v>0</v>
      </c>
      <c r="FU376" s="39">
        <f t="shared" si="4390"/>
        <v>573.28841683199994</v>
      </c>
      <c r="FV376" s="39">
        <f t="shared" ref="FV376:FW376" si="6284">FV$1*FC376/1000000</f>
        <v>632.4864169774919</v>
      </c>
      <c r="FW376" s="39">
        <f t="shared" si="6284"/>
        <v>0</v>
      </c>
      <c r="FX376" s="39">
        <f t="shared" ref="FX376:GC376" si="6285">FX$1*FE376</f>
        <v>0</v>
      </c>
      <c r="FY376" s="39">
        <f t="shared" si="6285"/>
        <v>0</v>
      </c>
      <c r="FZ376" s="39">
        <f t="shared" si="6285"/>
        <v>0</v>
      </c>
      <c r="GA376" s="39">
        <f t="shared" si="6285"/>
        <v>0</v>
      </c>
      <c r="GB376" s="39">
        <f t="shared" si="6285"/>
        <v>2991.8017319999999</v>
      </c>
      <c r="GC376" s="39">
        <f t="shared" si="6285"/>
        <v>0</v>
      </c>
      <c r="GD376" s="39">
        <f t="shared" ref="GD376:GH376" si="6286">GD$1*FK376/1000000</f>
        <v>9475.3534141477794</v>
      </c>
      <c r="GE376" s="39">
        <f t="shared" si="6286"/>
        <v>4902.1207507718982</v>
      </c>
      <c r="GF376" s="39">
        <f t="shared" si="6286"/>
        <v>2555.4927759479101</v>
      </c>
      <c r="GG376" s="39">
        <f t="shared" si="6286"/>
        <v>0</v>
      </c>
      <c r="GH376" s="39">
        <f t="shared" si="6286"/>
        <v>0</v>
      </c>
      <c r="GI376" s="39">
        <f t="shared" ref="GI376:GJ376" si="6287">GI$1*FP376</f>
        <v>0</v>
      </c>
      <c r="GJ376" s="39">
        <f t="shared" si="6287"/>
        <v>0</v>
      </c>
      <c r="GK376" s="2"/>
      <c r="GL376" s="39">
        <f t="shared" si="4395"/>
        <v>0</v>
      </c>
      <c r="GM376" s="39">
        <f t="shared" si="4396"/>
        <v>0</v>
      </c>
      <c r="GN376" s="2" t="s">
        <v>3</v>
      </c>
      <c r="GO376" s="15">
        <f t="shared" si="4397"/>
        <v>347.95</v>
      </c>
      <c r="GP376" s="4">
        <f t="shared" si="4398"/>
        <v>0.16187986779709729</v>
      </c>
      <c r="GQ376" s="15">
        <f t="shared" si="4399"/>
        <v>563.26099999999997</v>
      </c>
      <c r="GR376" s="15">
        <f t="shared" si="4400"/>
        <v>79286.509090620311</v>
      </c>
      <c r="GS376" s="15">
        <f t="shared" si="4401"/>
        <v>227.86753582589543</v>
      </c>
      <c r="GT376" s="2">
        <f t="shared" si="4402"/>
        <v>275.09500000000003</v>
      </c>
      <c r="GU376" s="2">
        <f t="shared" si="4403"/>
        <v>196.05200000000002</v>
      </c>
      <c r="GV376" s="2">
        <f t="shared" si="4404"/>
        <v>92.114000000000019</v>
      </c>
      <c r="GW376" s="2">
        <f t="shared" si="4405"/>
        <v>125.22</v>
      </c>
      <c r="GX376" s="4">
        <f t="shared" si="6268"/>
        <v>0.18218974604695737</v>
      </c>
      <c r="GY376" s="15">
        <f t="shared" si="6269"/>
        <v>228.13800000000003</v>
      </c>
      <c r="GZ376" s="15">
        <f t="shared" si="6270"/>
        <v>21130.543506677081</v>
      </c>
      <c r="HA376" s="15">
        <f t="shared" si="6271"/>
        <v>168.7473527126424</v>
      </c>
      <c r="HB376" s="2">
        <f t="shared" si="4406"/>
        <v>130.80500000000001</v>
      </c>
      <c r="HC376" s="2">
        <f t="shared" si="4407"/>
        <v>97.332999999999998</v>
      </c>
      <c r="HD376" s="2" t="s">
        <v>3</v>
      </c>
      <c r="HE376" s="2" t="s">
        <v>89</v>
      </c>
      <c r="HF376" s="2" t="s">
        <v>90</v>
      </c>
      <c r="HG376" s="2" t="s">
        <v>162</v>
      </c>
      <c r="HH376" s="2" t="s">
        <v>92</v>
      </c>
      <c r="HI376" s="2" t="s">
        <v>81</v>
      </c>
      <c r="HJ376" s="2" t="s">
        <v>3</v>
      </c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 t="s">
        <v>3</v>
      </c>
    </row>
    <row r="377" spans="1:268" ht="15.75" customHeight="1" x14ac:dyDescent="0.2">
      <c r="A377" s="16" t="s">
        <v>263</v>
      </c>
      <c r="B377" s="2"/>
      <c r="C377" s="2"/>
      <c r="D377" s="2"/>
      <c r="E377" s="2"/>
      <c r="F377" s="2" t="s">
        <v>264</v>
      </c>
      <c r="G377" s="2"/>
      <c r="H377" s="2"/>
      <c r="I377" s="2">
        <v>291.42857142857144</v>
      </c>
      <c r="J377" s="4">
        <v>5.9558823529411761E-2</v>
      </c>
      <c r="K377" s="4">
        <v>0.17692612745098038</v>
      </c>
      <c r="L377" s="2"/>
      <c r="M377" s="2"/>
      <c r="N377" s="2"/>
      <c r="O377" s="2"/>
      <c r="P377" s="2"/>
      <c r="Q377" s="4">
        <v>0.17955882352941177</v>
      </c>
      <c r="R377" s="2"/>
      <c r="S377" s="4">
        <v>2.7451910294117643</v>
      </c>
      <c r="T377" s="4">
        <v>2.5891063725490189</v>
      </c>
      <c r="U377" s="4">
        <v>0.41016749999999996</v>
      </c>
      <c r="V377" s="2"/>
      <c r="W377" s="2"/>
      <c r="X377" s="2"/>
      <c r="Y377" s="2"/>
      <c r="Z377" s="2"/>
      <c r="AA377" s="2"/>
      <c r="AB377" s="2"/>
      <c r="AC377" s="2"/>
      <c r="AD377" s="2">
        <v>140</v>
      </c>
      <c r="AE377" s="4">
        <v>6.0233236151603503E-2</v>
      </c>
      <c r="AF377" s="4">
        <v>0.18316626822157431</v>
      </c>
      <c r="AG377" s="2"/>
      <c r="AH377" s="2"/>
      <c r="AI377" s="2"/>
      <c r="AJ377" s="2"/>
      <c r="AK377" s="2"/>
      <c r="AL377" s="4">
        <v>0.1802332361516035</v>
      </c>
      <c r="AM377" s="2"/>
      <c r="AN377" s="4">
        <v>2.7966261516034985</v>
      </c>
      <c r="AO377" s="4">
        <v>2.5976309037900878</v>
      </c>
      <c r="AP377" s="4">
        <v>0.41020005830903788</v>
      </c>
      <c r="AQ377" s="2"/>
      <c r="AR377" s="2"/>
      <c r="AS377" s="2"/>
      <c r="AT377" s="2"/>
      <c r="AU377" s="2"/>
      <c r="AV377" s="2"/>
      <c r="AW377" s="2"/>
      <c r="AX377" s="2"/>
      <c r="AY377" s="2">
        <v>380.40816326530614</v>
      </c>
      <c r="AZ377" s="4">
        <v>6.6223175965665237E-2</v>
      </c>
      <c r="BA377" s="4">
        <v>0.2241422746781116</v>
      </c>
      <c r="BB377" s="2"/>
      <c r="BC377" s="2"/>
      <c r="BD377" s="2"/>
      <c r="BE377" s="2"/>
      <c r="BF377" s="2"/>
      <c r="BG377" s="4">
        <v>0.18622317596566523</v>
      </c>
      <c r="BH377" s="2"/>
      <c r="BI377" s="4">
        <v>2.935989141630901</v>
      </c>
      <c r="BJ377" s="4">
        <v>2.2917212875536479</v>
      </c>
      <c r="BK377" s="4">
        <v>0.34732313304721024</v>
      </c>
      <c r="BL377" s="4"/>
      <c r="BM377" s="4"/>
      <c r="BN377" s="2"/>
      <c r="BO377" s="2"/>
      <c r="BP377" s="2"/>
      <c r="BQ377" s="2"/>
      <c r="BR377" s="2"/>
      <c r="BS377" s="2"/>
      <c r="BT377" s="2">
        <v>0</v>
      </c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>
        <v>0</v>
      </c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 t="s">
        <v>81</v>
      </c>
      <c r="DK377" s="2"/>
      <c r="DL377" s="2">
        <f t="shared" si="4367"/>
        <v>0.18279788838612368</v>
      </c>
      <c r="DM377" s="2">
        <f t="shared" si="4368"/>
        <v>0</v>
      </c>
      <c r="DN377" s="2" t="s">
        <v>95</v>
      </c>
      <c r="DO377" s="2" t="s">
        <v>3</v>
      </c>
      <c r="DP377" s="2">
        <f t="shared" si="4369"/>
        <v>0.50981632653061226</v>
      </c>
      <c r="DQ377" s="2">
        <f t="shared" ref="DQ377:DR377" si="6288">K377*$I377+AF377*$AD377+BA377*$AY377</f>
        <v>162.47015714285715</v>
      </c>
      <c r="DR377" s="2">
        <f t="shared" si="6288"/>
        <v>0</v>
      </c>
      <c r="DS377" s="2">
        <f t="shared" ref="DS377:DX377" si="6289">(M377*$I377+AH377*$AD377+BC377*$AY377)/100</f>
        <v>0</v>
      </c>
      <c r="DT377" s="2">
        <f t="shared" si="6289"/>
        <v>0</v>
      </c>
      <c r="DU377" s="2">
        <f t="shared" si="6289"/>
        <v>0</v>
      </c>
      <c r="DV377" s="2">
        <f t="shared" si="6289"/>
        <v>0</v>
      </c>
      <c r="DW377" s="2">
        <f t="shared" si="6289"/>
        <v>1.4840204081632655</v>
      </c>
      <c r="DX377" s="2">
        <f t="shared" si="6289"/>
        <v>0</v>
      </c>
      <c r="DY377" s="2">
        <f t="shared" ref="DY377:EC377" si="6290">S377*$I377+AN377*$AD377+BI377*$AY377</f>
        <v>2308.4289979591836</v>
      </c>
      <c r="DZ377" s="2">
        <f t="shared" si="6290"/>
        <v>1989.9973836734689</v>
      </c>
      <c r="EA377" s="2">
        <f t="shared" si="6290"/>
        <v>309.08709183673466</v>
      </c>
      <c r="EB377" s="2">
        <f t="shared" si="6290"/>
        <v>0</v>
      </c>
      <c r="EC377" s="2">
        <f t="shared" si="6290"/>
        <v>0</v>
      </c>
      <c r="ED377" s="2">
        <f t="shared" ref="ED377:EE377" si="6291">(X377*$I377+AS377*$AD377+BN377*$AY377)/100</f>
        <v>0</v>
      </c>
      <c r="EE377" s="2">
        <f t="shared" si="6291"/>
        <v>0</v>
      </c>
      <c r="EF377" s="2"/>
      <c r="EG377" s="2">
        <f t="shared" si="4374"/>
        <v>0</v>
      </c>
      <c r="EH377" s="2">
        <f t="shared" si="4375"/>
        <v>0</v>
      </c>
      <c r="EI377" s="39">
        <f t="shared" si="4376"/>
        <v>3326.865577469388</v>
      </c>
      <c r="EJ377" s="39">
        <f t="shared" ref="EJ377:EK377" si="6292">EJ$1*DQ377/1000000</f>
        <v>6645.081668350942</v>
      </c>
      <c r="EK377" s="39">
        <f t="shared" si="6292"/>
        <v>0</v>
      </c>
      <c r="EL377" s="39">
        <f t="shared" ref="EL377:EQ377" si="6293">EL$1*DS377</f>
        <v>0</v>
      </c>
      <c r="EM377" s="39">
        <f t="shared" si="6293"/>
        <v>0</v>
      </c>
      <c r="EN377" s="39">
        <f t="shared" si="6293"/>
        <v>0</v>
      </c>
      <c r="EO377" s="39">
        <f t="shared" si="6293"/>
        <v>0</v>
      </c>
      <c r="EP377" s="39">
        <f t="shared" si="6293"/>
        <v>19461.443632653063</v>
      </c>
      <c r="EQ377" s="39">
        <f t="shared" si="6293"/>
        <v>0</v>
      </c>
      <c r="ER377" s="39">
        <f t="shared" ref="ER377:EV377" si="6294">ER$1*DY377/1000000</f>
        <v>65516.332454619056</v>
      </c>
      <c r="ES377" s="39">
        <f t="shared" si="6294"/>
        <v>66318.10251963645</v>
      </c>
      <c r="ET377" s="39">
        <f t="shared" si="6294"/>
        <v>22116.125577629766</v>
      </c>
      <c r="EU377" s="39">
        <f t="shared" si="6294"/>
        <v>0</v>
      </c>
      <c r="EV377" s="39">
        <f t="shared" si="6294"/>
        <v>0</v>
      </c>
      <c r="EW377" s="39">
        <f t="shared" ref="EW377:EX377" si="6295">EW$1*ED377</f>
        <v>0</v>
      </c>
      <c r="EX377" s="39">
        <f t="shared" si="6295"/>
        <v>0</v>
      </c>
      <c r="EY377" s="2"/>
      <c r="EZ377" s="39">
        <f t="shared" si="4381"/>
        <v>0</v>
      </c>
      <c r="FA377" s="39">
        <f t="shared" si="4382"/>
        <v>0</v>
      </c>
      <c r="FB377" s="2">
        <f t="shared" si="4383"/>
        <v>0</v>
      </c>
      <c r="FC377" s="2">
        <f t="shared" ref="FC377:FD377" si="6296">BV377*$BT377+CQ377*$CO377</f>
        <v>0</v>
      </c>
      <c r="FD377" s="2">
        <f t="shared" si="6296"/>
        <v>0</v>
      </c>
      <c r="FE377" s="2">
        <f t="shared" ref="FE377:FJ377" si="6297">(BX377*$BT377+CS377*$CO377)/100</f>
        <v>0</v>
      </c>
      <c r="FF377" s="2">
        <f t="shared" si="6297"/>
        <v>0</v>
      </c>
      <c r="FG377" s="2">
        <f t="shared" si="6297"/>
        <v>0</v>
      </c>
      <c r="FH377" s="2">
        <f t="shared" si="6297"/>
        <v>0</v>
      </c>
      <c r="FI377" s="2">
        <f t="shared" si="6297"/>
        <v>0</v>
      </c>
      <c r="FJ377" s="2">
        <f t="shared" si="6297"/>
        <v>0</v>
      </c>
      <c r="FK377" s="2">
        <f t="shared" ref="FK377:FO377" si="6298">CD377*$BT377+CY377*$CO377</f>
        <v>0</v>
      </c>
      <c r="FL377" s="2">
        <f t="shared" si="6298"/>
        <v>0</v>
      </c>
      <c r="FM377" s="2">
        <f t="shared" si="6298"/>
        <v>0</v>
      </c>
      <c r="FN377" s="2">
        <f t="shared" si="6298"/>
        <v>0</v>
      </c>
      <c r="FO377" s="2">
        <f t="shared" si="6298"/>
        <v>0</v>
      </c>
      <c r="FP377" s="2">
        <f t="shared" ref="FP377:FQ377" si="6299">(CI377*$BT377+DD377*$CO377)/100</f>
        <v>0</v>
      </c>
      <c r="FQ377" s="2">
        <f t="shared" si="6299"/>
        <v>0</v>
      </c>
      <c r="FR377" s="2"/>
      <c r="FS377" s="2">
        <f t="shared" si="4388"/>
        <v>0</v>
      </c>
      <c r="FT377" s="2">
        <f t="shared" si="4389"/>
        <v>0</v>
      </c>
      <c r="FU377" s="39">
        <f t="shared" si="4390"/>
        <v>0</v>
      </c>
      <c r="FV377" s="39">
        <f t="shared" ref="FV377:FW377" si="6300">FV$1*FC377/1000000</f>
        <v>0</v>
      </c>
      <c r="FW377" s="39">
        <f t="shared" si="6300"/>
        <v>0</v>
      </c>
      <c r="FX377" s="39">
        <f t="shared" ref="FX377:GC377" si="6301">FX$1*FE377</f>
        <v>0</v>
      </c>
      <c r="FY377" s="39">
        <f t="shared" si="6301"/>
        <v>0</v>
      </c>
      <c r="FZ377" s="39">
        <f t="shared" si="6301"/>
        <v>0</v>
      </c>
      <c r="GA377" s="39">
        <f t="shared" si="6301"/>
        <v>0</v>
      </c>
      <c r="GB377" s="39">
        <f t="shared" si="6301"/>
        <v>0</v>
      </c>
      <c r="GC377" s="39">
        <f t="shared" si="6301"/>
        <v>0</v>
      </c>
      <c r="GD377" s="39">
        <f t="shared" ref="GD377:GH377" si="6302">GD$1*FK377/1000000</f>
        <v>0</v>
      </c>
      <c r="GE377" s="39">
        <f t="shared" si="6302"/>
        <v>0</v>
      </c>
      <c r="GF377" s="39">
        <f t="shared" si="6302"/>
        <v>0</v>
      </c>
      <c r="GG377" s="39">
        <f t="shared" si="6302"/>
        <v>0</v>
      </c>
      <c r="GH377" s="39">
        <f t="shared" si="6302"/>
        <v>0</v>
      </c>
      <c r="GI377" s="39">
        <f t="shared" ref="GI377:GJ377" si="6303">GI$1*FP377</f>
        <v>0</v>
      </c>
      <c r="GJ377" s="39">
        <f t="shared" si="6303"/>
        <v>0</v>
      </c>
      <c r="GK377" s="2"/>
      <c r="GL377" s="39">
        <f t="shared" si="4395"/>
        <v>0</v>
      </c>
      <c r="GM377" s="39">
        <f t="shared" si="4396"/>
        <v>0</v>
      </c>
      <c r="GN377" s="2" t="s">
        <v>3</v>
      </c>
      <c r="GO377" s="15">
        <f t="shared" si="4397"/>
        <v>811.83673469387759</v>
      </c>
      <c r="GP377" s="4">
        <f t="shared" si="4398"/>
        <v>0.18279788838612368</v>
      </c>
      <c r="GQ377" s="15">
        <f t="shared" si="4399"/>
        <v>1484.0204081632653</v>
      </c>
      <c r="GR377" s="15">
        <f t="shared" si="4400"/>
        <v>183383.95143035869</v>
      </c>
      <c r="GS377" s="15">
        <f t="shared" si="4401"/>
        <v>225.88772297857153</v>
      </c>
      <c r="GT377" s="2">
        <f t="shared" si="4402"/>
        <v>523.28571428571433</v>
      </c>
      <c r="GU377" s="2">
        <f t="shared" si="4403"/>
        <v>252.32653061224491</v>
      </c>
      <c r="GV377" s="2">
        <f t="shared" si="4404"/>
        <v>708.40816326530626</v>
      </c>
      <c r="GW377" s="2">
        <f t="shared" si="4405"/>
        <v>0</v>
      </c>
      <c r="GX377" s="2"/>
      <c r="GY377" s="2"/>
      <c r="GZ377" s="2"/>
      <c r="HA377" s="2"/>
      <c r="HB377" s="2">
        <f t="shared" si="4406"/>
        <v>0</v>
      </c>
      <c r="HC377" s="2">
        <f t="shared" si="4407"/>
        <v>0</v>
      </c>
      <c r="HD377" s="2" t="s">
        <v>3</v>
      </c>
      <c r="HE377" s="2" t="s">
        <v>89</v>
      </c>
      <c r="HF377" s="2" t="s">
        <v>90</v>
      </c>
      <c r="HG377" s="2" t="s">
        <v>162</v>
      </c>
      <c r="HH377" s="2" t="s">
        <v>226</v>
      </c>
      <c r="HI377" s="2" t="s">
        <v>81</v>
      </c>
      <c r="HJ377" s="2" t="s">
        <v>3</v>
      </c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 t="s">
        <v>3</v>
      </c>
    </row>
    <row r="378" spans="1:268" ht="15.75" customHeight="1" x14ac:dyDescent="0.2">
      <c r="A378" s="16" t="s">
        <v>267</v>
      </c>
      <c r="B378" s="2"/>
      <c r="C378" s="2"/>
      <c r="D378" s="2"/>
      <c r="E378" s="2"/>
      <c r="F378" s="2" t="s">
        <v>268</v>
      </c>
      <c r="G378" s="2"/>
      <c r="H378" s="2"/>
      <c r="I378" s="2">
        <v>91.08</v>
      </c>
      <c r="J378" s="4">
        <v>6.0033267457180503E-2</v>
      </c>
      <c r="K378" s="4">
        <v>0.16056313303525299</v>
      </c>
      <c r="L378" s="2"/>
      <c r="M378" s="2"/>
      <c r="N378" s="2"/>
      <c r="O378" s="2"/>
      <c r="P378" s="2"/>
      <c r="Q378" s="4">
        <v>0.16629018445322793</v>
      </c>
      <c r="R378" s="2"/>
      <c r="S378" s="4">
        <v>2.3312439617612477</v>
      </c>
      <c r="T378" s="4">
        <v>1.2606898130769222</v>
      </c>
      <c r="U378" s="4">
        <v>0.25682076163744433</v>
      </c>
      <c r="V378" s="2"/>
      <c r="W378" s="2"/>
      <c r="X378" s="15">
        <v>8.5053562510443523</v>
      </c>
      <c r="Y378" s="2"/>
      <c r="Z378" s="2"/>
      <c r="AA378" s="2"/>
      <c r="AB378" s="2"/>
      <c r="AC378" s="2"/>
      <c r="AD378" s="2">
        <v>175.98999999999998</v>
      </c>
      <c r="AE378" s="4">
        <v>0.11083436558895393</v>
      </c>
      <c r="AF378" s="4">
        <v>0.15323857521325859</v>
      </c>
      <c r="AG378" s="2"/>
      <c r="AH378" s="2"/>
      <c r="AI378" s="2"/>
      <c r="AJ378" s="2"/>
      <c r="AK378" s="2"/>
      <c r="AL378" s="4">
        <v>0.1621258594238309</v>
      </c>
      <c r="AM378" s="2"/>
      <c r="AN378" s="4">
        <v>2.280886143572213</v>
      </c>
      <c r="AO378" s="4">
        <v>1.1638219094139775</v>
      </c>
      <c r="AP378" s="4">
        <v>0.24162571721453835</v>
      </c>
      <c r="AQ378" s="2"/>
      <c r="AR378" s="2"/>
      <c r="AS378" s="15">
        <v>10.222953972676045</v>
      </c>
      <c r="AT378" s="2"/>
      <c r="AU378" s="2"/>
      <c r="AV378" s="2"/>
      <c r="AW378" s="2"/>
      <c r="AX378" s="2"/>
      <c r="AY378" s="2">
        <v>455.51</v>
      </c>
      <c r="AZ378" s="4">
        <v>5.2055278698601576E-2</v>
      </c>
      <c r="BA378" s="4">
        <v>3.8135265601436145E-2</v>
      </c>
      <c r="BB378" s="2"/>
      <c r="BC378" s="2"/>
      <c r="BD378" s="2"/>
      <c r="BE378" s="2"/>
      <c r="BF378" s="2"/>
      <c r="BG378" s="4">
        <v>0.15235641369014952</v>
      </c>
      <c r="BH378" s="2"/>
      <c r="BI378" s="4">
        <v>1.5250470312246296</v>
      </c>
      <c r="BJ378" s="4">
        <v>0.81914405107175481</v>
      </c>
      <c r="BK378" s="4">
        <v>0.22222579144896226</v>
      </c>
      <c r="BL378" s="4"/>
      <c r="BM378" s="4"/>
      <c r="BN378" s="15">
        <v>11.13528783952847</v>
      </c>
      <c r="BO378" s="2"/>
      <c r="BP378" s="2"/>
      <c r="BQ378" s="2"/>
      <c r="BR378" s="2"/>
      <c r="BS378" s="2"/>
      <c r="BT378" s="2">
        <v>144.51999999999998</v>
      </c>
      <c r="BU378" s="4">
        <v>2.5338915029061722E-2</v>
      </c>
      <c r="BV378" s="4">
        <v>7.0567549982532174E-2</v>
      </c>
      <c r="BW378" s="2"/>
      <c r="BX378" s="2"/>
      <c r="BY378" s="2"/>
      <c r="BZ378" s="2"/>
      <c r="CA378" s="2"/>
      <c r="CB378" s="4">
        <v>0.10517264046498756</v>
      </c>
      <c r="CC378" s="2"/>
      <c r="CD378" s="4">
        <v>1.7151653053722211</v>
      </c>
      <c r="CE378" s="4">
        <v>0.88951044966242276</v>
      </c>
      <c r="CF378" s="4">
        <v>0.23992002393383474</v>
      </c>
      <c r="CG378" s="4"/>
      <c r="CH378" s="4"/>
      <c r="CI378" s="15">
        <v>11.741847295069661</v>
      </c>
      <c r="CJ378" s="2"/>
      <c r="CK378" s="2"/>
      <c r="CL378" s="2"/>
      <c r="CM378" s="2"/>
      <c r="CN378" s="2"/>
      <c r="CO378" s="2">
        <v>13.7</v>
      </c>
      <c r="CP378" s="4">
        <v>8.9999999999999993E-3</v>
      </c>
      <c r="CQ378" s="4">
        <v>2.6972729927007302E-2</v>
      </c>
      <c r="CR378" s="2"/>
      <c r="CS378" s="2"/>
      <c r="CT378" s="2"/>
      <c r="CU378" s="2"/>
      <c r="CV378" s="2"/>
      <c r="CW378" s="4">
        <v>8.2325547445255484E-2</v>
      </c>
      <c r="CX378" s="2"/>
      <c r="CY378" s="4">
        <v>1.7457691094890513</v>
      </c>
      <c r="CZ378" s="4">
        <v>0.90375497810218985</v>
      </c>
      <c r="DA378" s="4">
        <v>0.28376590948905106</v>
      </c>
      <c r="DB378" s="4"/>
      <c r="DC378" s="4"/>
      <c r="DD378" s="15">
        <v>14.814313835815117</v>
      </c>
      <c r="DE378" s="2"/>
      <c r="DF378" s="2"/>
      <c r="DG378" s="2"/>
      <c r="DH378" s="2"/>
      <c r="DI378" s="2"/>
      <c r="DJ378" s="2" t="s">
        <v>81</v>
      </c>
      <c r="DK378" s="2"/>
      <c r="DL378" s="2">
        <f t="shared" si="4367"/>
        <v>0.15649216695729196</v>
      </c>
      <c r="DM378" s="2">
        <f t="shared" si="4368"/>
        <v>0</v>
      </c>
      <c r="DN378" s="2" t="s">
        <v>211</v>
      </c>
      <c r="DO378" s="2" t="s">
        <v>3</v>
      </c>
      <c r="DP378" s="2">
        <f t="shared" si="4369"/>
        <v>0.48685270000000003</v>
      </c>
      <c r="DQ378" s="2">
        <f t="shared" ref="DQ378:DR378" si="6304">K378*$I378+AF378*$AD378+BA378*$AY378</f>
        <v>58.963541842742394</v>
      </c>
      <c r="DR378" s="2">
        <f t="shared" si="6304"/>
        <v>0</v>
      </c>
      <c r="DS378" s="2">
        <f t="shared" ref="DS378:DX378" si="6305">(M378*$I378+AH378*$AD378+BC378*$AY378)/100</f>
        <v>0</v>
      </c>
      <c r="DT378" s="2">
        <f t="shared" si="6305"/>
        <v>0</v>
      </c>
      <c r="DU378" s="2">
        <f t="shared" si="6305"/>
        <v>0</v>
      </c>
      <c r="DV378" s="2">
        <f t="shared" si="6305"/>
        <v>0</v>
      </c>
      <c r="DW378" s="2">
        <f t="shared" si="6305"/>
        <v>1.1307811000000001</v>
      </c>
      <c r="DX378" s="2">
        <f t="shared" si="6305"/>
        <v>0</v>
      </c>
      <c r="DY378" s="2">
        <f t="shared" ref="DY378:EC378" si="6306">S378*$I378+AN378*$AD378+BI378*$AY378</f>
        <v>1308.4170256376192</v>
      </c>
      <c r="DZ378" s="2">
        <f t="shared" si="6306"/>
        <v>692.77295271650701</v>
      </c>
      <c r="EA378" s="2">
        <f t="shared" si="6306"/>
        <v>167.14101520544182</v>
      </c>
      <c r="EB378" s="2">
        <f t="shared" si="6306"/>
        <v>0</v>
      </c>
      <c r="EC378" s="2">
        <f t="shared" si="6306"/>
        <v>0</v>
      </c>
      <c r="ED378" s="2">
        <f t="shared" ref="ED378:EE378" si="6307">(X378*$I378+AS378*$AD378+BN378*$AY378)/100</f>
        <v>76.46040480779989</v>
      </c>
      <c r="EE378" s="2">
        <f t="shared" si="6307"/>
        <v>0</v>
      </c>
      <c r="EF378" s="2"/>
      <c r="EG378" s="2">
        <f t="shared" si="4374"/>
        <v>0</v>
      </c>
      <c r="EH378" s="2">
        <f t="shared" si="4375"/>
        <v>0</v>
      </c>
      <c r="EI378" s="39">
        <f t="shared" si="4376"/>
        <v>3177.0137687632</v>
      </c>
      <c r="EJ378" s="39">
        <f t="shared" ref="EJ378:EK378" si="6308">EJ$1*DQ378/1000000</f>
        <v>2411.627820706377</v>
      </c>
      <c r="EK378" s="39">
        <f t="shared" si="6308"/>
        <v>0</v>
      </c>
      <c r="EL378" s="39">
        <f t="shared" ref="EL378:EQ378" si="6309">EL$1*DS378</f>
        <v>0</v>
      </c>
      <c r="EM378" s="39">
        <f t="shared" si="6309"/>
        <v>0</v>
      </c>
      <c r="EN378" s="39">
        <f t="shared" si="6309"/>
        <v>0</v>
      </c>
      <c r="EO378" s="39">
        <f t="shared" si="6309"/>
        <v>0</v>
      </c>
      <c r="EP378" s="39">
        <f t="shared" si="6309"/>
        <v>14829.063345400002</v>
      </c>
      <c r="EQ378" s="39">
        <f t="shared" si="6309"/>
        <v>0</v>
      </c>
      <c r="ER378" s="39">
        <f t="shared" ref="ER378:EV378" si="6310">ER$1*DY378/1000000</f>
        <v>37134.642181649542</v>
      </c>
      <c r="ES378" s="39">
        <f t="shared" si="6310"/>
        <v>23087.159851574579</v>
      </c>
      <c r="ET378" s="39">
        <f t="shared" si="6310"/>
        <v>11959.45019732057</v>
      </c>
      <c r="EU378" s="39">
        <f t="shared" si="6310"/>
        <v>0</v>
      </c>
      <c r="EV378" s="39">
        <f t="shared" si="6310"/>
        <v>0</v>
      </c>
      <c r="EW378" s="39">
        <f t="shared" ref="EW378:EX378" si="6311">EW$1*ED378</f>
        <v>21332.45294137617</v>
      </c>
      <c r="EX378" s="39">
        <f t="shared" si="6311"/>
        <v>0</v>
      </c>
      <c r="EY378" s="2"/>
      <c r="EZ378" s="39">
        <f t="shared" si="4381"/>
        <v>0</v>
      </c>
      <c r="FA378" s="39">
        <f t="shared" si="4382"/>
        <v>0</v>
      </c>
      <c r="FB378" s="2">
        <f t="shared" si="4383"/>
        <v>3.7852799999999999E-2</v>
      </c>
      <c r="FC378" s="2">
        <f t="shared" ref="FC378:FD378" si="6312">BV378*$BT378+CQ378*$CO378</f>
        <v>10.567948723475549</v>
      </c>
      <c r="FD378" s="2">
        <f t="shared" si="6312"/>
        <v>0</v>
      </c>
      <c r="FE378" s="2">
        <f t="shared" ref="FE378:FJ378" si="6313">(BX378*$BT378+CS378*$CO378)/100</f>
        <v>0</v>
      </c>
      <c r="FF378" s="2">
        <f t="shared" si="6313"/>
        <v>0</v>
      </c>
      <c r="FG378" s="2">
        <f t="shared" si="6313"/>
        <v>0</v>
      </c>
      <c r="FH378" s="2">
        <f t="shared" si="6313"/>
        <v>0</v>
      </c>
      <c r="FI378" s="2">
        <f t="shared" si="6313"/>
        <v>0.16327410000000001</v>
      </c>
      <c r="FJ378" s="2">
        <f t="shared" si="6313"/>
        <v>0</v>
      </c>
      <c r="FK378" s="2">
        <f t="shared" ref="FK378:FO378" si="6314">CD378*$BT378+CY378*$CO378</f>
        <v>271.79272673239336</v>
      </c>
      <c r="FL378" s="2">
        <f t="shared" si="6314"/>
        <v>140.93349338521332</v>
      </c>
      <c r="FM378" s="2">
        <f t="shared" si="6314"/>
        <v>38.56083481891779</v>
      </c>
      <c r="FN378" s="2">
        <f t="shared" si="6314"/>
        <v>0</v>
      </c>
      <c r="FO378" s="2">
        <f t="shared" si="6314"/>
        <v>0</v>
      </c>
      <c r="FP378" s="2">
        <f t="shared" ref="FP378:FQ378" si="6315">(CI378*$BT378+DD378*$CO378)/100</f>
        <v>18.998878706341344</v>
      </c>
      <c r="FQ378" s="2">
        <f t="shared" si="6315"/>
        <v>0</v>
      </c>
      <c r="FR378" s="2"/>
      <c r="FS378" s="2">
        <f t="shared" si="4388"/>
        <v>0</v>
      </c>
      <c r="FT378" s="2">
        <f t="shared" si="4389"/>
        <v>0</v>
      </c>
      <c r="FU378" s="39">
        <f t="shared" si="4390"/>
        <v>247.01283732479999</v>
      </c>
      <c r="FV378" s="39">
        <f t="shared" ref="FV378:FW378" si="6316">FV$1*FC378/1000000</f>
        <v>432.23250084440184</v>
      </c>
      <c r="FW378" s="39">
        <f t="shared" si="6316"/>
        <v>0</v>
      </c>
      <c r="FX378" s="39">
        <f t="shared" ref="FX378:GC378" si="6317">FX$1*FE378</f>
        <v>0</v>
      </c>
      <c r="FY378" s="39">
        <f t="shared" si="6317"/>
        <v>0</v>
      </c>
      <c r="FZ378" s="39">
        <f t="shared" si="6317"/>
        <v>0</v>
      </c>
      <c r="GA378" s="39">
        <f t="shared" si="6317"/>
        <v>0</v>
      </c>
      <c r="GB378" s="39">
        <f t="shared" si="6317"/>
        <v>2141.1765473999999</v>
      </c>
      <c r="GC378" s="39">
        <f t="shared" si="6317"/>
        <v>0</v>
      </c>
      <c r="GD378" s="39">
        <f t="shared" ref="GD378:GH378" si="6318">GD$1*FK378/1000000</f>
        <v>7713.8446359361506</v>
      </c>
      <c r="GE378" s="39">
        <f t="shared" si="6318"/>
        <v>4696.7106285928185</v>
      </c>
      <c r="GF378" s="39">
        <f t="shared" si="6318"/>
        <v>2759.1455216250088</v>
      </c>
      <c r="GG378" s="39">
        <f t="shared" si="6318"/>
        <v>0</v>
      </c>
      <c r="GH378" s="39">
        <f t="shared" si="6318"/>
        <v>0</v>
      </c>
      <c r="GI378" s="39">
        <f t="shared" ref="GI378:GJ378" si="6319">GI$1*FP378</f>
        <v>5300.6871590692353</v>
      </c>
      <c r="GJ378" s="39">
        <f t="shared" si="6319"/>
        <v>0</v>
      </c>
      <c r="GK378" s="2"/>
      <c r="GL378" s="39">
        <f t="shared" si="4395"/>
        <v>0</v>
      </c>
      <c r="GM378" s="39">
        <f t="shared" si="4396"/>
        <v>0</v>
      </c>
      <c r="GN378" s="2" t="s">
        <v>3</v>
      </c>
      <c r="GO378" s="15">
        <f t="shared" si="4397"/>
        <v>722.57999999999993</v>
      </c>
      <c r="GP378" s="4">
        <f t="shared" si="4398"/>
        <v>0.15649216695729196</v>
      </c>
      <c r="GQ378" s="15">
        <f t="shared" si="4399"/>
        <v>1130.7810999999999</v>
      </c>
      <c r="GR378" s="15">
        <f t="shared" si="4400"/>
        <v>113931.41010679043</v>
      </c>
      <c r="GS378" s="15">
        <f t="shared" si="4401"/>
        <v>157.67307440946391</v>
      </c>
      <c r="GT378" s="2">
        <f t="shared" si="4402"/>
        <v>151.4571</v>
      </c>
      <c r="GU378" s="2">
        <f t="shared" si="4403"/>
        <v>285.32529999999997</v>
      </c>
      <c r="GV378" s="2">
        <f t="shared" si="4404"/>
        <v>693.9987000000001</v>
      </c>
      <c r="GW378" s="2">
        <f t="shared" si="4405"/>
        <v>158.21999999999997</v>
      </c>
      <c r="GX378" s="4">
        <f t="shared" ref="GX378:GX380" si="6320">(BT378*CB378+CO378*CW378)/GW378</f>
        <v>0.10319434963974215</v>
      </c>
      <c r="GY378" s="15">
        <f t="shared" ref="GY378:GY380" si="6321">1000*GW378*GX378/100</f>
        <v>163.2741</v>
      </c>
      <c r="GZ378" s="15">
        <f t="shared" ref="GZ378:GZ380" si="6322">SUM(FU378:GM378)</f>
        <v>23290.809830792416</v>
      </c>
      <c r="HA378" s="15">
        <f t="shared" ref="HA378:HA380" si="6323">GZ378/GW378</f>
        <v>147.20521950949578</v>
      </c>
      <c r="HB378" s="2">
        <f t="shared" si="4406"/>
        <v>151.99550000000002</v>
      </c>
      <c r="HC378" s="2">
        <f t="shared" si="4407"/>
        <v>11.278600000000001</v>
      </c>
      <c r="HD378" s="2" t="s">
        <v>3</v>
      </c>
      <c r="HE378" s="2" t="s">
        <v>89</v>
      </c>
      <c r="HF378" s="2" t="s">
        <v>90</v>
      </c>
      <c r="HG378" s="2" t="s">
        <v>162</v>
      </c>
      <c r="HH378" s="2" t="s">
        <v>226</v>
      </c>
      <c r="HI378" s="2" t="s">
        <v>81</v>
      </c>
      <c r="HJ378" s="2" t="s">
        <v>3</v>
      </c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 t="s">
        <v>3</v>
      </c>
    </row>
    <row r="379" spans="1:268" ht="15.75" customHeight="1" x14ac:dyDescent="0.2">
      <c r="A379" s="16" t="s">
        <v>1003</v>
      </c>
      <c r="B379" s="2"/>
      <c r="C379" s="2"/>
      <c r="D379" s="2"/>
      <c r="E379" s="2"/>
      <c r="F379" s="2" t="s">
        <v>511</v>
      </c>
      <c r="G379" s="2"/>
      <c r="H379" s="2"/>
      <c r="I379" s="2">
        <v>0.4</v>
      </c>
      <c r="J379" s="4">
        <v>1.2E-2</v>
      </c>
      <c r="K379" s="4">
        <v>0.06</v>
      </c>
      <c r="L379" s="2"/>
      <c r="M379" s="2"/>
      <c r="N379" s="2"/>
      <c r="O379" s="2"/>
      <c r="P379" s="2"/>
      <c r="Q379" s="4">
        <v>4.3999999999999997E-2</v>
      </c>
      <c r="R379" s="2"/>
      <c r="S379" s="4">
        <v>2.4500000000000002</v>
      </c>
      <c r="T379" s="4">
        <v>1.21</v>
      </c>
      <c r="U379" s="4">
        <v>0.42</v>
      </c>
      <c r="V379" s="2"/>
      <c r="W379" s="2"/>
      <c r="X379" s="2"/>
      <c r="Y379" s="2"/>
      <c r="Z379" s="2"/>
      <c r="AA379" s="2"/>
      <c r="AB379" s="2"/>
      <c r="AC379" s="2"/>
      <c r="AD379" s="2">
        <v>68.300000000000011</v>
      </c>
      <c r="AE379" s="4">
        <v>2.2102489019033677E-2</v>
      </c>
      <c r="AF379" s="4">
        <v>6.9999999999999993E-2</v>
      </c>
      <c r="AG379" s="2"/>
      <c r="AH379" s="2"/>
      <c r="AI379" s="2"/>
      <c r="AJ379" s="2"/>
      <c r="AK379" s="2"/>
      <c r="AL379" s="4">
        <v>0.10916251830161053</v>
      </c>
      <c r="AM379" s="2"/>
      <c r="AN379" s="4">
        <v>1.6506002928257686</v>
      </c>
      <c r="AO379" s="4">
        <v>0.79999999999999982</v>
      </c>
      <c r="AP379" s="4">
        <v>0.22734992679355784</v>
      </c>
      <c r="AQ379" s="4"/>
      <c r="AR379" s="4"/>
      <c r="AS379" s="2"/>
      <c r="AT379" s="2"/>
      <c r="AU379" s="2"/>
      <c r="AV379" s="2"/>
      <c r="AW379" s="2"/>
      <c r="AX379" s="2"/>
      <c r="AY379" s="2">
        <v>60</v>
      </c>
      <c r="AZ379" s="4">
        <v>2.2766666666666664E-2</v>
      </c>
      <c r="BA379" s="4">
        <v>6.3866666666666669E-2</v>
      </c>
      <c r="BB379" s="2"/>
      <c r="BC379" s="2"/>
      <c r="BD379" s="2"/>
      <c r="BE379" s="2"/>
      <c r="BF379" s="2"/>
      <c r="BG379" s="4">
        <v>0.11237499999999999</v>
      </c>
      <c r="BH379" s="2"/>
      <c r="BI379" s="4">
        <v>1.1467666666666667</v>
      </c>
      <c r="BJ379" s="4">
        <v>0.65839999999999999</v>
      </c>
      <c r="BK379" s="4">
        <v>0.14170000000000002</v>
      </c>
      <c r="BL379" s="2"/>
      <c r="BM379" s="2"/>
      <c r="BN379" s="2"/>
      <c r="BO379" s="2"/>
      <c r="BP379" s="2"/>
      <c r="BQ379" s="2"/>
      <c r="BR379" s="2"/>
      <c r="BS379" s="2"/>
      <c r="BT379" s="2">
        <v>0</v>
      </c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>
        <v>40.5</v>
      </c>
      <c r="CP379" s="4">
        <v>1.2E-2</v>
      </c>
      <c r="CQ379" s="4">
        <v>4.3954197530864193E-2</v>
      </c>
      <c r="CR379" s="2"/>
      <c r="CS379" s="2"/>
      <c r="CT379" s="2"/>
      <c r="CU379" s="2"/>
      <c r="CV379" s="2"/>
      <c r="CW379" s="4">
        <v>4.3999999999999997E-2</v>
      </c>
      <c r="CX379" s="2"/>
      <c r="CY379" s="4">
        <v>1.8150632098765433</v>
      </c>
      <c r="CZ379" s="4">
        <v>0.89604469135802456</v>
      </c>
      <c r="DA379" s="4">
        <v>0.31066956790123457</v>
      </c>
      <c r="DB379" s="2"/>
      <c r="DC379" s="2"/>
      <c r="DD379" s="2"/>
      <c r="DE379" s="2"/>
      <c r="DF379" s="2"/>
      <c r="DG379" s="2"/>
      <c r="DH379" s="2"/>
      <c r="DI379" s="2"/>
      <c r="DJ379" s="2" t="s">
        <v>81</v>
      </c>
      <c r="DK379" s="2"/>
      <c r="DL379" s="2">
        <f t="shared" si="4367"/>
        <v>0.11045765345765345</v>
      </c>
      <c r="DM379" s="2">
        <f t="shared" si="4368"/>
        <v>0</v>
      </c>
      <c r="DN379" s="2" t="s">
        <v>512</v>
      </c>
      <c r="DO379" s="2" t="s">
        <v>3</v>
      </c>
      <c r="DP379" s="2">
        <f t="shared" si="4369"/>
        <v>2.8804E-2</v>
      </c>
      <c r="DQ379" s="2">
        <f t="shared" ref="DQ379:DR379" si="6324">K379*$I379+AF379*$AD379+BA379*$AY379</f>
        <v>8.6370000000000005</v>
      </c>
      <c r="DR379" s="2">
        <f t="shared" si="6324"/>
        <v>0</v>
      </c>
      <c r="DS379" s="2">
        <f t="shared" ref="DS379:DX379" si="6325">(M379*$I379+AH379*$AD379+BC379*$AY379)/100</f>
        <v>0</v>
      </c>
      <c r="DT379" s="2">
        <f t="shared" si="6325"/>
        <v>0</v>
      </c>
      <c r="DU379" s="2">
        <f t="shared" si="6325"/>
        <v>0</v>
      </c>
      <c r="DV379" s="2">
        <f t="shared" si="6325"/>
        <v>0</v>
      </c>
      <c r="DW379" s="2">
        <f t="shared" si="6325"/>
        <v>0.14215900000000001</v>
      </c>
      <c r="DX379" s="2">
        <f t="shared" si="6325"/>
        <v>0</v>
      </c>
      <c r="DY379" s="2">
        <f t="shared" ref="DY379:EC379" si="6326">S379*$I379+AN379*$AD379+BI379*$AY379</f>
        <v>182.52200000000002</v>
      </c>
      <c r="DZ379" s="2">
        <f t="shared" si="6326"/>
        <v>94.627999999999986</v>
      </c>
      <c r="EA379" s="2">
        <f t="shared" si="6326"/>
        <v>24.198</v>
      </c>
      <c r="EB379" s="2">
        <f t="shared" si="6326"/>
        <v>0</v>
      </c>
      <c r="EC379" s="2">
        <f t="shared" si="6326"/>
        <v>0</v>
      </c>
      <c r="ED379" s="2">
        <f t="shared" ref="ED379:EE379" si="6327">(X379*$I379+AS379*$AD379+BN379*$AY379)/100</f>
        <v>0</v>
      </c>
      <c r="EE379" s="2">
        <f t="shared" si="6327"/>
        <v>0</v>
      </c>
      <c r="EF379" s="2"/>
      <c r="EG379" s="2">
        <f t="shared" si="4374"/>
        <v>0</v>
      </c>
      <c r="EH379" s="2">
        <f t="shared" si="4375"/>
        <v>0</v>
      </c>
      <c r="EI379" s="39">
        <f t="shared" si="4376"/>
        <v>187.96384326399999</v>
      </c>
      <c r="EJ379" s="39">
        <f t="shared" ref="EJ379:EK379" si="6328">EJ$1*DQ379/1000000</f>
        <v>353.25607717041805</v>
      </c>
      <c r="EK379" s="39">
        <f t="shared" si="6328"/>
        <v>0</v>
      </c>
      <c r="EL379" s="39">
        <f t="shared" ref="EL379:EQ379" si="6329">EL$1*DS379</f>
        <v>0</v>
      </c>
      <c r="EM379" s="39">
        <f t="shared" si="6329"/>
        <v>0</v>
      </c>
      <c r="EN379" s="39">
        <f t="shared" si="6329"/>
        <v>0</v>
      </c>
      <c r="EO379" s="39">
        <f t="shared" si="6329"/>
        <v>0</v>
      </c>
      <c r="EP379" s="39">
        <f t="shared" si="6329"/>
        <v>1864.273126</v>
      </c>
      <c r="EQ379" s="39">
        <f t="shared" si="6329"/>
        <v>0</v>
      </c>
      <c r="ER379" s="39">
        <f t="shared" ref="ER379:EV379" si="6330">ER$1*DY379/1000000</f>
        <v>5180.2208527331186</v>
      </c>
      <c r="ES379" s="39">
        <f t="shared" si="6330"/>
        <v>3153.5465607717038</v>
      </c>
      <c r="ET379" s="39">
        <f t="shared" si="6330"/>
        <v>1731.4408167202575</v>
      </c>
      <c r="EU379" s="39">
        <f t="shared" si="6330"/>
        <v>0</v>
      </c>
      <c r="EV379" s="39">
        <f t="shared" si="6330"/>
        <v>0</v>
      </c>
      <c r="EW379" s="39">
        <f t="shared" ref="EW379:EX379" si="6331">EW$1*ED379</f>
        <v>0</v>
      </c>
      <c r="EX379" s="39">
        <f t="shared" si="6331"/>
        <v>0</v>
      </c>
      <c r="EY379" s="2"/>
      <c r="EZ379" s="39">
        <f t="shared" si="4381"/>
        <v>0</v>
      </c>
      <c r="FA379" s="39">
        <f t="shared" si="4382"/>
        <v>0</v>
      </c>
      <c r="FB379" s="2">
        <f t="shared" si="4383"/>
        <v>4.8599999999999997E-3</v>
      </c>
      <c r="FC379" s="2">
        <f t="shared" ref="FC379:FD379" si="6332">BV379*$BT379+CQ379*$CO379</f>
        <v>1.7801449999999999</v>
      </c>
      <c r="FD379" s="2">
        <f t="shared" si="6332"/>
        <v>0</v>
      </c>
      <c r="FE379" s="2">
        <f t="shared" ref="FE379:FJ379" si="6333">(BX379*$BT379+CS379*$CO379)/100</f>
        <v>0</v>
      </c>
      <c r="FF379" s="2">
        <f t="shared" si="6333"/>
        <v>0</v>
      </c>
      <c r="FG379" s="2">
        <f t="shared" si="6333"/>
        <v>0</v>
      </c>
      <c r="FH379" s="2">
        <f t="shared" si="6333"/>
        <v>0</v>
      </c>
      <c r="FI379" s="2">
        <f t="shared" si="6333"/>
        <v>1.7819999999999999E-2</v>
      </c>
      <c r="FJ379" s="2">
        <f t="shared" si="6333"/>
        <v>0</v>
      </c>
      <c r="FK379" s="2">
        <f t="shared" ref="FK379:FO379" si="6334">CD379*$BT379+CY379*$CO379</f>
        <v>73.51006000000001</v>
      </c>
      <c r="FL379" s="2">
        <f t="shared" si="6334"/>
        <v>36.289809999999996</v>
      </c>
      <c r="FM379" s="2">
        <f t="shared" si="6334"/>
        <v>12.582117500000001</v>
      </c>
      <c r="FN379" s="2">
        <f t="shared" si="6334"/>
        <v>0</v>
      </c>
      <c r="FO379" s="2">
        <f t="shared" si="6334"/>
        <v>0</v>
      </c>
      <c r="FP379" s="2">
        <f t="shared" ref="FP379:FQ379" si="6335">(CI379*$BT379+DD379*$CO379)/100</f>
        <v>0</v>
      </c>
      <c r="FQ379" s="2">
        <f t="shared" si="6335"/>
        <v>0</v>
      </c>
      <c r="FR379" s="2"/>
      <c r="FS379" s="2">
        <f t="shared" si="4388"/>
        <v>0</v>
      </c>
      <c r="FT379" s="2">
        <f t="shared" si="4389"/>
        <v>0</v>
      </c>
      <c r="FU379" s="39">
        <f t="shared" si="4390"/>
        <v>31.71449376</v>
      </c>
      <c r="FV379" s="39">
        <f t="shared" ref="FV379:FW379" si="6336">FV$1*FC379/1000000</f>
        <v>72.808502893890662</v>
      </c>
      <c r="FW379" s="39">
        <f t="shared" si="6336"/>
        <v>0</v>
      </c>
      <c r="FX379" s="39">
        <f t="shared" ref="FX379:GC379" si="6337">FX$1*FE379</f>
        <v>0</v>
      </c>
      <c r="FY379" s="39">
        <f t="shared" si="6337"/>
        <v>0</v>
      </c>
      <c r="FZ379" s="39">
        <f t="shared" si="6337"/>
        <v>0</v>
      </c>
      <c r="GA379" s="39">
        <f t="shared" si="6337"/>
        <v>0</v>
      </c>
      <c r="GB379" s="39">
        <f t="shared" si="6337"/>
        <v>233.69147999999998</v>
      </c>
      <c r="GC379" s="39">
        <f t="shared" si="6337"/>
        <v>0</v>
      </c>
      <c r="GD379" s="39">
        <f t="shared" ref="GD379:GH379" si="6338">GD$1*FK379/1000000</f>
        <v>2086.3147768360127</v>
      </c>
      <c r="GE379" s="39">
        <f t="shared" si="6338"/>
        <v>1209.3841729356911</v>
      </c>
      <c r="GF379" s="39">
        <f t="shared" si="6338"/>
        <v>900.28894124598082</v>
      </c>
      <c r="GG379" s="39">
        <f t="shared" si="6338"/>
        <v>0</v>
      </c>
      <c r="GH379" s="39">
        <f t="shared" si="6338"/>
        <v>0</v>
      </c>
      <c r="GI379" s="39">
        <f t="shared" ref="GI379:GJ379" si="6339">GI$1*FP379</f>
        <v>0</v>
      </c>
      <c r="GJ379" s="39">
        <f t="shared" si="6339"/>
        <v>0</v>
      </c>
      <c r="GK379" s="2"/>
      <c r="GL379" s="39">
        <f t="shared" si="4395"/>
        <v>0</v>
      </c>
      <c r="GM379" s="39">
        <f t="shared" si="4396"/>
        <v>0</v>
      </c>
      <c r="GN379" s="2" t="s">
        <v>3</v>
      </c>
      <c r="GO379" s="2">
        <f t="shared" si="4397"/>
        <v>128.70000000000002</v>
      </c>
      <c r="GP379" s="4">
        <f t="shared" si="4398"/>
        <v>0.11045765345765345</v>
      </c>
      <c r="GQ379" s="15">
        <f t="shared" si="4399"/>
        <v>142.15899999999999</v>
      </c>
      <c r="GR379" s="15">
        <f t="shared" si="4400"/>
        <v>12470.701276659498</v>
      </c>
      <c r="GS379" s="15">
        <f t="shared" si="4401"/>
        <v>96.897445817090102</v>
      </c>
      <c r="GT379" s="2">
        <f t="shared" si="4402"/>
        <v>0.17600000000000002</v>
      </c>
      <c r="GU379" s="2">
        <f t="shared" si="4403"/>
        <v>74.558000000000007</v>
      </c>
      <c r="GV379" s="2">
        <f t="shared" si="4404"/>
        <v>67.424999999999997</v>
      </c>
      <c r="GW379" s="2">
        <f t="shared" si="4405"/>
        <v>40.5</v>
      </c>
      <c r="GX379" s="2">
        <f t="shared" si="6320"/>
        <v>4.3999999999999997E-2</v>
      </c>
      <c r="GY379" s="15">
        <f t="shared" si="6321"/>
        <v>17.82</v>
      </c>
      <c r="GZ379" s="15">
        <f t="shared" si="6322"/>
        <v>4534.2023676715753</v>
      </c>
      <c r="HA379" s="15">
        <f t="shared" si="6323"/>
        <v>111.9556140165821</v>
      </c>
      <c r="HB379" s="2">
        <f t="shared" si="4406"/>
        <v>0</v>
      </c>
      <c r="HC379" s="2">
        <f t="shared" si="4407"/>
        <v>17.819999999999997</v>
      </c>
      <c r="HD379" s="2" t="s">
        <v>3</v>
      </c>
      <c r="HE379" s="2" t="s">
        <v>89</v>
      </c>
      <c r="HF379" s="2" t="s">
        <v>90</v>
      </c>
      <c r="HG379" s="2" t="s">
        <v>162</v>
      </c>
      <c r="HH379" s="2" t="s">
        <v>92</v>
      </c>
      <c r="HI379" s="2" t="s">
        <v>81</v>
      </c>
      <c r="HJ379" s="2" t="s">
        <v>3</v>
      </c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 t="s">
        <v>3</v>
      </c>
    </row>
    <row r="380" spans="1:268" ht="15.75" customHeight="1" x14ac:dyDescent="0.2">
      <c r="A380" s="16" t="s">
        <v>839</v>
      </c>
      <c r="B380" s="2" t="s">
        <v>109</v>
      </c>
      <c r="C380" s="2"/>
      <c r="D380" s="2"/>
      <c r="E380" s="2"/>
      <c r="F380" s="2" t="s">
        <v>145</v>
      </c>
      <c r="G380" s="2"/>
      <c r="H380" s="2"/>
      <c r="I380" s="3">
        <v>1067.7</v>
      </c>
      <c r="J380" s="4">
        <v>0.1</v>
      </c>
      <c r="K380" s="4">
        <v>0.1794</v>
      </c>
      <c r="L380" s="2"/>
      <c r="M380" s="2"/>
      <c r="N380" s="2"/>
      <c r="O380" s="2"/>
      <c r="P380" s="2"/>
      <c r="Q380" s="2">
        <v>0.19</v>
      </c>
      <c r="R380" s="2"/>
      <c r="S380" s="4">
        <v>1.16472</v>
      </c>
      <c r="T380" s="4">
        <v>1.3303199999999999</v>
      </c>
      <c r="U380" s="4">
        <v>8.5559999999999997E-2</v>
      </c>
      <c r="V380" s="4"/>
      <c r="W380" s="4"/>
      <c r="X380" s="2"/>
      <c r="Y380" s="2"/>
      <c r="Z380" s="2"/>
      <c r="AA380" s="2"/>
      <c r="AB380" s="2"/>
      <c r="AC380" s="2"/>
      <c r="AD380" s="3">
        <v>1789.2</v>
      </c>
      <c r="AE380" s="4">
        <v>0.1</v>
      </c>
      <c r="AF380" s="4">
        <v>0.15859999999999999</v>
      </c>
      <c r="AG380" s="2"/>
      <c r="AH380" s="2"/>
      <c r="AI380" s="2"/>
      <c r="AJ380" s="2"/>
      <c r="AK380" s="2"/>
      <c r="AL380" s="2">
        <v>0.19</v>
      </c>
      <c r="AM380" s="2"/>
      <c r="AN380" s="4">
        <v>1.0296799999999999</v>
      </c>
      <c r="AO380" s="4">
        <v>1.17608</v>
      </c>
      <c r="AP380" s="4">
        <v>7.5639999999999999E-2</v>
      </c>
      <c r="AQ380" s="4"/>
      <c r="AR380" s="4"/>
      <c r="AS380" s="2"/>
      <c r="AT380" s="2"/>
      <c r="AU380" s="2"/>
      <c r="AV380" s="2"/>
      <c r="AW380" s="2"/>
      <c r="AX380" s="2"/>
      <c r="AY380" s="2">
        <v>826.6</v>
      </c>
      <c r="AZ380" s="4">
        <v>0.1</v>
      </c>
      <c r="BA380" s="4">
        <v>0.14235</v>
      </c>
      <c r="BB380" s="2"/>
      <c r="BC380" s="2"/>
      <c r="BD380" s="2"/>
      <c r="BE380" s="2"/>
      <c r="BF380" s="2"/>
      <c r="BG380" s="2">
        <v>0.19</v>
      </c>
      <c r="BH380" s="2"/>
      <c r="BI380" s="4">
        <v>0.92418</v>
      </c>
      <c r="BJ380" s="4">
        <v>1.05558</v>
      </c>
      <c r="BK380" s="4">
        <v>6.7889999999999992E-2</v>
      </c>
      <c r="BL380" s="4"/>
      <c r="BM380" s="4"/>
      <c r="BN380" s="2"/>
      <c r="BO380" s="2"/>
      <c r="BP380" s="2"/>
      <c r="BQ380" s="2"/>
      <c r="BR380" s="2"/>
      <c r="BS380" s="2"/>
      <c r="BT380" s="2">
        <v>750.9</v>
      </c>
      <c r="BU380" s="4">
        <v>0.1</v>
      </c>
      <c r="BV380" s="4">
        <v>0.1976</v>
      </c>
      <c r="BW380" s="2"/>
      <c r="BX380" s="2"/>
      <c r="BY380" s="2"/>
      <c r="BZ380" s="2"/>
      <c r="CA380" s="2"/>
      <c r="CB380" s="2">
        <v>0.19</v>
      </c>
      <c r="CC380" s="2"/>
      <c r="CD380" s="4">
        <v>1.28288</v>
      </c>
      <c r="CE380" s="4">
        <v>1.4652799999999999</v>
      </c>
      <c r="CF380" s="4">
        <v>9.4240000000000004E-2</v>
      </c>
      <c r="CG380" s="4"/>
      <c r="CH380" s="4"/>
      <c r="CI380" s="2"/>
      <c r="CJ380" s="2"/>
      <c r="CK380" s="2"/>
      <c r="CL380" s="2"/>
      <c r="CM380" s="2"/>
      <c r="CN380" s="2"/>
      <c r="CO380" s="2">
        <v>449.4</v>
      </c>
      <c r="CP380" s="4">
        <v>0.1</v>
      </c>
      <c r="CQ380" s="4">
        <v>0.20085</v>
      </c>
      <c r="CR380" s="2"/>
      <c r="CS380" s="2"/>
      <c r="CT380" s="2"/>
      <c r="CU380" s="2"/>
      <c r="CV380" s="2"/>
      <c r="CW380" s="2">
        <v>0.19</v>
      </c>
      <c r="CX380" s="2"/>
      <c r="CY380" s="4">
        <v>1.3039799999999999</v>
      </c>
      <c r="CZ380" s="4">
        <v>1.4893799999999999</v>
      </c>
      <c r="DA380" s="4">
        <v>9.579E-2</v>
      </c>
      <c r="DB380" s="4"/>
      <c r="DC380" s="4"/>
      <c r="DD380" s="2"/>
      <c r="DE380" s="2"/>
      <c r="DF380" s="2"/>
      <c r="DG380" s="2"/>
      <c r="DH380" s="2"/>
      <c r="DI380" s="2"/>
      <c r="DJ380" s="2" t="s">
        <v>81</v>
      </c>
      <c r="DK380" s="2"/>
      <c r="DL380" s="2">
        <f t="shared" si="4367"/>
        <v>0.19</v>
      </c>
      <c r="DM380" s="2">
        <f t="shared" si="4368"/>
        <v>0</v>
      </c>
      <c r="DN380" s="2" t="s">
        <v>95</v>
      </c>
      <c r="DO380" s="2" t="s">
        <v>3</v>
      </c>
      <c r="DP380" s="2">
        <f t="shared" si="4369"/>
        <v>3.6835000000000009</v>
      </c>
      <c r="DQ380" s="2">
        <f t="shared" ref="DQ380:DR380" si="6340">K380*$I380+AF380*$AD380+BA380*$AY380</f>
        <v>592.97901000000002</v>
      </c>
      <c r="DR380" s="2">
        <f t="shared" si="6340"/>
        <v>0</v>
      </c>
      <c r="DS380" s="2">
        <f t="shared" ref="DS380:DX380" si="6341">(M380*$I380+AH380*$AD380+BC380*$AY380)/100</f>
        <v>0</v>
      </c>
      <c r="DT380" s="2">
        <f t="shared" si="6341"/>
        <v>0</v>
      </c>
      <c r="DU380" s="2">
        <f t="shared" si="6341"/>
        <v>0</v>
      </c>
      <c r="DV380" s="2">
        <f t="shared" si="6341"/>
        <v>0</v>
      </c>
      <c r="DW380" s="2">
        <f t="shared" si="6341"/>
        <v>6.9986500000000005</v>
      </c>
      <c r="DX380" s="2">
        <f t="shared" si="6341"/>
        <v>0</v>
      </c>
      <c r="DY380" s="2">
        <f t="shared" ref="DY380:EC380" si="6342">S380*$I380+AN380*$AD380+BI380*$AY380</f>
        <v>3849.8021880000001</v>
      </c>
      <c r="DZ380" s="2">
        <f t="shared" si="6342"/>
        <v>4397.1674279999997</v>
      </c>
      <c r="EA380" s="2">
        <f t="shared" si="6342"/>
        <v>282.80537399999997</v>
      </c>
      <c r="EB380" s="2">
        <f t="shared" si="6342"/>
        <v>0</v>
      </c>
      <c r="EC380" s="2">
        <f t="shared" si="6342"/>
        <v>0</v>
      </c>
      <c r="ED380" s="2">
        <f t="shared" ref="ED380:EE380" si="6343">(X380*$I380+AS380*$AD380+BN380*$AY380)/100</f>
        <v>0</v>
      </c>
      <c r="EE380" s="2">
        <f t="shared" si="6343"/>
        <v>0</v>
      </c>
      <c r="EF380" s="2"/>
      <c r="EG380" s="2">
        <f t="shared" si="4374"/>
        <v>0</v>
      </c>
      <c r="EH380" s="2">
        <f t="shared" si="4375"/>
        <v>0</v>
      </c>
      <c r="EI380" s="39">
        <f t="shared" si="4376"/>
        <v>24037.106536000007</v>
      </c>
      <c r="EJ380" s="39">
        <f t="shared" ref="EJ380:EK380" si="6344">EJ$1*DQ380/1000000</f>
        <v>24253.032177491958</v>
      </c>
      <c r="EK380" s="39">
        <f t="shared" si="6344"/>
        <v>0</v>
      </c>
      <c r="EL380" s="39">
        <f t="shared" ref="EL380:EQ380" si="6345">EL$1*DS380</f>
        <v>0</v>
      </c>
      <c r="EM380" s="39">
        <f t="shared" si="6345"/>
        <v>0</v>
      </c>
      <c r="EN380" s="39">
        <f t="shared" si="6345"/>
        <v>0</v>
      </c>
      <c r="EO380" s="39">
        <f t="shared" si="6345"/>
        <v>0</v>
      </c>
      <c r="EP380" s="39">
        <f t="shared" si="6345"/>
        <v>91780.296100000007</v>
      </c>
      <c r="EQ380" s="39">
        <f t="shared" si="6345"/>
        <v>0</v>
      </c>
      <c r="ER380" s="39">
        <f t="shared" ref="ER380:EV380" si="6346">ER$1*DY380/1000000</f>
        <v>109262.58518521156</v>
      </c>
      <c r="ES380" s="39">
        <f t="shared" si="6346"/>
        <v>146538.78576855434</v>
      </c>
      <c r="ET380" s="39">
        <f t="shared" si="6346"/>
        <v>20235.588384636656</v>
      </c>
      <c r="EU380" s="39">
        <f t="shared" si="6346"/>
        <v>0</v>
      </c>
      <c r="EV380" s="39">
        <f t="shared" si="6346"/>
        <v>0</v>
      </c>
      <c r="EW380" s="39">
        <f t="shared" ref="EW380:EX380" si="6347">EW$1*ED380</f>
        <v>0</v>
      </c>
      <c r="EX380" s="39">
        <f t="shared" si="6347"/>
        <v>0</v>
      </c>
      <c r="EY380" s="2"/>
      <c r="EZ380" s="39">
        <f t="shared" si="4381"/>
        <v>0</v>
      </c>
      <c r="FA380" s="39">
        <f t="shared" si="4382"/>
        <v>0</v>
      </c>
      <c r="FB380" s="2">
        <f t="shared" si="4383"/>
        <v>1.2002999999999999</v>
      </c>
      <c r="FC380" s="2">
        <f t="shared" ref="FC380:FD380" si="6348">BV380*$BT380+CQ380*$CO380</f>
        <v>238.63982999999999</v>
      </c>
      <c r="FD380" s="2">
        <f t="shared" si="6348"/>
        <v>0</v>
      </c>
      <c r="FE380" s="2">
        <f t="shared" ref="FE380:FJ380" si="6349">(BX380*$BT380+CS380*$CO380)/100</f>
        <v>0</v>
      </c>
      <c r="FF380" s="2">
        <f t="shared" si="6349"/>
        <v>0</v>
      </c>
      <c r="FG380" s="2">
        <f t="shared" si="6349"/>
        <v>0</v>
      </c>
      <c r="FH380" s="2">
        <f t="shared" si="6349"/>
        <v>0</v>
      </c>
      <c r="FI380" s="2">
        <f t="shared" si="6349"/>
        <v>2.28057</v>
      </c>
      <c r="FJ380" s="2">
        <f t="shared" si="6349"/>
        <v>0</v>
      </c>
      <c r="FK380" s="2">
        <f t="shared" ref="FK380:FO380" si="6350">CD380*$BT380+CY380*$CO380</f>
        <v>1549.3232039999998</v>
      </c>
      <c r="FL380" s="2">
        <f t="shared" si="6350"/>
        <v>1769.6061239999999</v>
      </c>
      <c r="FM380" s="2">
        <f t="shared" si="6350"/>
        <v>113.81284199999999</v>
      </c>
      <c r="FN380" s="2">
        <f t="shared" si="6350"/>
        <v>0</v>
      </c>
      <c r="FO380" s="2">
        <f t="shared" si="6350"/>
        <v>0</v>
      </c>
      <c r="FP380" s="2">
        <f t="shared" ref="FP380:FQ380" si="6351">(CI380*$BT380+DD380*$CO380)/100</f>
        <v>0</v>
      </c>
      <c r="FQ380" s="2">
        <f t="shared" si="6351"/>
        <v>0</v>
      </c>
      <c r="FR380" s="2"/>
      <c r="FS380" s="2">
        <f t="shared" si="4388"/>
        <v>0</v>
      </c>
      <c r="FT380" s="2">
        <f t="shared" si="4389"/>
        <v>0</v>
      </c>
      <c r="FU380" s="39">
        <f t="shared" si="4390"/>
        <v>7832.6968847999997</v>
      </c>
      <c r="FV380" s="39">
        <f t="shared" ref="FV380:FW380" si="6352">FV$1*FC380/1000000</f>
        <v>9760.4457800643086</v>
      </c>
      <c r="FW380" s="39">
        <f t="shared" si="6352"/>
        <v>0</v>
      </c>
      <c r="FX380" s="39">
        <f t="shared" ref="FX380:GC380" si="6353">FX$1*FE380</f>
        <v>0</v>
      </c>
      <c r="FY380" s="39">
        <f t="shared" si="6353"/>
        <v>0</v>
      </c>
      <c r="FZ380" s="39">
        <f t="shared" si="6353"/>
        <v>0</v>
      </c>
      <c r="GA380" s="39">
        <f t="shared" si="6353"/>
        <v>0</v>
      </c>
      <c r="GB380" s="39">
        <f t="shared" si="6353"/>
        <v>29907.394980000001</v>
      </c>
      <c r="GC380" s="39">
        <f t="shared" si="6353"/>
        <v>0</v>
      </c>
      <c r="GD380" s="39">
        <f t="shared" ref="GD380:GH380" si="6354">GD$1*FK380/1000000</f>
        <v>43971.884863107385</v>
      </c>
      <c r="GE380" s="39">
        <f t="shared" si="6354"/>
        <v>58973.404343965274</v>
      </c>
      <c r="GF380" s="39">
        <f t="shared" si="6354"/>
        <v>8143.6565049067522</v>
      </c>
      <c r="GG380" s="39">
        <f t="shared" si="6354"/>
        <v>0</v>
      </c>
      <c r="GH380" s="39">
        <f t="shared" si="6354"/>
        <v>0</v>
      </c>
      <c r="GI380" s="39">
        <f t="shared" ref="GI380:GJ380" si="6355">GI$1*FP380</f>
        <v>0</v>
      </c>
      <c r="GJ380" s="39">
        <f t="shared" si="6355"/>
        <v>0</v>
      </c>
      <c r="GK380" s="2"/>
      <c r="GL380" s="39">
        <f t="shared" si="4395"/>
        <v>0</v>
      </c>
      <c r="GM380" s="39">
        <f t="shared" si="4396"/>
        <v>0</v>
      </c>
      <c r="GN380" s="2" t="s">
        <v>3</v>
      </c>
      <c r="GO380" s="3">
        <f t="shared" si="4397"/>
        <v>3683.5</v>
      </c>
      <c r="GP380" s="4">
        <f t="shared" si="4398"/>
        <v>0.19</v>
      </c>
      <c r="GQ380" s="18">
        <f t="shared" si="4399"/>
        <v>6998.65</v>
      </c>
      <c r="GR380" s="15">
        <f t="shared" si="4400"/>
        <v>416107.39415189455</v>
      </c>
      <c r="GS380" s="15">
        <f t="shared" si="4401"/>
        <v>112.96522170541456</v>
      </c>
      <c r="GT380" s="2">
        <f t="shared" si="4402"/>
        <v>2028.63</v>
      </c>
      <c r="GU380" s="2">
        <f t="shared" si="4403"/>
        <v>3399.4800000000005</v>
      </c>
      <c r="GV380" s="2">
        <f t="shared" si="4404"/>
        <v>1570.54</v>
      </c>
      <c r="GW380" s="3">
        <f t="shared" si="4405"/>
        <v>1200.3</v>
      </c>
      <c r="GX380" s="2">
        <f t="shared" si="6320"/>
        <v>0.19</v>
      </c>
      <c r="GY380" s="3">
        <f t="shared" si="6321"/>
        <v>2280.5700000000002</v>
      </c>
      <c r="GZ380" s="15">
        <f t="shared" si="6322"/>
        <v>158589.48335684373</v>
      </c>
      <c r="HA380" s="15">
        <f t="shared" si="6323"/>
        <v>132.1248715794749</v>
      </c>
      <c r="HB380" s="2">
        <f t="shared" si="4406"/>
        <v>1426.71</v>
      </c>
      <c r="HC380" s="2">
        <f t="shared" si="4407"/>
        <v>853.86</v>
      </c>
      <c r="HD380" s="2" t="s">
        <v>3</v>
      </c>
      <c r="HE380" s="2" t="s">
        <v>89</v>
      </c>
      <c r="HF380" s="2" t="s">
        <v>90</v>
      </c>
      <c r="HG380" s="2" t="s">
        <v>162</v>
      </c>
      <c r="HH380" s="2" t="s">
        <v>130</v>
      </c>
      <c r="HI380" s="2" t="s">
        <v>81</v>
      </c>
      <c r="HJ380" s="2" t="s">
        <v>3</v>
      </c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 t="s">
        <v>3</v>
      </c>
    </row>
    <row r="381" spans="1:268" ht="15.75" customHeight="1" x14ac:dyDescent="0.2">
      <c r="A381" s="16" t="s">
        <v>1276</v>
      </c>
      <c r="B381" s="2" t="s">
        <v>99</v>
      </c>
      <c r="C381" s="2"/>
      <c r="D381" s="2"/>
      <c r="E381" s="2"/>
      <c r="F381" s="2" t="s">
        <v>171</v>
      </c>
      <c r="G381" s="2"/>
      <c r="H381" s="2"/>
      <c r="I381" s="2">
        <v>28.47</v>
      </c>
      <c r="J381" s="4">
        <v>0.10798927886436387</v>
      </c>
      <c r="K381" s="4">
        <v>8.7932501999999996E-2</v>
      </c>
      <c r="L381" s="2"/>
      <c r="M381" s="2"/>
      <c r="N381" s="2"/>
      <c r="O381" s="2"/>
      <c r="P381" s="2"/>
      <c r="Q381" s="4">
        <v>0.20463110206781226</v>
      </c>
      <c r="R381" s="2"/>
      <c r="S381" s="4">
        <v>0.52758392399999998</v>
      </c>
      <c r="T381" s="4">
        <v>0.64448369999999999</v>
      </c>
      <c r="U381" s="2"/>
      <c r="V381" s="2"/>
      <c r="W381" s="2"/>
      <c r="X381" s="2"/>
      <c r="Y381" s="2"/>
      <c r="Z381" s="2"/>
      <c r="AA381" s="2"/>
      <c r="AB381" s="2"/>
      <c r="AC381" s="2"/>
      <c r="AD381" s="2">
        <v>16.63</v>
      </c>
      <c r="AE381" s="4">
        <v>0.10798927886436387</v>
      </c>
      <c r="AF381" s="4">
        <v>8.0953731999999987E-2</v>
      </c>
      <c r="AG381" s="2"/>
      <c r="AH381" s="2"/>
      <c r="AI381" s="2"/>
      <c r="AJ381" s="2"/>
      <c r="AK381" s="2"/>
      <c r="AL381" s="4">
        <v>0.20463110206781226</v>
      </c>
      <c r="AM381" s="2"/>
      <c r="AN381" s="4">
        <v>0.48571218399999999</v>
      </c>
      <c r="AO381" s="4">
        <v>0.59333420000000003</v>
      </c>
      <c r="AP381" s="2"/>
      <c r="AQ381" s="2"/>
      <c r="AR381" s="2"/>
      <c r="AS381" s="2"/>
      <c r="AT381" s="2"/>
      <c r="AU381" s="2"/>
      <c r="AV381" s="2"/>
      <c r="AW381" s="2"/>
      <c r="AX381" s="2"/>
      <c r="AY381" s="2">
        <v>0.76</v>
      </c>
      <c r="AZ381" s="4">
        <v>0.10798927886436387</v>
      </c>
      <c r="BA381" s="4">
        <v>6.6298314999999997E-2</v>
      </c>
      <c r="BB381" s="2"/>
      <c r="BC381" s="2"/>
      <c r="BD381" s="2"/>
      <c r="BE381" s="2"/>
      <c r="BF381" s="2"/>
      <c r="BG381" s="4">
        <v>0.20463110206781226</v>
      </c>
      <c r="BH381" s="2"/>
      <c r="BI381" s="4">
        <v>0.39778152999999999</v>
      </c>
      <c r="BJ381" s="4">
        <v>0.48592025</v>
      </c>
      <c r="BK381" s="2"/>
      <c r="BL381" s="2"/>
      <c r="BM381" s="2"/>
      <c r="BN381" s="2"/>
      <c r="BO381" s="2"/>
      <c r="BP381" s="2"/>
      <c r="BQ381" s="2"/>
      <c r="BR381" s="2"/>
      <c r="BS381" s="2"/>
      <c r="BT381" s="2">
        <v>0</v>
      </c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>
        <v>0</v>
      </c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 t="s">
        <v>81</v>
      </c>
      <c r="DK381" s="2"/>
      <c r="DL381" s="2">
        <f t="shared" si="4367"/>
        <v>0.20463110206781229</v>
      </c>
      <c r="DM381" s="2">
        <f t="shared" si="4368"/>
        <v>0</v>
      </c>
      <c r="DN381" s="2" t="s">
        <v>1277</v>
      </c>
      <c r="DO381" s="2" t="s">
        <v>3</v>
      </c>
      <c r="DP381" s="2">
        <f t="shared" si="4369"/>
        <v>4.9523883287197264E-2</v>
      </c>
      <c r="DQ381" s="2">
        <f t="shared" ref="DQ381:DR381" si="6356">K381*$I381+AF381*$AD381+BA381*$AY381</f>
        <v>3.9000856144999996</v>
      </c>
      <c r="DR381" s="2">
        <f t="shared" si="6356"/>
        <v>0</v>
      </c>
      <c r="DS381" s="2">
        <f t="shared" ref="DS381:DX381" si="6357">(M381*$I381+AH381*$AD381+BC381*$AY381)/100</f>
        <v>0</v>
      </c>
      <c r="DT381" s="2">
        <f t="shared" si="6357"/>
        <v>0</v>
      </c>
      <c r="DU381" s="2">
        <f t="shared" si="6357"/>
        <v>0</v>
      </c>
      <c r="DV381" s="2">
        <f t="shared" si="6357"/>
        <v>0</v>
      </c>
      <c r="DW381" s="2">
        <f t="shared" si="6357"/>
        <v>9.3843823408298693E-2</v>
      </c>
      <c r="DX381" s="2">
        <f t="shared" si="6357"/>
        <v>0</v>
      </c>
      <c r="DY381" s="2">
        <f t="shared" ref="DY381:EC381" si="6358">S381*$I381+AN381*$AD381+BI381*$AY381</f>
        <v>23.400021898999995</v>
      </c>
      <c r="DZ381" s="2">
        <f t="shared" si="6358"/>
        <v>28.584898074999998</v>
      </c>
      <c r="EA381" s="2">
        <f t="shared" si="6358"/>
        <v>0</v>
      </c>
      <c r="EB381" s="2">
        <f t="shared" si="6358"/>
        <v>0</v>
      </c>
      <c r="EC381" s="2">
        <f t="shared" si="6358"/>
        <v>0</v>
      </c>
      <c r="ED381" s="2">
        <f t="shared" ref="ED381:EE381" si="6359">(X381*$I381+AS381*$AD381+BN381*$AY381)/100</f>
        <v>0</v>
      </c>
      <c r="EE381" s="2">
        <f t="shared" si="6359"/>
        <v>0</v>
      </c>
      <c r="EF381" s="2"/>
      <c r="EG381" s="2">
        <f t="shared" si="4374"/>
        <v>0</v>
      </c>
      <c r="EH381" s="2">
        <f t="shared" si="4375"/>
        <v>0</v>
      </c>
      <c r="EI381" s="39">
        <f t="shared" si="4376"/>
        <v>323.17384516106705</v>
      </c>
      <c r="EJ381" s="39">
        <f t="shared" ref="EJ381:EK381" si="6360">EJ$1*DQ381/1000000</f>
        <v>159.51475567987134</v>
      </c>
      <c r="EK381" s="39">
        <f t="shared" si="6360"/>
        <v>0</v>
      </c>
      <c r="EL381" s="39">
        <f t="shared" ref="EL381:EQ381" si="6361">EL$1*DS381</f>
        <v>0</v>
      </c>
      <c r="EM381" s="39">
        <f t="shared" si="6361"/>
        <v>0</v>
      </c>
      <c r="EN381" s="39">
        <f t="shared" si="6361"/>
        <v>0</v>
      </c>
      <c r="EO381" s="39">
        <f t="shared" si="6361"/>
        <v>0</v>
      </c>
      <c r="EP381" s="39">
        <f t="shared" si="6361"/>
        <v>1230.6679001764292</v>
      </c>
      <c r="EQ381" s="39">
        <f t="shared" si="6361"/>
        <v>0</v>
      </c>
      <c r="ER381" s="39">
        <f t="shared" ref="ER381:EV381" si="6362">ER$1*DY381/1000000</f>
        <v>664.12422280936767</v>
      </c>
      <c r="ES381" s="39">
        <f t="shared" si="6362"/>
        <v>952.61240874187308</v>
      </c>
      <c r="ET381" s="39">
        <f t="shared" si="6362"/>
        <v>0</v>
      </c>
      <c r="EU381" s="39">
        <f t="shared" si="6362"/>
        <v>0</v>
      </c>
      <c r="EV381" s="39">
        <f t="shared" si="6362"/>
        <v>0</v>
      </c>
      <c r="EW381" s="39">
        <f t="shared" ref="EW381:EX381" si="6363">EW$1*ED381</f>
        <v>0</v>
      </c>
      <c r="EX381" s="39">
        <f t="shared" si="6363"/>
        <v>0</v>
      </c>
      <c r="EY381" s="2"/>
      <c r="EZ381" s="39">
        <f t="shared" si="4381"/>
        <v>0</v>
      </c>
      <c r="FA381" s="39">
        <f t="shared" si="4382"/>
        <v>0</v>
      </c>
      <c r="FB381" s="2">
        <f t="shared" si="4383"/>
        <v>0</v>
      </c>
      <c r="FC381" s="2">
        <f t="shared" ref="FC381:FD381" si="6364">BV381*$BT381+CQ381*$CO381</f>
        <v>0</v>
      </c>
      <c r="FD381" s="2">
        <f t="shared" si="6364"/>
        <v>0</v>
      </c>
      <c r="FE381" s="2">
        <f t="shared" ref="FE381:FJ381" si="6365">(BX381*$BT381+CS381*$CO381)/100</f>
        <v>0</v>
      </c>
      <c r="FF381" s="2">
        <f t="shared" si="6365"/>
        <v>0</v>
      </c>
      <c r="FG381" s="2">
        <f t="shared" si="6365"/>
        <v>0</v>
      </c>
      <c r="FH381" s="2">
        <f t="shared" si="6365"/>
        <v>0</v>
      </c>
      <c r="FI381" s="2">
        <f t="shared" si="6365"/>
        <v>0</v>
      </c>
      <c r="FJ381" s="2">
        <f t="shared" si="6365"/>
        <v>0</v>
      </c>
      <c r="FK381" s="2">
        <f t="shared" ref="FK381:FO381" si="6366">CD381*$BT381+CY381*$CO381</f>
        <v>0</v>
      </c>
      <c r="FL381" s="2">
        <f t="shared" si="6366"/>
        <v>0</v>
      </c>
      <c r="FM381" s="2">
        <f t="shared" si="6366"/>
        <v>0</v>
      </c>
      <c r="FN381" s="2">
        <f t="shared" si="6366"/>
        <v>0</v>
      </c>
      <c r="FO381" s="2">
        <f t="shared" si="6366"/>
        <v>0</v>
      </c>
      <c r="FP381" s="2">
        <f t="shared" ref="FP381:FQ381" si="6367">(CI381*$BT381+DD381*$CO381)/100</f>
        <v>0</v>
      </c>
      <c r="FQ381" s="2">
        <f t="shared" si="6367"/>
        <v>0</v>
      </c>
      <c r="FR381" s="2"/>
      <c r="FS381" s="2">
        <f t="shared" si="4388"/>
        <v>0</v>
      </c>
      <c r="FT381" s="2">
        <f t="shared" si="4389"/>
        <v>0</v>
      </c>
      <c r="FU381" s="39">
        <f t="shared" si="4390"/>
        <v>0</v>
      </c>
      <c r="FV381" s="39">
        <f t="shared" ref="FV381:FW381" si="6368">FV$1*FC381/1000000</f>
        <v>0</v>
      </c>
      <c r="FW381" s="39">
        <f t="shared" si="6368"/>
        <v>0</v>
      </c>
      <c r="FX381" s="39">
        <f t="shared" ref="FX381:GC381" si="6369">FX$1*FE381</f>
        <v>0</v>
      </c>
      <c r="FY381" s="39">
        <f t="shared" si="6369"/>
        <v>0</v>
      </c>
      <c r="FZ381" s="39">
        <f t="shared" si="6369"/>
        <v>0</v>
      </c>
      <c r="GA381" s="39">
        <f t="shared" si="6369"/>
        <v>0</v>
      </c>
      <c r="GB381" s="39">
        <f t="shared" si="6369"/>
        <v>0</v>
      </c>
      <c r="GC381" s="39">
        <f t="shared" si="6369"/>
        <v>0</v>
      </c>
      <c r="GD381" s="39">
        <f t="shared" ref="GD381:GH381" si="6370">GD$1*FK381/1000000</f>
        <v>0</v>
      </c>
      <c r="GE381" s="39">
        <f t="shared" si="6370"/>
        <v>0</v>
      </c>
      <c r="GF381" s="39">
        <f t="shared" si="6370"/>
        <v>0</v>
      </c>
      <c r="GG381" s="39">
        <f t="shared" si="6370"/>
        <v>0</v>
      </c>
      <c r="GH381" s="39">
        <f t="shared" si="6370"/>
        <v>0</v>
      </c>
      <c r="GI381" s="39">
        <f t="shared" ref="GI381:GJ381" si="6371">GI$1*FP381</f>
        <v>0</v>
      </c>
      <c r="GJ381" s="39">
        <f t="shared" si="6371"/>
        <v>0</v>
      </c>
      <c r="GK381" s="2"/>
      <c r="GL381" s="39">
        <f t="shared" si="4395"/>
        <v>0</v>
      </c>
      <c r="GM381" s="39">
        <f t="shared" si="4396"/>
        <v>0</v>
      </c>
      <c r="GN381" s="2" t="s">
        <v>3</v>
      </c>
      <c r="GO381" s="2">
        <f t="shared" si="4397"/>
        <v>45.859999999999992</v>
      </c>
      <c r="GP381" s="4">
        <f t="shared" si="4398"/>
        <v>0.20463110206781229</v>
      </c>
      <c r="GQ381" s="15">
        <f t="shared" si="4399"/>
        <v>93.843823408298704</v>
      </c>
      <c r="GR381" s="15">
        <f t="shared" si="4400"/>
        <v>3330.0931325686079</v>
      </c>
      <c r="GS381" s="15">
        <f t="shared" si="4401"/>
        <v>72.614329100929098</v>
      </c>
      <c r="GT381" s="2">
        <f t="shared" si="4402"/>
        <v>58.25847475870615</v>
      </c>
      <c r="GU381" s="2">
        <f t="shared" si="4403"/>
        <v>34.030152273877178</v>
      </c>
      <c r="GV381" s="2">
        <f t="shared" si="4404"/>
        <v>1.5551963757153735</v>
      </c>
      <c r="GW381" s="2">
        <f t="shared" si="4405"/>
        <v>0</v>
      </c>
      <c r="GX381" s="2"/>
      <c r="GY381" s="2"/>
      <c r="GZ381" s="2"/>
      <c r="HA381" s="2"/>
      <c r="HB381" s="2">
        <f t="shared" si="4406"/>
        <v>0</v>
      </c>
      <c r="HC381" s="2">
        <f t="shared" si="4407"/>
        <v>0</v>
      </c>
      <c r="HD381" s="2" t="s">
        <v>3</v>
      </c>
      <c r="HE381" s="2" t="s">
        <v>89</v>
      </c>
      <c r="HF381" s="2" t="s">
        <v>90</v>
      </c>
      <c r="HG381" s="2" t="s">
        <v>162</v>
      </c>
      <c r="HH381" s="2" t="s">
        <v>130</v>
      </c>
      <c r="HI381" s="2" t="s">
        <v>81</v>
      </c>
      <c r="HJ381" s="2" t="s">
        <v>3</v>
      </c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 t="s">
        <v>3</v>
      </c>
    </row>
    <row r="382" spans="1:268" ht="15.75" customHeight="1" x14ac:dyDescent="0.2">
      <c r="A382" s="16" t="s">
        <v>1284</v>
      </c>
      <c r="B382" s="2" t="s">
        <v>99</v>
      </c>
      <c r="C382" s="2"/>
      <c r="D382" s="2"/>
      <c r="E382" s="2"/>
      <c r="F382" s="2" t="s">
        <v>1285</v>
      </c>
      <c r="G382" s="2"/>
      <c r="H382" s="2"/>
      <c r="I382" s="4">
        <v>78.773368000000005</v>
      </c>
      <c r="J382" s="2">
        <v>8.3000000000000004E-2</v>
      </c>
      <c r="K382" s="2">
        <v>0.18</v>
      </c>
      <c r="L382" s="2"/>
      <c r="M382" s="2"/>
      <c r="N382" s="2"/>
      <c r="O382" s="2"/>
      <c r="P382" s="2"/>
      <c r="Q382" s="2">
        <v>0.186</v>
      </c>
      <c r="R382" s="2"/>
      <c r="S382" s="2">
        <v>0.83</v>
      </c>
      <c r="T382" s="4">
        <v>2</v>
      </c>
      <c r="U382" s="2">
        <v>0.05</v>
      </c>
      <c r="V382" s="2"/>
      <c r="W382" s="2"/>
      <c r="X382" s="2"/>
      <c r="Y382" s="2"/>
      <c r="Z382" s="2"/>
      <c r="AA382" s="2"/>
      <c r="AB382" s="2"/>
      <c r="AC382" s="2"/>
      <c r="AD382" s="4">
        <v>296.26998500000002</v>
      </c>
      <c r="AE382" s="2">
        <v>8.2000000000000003E-2</v>
      </c>
      <c r="AF382" s="2">
        <v>0.19</v>
      </c>
      <c r="AG382" s="2"/>
      <c r="AH382" s="2"/>
      <c r="AI382" s="2"/>
      <c r="AJ382" s="2"/>
      <c r="AK382" s="2"/>
      <c r="AL382" s="2">
        <v>0.17399999999999999</v>
      </c>
      <c r="AM382" s="2"/>
      <c r="AN382" s="2">
        <v>0.83</v>
      </c>
      <c r="AO382" s="2">
        <v>1.86</v>
      </c>
      <c r="AP382" s="2">
        <v>0.04</v>
      </c>
      <c r="AQ382" s="2"/>
      <c r="AR382" s="2"/>
      <c r="AS382" s="2"/>
      <c r="AT382" s="2"/>
      <c r="AU382" s="2"/>
      <c r="AV382" s="2"/>
      <c r="AW382" s="2"/>
      <c r="AX382" s="2"/>
      <c r="AY382" s="4">
        <v>146.564922</v>
      </c>
      <c r="AZ382" s="2">
        <v>7.9000000000000001E-2</v>
      </c>
      <c r="BA382" s="2">
        <v>0.21</v>
      </c>
      <c r="BB382" s="2"/>
      <c r="BC382" s="2"/>
      <c r="BD382" s="2"/>
      <c r="BE382" s="2"/>
      <c r="BF382" s="2"/>
      <c r="BG382" s="2">
        <v>0.14599999999999999</v>
      </c>
      <c r="BH382" s="2"/>
      <c r="BI382" s="2">
        <v>0.78</v>
      </c>
      <c r="BJ382" s="2">
        <v>1.66</v>
      </c>
      <c r="BK382" s="2">
        <v>0.04</v>
      </c>
      <c r="BL382" s="2"/>
      <c r="BM382" s="2"/>
      <c r="BN382" s="2"/>
      <c r="BO382" s="2"/>
      <c r="BP382" s="2"/>
      <c r="BQ382" s="2"/>
      <c r="BR382" s="2"/>
      <c r="BS382" s="2"/>
      <c r="BT382" s="2">
        <v>0</v>
      </c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>
        <v>0</v>
      </c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 t="s">
        <v>81</v>
      </c>
      <c r="DK382" s="2"/>
      <c r="DL382" s="2">
        <f t="shared" si="4367"/>
        <v>0.16794461792232876</v>
      </c>
      <c r="DM382" s="2">
        <f t="shared" si="4368"/>
        <v>0</v>
      </c>
      <c r="DN382" s="2" t="s">
        <v>1286</v>
      </c>
      <c r="DO382" s="2" t="s">
        <v>3</v>
      </c>
      <c r="DP382" s="2">
        <f t="shared" si="4369"/>
        <v>0.42410957152000006</v>
      </c>
      <c r="DQ382" s="2">
        <f t="shared" ref="DQ382:DR382" si="6372">K382*$I382+AF382*$AD382+BA382*$AY382</f>
        <v>101.24913701</v>
      </c>
      <c r="DR382" s="2">
        <f t="shared" si="6372"/>
        <v>0</v>
      </c>
      <c r="DS382" s="2">
        <f t="shared" ref="DS382:DX382" si="6373">(M382*$I382+AH382*$AD382+BC382*$AY382)/100</f>
        <v>0</v>
      </c>
      <c r="DT382" s="2">
        <f t="shared" si="6373"/>
        <v>0</v>
      </c>
      <c r="DU382" s="2">
        <f t="shared" si="6373"/>
        <v>0</v>
      </c>
      <c r="DV382" s="2">
        <f t="shared" si="6373"/>
        <v>0</v>
      </c>
      <c r="DW382" s="2">
        <f t="shared" si="6373"/>
        <v>0.87601302449999996</v>
      </c>
      <c r="DX382" s="2">
        <f t="shared" si="6373"/>
        <v>0</v>
      </c>
      <c r="DY382" s="2">
        <f t="shared" ref="DY382:EC382" si="6374">S382*$I382+AN382*$AD382+BI382*$AY382</f>
        <v>425.60662214999996</v>
      </c>
      <c r="DZ382" s="2">
        <f t="shared" si="6374"/>
        <v>951.90667862000009</v>
      </c>
      <c r="EA382" s="2">
        <f t="shared" si="6374"/>
        <v>21.652064680000002</v>
      </c>
      <c r="EB382" s="2">
        <f t="shared" si="6374"/>
        <v>0</v>
      </c>
      <c r="EC382" s="2">
        <f t="shared" si="6374"/>
        <v>0</v>
      </c>
      <c r="ED382" s="2">
        <f t="shared" ref="ED382:EE382" si="6375">(X382*$I382+AS382*$AD382+BN382*$AY382)/100</f>
        <v>0</v>
      </c>
      <c r="EE382" s="2">
        <f t="shared" si="6375"/>
        <v>0</v>
      </c>
      <c r="EF382" s="2"/>
      <c r="EG382" s="2">
        <f t="shared" si="4374"/>
        <v>0</v>
      </c>
      <c r="EH382" s="2">
        <f t="shared" si="4375"/>
        <v>0</v>
      </c>
      <c r="EI382" s="39">
        <f t="shared" si="4376"/>
        <v>2767.5762056640569</v>
      </c>
      <c r="EJ382" s="39">
        <f t="shared" ref="EJ382:EK382" si="6376">EJ$1*DQ382/1000000</f>
        <v>4141.1222597016076</v>
      </c>
      <c r="EK382" s="39">
        <f t="shared" si="6376"/>
        <v>0</v>
      </c>
      <c r="EL382" s="39">
        <f t="shared" ref="EL382:EQ382" si="6377">EL$1*DS382</f>
        <v>0</v>
      </c>
      <c r="EM382" s="39">
        <f t="shared" si="6377"/>
        <v>0</v>
      </c>
      <c r="EN382" s="39">
        <f t="shared" si="6377"/>
        <v>0</v>
      </c>
      <c r="EO382" s="39">
        <f t="shared" si="6377"/>
        <v>0</v>
      </c>
      <c r="EP382" s="39">
        <f t="shared" si="6377"/>
        <v>11488.034803293</v>
      </c>
      <c r="EQ382" s="39">
        <f t="shared" si="6377"/>
        <v>0</v>
      </c>
      <c r="ER382" s="39">
        <f t="shared" ref="ER382:EV382" si="6378">ER$1*DY382/1000000</f>
        <v>12079.290710833404</v>
      </c>
      <c r="ES382" s="39">
        <f t="shared" si="6378"/>
        <v>31722.978743476746</v>
      </c>
      <c r="ET382" s="39">
        <f t="shared" si="6378"/>
        <v>1549.2713676014152</v>
      </c>
      <c r="EU382" s="39">
        <f t="shared" si="6378"/>
        <v>0</v>
      </c>
      <c r="EV382" s="39">
        <f t="shared" si="6378"/>
        <v>0</v>
      </c>
      <c r="EW382" s="39">
        <f t="shared" ref="EW382:EX382" si="6379">EW$1*ED382</f>
        <v>0</v>
      </c>
      <c r="EX382" s="39">
        <f t="shared" si="6379"/>
        <v>0</v>
      </c>
      <c r="EY382" s="2"/>
      <c r="EZ382" s="39">
        <f t="shared" si="4381"/>
        <v>0</v>
      </c>
      <c r="FA382" s="39">
        <f t="shared" si="4382"/>
        <v>0</v>
      </c>
      <c r="FB382" s="2">
        <f t="shared" si="4383"/>
        <v>0</v>
      </c>
      <c r="FC382" s="2">
        <f t="shared" ref="FC382:FD382" si="6380">BV382*$BT382+CQ382*$CO382</f>
        <v>0</v>
      </c>
      <c r="FD382" s="2">
        <f t="shared" si="6380"/>
        <v>0</v>
      </c>
      <c r="FE382" s="2">
        <f t="shared" ref="FE382:FJ382" si="6381">(BX382*$BT382+CS382*$CO382)/100</f>
        <v>0</v>
      </c>
      <c r="FF382" s="2">
        <f t="shared" si="6381"/>
        <v>0</v>
      </c>
      <c r="FG382" s="2">
        <f t="shared" si="6381"/>
        <v>0</v>
      </c>
      <c r="FH382" s="2">
        <f t="shared" si="6381"/>
        <v>0</v>
      </c>
      <c r="FI382" s="2">
        <f t="shared" si="6381"/>
        <v>0</v>
      </c>
      <c r="FJ382" s="2">
        <f t="shared" si="6381"/>
        <v>0</v>
      </c>
      <c r="FK382" s="2">
        <f t="shared" ref="FK382:FO382" si="6382">CD382*$BT382+CY382*$CO382</f>
        <v>0</v>
      </c>
      <c r="FL382" s="2">
        <f t="shared" si="6382"/>
        <v>0</v>
      </c>
      <c r="FM382" s="2">
        <f t="shared" si="6382"/>
        <v>0</v>
      </c>
      <c r="FN382" s="2">
        <f t="shared" si="6382"/>
        <v>0</v>
      </c>
      <c r="FO382" s="2">
        <f t="shared" si="6382"/>
        <v>0</v>
      </c>
      <c r="FP382" s="2">
        <f t="shared" ref="FP382:FQ382" si="6383">(CI382*$BT382+DD382*$CO382)/100</f>
        <v>0</v>
      </c>
      <c r="FQ382" s="2">
        <f t="shared" si="6383"/>
        <v>0</v>
      </c>
      <c r="FR382" s="2"/>
      <c r="FS382" s="2">
        <f t="shared" si="4388"/>
        <v>0</v>
      </c>
      <c r="FT382" s="2">
        <f t="shared" si="4389"/>
        <v>0</v>
      </c>
      <c r="FU382" s="39">
        <f t="shared" si="4390"/>
        <v>0</v>
      </c>
      <c r="FV382" s="39">
        <f t="shared" ref="FV382:FW382" si="6384">FV$1*FC382/1000000</f>
        <v>0</v>
      </c>
      <c r="FW382" s="39">
        <f t="shared" si="6384"/>
        <v>0</v>
      </c>
      <c r="FX382" s="39">
        <f t="shared" ref="FX382:GC382" si="6385">FX$1*FE382</f>
        <v>0</v>
      </c>
      <c r="FY382" s="39">
        <f t="shared" si="6385"/>
        <v>0</v>
      </c>
      <c r="FZ382" s="39">
        <f t="shared" si="6385"/>
        <v>0</v>
      </c>
      <c r="GA382" s="39">
        <f t="shared" si="6385"/>
        <v>0</v>
      </c>
      <c r="GB382" s="39">
        <f t="shared" si="6385"/>
        <v>0</v>
      </c>
      <c r="GC382" s="39">
        <f t="shared" si="6385"/>
        <v>0</v>
      </c>
      <c r="GD382" s="39">
        <f t="shared" ref="GD382:GH382" si="6386">GD$1*FK382/1000000</f>
        <v>0</v>
      </c>
      <c r="GE382" s="39">
        <f t="shared" si="6386"/>
        <v>0</v>
      </c>
      <c r="GF382" s="39">
        <f t="shared" si="6386"/>
        <v>0</v>
      </c>
      <c r="GG382" s="39">
        <f t="shared" si="6386"/>
        <v>0</v>
      </c>
      <c r="GH382" s="39">
        <f t="shared" si="6386"/>
        <v>0</v>
      </c>
      <c r="GI382" s="39">
        <f t="shared" ref="GI382:GJ382" si="6387">GI$1*FP382</f>
        <v>0</v>
      </c>
      <c r="GJ382" s="39">
        <f t="shared" si="6387"/>
        <v>0</v>
      </c>
      <c r="GK382" s="2"/>
      <c r="GL382" s="39">
        <f t="shared" si="4395"/>
        <v>0</v>
      </c>
      <c r="GM382" s="39">
        <f t="shared" si="4396"/>
        <v>0</v>
      </c>
      <c r="GN382" s="2" t="s">
        <v>3</v>
      </c>
      <c r="GO382" s="15">
        <f t="shared" si="4397"/>
        <v>521.60827500000005</v>
      </c>
      <c r="GP382" s="4">
        <f t="shared" si="4398"/>
        <v>0.16794461792232876</v>
      </c>
      <c r="GQ382" s="15">
        <f t="shared" si="4399"/>
        <v>876.01302449999991</v>
      </c>
      <c r="GR382" s="15">
        <f t="shared" si="4400"/>
        <v>63748.27409057023</v>
      </c>
      <c r="GS382" s="15">
        <f t="shared" si="4401"/>
        <v>122.21484425370787</v>
      </c>
      <c r="GT382" s="2">
        <f t="shared" si="4402"/>
        <v>146.51846448000001</v>
      </c>
      <c r="GU382" s="2">
        <f t="shared" si="4403"/>
        <v>515.50977390000003</v>
      </c>
      <c r="GV382" s="2">
        <f t="shared" si="4404"/>
        <v>213.98478612</v>
      </c>
      <c r="GW382" s="2">
        <f t="shared" si="4405"/>
        <v>0</v>
      </c>
      <c r="GX382" s="2"/>
      <c r="GY382" s="2"/>
      <c r="GZ382" s="2"/>
      <c r="HA382" s="2"/>
      <c r="HB382" s="2">
        <f t="shared" si="4406"/>
        <v>0</v>
      </c>
      <c r="HC382" s="2">
        <f t="shared" si="4407"/>
        <v>0</v>
      </c>
      <c r="HD382" s="2" t="s">
        <v>3</v>
      </c>
      <c r="HE382" s="2" t="s">
        <v>89</v>
      </c>
      <c r="HF382" s="2" t="s">
        <v>90</v>
      </c>
      <c r="HG382" s="2" t="s">
        <v>162</v>
      </c>
      <c r="HH382" s="2" t="s">
        <v>130</v>
      </c>
      <c r="HI382" s="2" t="s">
        <v>81</v>
      </c>
      <c r="HJ382" s="2" t="s">
        <v>3</v>
      </c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 t="s">
        <v>3</v>
      </c>
    </row>
    <row r="383" spans="1:268" ht="15.75" customHeight="1" x14ac:dyDescent="0.2">
      <c r="A383" s="16" t="s">
        <v>841</v>
      </c>
      <c r="B383" s="2" t="s">
        <v>99</v>
      </c>
      <c r="C383" s="2"/>
      <c r="D383" s="2"/>
      <c r="E383" s="2"/>
      <c r="F383" s="2" t="s">
        <v>842</v>
      </c>
      <c r="G383" s="2"/>
      <c r="H383" s="2"/>
      <c r="I383" s="2">
        <v>0</v>
      </c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>
        <v>0</v>
      </c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>
        <v>39.700000000000003</v>
      </c>
      <c r="AZ383" s="2">
        <v>8.5000000000000006E-2</v>
      </c>
      <c r="BA383" s="2"/>
      <c r="BB383" s="2"/>
      <c r="BC383" s="2"/>
      <c r="BD383" s="2"/>
      <c r="BE383" s="2"/>
      <c r="BF383" s="2"/>
      <c r="BG383" s="2">
        <v>0.22</v>
      </c>
      <c r="BH383" s="2"/>
      <c r="BI383" s="2">
        <v>0.22</v>
      </c>
      <c r="BJ383" s="2">
        <v>0.33</v>
      </c>
      <c r="BK383" s="2"/>
      <c r="BL383" s="2"/>
      <c r="BM383" s="2"/>
      <c r="BN383" s="2"/>
      <c r="BO383" s="2"/>
      <c r="BP383" s="2"/>
      <c r="BQ383" s="2"/>
      <c r="BR383" s="2"/>
      <c r="BS383" s="2"/>
      <c r="BT383" s="2">
        <v>0</v>
      </c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>
        <v>0</v>
      </c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 t="s">
        <v>81</v>
      </c>
      <c r="DK383" s="2"/>
      <c r="DL383" s="2">
        <f t="shared" si="4367"/>
        <v>0.21999999999999997</v>
      </c>
      <c r="DM383" s="2">
        <f t="shared" si="4368"/>
        <v>0</v>
      </c>
      <c r="DN383" s="2" t="s">
        <v>501</v>
      </c>
      <c r="DO383" s="2" t="s">
        <v>3</v>
      </c>
      <c r="DP383" s="2">
        <f t="shared" si="4369"/>
        <v>3.3745000000000004E-2</v>
      </c>
      <c r="DQ383" s="2">
        <f t="shared" ref="DQ383:DR383" si="6388">K383*$I383+AF383*$AD383+BA383*$AY383</f>
        <v>0</v>
      </c>
      <c r="DR383" s="2">
        <f t="shared" si="6388"/>
        <v>0</v>
      </c>
      <c r="DS383" s="2">
        <f t="shared" ref="DS383:DX383" si="6389">(M383*$I383+AH383*$AD383+BC383*$AY383)/100</f>
        <v>0</v>
      </c>
      <c r="DT383" s="2">
        <f t="shared" si="6389"/>
        <v>0</v>
      </c>
      <c r="DU383" s="2">
        <f t="shared" si="6389"/>
        <v>0</v>
      </c>
      <c r="DV383" s="2">
        <f t="shared" si="6389"/>
        <v>0</v>
      </c>
      <c r="DW383" s="2">
        <f t="shared" si="6389"/>
        <v>8.7340000000000001E-2</v>
      </c>
      <c r="DX383" s="2">
        <f t="shared" si="6389"/>
        <v>0</v>
      </c>
      <c r="DY383" s="2">
        <f t="shared" ref="DY383:EC383" si="6390">S383*$I383+AN383*$AD383+BI383*$AY383</f>
        <v>8.734</v>
      </c>
      <c r="DZ383" s="2">
        <f t="shared" si="6390"/>
        <v>13.101000000000001</v>
      </c>
      <c r="EA383" s="2">
        <f t="shared" si="6390"/>
        <v>0</v>
      </c>
      <c r="EB383" s="2">
        <f t="shared" si="6390"/>
        <v>0</v>
      </c>
      <c r="EC383" s="2">
        <f t="shared" si="6390"/>
        <v>0</v>
      </c>
      <c r="ED383" s="2">
        <f t="shared" ref="ED383:EE383" si="6391">(X383*$I383+AS383*$AD383+BN383*$AY383)/100</f>
        <v>0</v>
      </c>
      <c r="EE383" s="2">
        <f t="shared" si="6391"/>
        <v>0</v>
      </c>
      <c r="EF383" s="2"/>
      <c r="EG383" s="2">
        <f t="shared" si="4374"/>
        <v>0</v>
      </c>
      <c r="EH383" s="2">
        <f t="shared" si="4375"/>
        <v>0</v>
      </c>
      <c r="EI383" s="39">
        <f t="shared" si="4376"/>
        <v>220.20691192000004</v>
      </c>
      <c r="EJ383" s="39">
        <f t="shared" ref="EJ383:EK383" si="6392">EJ$1*DQ383/1000000</f>
        <v>0</v>
      </c>
      <c r="EK383" s="39">
        <f t="shared" si="6392"/>
        <v>0</v>
      </c>
      <c r="EL383" s="39">
        <f t="shared" ref="EL383:EQ383" si="6393">EL$1*DS383</f>
        <v>0</v>
      </c>
      <c r="EM383" s="39">
        <f t="shared" si="6393"/>
        <v>0</v>
      </c>
      <c r="EN383" s="39">
        <f t="shared" si="6393"/>
        <v>0</v>
      </c>
      <c r="EO383" s="39">
        <f t="shared" si="6393"/>
        <v>0</v>
      </c>
      <c r="EP383" s="39">
        <f t="shared" si="6393"/>
        <v>1145.3767600000001</v>
      </c>
      <c r="EQ383" s="39">
        <f t="shared" si="6393"/>
        <v>0</v>
      </c>
      <c r="ER383" s="39">
        <f t="shared" ref="ER383:EV383" si="6394">ER$1*DY383/1000000</f>
        <v>247.88271511254015</v>
      </c>
      <c r="ES383" s="39">
        <f t="shared" si="6394"/>
        <v>436.60030321543411</v>
      </c>
      <c r="ET383" s="39">
        <f t="shared" si="6394"/>
        <v>0</v>
      </c>
      <c r="EU383" s="39">
        <f t="shared" si="6394"/>
        <v>0</v>
      </c>
      <c r="EV383" s="39">
        <f t="shared" si="6394"/>
        <v>0</v>
      </c>
      <c r="EW383" s="39">
        <f t="shared" ref="EW383:EX383" si="6395">EW$1*ED383</f>
        <v>0</v>
      </c>
      <c r="EX383" s="39">
        <f t="shared" si="6395"/>
        <v>0</v>
      </c>
      <c r="EY383" s="2"/>
      <c r="EZ383" s="39">
        <f t="shared" si="4381"/>
        <v>0</v>
      </c>
      <c r="FA383" s="39">
        <f t="shared" si="4382"/>
        <v>0</v>
      </c>
      <c r="FB383" s="2">
        <f t="shared" si="4383"/>
        <v>0</v>
      </c>
      <c r="FC383" s="2">
        <f t="shared" ref="FC383:FD383" si="6396">BV383*$BT383+CQ383*$CO383</f>
        <v>0</v>
      </c>
      <c r="FD383" s="2">
        <f t="shared" si="6396"/>
        <v>0</v>
      </c>
      <c r="FE383" s="2">
        <f t="shared" ref="FE383:FJ383" si="6397">(BX383*$BT383+CS383*$CO383)/100</f>
        <v>0</v>
      </c>
      <c r="FF383" s="2">
        <f t="shared" si="6397"/>
        <v>0</v>
      </c>
      <c r="FG383" s="2">
        <f t="shared" si="6397"/>
        <v>0</v>
      </c>
      <c r="FH383" s="2">
        <f t="shared" si="6397"/>
        <v>0</v>
      </c>
      <c r="FI383" s="2">
        <f t="shared" si="6397"/>
        <v>0</v>
      </c>
      <c r="FJ383" s="2">
        <f t="shared" si="6397"/>
        <v>0</v>
      </c>
      <c r="FK383" s="2">
        <f t="shared" ref="FK383:FO383" si="6398">CD383*$BT383+CY383*$CO383</f>
        <v>0</v>
      </c>
      <c r="FL383" s="2">
        <f t="shared" si="6398"/>
        <v>0</v>
      </c>
      <c r="FM383" s="2">
        <f t="shared" si="6398"/>
        <v>0</v>
      </c>
      <c r="FN383" s="2">
        <f t="shared" si="6398"/>
        <v>0</v>
      </c>
      <c r="FO383" s="2">
        <f t="shared" si="6398"/>
        <v>0</v>
      </c>
      <c r="FP383" s="2">
        <f t="shared" ref="FP383:FQ383" si="6399">(CI383*$BT383+DD383*$CO383)/100</f>
        <v>0</v>
      </c>
      <c r="FQ383" s="2">
        <f t="shared" si="6399"/>
        <v>0</v>
      </c>
      <c r="FR383" s="2"/>
      <c r="FS383" s="2">
        <f t="shared" si="4388"/>
        <v>0</v>
      </c>
      <c r="FT383" s="2">
        <f t="shared" si="4389"/>
        <v>0</v>
      </c>
      <c r="FU383" s="39">
        <f t="shared" si="4390"/>
        <v>0</v>
      </c>
      <c r="FV383" s="39">
        <f t="shared" ref="FV383:FW383" si="6400">FV$1*FC383/1000000</f>
        <v>0</v>
      </c>
      <c r="FW383" s="39">
        <f t="shared" si="6400"/>
        <v>0</v>
      </c>
      <c r="FX383" s="39">
        <f t="shared" ref="FX383:GC383" si="6401">FX$1*FE383</f>
        <v>0</v>
      </c>
      <c r="FY383" s="39">
        <f t="shared" si="6401"/>
        <v>0</v>
      </c>
      <c r="FZ383" s="39">
        <f t="shared" si="6401"/>
        <v>0</v>
      </c>
      <c r="GA383" s="39">
        <f t="shared" si="6401"/>
        <v>0</v>
      </c>
      <c r="GB383" s="39">
        <f t="shared" si="6401"/>
        <v>0</v>
      </c>
      <c r="GC383" s="39">
        <f t="shared" si="6401"/>
        <v>0</v>
      </c>
      <c r="GD383" s="39">
        <f t="shared" ref="GD383:GH383" si="6402">GD$1*FK383/1000000</f>
        <v>0</v>
      </c>
      <c r="GE383" s="39">
        <f t="shared" si="6402"/>
        <v>0</v>
      </c>
      <c r="GF383" s="39">
        <f t="shared" si="6402"/>
        <v>0</v>
      </c>
      <c r="GG383" s="39">
        <f t="shared" si="6402"/>
        <v>0</v>
      </c>
      <c r="GH383" s="39">
        <f t="shared" si="6402"/>
        <v>0</v>
      </c>
      <c r="GI383" s="39">
        <f t="shared" ref="GI383:GJ383" si="6403">GI$1*FP383</f>
        <v>0</v>
      </c>
      <c r="GJ383" s="39">
        <f t="shared" si="6403"/>
        <v>0</v>
      </c>
      <c r="GK383" s="2"/>
      <c r="GL383" s="39">
        <f t="shared" si="4395"/>
        <v>0</v>
      </c>
      <c r="GM383" s="39">
        <f t="shared" si="4396"/>
        <v>0</v>
      </c>
      <c r="GN383" s="2" t="s">
        <v>3</v>
      </c>
      <c r="GO383" s="2">
        <f t="shared" si="4397"/>
        <v>39.700000000000003</v>
      </c>
      <c r="GP383" s="4">
        <f t="shared" si="4398"/>
        <v>0.21999999999999997</v>
      </c>
      <c r="GQ383" s="15">
        <f t="shared" si="4399"/>
        <v>87.339999999999975</v>
      </c>
      <c r="GR383" s="15">
        <f t="shared" si="4400"/>
        <v>2050.0666902479743</v>
      </c>
      <c r="GS383" s="15">
        <f t="shared" si="4401"/>
        <v>51.638959452090027</v>
      </c>
      <c r="GT383" s="2">
        <f t="shared" si="4402"/>
        <v>0</v>
      </c>
      <c r="GU383" s="2">
        <f t="shared" si="4403"/>
        <v>0</v>
      </c>
      <c r="GV383" s="2">
        <f t="shared" si="4404"/>
        <v>87.34</v>
      </c>
      <c r="GW383" s="2">
        <f t="shared" si="4405"/>
        <v>0</v>
      </c>
      <c r="GX383" s="2"/>
      <c r="GY383" s="2"/>
      <c r="GZ383" s="2"/>
      <c r="HA383" s="2"/>
      <c r="HB383" s="2">
        <f t="shared" si="4406"/>
        <v>0</v>
      </c>
      <c r="HC383" s="2">
        <f t="shared" si="4407"/>
        <v>0</v>
      </c>
      <c r="HD383" s="2" t="s">
        <v>3</v>
      </c>
      <c r="HE383" s="2" t="s">
        <v>89</v>
      </c>
      <c r="HF383" s="2" t="s">
        <v>90</v>
      </c>
      <c r="HG383" s="2" t="s">
        <v>162</v>
      </c>
      <c r="HH383" s="2" t="s">
        <v>130</v>
      </c>
      <c r="HI383" s="2" t="s">
        <v>81</v>
      </c>
      <c r="HJ383" s="2" t="s">
        <v>3</v>
      </c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 t="s">
        <v>3</v>
      </c>
    </row>
    <row r="384" spans="1:268" ht="15.75" customHeight="1" x14ac:dyDescent="0.2">
      <c r="A384" s="16" t="s">
        <v>1134</v>
      </c>
      <c r="B384" s="2" t="s">
        <v>99</v>
      </c>
      <c r="C384" s="2"/>
      <c r="D384" s="2"/>
      <c r="E384" s="2"/>
      <c r="F384" s="2" t="s">
        <v>1135</v>
      </c>
      <c r="G384" s="2"/>
      <c r="H384" s="2"/>
      <c r="I384" s="15">
        <f>28/0.35</f>
        <v>80</v>
      </c>
      <c r="J384" s="2">
        <v>7.0000000000000007E-2</v>
      </c>
      <c r="K384" s="2"/>
      <c r="L384" s="2"/>
      <c r="M384" s="2"/>
      <c r="N384" s="2"/>
      <c r="O384" s="2"/>
      <c r="P384" s="2"/>
      <c r="Q384" s="4">
        <v>0.2</v>
      </c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15">
        <f>34/0.35</f>
        <v>97.142857142857153</v>
      </c>
      <c r="AE384" s="2">
        <v>7.0000000000000007E-2</v>
      </c>
      <c r="AF384" s="2"/>
      <c r="AG384" s="2"/>
      <c r="AH384" s="2"/>
      <c r="AI384" s="2"/>
      <c r="AJ384" s="2"/>
      <c r="AK384" s="2"/>
      <c r="AL384" s="2">
        <v>0.18</v>
      </c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15">
        <f>149.9/0.35</f>
        <v>428.28571428571433</v>
      </c>
      <c r="AZ384" s="2">
        <v>0.08</v>
      </c>
      <c r="BA384" s="2"/>
      <c r="BB384" s="2"/>
      <c r="BC384" s="2"/>
      <c r="BD384" s="2"/>
      <c r="BE384" s="2"/>
      <c r="BF384" s="2"/>
      <c r="BG384" s="2">
        <v>0.19</v>
      </c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>
        <v>0</v>
      </c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>
        <v>0</v>
      </c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 t="s">
        <v>81</v>
      </c>
      <c r="DK384" s="2"/>
      <c r="DL384" s="2">
        <f t="shared" si="4367"/>
        <v>0.1897168475696083</v>
      </c>
      <c r="DM384" s="2">
        <f t="shared" si="4368"/>
        <v>0</v>
      </c>
      <c r="DN384" s="2" t="s">
        <v>95</v>
      </c>
      <c r="DO384" s="2" t="s">
        <v>3</v>
      </c>
      <c r="DP384" s="2">
        <f t="shared" si="4369"/>
        <v>0.4666285714285715</v>
      </c>
      <c r="DQ384" s="2">
        <f t="shared" ref="DQ384:DR384" si="6404">K384*$I384+AF384*$AD384+BA384*$AY384</f>
        <v>0</v>
      </c>
      <c r="DR384" s="2">
        <f t="shared" si="6404"/>
        <v>0</v>
      </c>
      <c r="DS384" s="2">
        <f t="shared" ref="DS384:DX384" si="6405">(M384*$I384+AH384*$AD384+BC384*$AY384)/100</f>
        <v>0</v>
      </c>
      <c r="DT384" s="2">
        <f t="shared" si="6405"/>
        <v>0</v>
      </c>
      <c r="DU384" s="2">
        <f t="shared" si="6405"/>
        <v>0</v>
      </c>
      <c r="DV384" s="2">
        <f t="shared" si="6405"/>
        <v>0</v>
      </c>
      <c r="DW384" s="2">
        <f t="shared" si="6405"/>
        <v>1.1486000000000001</v>
      </c>
      <c r="DX384" s="2">
        <f t="shared" si="6405"/>
        <v>0</v>
      </c>
      <c r="DY384" s="2">
        <f t="shared" ref="DY384:EC384" si="6406">S384*$I384+AN384*$AD384+BI384*$AY384</f>
        <v>0</v>
      </c>
      <c r="DZ384" s="2">
        <f t="shared" si="6406"/>
        <v>0</v>
      </c>
      <c r="EA384" s="2">
        <f t="shared" si="6406"/>
        <v>0</v>
      </c>
      <c r="EB384" s="2">
        <f t="shared" si="6406"/>
        <v>0</v>
      </c>
      <c r="EC384" s="2">
        <f t="shared" si="6406"/>
        <v>0</v>
      </c>
      <c r="ED384" s="2">
        <f t="shared" ref="ED384:EE384" si="6407">(X384*$I384+AS384*$AD384+BN384*$AY384)/100</f>
        <v>0</v>
      </c>
      <c r="EE384" s="2">
        <f t="shared" si="6407"/>
        <v>0</v>
      </c>
      <c r="EF384" s="2"/>
      <c r="EG384" s="2">
        <f t="shared" si="4374"/>
        <v>0</v>
      </c>
      <c r="EH384" s="2">
        <f t="shared" si="4375"/>
        <v>0</v>
      </c>
      <c r="EI384" s="39">
        <f t="shared" si="4376"/>
        <v>3045.0388717714291</v>
      </c>
      <c r="EJ384" s="39">
        <f t="shared" ref="EJ384:EK384" si="6408">EJ$1*DQ384/1000000</f>
        <v>0</v>
      </c>
      <c r="EK384" s="39">
        <f t="shared" si="6408"/>
        <v>0</v>
      </c>
      <c r="EL384" s="39">
        <f t="shared" ref="EL384:EQ384" si="6409">EL$1*DS384</f>
        <v>0</v>
      </c>
      <c r="EM384" s="39">
        <f t="shared" si="6409"/>
        <v>0</v>
      </c>
      <c r="EN384" s="39">
        <f t="shared" si="6409"/>
        <v>0</v>
      </c>
      <c r="EO384" s="39">
        <f t="shared" si="6409"/>
        <v>0</v>
      </c>
      <c r="EP384" s="39">
        <f t="shared" si="6409"/>
        <v>15062.740400000001</v>
      </c>
      <c r="EQ384" s="39">
        <f t="shared" si="6409"/>
        <v>0</v>
      </c>
      <c r="ER384" s="39">
        <f t="shared" ref="ER384:EV384" si="6410">ER$1*DY384/1000000</f>
        <v>0</v>
      </c>
      <c r="ES384" s="39">
        <f t="shared" si="6410"/>
        <v>0</v>
      </c>
      <c r="ET384" s="39">
        <f t="shared" si="6410"/>
        <v>0</v>
      </c>
      <c r="EU384" s="39">
        <f t="shared" si="6410"/>
        <v>0</v>
      </c>
      <c r="EV384" s="39">
        <f t="shared" si="6410"/>
        <v>0</v>
      </c>
      <c r="EW384" s="39">
        <f t="shared" ref="EW384:EX384" si="6411">EW$1*ED384</f>
        <v>0</v>
      </c>
      <c r="EX384" s="39">
        <f t="shared" si="6411"/>
        <v>0</v>
      </c>
      <c r="EY384" s="2"/>
      <c r="EZ384" s="39">
        <f t="shared" si="4381"/>
        <v>0</v>
      </c>
      <c r="FA384" s="39">
        <f t="shared" si="4382"/>
        <v>0</v>
      </c>
      <c r="FB384" s="2">
        <f t="shared" si="4383"/>
        <v>0</v>
      </c>
      <c r="FC384" s="2">
        <f t="shared" ref="FC384:FD384" si="6412">BV384*$BT384+CQ384*$CO384</f>
        <v>0</v>
      </c>
      <c r="FD384" s="2">
        <f t="shared" si="6412"/>
        <v>0</v>
      </c>
      <c r="FE384" s="2">
        <f t="shared" ref="FE384:FJ384" si="6413">(BX384*$BT384+CS384*$CO384)/100</f>
        <v>0</v>
      </c>
      <c r="FF384" s="2">
        <f t="shared" si="6413"/>
        <v>0</v>
      </c>
      <c r="FG384" s="2">
        <f t="shared" si="6413"/>
        <v>0</v>
      </c>
      <c r="FH384" s="2">
        <f t="shared" si="6413"/>
        <v>0</v>
      </c>
      <c r="FI384" s="2">
        <f t="shared" si="6413"/>
        <v>0</v>
      </c>
      <c r="FJ384" s="2">
        <f t="shared" si="6413"/>
        <v>0</v>
      </c>
      <c r="FK384" s="2">
        <f t="shared" ref="FK384:FO384" si="6414">CD384*$BT384+CY384*$CO384</f>
        <v>0</v>
      </c>
      <c r="FL384" s="2">
        <f t="shared" si="6414"/>
        <v>0</v>
      </c>
      <c r="FM384" s="2">
        <f t="shared" si="6414"/>
        <v>0</v>
      </c>
      <c r="FN384" s="2">
        <f t="shared" si="6414"/>
        <v>0</v>
      </c>
      <c r="FO384" s="2">
        <f t="shared" si="6414"/>
        <v>0</v>
      </c>
      <c r="FP384" s="2">
        <f t="shared" ref="FP384:FQ384" si="6415">(CI384*$BT384+DD384*$CO384)/100</f>
        <v>0</v>
      </c>
      <c r="FQ384" s="2">
        <f t="shared" si="6415"/>
        <v>0</v>
      </c>
      <c r="FR384" s="2"/>
      <c r="FS384" s="2">
        <f t="shared" si="4388"/>
        <v>0</v>
      </c>
      <c r="FT384" s="2">
        <f t="shared" si="4389"/>
        <v>0</v>
      </c>
      <c r="FU384" s="39">
        <f t="shared" si="4390"/>
        <v>0</v>
      </c>
      <c r="FV384" s="39">
        <f t="shared" ref="FV384:FW384" si="6416">FV$1*FC384/1000000</f>
        <v>0</v>
      </c>
      <c r="FW384" s="39">
        <f t="shared" si="6416"/>
        <v>0</v>
      </c>
      <c r="FX384" s="39">
        <f t="shared" ref="FX384:GC384" si="6417">FX$1*FE384</f>
        <v>0</v>
      </c>
      <c r="FY384" s="39">
        <f t="shared" si="6417"/>
        <v>0</v>
      </c>
      <c r="FZ384" s="39">
        <f t="shared" si="6417"/>
        <v>0</v>
      </c>
      <c r="GA384" s="39">
        <f t="shared" si="6417"/>
        <v>0</v>
      </c>
      <c r="GB384" s="39">
        <f t="shared" si="6417"/>
        <v>0</v>
      </c>
      <c r="GC384" s="39">
        <f t="shared" si="6417"/>
        <v>0</v>
      </c>
      <c r="GD384" s="39">
        <f t="shared" ref="GD384:GH384" si="6418">GD$1*FK384/1000000</f>
        <v>0</v>
      </c>
      <c r="GE384" s="39">
        <f t="shared" si="6418"/>
        <v>0</v>
      </c>
      <c r="GF384" s="39">
        <f t="shared" si="6418"/>
        <v>0</v>
      </c>
      <c r="GG384" s="39">
        <f t="shared" si="6418"/>
        <v>0</v>
      </c>
      <c r="GH384" s="39">
        <f t="shared" si="6418"/>
        <v>0</v>
      </c>
      <c r="GI384" s="39">
        <f t="shared" ref="GI384:GJ384" si="6419">GI$1*FP384</f>
        <v>0</v>
      </c>
      <c r="GJ384" s="39">
        <f t="shared" si="6419"/>
        <v>0</v>
      </c>
      <c r="GK384" s="2"/>
      <c r="GL384" s="39">
        <f t="shared" si="4395"/>
        <v>0</v>
      </c>
      <c r="GM384" s="39">
        <f t="shared" si="4396"/>
        <v>0</v>
      </c>
      <c r="GN384" s="2" t="s">
        <v>3</v>
      </c>
      <c r="GO384" s="15">
        <f t="shared" si="4397"/>
        <v>605.42857142857156</v>
      </c>
      <c r="GP384" s="4">
        <f t="shared" si="4398"/>
        <v>0.1897168475696083</v>
      </c>
      <c r="GQ384" s="18">
        <f t="shared" si="4399"/>
        <v>1148.6000000000004</v>
      </c>
      <c r="GR384" s="15">
        <f t="shared" si="4400"/>
        <v>18107.779271771429</v>
      </c>
      <c r="GS384" s="15">
        <f t="shared" si="4401"/>
        <v>29.909026640490794</v>
      </c>
      <c r="GT384" s="2">
        <f t="shared" si="4402"/>
        <v>160</v>
      </c>
      <c r="GU384" s="2">
        <f t="shared" si="4403"/>
        <v>174.85714285714286</v>
      </c>
      <c r="GV384" s="2">
        <f t="shared" si="4404"/>
        <v>813.74285714285725</v>
      </c>
      <c r="GW384" s="2">
        <f t="shared" si="4405"/>
        <v>0</v>
      </c>
      <c r="GX384" s="2"/>
      <c r="GY384" s="2"/>
      <c r="GZ384" s="2"/>
      <c r="HA384" s="2"/>
      <c r="HB384" s="2">
        <f t="shared" si="4406"/>
        <v>0</v>
      </c>
      <c r="HC384" s="2">
        <f t="shared" si="4407"/>
        <v>0</v>
      </c>
      <c r="HD384" s="2" t="s">
        <v>3</v>
      </c>
      <c r="HE384" s="2" t="s">
        <v>89</v>
      </c>
      <c r="HF384" s="2" t="s">
        <v>90</v>
      </c>
      <c r="HG384" s="2" t="s">
        <v>162</v>
      </c>
      <c r="HH384" s="2" t="s">
        <v>130</v>
      </c>
      <c r="HI384" s="2" t="s">
        <v>81</v>
      </c>
      <c r="HJ384" s="2" t="s">
        <v>3</v>
      </c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 t="s">
        <v>3</v>
      </c>
    </row>
    <row r="385" spans="1:268" ht="15.75" customHeight="1" x14ac:dyDescent="0.2">
      <c r="A385" s="16" t="s">
        <v>1095</v>
      </c>
      <c r="B385" s="2" t="s">
        <v>109</v>
      </c>
      <c r="C385" s="2"/>
      <c r="D385" s="2"/>
      <c r="E385" s="2"/>
      <c r="F385" s="2" t="s">
        <v>1096</v>
      </c>
      <c r="G385" s="2"/>
      <c r="H385" s="2"/>
      <c r="I385" s="2">
        <v>13.167</v>
      </c>
      <c r="J385" s="2">
        <v>0.13</v>
      </c>
      <c r="K385" s="2"/>
      <c r="L385" s="2"/>
      <c r="M385" s="2"/>
      <c r="N385" s="2"/>
      <c r="O385" s="2"/>
      <c r="P385" s="2"/>
      <c r="Q385" s="4">
        <f>0.38*(58.69/(58.69+32.07))</f>
        <v>0.24572719259585721</v>
      </c>
      <c r="R385" s="2">
        <v>0.01</v>
      </c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>
        <v>46.006</v>
      </c>
      <c r="AE385" s="2">
        <v>0.11</v>
      </c>
      <c r="AF385" s="2"/>
      <c r="AG385" s="2"/>
      <c r="AH385" s="2"/>
      <c r="AI385" s="2"/>
      <c r="AJ385" s="2"/>
      <c r="AK385" s="2"/>
      <c r="AL385" s="4">
        <f>0.31*(58.69/(58.69+32.07))</f>
        <v>0.20046165711767297</v>
      </c>
      <c r="AM385" s="2">
        <v>0.01</v>
      </c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>
        <v>4.4999999999999998E-2</v>
      </c>
      <c r="AZ385" s="4">
        <v>0.1</v>
      </c>
      <c r="BA385" s="2"/>
      <c r="BB385" s="2"/>
      <c r="BC385" s="2"/>
      <c r="BD385" s="2"/>
      <c r="BE385" s="2"/>
      <c r="BF385" s="2"/>
      <c r="BG385" s="4">
        <f>0.25*(58.69/(58.69+32.07))</f>
        <v>0.16166262670780079</v>
      </c>
      <c r="BH385" s="2">
        <v>0.01</v>
      </c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>
        <v>0</v>
      </c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>
        <v>0</v>
      </c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 t="s">
        <v>81</v>
      </c>
      <c r="DK385" s="2" t="s">
        <v>81</v>
      </c>
      <c r="DL385" s="2">
        <f t="shared" si="4367"/>
        <v>0.21049687190494726</v>
      </c>
      <c r="DM385" s="2">
        <f t="shared" si="4368"/>
        <v>0.01</v>
      </c>
      <c r="DN385" s="2" t="s">
        <v>1097</v>
      </c>
      <c r="DO385" s="2" t="s">
        <v>3</v>
      </c>
      <c r="DP385" s="2">
        <f t="shared" si="4369"/>
        <v>6.7768700000000001E-2</v>
      </c>
      <c r="DQ385" s="2">
        <f t="shared" ref="DQ385:DR385" si="6420">K385*$I385+AF385*$AD385+BA385*$AY385</f>
        <v>0</v>
      </c>
      <c r="DR385" s="2">
        <f t="shared" si="6420"/>
        <v>0</v>
      </c>
      <c r="DS385" s="2">
        <f t="shared" ref="DS385:DX385" si="6421">(M385*$I385+AH385*$AD385+BC385*$AY385)/100</f>
        <v>0</v>
      </c>
      <c r="DT385" s="2">
        <f t="shared" si="6421"/>
        <v>0</v>
      </c>
      <c r="DU385" s="2">
        <f t="shared" si="6421"/>
        <v>0</v>
      </c>
      <c r="DV385" s="2">
        <f t="shared" si="6421"/>
        <v>0</v>
      </c>
      <c r="DW385" s="2">
        <f t="shared" si="6421"/>
        <v>0.12465203760467167</v>
      </c>
      <c r="DX385" s="2">
        <f t="shared" si="6421"/>
        <v>5.9218000000000005E-3</v>
      </c>
      <c r="DY385" s="2">
        <f t="shared" ref="DY385:EC385" si="6422">S385*$I385+AN385*$AD385+BI385*$AY385</f>
        <v>0</v>
      </c>
      <c r="DZ385" s="2">
        <f t="shared" si="6422"/>
        <v>0</v>
      </c>
      <c r="EA385" s="2">
        <f t="shared" si="6422"/>
        <v>0</v>
      </c>
      <c r="EB385" s="2">
        <f t="shared" si="6422"/>
        <v>0</v>
      </c>
      <c r="EC385" s="2">
        <f t="shared" si="6422"/>
        <v>0</v>
      </c>
      <c r="ED385" s="2">
        <f t="shared" ref="ED385:EE385" si="6423">(X385*$I385+AS385*$AD385+BN385*$AY385)/100</f>
        <v>0</v>
      </c>
      <c r="EE385" s="2">
        <f t="shared" si="6423"/>
        <v>0</v>
      </c>
      <c r="EF385" s="2"/>
      <c r="EG385" s="2">
        <f t="shared" si="4374"/>
        <v>0</v>
      </c>
      <c r="EH385" s="2">
        <f t="shared" si="4375"/>
        <v>0</v>
      </c>
      <c r="EI385" s="39">
        <f t="shared" si="4376"/>
        <v>442.23251301919998</v>
      </c>
      <c r="EJ385" s="39">
        <f t="shared" ref="EJ385:EK385" si="6424">EJ$1*DQ385/1000000</f>
        <v>0</v>
      </c>
      <c r="EK385" s="39">
        <f t="shared" si="6424"/>
        <v>0</v>
      </c>
      <c r="EL385" s="39">
        <f t="shared" ref="EL385:EQ385" si="6425">EL$1*DS385</f>
        <v>0</v>
      </c>
      <c r="EM385" s="39">
        <f t="shared" si="6425"/>
        <v>0</v>
      </c>
      <c r="EN385" s="39">
        <f t="shared" si="6425"/>
        <v>0</v>
      </c>
      <c r="EO385" s="39">
        <f t="shared" si="6425"/>
        <v>0</v>
      </c>
      <c r="EP385" s="39">
        <f t="shared" si="6425"/>
        <v>1634.6868211476642</v>
      </c>
      <c r="EQ385" s="39">
        <f t="shared" si="6425"/>
        <v>430.0382972232</v>
      </c>
      <c r="ER385" s="39">
        <f t="shared" ref="ER385:EV385" si="6426">ER$1*DY385/1000000</f>
        <v>0</v>
      </c>
      <c r="ES385" s="39">
        <f t="shared" si="6426"/>
        <v>0</v>
      </c>
      <c r="ET385" s="39">
        <f t="shared" si="6426"/>
        <v>0</v>
      </c>
      <c r="EU385" s="39">
        <f t="shared" si="6426"/>
        <v>0</v>
      </c>
      <c r="EV385" s="39">
        <f t="shared" si="6426"/>
        <v>0</v>
      </c>
      <c r="EW385" s="39">
        <f t="shared" ref="EW385:EX385" si="6427">EW$1*ED385</f>
        <v>0</v>
      </c>
      <c r="EX385" s="39">
        <f t="shared" si="6427"/>
        <v>0</v>
      </c>
      <c r="EY385" s="2"/>
      <c r="EZ385" s="39">
        <f t="shared" si="4381"/>
        <v>0</v>
      </c>
      <c r="FA385" s="39">
        <f t="shared" si="4382"/>
        <v>0</v>
      </c>
      <c r="FB385" s="2">
        <f t="shared" si="4383"/>
        <v>0</v>
      </c>
      <c r="FC385" s="2">
        <f t="shared" ref="FC385:FD385" si="6428">BV385*$BT385+CQ385*$CO385</f>
        <v>0</v>
      </c>
      <c r="FD385" s="2">
        <f t="shared" si="6428"/>
        <v>0</v>
      </c>
      <c r="FE385" s="2">
        <f t="shared" ref="FE385:FJ385" si="6429">(BX385*$BT385+CS385*$CO385)/100</f>
        <v>0</v>
      </c>
      <c r="FF385" s="2">
        <f t="shared" si="6429"/>
        <v>0</v>
      </c>
      <c r="FG385" s="2">
        <f t="shared" si="6429"/>
        <v>0</v>
      </c>
      <c r="FH385" s="2">
        <f t="shared" si="6429"/>
        <v>0</v>
      </c>
      <c r="FI385" s="2">
        <f t="shared" si="6429"/>
        <v>0</v>
      </c>
      <c r="FJ385" s="2">
        <f t="shared" si="6429"/>
        <v>0</v>
      </c>
      <c r="FK385" s="2">
        <f t="shared" ref="FK385:FO385" si="6430">CD385*$BT385+CY385*$CO385</f>
        <v>0</v>
      </c>
      <c r="FL385" s="2">
        <f t="shared" si="6430"/>
        <v>0</v>
      </c>
      <c r="FM385" s="2">
        <f t="shared" si="6430"/>
        <v>0</v>
      </c>
      <c r="FN385" s="2">
        <f t="shared" si="6430"/>
        <v>0</v>
      </c>
      <c r="FO385" s="2">
        <f t="shared" si="6430"/>
        <v>0</v>
      </c>
      <c r="FP385" s="2">
        <f t="shared" ref="FP385:FQ385" si="6431">(CI385*$BT385+DD385*$CO385)/100</f>
        <v>0</v>
      </c>
      <c r="FQ385" s="2">
        <f t="shared" si="6431"/>
        <v>0</v>
      </c>
      <c r="FR385" s="2"/>
      <c r="FS385" s="2">
        <f t="shared" si="4388"/>
        <v>0</v>
      </c>
      <c r="FT385" s="2">
        <f t="shared" si="4389"/>
        <v>0</v>
      </c>
      <c r="FU385" s="39">
        <f t="shared" si="4390"/>
        <v>0</v>
      </c>
      <c r="FV385" s="39">
        <f t="shared" ref="FV385:FW385" si="6432">FV$1*FC385/1000000</f>
        <v>0</v>
      </c>
      <c r="FW385" s="39">
        <f t="shared" si="6432"/>
        <v>0</v>
      </c>
      <c r="FX385" s="39">
        <f t="shared" ref="FX385:GC385" si="6433">FX$1*FE385</f>
        <v>0</v>
      </c>
      <c r="FY385" s="39">
        <f t="shared" si="6433"/>
        <v>0</v>
      </c>
      <c r="FZ385" s="39">
        <f t="shared" si="6433"/>
        <v>0</v>
      </c>
      <c r="GA385" s="39">
        <f t="shared" si="6433"/>
        <v>0</v>
      </c>
      <c r="GB385" s="39">
        <f t="shared" si="6433"/>
        <v>0</v>
      </c>
      <c r="GC385" s="39">
        <f t="shared" si="6433"/>
        <v>0</v>
      </c>
      <c r="GD385" s="39">
        <f t="shared" ref="GD385:GH385" si="6434">GD$1*FK385/1000000</f>
        <v>0</v>
      </c>
      <c r="GE385" s="39">
        <f t="shared" si="6434"/>
        <v>0</v>
      </c>
      <c r="GF385" s="39">
        <f t="shared" si="6434"/>
        <v>0</v>
      </c>
      <c r="GG385" s="39">
        <f t="shared" si="6434"/>
        <v>0</v>
      </c>
      <c r="GH385" s="39">
        <f t="shared" si="6434"/>
        <v>0</v>
      </c>
      <c r="GI385" s="39">
        <f t="shared" ref="GI385:GJ385" si="6435">GI$1*FP385</f>
        <v>0</v>
      </c>
      <c r="GJ385" s="39">
        <f t="shared" si="6435"/>
        <v>0</v>
      </c>
      <c r="GK385" s="2"/>
      <c r="GL385" s="39">
        <f t="shared" si="4395"/>
        <v>0</v>
      </c>
      <c r="GM385" s="39">
        <f t="shared" si="4396"/>
        <v>0</v>
      </c>
      <c r="GN385" s="2" t="s">
        <v>3</v>
      </c>
      <c r="GO385" s="4">
        <f t="shared" si="4397"/>
        <v>59.218000000000004</v>
      </c>
      <c r="GP385" s="4">
        <f t="shared" si="4398"/>
        <v>0.21049687190494726</v>
      </c>
      <c r="GQ385" s="15">
        <f t="shared" si="4399"/>
        <v>124.65203760467166</v>
      </c>
      <c r="GR385" s="15">
        <f t="shared" si="4400"/>
        <v>2506.9576313900643</v>
      </c>
      <c r="GS385" s="15">
        <f t="shared" si="4401"/>
        <v>42.334385345504138</v>
      </c>
      <c r="GT385" s="2">
        <f t="shared" si="4402"/>
        <v>32.354899449096514</v>
      </c>
      <c r="GU385" s="2">
        <f t="shared" si="4403"/>
        <v>92.224389973556626</v>
      </c>
      <c r="GV385" s="2">
        <f t="shared" si="4404"/>
        <v>7.2748182018510354E-2</v>
      </c>
      <c r="GW385" s="2">
        <f t="shared" si="4405"/>
        <v>0</v>
      </c>
      <c r="GX385" s="2"/>
      <c r="GY385" s="2"/>
      <c r="GZ385" s="2"/>
      <c r="HA385" s="2"/>
      <c r="HB385" s="2">
        <f t="shared" si="4406"/>
        <v>0</v>
      </c>
      <c r="HC385" s="2">
        <f t="shared" si="4407"/>
        <v>0</v>
      </c>
      <c r="HD385" s="2" t="s">
        <v>3</v>
      </c>
      <c r="HE385" s="2" t="s">
        <v>89</v>
      </c>
      <c r="HF385" s="2" t="s">
        <v>90</v>
      </c>
      <c r="HG385" s="2" t="s">
        <v>91</v>
      </c>
      <c r="HH385" s="2"/>
      <c r="HI385" s="2" t="s">
        <v>81</v>
      </c>
      <c r="HJ385" s="2" t="s">
        <v>3</v>
      </c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 t="s">
        <v>3</v>
      </c>
    </row>
    <row r="386" spans="1:268" ht="15.75" customHeight="1" x14ac:dyDescent="0.2">
      <c r="A386" s="16" t="s">
        <v>990</v>
      </c>
      <c r="B386" s="2" t="s">
        <v>99</v>
      </c>
      <c r="C386" s="2"/>
      <c r="D386" s="2"/>
      <c r="E386" s="2"/>
      <c r="F386" s="2" t="s">
        <v>991</v>
      </c>
      <c r="G386" s="2"/>
      <c r="H386" s="2"/>
      <c r="I386" s="2">
        <v>0</v>
      </c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>
        <v>0</v>
      </c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>
        <v>27.2</v>
      </c>
      <c r="AZ386" s="2">
        <v>0.03</v>
      </c>
      <c r="BA386" s="2">
        <v>0.02</v>
      </c>
      <c r="BB386" s="2"/>
      <c r="BC386" s="2"/>
      <c r="BD386" s="2"/>
      <c r="BE386" s="2"/>
      <c r="BF386" s="2"/>
      <c r="BG386" s="2">
        <v>0.18</v>
      </c>
      <c r="BH386" s="19">
        <v>1.149E-2</v>
      </c>
      <c r="BI386" s="2">
        <v>0.42</v>
      </c>
      <c r="BJ386" s="2">
        <v>0.77</v>
      </c>
      <c r="BK386" s="2"/>
      <c r="BL386" s="2"/>
      <c r="BM386" s="2"/>
      <c r="BN386" s="4">
        <f>0.85*(2*52/(2*52+3*16.001))</f>
        <v>0.58156746906311063</v>
      </c>
      <c r="BO386" s="2"/>
      <c r="BP386" s="2"/>
      <c r="BQ386" s="2"/>
      <c r="BR386" s="2"/>
      <c r="BS386" s="2"/>
      <c r="BT386" s="2">
        <v>0</v>
      </c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>
        <v>0</v>
      </c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 t="s">
        <v>81</v>
      </c>
      <c r="DK386" s="2" t="s">
        <v>81</v>
      </c>
      <c r="DL386" s="2">
        <f t="shared" si="4367"/>
        <v>0.18</v>
      </c>
      <c r="DM386" s="2">
        <f t="shared" si="4368"/>
        <v>1.1489999999999998E-2</v>
      </c>
      <c r="DN386" s="2" t="s">
        <v>992</v>
      </c>
      <c r="DO386" s="2" t="s">
        <v>3</v>
      </c>
      <c r="DP386" s="2">
        <f t="shared" si="4369"/>
        <v>8.1599999999999989E-3</v>
      </c>
      <c r="DQ386" s="2">
        <f t="shared" ref="DQ386:DR386" si="6436">K386*$I386+AF386*$AD386+BA386*$AY386</f>
        <v>0.54400000000000004</v>
      </c>
      <c r="DR386" s="2">
        <f t="shared" si="6436"/>
        <v>0</v>
      </c>
      <c r="DS386" s="2">
        <f t="shared" ref="DS386:DX386" si="6437">(M386*$I386+AH386*$AD386+BC386*$AY386)/100</f>
        <v>0</v>
      </c>
      <c r="DT386" s="2">
        <f t="shared" si="6437"/>
        <v>0</v>
      </c>
      <c r="DU386" s="2">
        <f t="shared" si="6437"/>
        <v>0</v>
      </c>
      <c r="DV386" s="2">
        <f t="shared" si="6437"/>
        <v>0</v>
      </c>
      <c r="DW386" s="2">
        <f t="shared" si="6437"/>
        <v>4.8959999999999997E-2</v>
      </c>
      <c r="DX386" s="2">
        <f t="shared" si="6437"/>
        <v>3.1252799999999998E-3</v>
      </c>
      <c r="DY386" s="2">
        <f t="shared" ref="DY386:EC386" si="6438">S386*$I386+AN386*$AD386+BI386*$AY386</f>
        <v>11.423999999999999</v>
      </c>
      <c r="DZ386" s="2">
        <f t="shared" si="6438"/>
        <v>20.943999999999999</v>
      </c>
      <c r="EA386" s="2">
        <f t="shared" si="6438"/>
        <v>0</v>
      </c>
      <c r="EB386" s="2">
        <f t="shared" si="6438"/>
        <v>0</v>
      </c>
      <c r="EC386" s="2">
        <f t="shared" si="6438"/>
        <v>0</v>
      </c>
      <c r="ED386" s="2">
        <f t="shared" ref="ED386:EE386" si="6439">(X386*$I386+AS386*$AD386+BN386*$AY386)/100</f>
        <v>0.15818635158516609</v>
      </c>
      <c r="EE386" s="2">
        <f t="shared" si="6439"/>
        <v>0</v>
      </c>
      <c r="EF386" s="2"/>
      <c r="EG386" s="2">
        <f t="shared" si="4374"/>
        <v>0</v>
      </c>
      <c r="EH386" s="2">
        <f t="shared" si="4375"/>
        <v>0</v>
      </c>
      <c r="EI386" s="39">
        <f t="shared" si="4376"/>
        <v>53.24902655999999</v>
      </c>
      <c r="EJ386" s="39">
        <f t="shared" ref="EJ386:EK386" si="6440">EJ$1*DQ386/1000000</f>
        <v>22.249774919614147</v>
      </c>
      <c r="EK386" s="39">
        <f t="shared" si="6440"/>
        <v>0</v>
      </c>
      <c r="EL386" s="39">
        <f t="shared" ref="EL386:EQ386" si="6441">EL$1*DS386</f>
        <v>0</v>
      </c>
      <c r="EM386" s="39">
        <f t="shared" si="6441"/>
        <v>0</v>
      </c>
      <c r="EN386" s="39">
        <f t="shared" si="6441"/>
        <v>0</v>
      </c>
      <c r="EO386" s="39">
        <f t="shared" si="6441"/>
        <v>0</v>
      </c>
      <c r="EP386" s="39">
        <f t="shared" si="6441"/>
        <v>642.06143999999995</v>
      </c>
      <c r="EQ386" s="39">
        <f t="shared" si="6441"/>
        <v>226.95634596671997</v>
      </c>
      <c r="ER386" s="39">
        <f t="shared" ref="ER386:EV386" si="6442">ER$1*DY386/1000000</f>
        <v>324.2285479099678</v>
      </c>
      <c r="ES386" s="39">
        <f t="shared" si="6442"/>
        <v>697.97395241157551</v>
      </c>
      <c r="ET386" s="39">
        <f t="shared" si="6442"/>
        <v>0</v>
      </c>
      <c r="EU386" s="39">
        <f t="shared" si="6442"/>
        <v>0</v>
      </c>
      <c r="EV386" s="39">
        <f t="shared" si="6442"/>
        <v>0</v>
      </c>
      <c r="EW386" s="39">
        <f t="shared" ref="EW386:EX386" si="6443">EW$1*ED386</f>
        <v>44.133992092261337</v>
      </c>
      <c r="EX386" s="39">
        <f t="shared" si="6443"/>
        <v>0</v>
      </c>
      <c r="EY386" s="2"/>
      <c r="EZ386" s="39">
        <f t="shared" si="4381"/>
        <v>0</v>
      </c>
      <c r="FA386" s="39">
        <f t="shared" si="4382"/>
        <v>0</v>
      </c>
      <c r="FB386" s="2">
        <f t="shared" si="4383"/>
        <v>0</v>
      </c>
      <c r="FC386" s="2">
        <f t="shared" ref="FC386:FD386" si="6444">BV386*$BT386+CQ386*$CO386</f>
        <v>0</v>
      </c>
      <c r="FD386" s="2">
        <f t="shared" si="6444"/>
        <v>0</v>
      </c>
      <c r="FE386" s="2">
        <f t="shared" ref="FE386:FJ386" si="6445">(BX386*$BT386+CS386*$CO386)/100</f>
        <v>0</v>
      </c>
      <c r="FF386" s="2">
        <f t="shared" si="6445"/>
        <v>0</v>
      </c>
      <c r="FG386" s="2">
        <f t="shared" si="6445"/>
        <v>0</v>
      </c>
      <c r="FH386" s="2">
        <f t="shared" si="6445"/>
        <v>0</v>
      </c>
      <c r="FI386" s="2">
        <f t="shared" si="6445"/>
        <v>0</v>
      </c>
      <c r="FJ386" s="2">
        <f t="shared" si="6445"/>
        <v>0</v>
      </c>
      <c r="FK386" s="2">
        <f t="shared" ref="FK386:FO386" si="6446">CD386*$BT386+CY386*$CO386</f>
        <v>0</v>
      </c>
      <c r="FL386" s="2">
        <f t="shared" si="6446"/>
        <v>0</v>
      </c>
      <c r="FM386" s="2">
        <f t="shared" si="6446"/>
        <v>0</v>
      </c>
      <c r="FN386" s="2">
        <f t="shared" si="6446"/>
        <v>0</v>
      </c>
      <c r="FO386" s="2">
        <f t="shared" si="6446"/>
        <v>0</v>
      </c>
      <c r="FP386" s="2">
        <f t="shared" ref="FP386:FQ386" si="6447">(CI386*$BT386+DD386*$CO386)/100</f>
        <v>0</v>
      </c>
      <c r="FQ386" s="2">
        <f t="shared" si="6447"/>
        <v>0</v>
      </c>
      <c r="FR386" s="2"/>
      <c r="FS386" s="2">
        <f t="shared" si="4388"/>
        <v>0</v>
      </c>
      <c r="FT386" s="2">
        <f t="shared" si="4389"/>
        <v>0</v>
      </c>
      <c r="FU386" s="39">
        <f t="shared" si="4390"/>
        <v>0</v>
      </c>
      <c r="FV386" s="39">
        <f t="shared" ref="FV386:FW386" si="6448">FV$1*FC386/1000000</f>
        <v>0</v>
      </c>
      <c r="FW386" s="39">
        <f t="shared" si="6448"/>
        <v>0</v>
      </c>
      <c r="FX386" s="39">
        <f t="shared" ref="FX386:GC386" si="6449">FX$1*FE386</f>
        <v>0</v>
      </c>
      <c r="FY386" s="39">
        <f t="shared" si="6449"/>
        <v>0</v>
      </c>
      <c r="FZ386" s="39">
        <f t="shared" si="6449"/>
        <v>0</v>
      </c>
      <c r="GA386" s="39">
        <f t="shared" si="6449"/>
        <v>0</v>
      </c>
      <c r="GB386" s="39">
        <f t="shared" si="6449"/>
        <v>0</v>
      </c>
      <c r="GC386" s="39">
        <f t="shared" si="6449"/>
        <v>0</v>
      </c>
      <c r="GD386" s="39">
        <f t="shared" ref="GD386:GH386" si="6450">GD$1*FK386/1000000</f>
        <v>0</v>
      </c>
      <c r="GE386" s="39">
        <f t="shared" si="6450"/>
        <v>0</v>
      </c>
      <c r="GF386" s="39">
        <f t="shared" si="6450"/>
        <v>0</v>
      </c>
      <c r="GG386" s="39">
        <f t="shared" si="6450"/>
        <v>0</v>
      </c>
      <c r="GH386" s="39">
        <f t="shared" si="6450"/>
        <v>0</v>
      </c>
      <c r="GI386" s="39">
        <f t="shared" ref="GI386:GJ386" si="6451">GI$1*FP386</f>
        <v>0</v>
      </c>
      <c r="GJ386" s="39">
        <f t="shared" si="6451"/>
        <v>0</v>
      </c>
      <c r="GK386" s="2"/>
      <c r="GL386" s="39">
        <f t="shared" si="4395"/>
        <v>0</v>
      </c>
      <c r="GM386" s="39">
        <f t="shared" si="4396"/>
        <v>0</v>
      </c>
      <c r="GN386" s="2" t="s">
        <v>3</v>
      </c>
      <c r="GO386" s="2">
        <f t="shared" si="4397"/>
        <v>27.2</v>
      </c>
      <c r="GP386" s="2">
        <f t="shared" si="4398"/>
        <v>0.18</v>
      </c>
      <c r="GQ386" s="15">
        <f t="shared" si="4399"/>
        <v>48.96</v>
      </c>
      <c r="GR386" s="15">
        <f t="shared" si="4400"/>
        <v>2010.8530798601387</v>
      </c>
      <c r="GS386" s="15">
        <f t="shared" si="4401"/>
        <v>73.928422053681572</v>
      </c>
      <c r="GT386" s="2">
        <f t="shared" si="4402"/>
        <v>0</v>
      </c>
      <c r="GU386" s="2">
        <f t="shared" si="4403"/>
        <v>0</v>
      </c>
      <c r="GV386" s="2">
        <f t="shared" si="4404"/>
        <v>48.96</v>
      </c>
      <c r="GW386" s="2">
        <f t="shared" si="4405"/>
        <v>0</v>
      </c>
      <c r="GX386" s="2"/>
      <c r="GY386" s="2"/>
      <c r="GZ386" s="2"/>
      <c r="HA386" s="2"/>
      <c r="HB386" s="2">
        <f t="shared" si="4406"/>
        <v>0</v>
      </c>
      <c r="HC386" s="2">
        <f t="shared" si="4407"/>
        <v>0</v>
      </c>
      <c r="HD386" s="2" t="s">
        <v>3</v>
      </c>
      <c r="HE386" s="2" t="s">
        <v>89</v>
      </c>
      <c r="HF386" s="2" t="s">
        <v>90</v>
      </c>
      <c r="HG386" s="2" t="s">
        <v>91</v>
      </c>
      <c r="HH386" s="2"/>
      <c r="HI386" s="2" t="s">
        <v>81</v>
      </c>
      <c r="HJ386" s="2" t="s">
        <v>3</v>
      </c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 t="s">
        <v>3</v>
      </c>
    </row>
    <row r="387" spans="1:268" ht="15.75" customHeight="1" x14ac:dyDescent="0.2">
      <c r="A387" s="16" t="s">
        <v>877</v>
      </c>
      <c r="B387" s="2" t="s">
        <v>99</v>
      </c>
      <c r="C387" s="2"/>
      <c r="D387" s="2"/>
      <c r="E387" s="2"/>
      <c r="F387" s="2" t="s">
        <v>79</v>
      </c>
      <c r="G387" s="2"/>
      <c r="H387" s="2"/>
      <c r="I387" s="2">
        <v>0</v>
      </c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>
        <v>53.332999999999998</v>
      </c>
      <c r="AE387" s="2">
        <v>0.45500000000000002</v>
      </c>
      <c r="AF387" s="2"/>
      <c r="AG387" s="2"/>
      <c r="AH387" s="2"/>
      <c r="AI387" s="2"/>
      <c r="AJ387" s="2"/>
      <c r="AK387" s="2"/>
      <c r="AL387" s="2">
        <v>0.27</v>
      </c>
      <c r="AM387" s="2"/>
      <c r="AN387" s="2">
        <v>0.2</v>
      </c>
      <c r="AO387" s="2">
        <v>2.0499999999999998</v>
      </c>
      <c r="AP387" s="2"/>
      <c r="AQ387" s="2"/>
      <c r="AR387" s="2"/>
      <c r="AS387" s="2"/>
      <c r="AT387" s="2"/>
      <c r="AU387" s="2"/>
      <c r="AV387" s="2"/>
      <c r="AW387" s="2"/>
      <c r="AX387" s="2"/>
      <c r="AY387" s="2">
        <v>0</v>
      </c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>
        <v>0</v>
      </c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>
        <v>0</v>
      </c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 t="s">
        <v>81</v>
      </c>
      <c r="DK387" s="2"/>
      <c r="DL387" s="2">
        <f t="shared" si="4367"/>
        <v>0.27</v>
      </c>
      <c r="DM387" s="2">
        <f t="shared" si="4368"/>
        <v>0</v>
      </c>
      <c r="DN387" s="2" t="s">
        <v>101</v>
      </c>
      <c r="DO387" s="2" t="s">
        <v>3</v>
      </c>
      <c r="DP387" s="2">
        <f t="shared" si="4369"/>
        <v>0.24266515000000002</v>
      </c>
      <c r="DQ387" s="2">
        <f t="shared" ref="DQ387:DR387" si="6452">K387*$I387+AF387*$AD387+BA387*$AY387</f>
        <v>0</v>
      </c>
      <c r="DR387" s="2">
        <f t="shared" si="6452"/>
        <v>0</v>
      </c>
      <c r="DS387" s="2">
        <f t="shared" ref="DS387:DX387" si="6453">(M387*$I387+AH387*$AD387+BC387*$AY387)/100</f>
        <v>0</v>
      </c>
      <c r="DT387" s="2">
        <f t="shared" si="6453"/>
        <v>0</v>
      </c>
      <c r="DU387" s="2">
        <f t="shared" si="6453"/>
        <v>0</v>
      </c>
      <c r="DV387" s="2">
        <f t="shared" si="6453"/>
        <v>0</v>
      </c>
      <c r="DW387" s="2">
        <f t="shared" si="6453"/>
        <v>0.14399909999999999</v>
      </c>
      <c r="DX387" s="2">
        <f t="shared" si="6453"/>
        <v>0</v>
      </c>
      <c r="DY387" s="2">
        <f t="shared" ref="DY387:EC387" si="6454">S387*$I387+AN387*$AD387+BI387*$AY387</f>
        <v>10.666600000000001</v>
      </c>
      <c r="DZ387" s="2">
        <f t="shared" si="6454"/>
        <v>109.33264999999999</v>
      </c>
      <c r="EA387" s="2">
        <f t="shared" si="6454"/>
        <v>0</v>
      </c>
      <c r="EB387" s="2">
        <f t="shared" si="6454"/>
        <v>0</v>
      </c>
      <c r="EC387" s="2">
        <f t="shared" si="6454"/>
        <v>0</v>
      </c>
      <c r="ED387" s="2">
        <f t="shared" ref="ED387:EE387" si="6455">(X387*$I387+AS387*$AD387+BN387*$AY387)/100</f>
        <v>0</v>
      </c>
      <c r="EE387" s="2">
        <f t="shared" si="6455"/>
        <v>0</v>
      </c>
      <c r="EF387" s="2"/>
      <c r="EG387" s="2">
        <f t="shared" si="4374"/>
        <v>0</v>
      </c>
      <c r="EH387" s="2">
        <f t="shared" si="4375"/>
        <v>0</v>
      </c>
      <c r="EI387" s="39">
        <f t="shared" si="4376"/>
        <v>1583.5395854824001</v>
      </c>
      <c r="EJ387" s="39">
        <f t="shared" ref="EJ387:EK387" si="6456">EJ$1*DQ387/1000000</f>
        <v>0</v>
      </c>
      <c r="EK387" s="39">
        <f t="shared" si="6456"/>
        <v>0</v>
      </c>
      <c r="EL387" s="39">
        <f t="shared" ref="EL387:EQ387" si="6457">EL$1*DS387</f>
        <v>0</v>
      </c>
      <c r="EM387" s="39">
        <f t="shared" si="6457"/>
        <v>0</v>
      </c>
      <c r="EN387" s="39">
        <f t="shared" si="6457"/>
        <v>0</v>
      </c>
      <c r="EO387" s="39">
        <f t="shared" si="6457"/>
        <v>0</v>
      </c>
      <c r="EP387" s="39">
        <f t="shared" si="6457"/>
        <v>1888.4041973999999</v>
      </c>
      <c r="EQ387" s="39">
        <f t="shared" si="6457"/>
        <v>0</v>
      </c>
      <c r="ER387" s="39">
        <f t="shared" ref="ER387:EV387" si="6458">ER$1*DY387/1000000</f>
        <v>302.73251305466232</v>
      </c>
      <c r="ES387" s="39">
        <f t="shared" si="6458"/>
        <v>3643.5896604340833</v>
      </c>
      <c r="ET387" s="39">
        <f t="shared" si="6458"/>
        <v>0</v>
      </c>
      <c r="EU387" s="39">
        <f t="shared" si="6458"/>
        <v>0</v>
      </c>
      <c r="EV387" s="39">
        <f t="shared" si="6458"/>
        <v>0</v>
      </c>
      <c r="EW387" s="39">
        <f t="shared" ref="EW387:EX387" si="6459">EW$1*ED387</f>
        <v>0</v>
      </c>
      <c r="EX387" s="39">
        <f t="shared" si="6459"/>
        <v>0</v>
      </c>
      <c r="EY387" s="2"/>
      <c r="EZ387" s="39">
        <f t="shared" si="4381"/>
        <v>0</v>
      </c>
      <c r="FA387" s="39">
        <f t="shared" si="4382"/>
        <v>0</v>
      </c>
      <c r="FB387" s="2">
        <f t="shared" si="4383"/>
        <v>0</v>
      </c>
      <c r="FC387" s="2">
        <f t="shared" ref="FC387:FD387" si="6460">BV387*$BT387+CQ387*$CO387</f>
        <v>0</v>
      </c>
      <c r="FD387" s="2">
        <f t="shared" si="6460"/>
        <v>0</v>
      </c>
      <c r="FE387" s="2">
        <f t="shared" ref="FE387:FJ387" si="6461">(BX387*$BT387+CS387*$CO387)/100</f>
        <v>0</v>
      </c>
      <c r="FF387" s="2">
        <f t="shared" si="6461"/>
        <v>0</v>
      </c>
      <c r="FG387" s="2">
        <f t="shared" si="6461"/>
        <v>0</v>
      </c>
      <c r="FH387" s="2">
        <f t="shared" si="6461"/>
        <v>0</v>
      </c>
      <c r="FI387" s="2">
        <f t="shared" si="6461"/>
        <v>0</v>
      </c>
      <c r="FJ387" s="2">
        <f t="shared" si="6461"/>
        <v>0</v>
      </c>
      <c r="FK387" s="2">
        <f t="shared" ref="FK387:FO387" si="6462">CD387*$BT387+CY387*$CO387</f>
        <v>0</v>
      </c>
      <c r="FL387" s="2">
        <f t="shared" si="6462"/>
        <v>0</v>
      </c>
      <c r="FM387" s="2">
        <f t="shared" si="6462"/>
        <v>0</v>
      </c>
      <c r="FN387" s="2">
        <f t="shared" si="6462"/>
        <v>0</v>
      </c>
      <c r="FO387" s="2">
        <f t="shared" si="6462"/>
        <v>0</v>
      </c>
      <c r="FP387" s="2">
        <f t="shared" ref="FP387:FQ387" si="6463">(CI387*$BT387+DD387*$CO387)/100</f>
        <v>0</v>
      </c>
      <c r="FQ387" s="2">
        <f t="shared" si="6463"/>
        <v>0</v>
      </c>
      <c r="FR387" s="2"/>
      <c r="FS387" s="2">
        <f t="shared" si="4388"/>
        <v>0</v>
      </c>
      <c r="FT387" s="2">
        <f t="shared" si="4389"/>
        <v>0</v>
      </c>
      <c r="FU387" s="39">
        <f t="shared" si="4390"/>
        <v>0</v>
      </c>
      <c r="FV387" s="39">
        <f t="shared" ref="FV387:FW387" si="6464">FV$1*FC387/1000000</f>
        <v>0</v>
      </c>
      <c r="FW387" s="39">
        <f t="shared" si="6464"/>
        <v>0</v>
      </c>
      <c r="FX387" s="39">
        <f t="shared" ref="FX387:GC387" si="6465">FX$1*FE387</f>
        <v>0</v>
      </c>
      <c r="FY387" s="39">
        <f t="shared" si="6465"/>
        <v>0</v>
      </c>
      <c r="FZ387" s="39">
        <f t="shared" si="6465"/>
        <v>0</v>
      </c>
      <c r="GA387" s="39">
        <f t="shared" si="6465"/>
        <v>0</v>
      </c>
      <c r="GB387" s="39">
        <f t="shared" si="6465"/>
        <v>0</v>
      </c>
      <c r="GC387" s="39">
        <f t="shared" si="6465"/>
        <v>0</v>
      </c>
      <c r="GD387" s="39">
        <f t="shared" ref="GD387:GH387" si="6466">GD$1*FK387/1000000</f>
        <v>0</v>
      </c>
      <c r="GE387" s="39">
        <f t="shared" si="6466"/>
        <v>0</v>
      </c>
      <c r="GF387" s="39">
        <f t="shared" si="6466"/>
        <v>0</v>
      </c>
      <c r="GG387" s="39">
        <f t="shared" si="6466"/>
        <v>0</v>
      </c>
      <c r="GH387" s="39">
        <f t="shared" si="6466"/>
        <v>0</v>
      </c>
      <c r="GI387" s="39">
        <f t="shared" ref="GI387:GJ387" si="6467">GI$1*FP387</f>
        <v>0</v>
      </c>
      <c r="GJ387" s="39">
        <f t="shared" si="6467"/>
        <v>0</v>
      </c>
      <c r="GK387" s="2"/>
      <c r="GL387" s="39">
        <f t="shared" si="4395"/>
        <v>0</v>
      </c>
      <c r="GM387" s="39">
        <f t="shared" si="4396"/>
        <v>0</v>
      </c>
      <c r="GN387" s="2" t="s">
        <v>3</v>
      </c>
      <c r="GO387" s="4">
        <f t="shared" si="4397"/>
        <v>53.332999999999998</v>
      </c>
      <c r="GP387" s="2">
        <f t="shared" si="4398"/>
        <v>0.27</v>
      </c>
      <c r="GQ387" s="15">
        <f t="shared" si="4399"/>
        <v>143.99910000000003</v>
      </c>
      <c r="GR387" s="15">
        <f t="shared" si="4400"/>
        <v>7418.2659563711459</v>
      </c>
      <c r="GS387" s="15">
        <f t="shared" si="4401"/>
        <v>139.0933560154341</v>
      </c>
      <c r="GT387" s="2">
        <f t="shared" si="4402"/>
        <v>0</v>
      </c>
      <c r="GU387" s="2">
        <f t="shared" si="4403"/>
        <v>143.9991</v>
      </c>
      <c r="GV387" s="2">
        <f t="shared" si="4404"/>
        <v>0</v>
      </c>
      <c r="GW387" s="2">
        <f t="shared" si="4405"/>
        <v>0</v>
      </c>
      <c r="GX387" s="2"/>
      <c r="GY387" s="2"/>
      <c r="GZ387" s="2"/>
      <c r="HA387" s="2"/>
      <c r="HB387" s="2">
        <f t="shared" si="4406"/>
        <v>0</v>
      </c>
      <c r="HC387" s="2">
        <f t="shared" si="4407"/>
        <v>0</v>
      </c>
      <c r="HD387" s="2" t="s">
        <v>3</v>
      </c>
      <c r="HE387" s="2" t="s">
        <v>89</v>
      </c>
      <c r="HF387" s="2" t="s">
        <v>90</v>
      </c>
      <c r="HG387" s="2" t="s">
        <v>91</v>
      </c>
      <c r="HH387" s="2"/>
      <c r="HI387" s="2" t="s">
        <v>81</v>
      </c>
      <c r="HJ387" s="2" t="s">
        <v>3</v>
      </c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 t="s">
        <v>3</v>
      </c>
    </row>
    <row r="388" spans="1:268" ht="15.75" customHeight="1" x14ac:dyDescent="0.2">
      <c r="A388" s="16" t="s">
        <v>86</v>
      </c>
      <c r="B388" s="2"/>
      <c r="C388" s="2"/>
      <c r="D388" s="2"/>
      <c r="E388" s="2"/>
      <c r="F388" s="17" t="s">
        <v>87</v>
      </c>
      <c r="G388" s="2"/>
      <c r="H388" s="2"/>
      <c r="I388" s="2">
        <v>0</v>
      </c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>
        <v>96.100000000000009</v>
      </c>
      <c r="AE388" s="4">
        <v>0.01</v>
      </c>
      <c r="AF388" s="4">
        <v>2.4090489073881373E-2</v>
      </c>
      <c r="AG388" s="2"/>
      <c r="AH388" s="2"/>
      <c r="AI388" s="2"/>
      <c r="AJ388" s="2"/>
      <c r="AK388" s="2"/>
      <c r="AL388" s="4">
        <v>0.03</v>
      </c>
      <c r="AM388" s="2"/>
      <c r="AN388" s="4">
        <v>2.9450622892819975</v>
      </c>
      <c r="AO388" s="4">
        <v>1.3189542767950051</v>
      </c>
      <c r="AP388" s="4">
        <v>0.55408124869927156</v>
      </c>
      <c r="AQ388" s="4">
        <v>0.95759694068678458</v>
      </c>
      <c r="AR388" s="4">
        <v>0.22283702393340268</v>
      </c>
      <c r="AS388" s="2"/>
      <c r="AT388" s="2"/>
      <c r="AU388" s="2"/>
      <c r="AV388" s="2"/>
      <c r="AW388" s="2"/>
      <c r="AX388" s="2"/>
      <c r="AY388" s="2">
        <v>78.599999999999994</v>
      </c>
      <c r="AZ388" s="4">
        <v>1.0000000000000002E-2</v>
      </c>
      <c r="BA388" s="4">
        <v>2.3151755725190841E-2</v>
      </c>
      <c r="BB388" s="2"/>
      <c r="BC388" s="2"/>
      <c r="BD388" s="2"/>
      <c r="BE388" s="2"/>
      <c r="BF388" s="2"/>
      <c r="BG388" s="4">
        <v>0.03</v>
      </c>
      <c r="BH388" s="2"/>
      <c r="BI388" s="4">
        <v>2.8303021374045803</v>
      </c>
      <c r="BJ388" s="4">
        <v>1.2675586259541987</v>
      </c>
      <c r="BK388" s="4">
        <v>0.53249038167938934</v>
      </c>
      <c r="BL388" s="4">
        <v>0.920282290076336</v>
      </c>
      <c r="BM388" s="4">
        <v>0.21415374045801527</v>
      </c>
      <c r="BN388" s="2"/>
      <c r="BO388" s="2"/>
      <c r="BP388" s="2"/>
      <c r="BQ388" s="2"/>
      <c r="BR388" s="2"/>
      <c r="BS388" s="2"/>
      <c r="BT388" s="2">
        <v>0</v>
      </c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>
        <v>0</v>
      </c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 t="s">
        <v>81</v>
      </c>
      <c r="DK388" s="2"/>
      <c r="DL388" s="2">
        <f t="shared" si="4367"/>
        <v>0.03</v>
      </c>
      <c r="DM388" s="2">
        <f t="shared" si="4368"/>
        <v>0</v>
      </c>
      <c r="DN388" s="2" t="s">
        <v>88</v>
      </c>
      <c r="DO388" s="2" t="s">
        <v>3</v>
      </c>
      <c r="DP388" s="2">
        <f t="shared" si="4369"/>
        <v>1.7470000000000003E-2</v>
      </c>
      <c r="DQ388" s="2">
        <f t="shared" ref="DQ388:DR388" si="6468">K388*$I388+AF388*$AD388+BA388*$AY388</f>
        <v>4.1348240000000001</v>
      </c>
      <c r="DR388" s="2">
        <f t="shared" si="6468"/>
        <v>0</v>
      </c>
      <c r="DS388" s="2">
        <f t="shared" ref="DS388:DX388" si="6469">(M388*$I388+AH388*$AD388+BC388*$AY388)/100</f>
        <v>0</v>
      </c>
      <c r="DT388" s="2">
        <f t="shared" si="6469"/>
        <v>0</v>
      </c>
      <c r="DU388" s="2">
        <f t="shared" si="6469"/>
        <v>0</v>
      </c>
      <c r="DV388" s="2">
        <f t="shared" si="6469"/>
        <v>0</v>
      </c>
      <c r="DW388" s="2">
        <f t="shared" si="6469"/>
        <v>5.2409999999999998E-2</v>
      </c>
      <c r="DX388" s="2">
        <f t="shared" si="6469"/>
        <v>0</v>
      </c>
      <c r="DY388" s="2">
        <f t="shared" ref="DY388:EC388" si="6470">S388*$I388+AN388*$AD388+BI388*$AY388</f>
        <v>505.48223400000001</v>
      </c>
      <c r="DZ388" s="2">
        <f t="shared" si="6470"/>
        <v>226.38161400000001</v>
      </c>
      <c r="EA388" s="2">
        <f t="shared" si="6470"/>
        <v>95.100952000000007</v>
      </c>
      <c r="EB388" s="2">
        <f t="shared" si="6470"/>
        <v>164.35925400000002</v>
      </c>
      <c r="EC388" s="2">
        <f t="shared" si="6470"/>
        <v>38.247122000000005</v>
      </c>
      <c r="ED388" s="2">
        <f t="shared" ref="ED388:EE388" si="6471">(X388*$I388+AS388*$AD388+BN388*$AY388)/100</f>
        <v>0</v>
      </c>
      <c r="EE388" s="2">
        <f t="shared" si="6471"/>
        <v>0</v>
      </c>
      <c r="EF388" s="2"/>
      <c r="EG388" s="2">
        <f t="shared" si="4374"/>
        <v>0</v>
      </c>
      <c r="EH388" s="2">
        <f t="shared" si="4375"/>
        <v>0</v>
      </c>
      <c r="EI388" s="39">
        <f t="shared" si="4376"/>
        <v>114.00251152000001</v>
      </c>
      <c r="EJ388" s="39">
        <f t="shared" ref="EJ388:EK388" si="6472">EJ$1*DQ388/1000000</f>
        <v>169.1156311254019</v>
      </c>
      <c r="EK388" s="39">
        <f t="shared" si="6472"/>
        <v>0</v>
      </c>
      <c r="EL388" s="39">
        <f t="shared" ref="EL388:EQ388" si="6473">EL$1*DS388</f>
        <v>0</v>
      </c>
      <c r="EM388" s="39">
        <f t="shared" si="6473"/>
        <v>0</v>
      </c>
      <c r="EN388" s="39">
        <f t="shared" si="6473"/>
        <v>0</v>
      </c>
      <c r="EO388" s="39">
        <f t="shared" si="6473"/>
        <v>0</v>
      </c>
      <c r="EP388" s="39">
        <f t="shared" si="6473"/>
        <v>687.30473999999992</v>
      </c>
      <c r="EQ388" s="39">
        <f t="shared" si="6473"/>
        <v>0</v>
      </c>
      <c r="ER388" s="39">
        <f t="shared" ref="ER388:EV388" si="6474">ER$1*DY388/1000000</f>
        <v>14346.26844573762</v>
      </c>
      <c r="ES388" s="39">
        <f t="shared" si="6474"/>
        <v>7544.3310674604509</v>
      </c>
      <c r="ET388" s="39">
        <f t="shared" si="6474"/>
        <v>6804.7636169003226</v>
      </c>
      <c r="EU388" s="39">
        <f t="shared" si="6474"/>
        <v>1291.673481354984</v>
      </c>
      <c r="EV388" s="39">
        <f t="shared" si="6474"/>
        <v>1590.4776678115754</v>
      </c>
      <c r="EW388" s="39">
        <f t="shared" ref="EW388:EX388" si="6475">EW$1*ED388</f>
        <v>0</v>
      </c>
      <c r="EX388" s="39">
        <f t="shared" si="6475"/>
        <v>0</v>
      </c>
      <c r="EY388" s="2"/>
      <c r="EZ388" s="39">
        <f t="shared" si="4381"/>
        <v>0</v>
      </c>
      <c r="FA388" s="39">
        <f t="shared" si="4382"/>
        <v>0</v>
      </c>
      <c r="FB388" s="2">
        <f t="shared" si="4383"/>
        <v>0</v>
      </c>
      <c r="FC388" s="2">
        <f t="shared" ref="FC388:FD388" si="6476">BV388*$BT388+CQ388*$CO388</f>
        <v>0</v>
      </c>
      <c r="FD388" s="2">
        <f t="shared" si="6476"/>
        <v>0</v>
      </c>
      <c r="FE388" s="2">
        <f t="shared" ref="FE388:FJ388" si="6477">(BX388*$BT388+CS388*$CO388)/100</f>
        <v>0</v>
      </c>
      <c r="FF388" s="2">
        <f t="shared" si="6477"/>
        <v>0</v>
      </c>
      <c r="FG388" s="2">
        <f t="shared" si="6477"/>
        <v>0</v>
      </c>
      <c r="FH388" s="2">
        <f t="shared" si="6477"/>
        <v>0</v>
      </c>
      <c r="FI388" s="2">
        <f t="shared" si="6477"/>
        <v>0</v>
      </c>
      <c r="FJ388" s="2">
        <f t="shared" si="6477"/>
        <v>0</v>
      </c>
      <c r="FK388" s="2">
        <f t="shared" ref="FK388:FO388" si="6478">CD388*$BT388+CY388*$CO388</f>
        <v>0</v>
      </c>
      <c r="FL388" s="2">
        <f t="shared" si="6478"/>
        <v>0</v>
      </c>
      <c r="FM388" s="2">
        <f t="shared" si="6478"/>
        <v>0</v>
      </c>
      <c r="FN388" s="2">
        <f t="shared" si="6478"/>
        <v>0</v>
      </c>
      <c r="FO388" s="2">
        <f t="shared" si="6478"/>
        <v>0</v>
      </c>
      <c r="FP388" s="2">
        <f t="shared" ref="FP388:FQ388" si="6479">(CI388*$BT388+DD388*$CO388)/100</f>
        <v>0</v>
      </c>
      <c r="FQ388" s="2">
        <f t="shared" si="6479"/>
        <v>0</v>
      </c>
      <c r="FR388" s="2"/>
      <c r="FS388" s="2">
        <f t="shared" si="4388"/>
        <v>0</v>
      </c>
      <c r="FT388" s="2">
        <f t="shared" si="4389"/>
        <v>0</v>
      </c>
      <c r="FU388" s="39">
        <f t="shared" si="4390"/>
        <v>0</v>
      </c>
      <c r="FV388" s="39">
        <f t="shared" ref="FV388:FW388" si="6480">FV$1*FC388/1000000</f>
        <v>0</v>
      </c>
      <c r="FW388" s="39">
        <f t="shared" si="6480"/>
        <v>0</v>
      </c>
      <c r="FX388" s="39">
        <f t="shared" ref="FX388:GC388" si="6481">FX$1*FE388</f>
        <v>0</v>
      </c>
      <c r="FY388" s="39">
        <f t="shared" si="6481"/>
        <v>0</v>
      </c>
      <c r="FZ388" s="39">
        <f t="shared" si="6481"/>
        <v>0</v>
      </c>
      <c r="GA388" s="39">
        <f t="shared" si="6481"/>
        <v>0</v>
      </c>
      <c r="GB388" s="39">
        <f t="shared" si="6481"/>
        <v>0</v>
      </c>
      <c r="GC388" s="39">
        <f t="shared" si="6481"/>
        <v>0</v>
      </c>
      <c r="GD388" s="39">
        <f t="shared" ref="GD388:GH388" si="6482">GD$1*FK388/1000000</f>
        <v>0</v>
      </c>
      <c r="GE388" s="39">
        <f t="shared" si="6482"/>
        <v>0</v>
      </c>
      <c r="GF388" s="39">
        <f t="shared" si="6482"/>
        <v>0</v>
      </c>
      <c r="GG388" s="39">
        <f t="shared" si="6482"/>
        <v>0</v>
      </c>
      <c r="GH388" s="39">
        <f t="shared" si="6482"/>
        <v>0</v>
      </c>
      <c r="GI388" s="39">
        <f t="shared" ref="GI388:GJ388" si="6483">GI$1*FP388</f>
        <v>0</v>
      </c>
      <c r="GJ388" s="39">
        <f t="shared" si="6483"/>
        <v>0</v>
      </c>
      <c r="GK388" s="2"/>
      <c r="GL388" s="39">
        <f t="shared" si="4395"/>
        <v>0</v>
      </c>
      <c r="GM388" s="39">
        <f t="shared" si="4396"/>
        <v>0</v>
      </c>
      <c r="GN388" s="2" t="s">
        <v>3</v>
      </c>
      <c r="GO388" s="2">
        <f t="shared" si="4397"/>
        <v>174.7</v>
      </c>
      <c r="GP388" s="4">
        <f t="shared" si="4398"/>
        <v>0.03</v>
      </c>
      <c r="GQ388" s="15">
        <f t="shared" si="4399"/>
        <v>52.41</v>
      </c>
      <c r="GR388" s="15">
        <f t="shared" si="4400"/>
        <v>32547.937161910355</v>
      </c>
      <c r="GS388" s="15">
        <f t="shared" si="4401"/>
        <v>186.30759680543994</v>
      </c>
      <c r="GT388" s="2">
        <f t="shared" si="4402"/>
        <v>0</v>
      </c>
      <c r="GU388" s="2">
        <f t="shared" si="4403"/>
        <v>28.83</v>
      </c>
      <c r="GV388" s="2">
        <f t="shared" si="4404"/>
        <v>23.579999999999995</v>
      </c>
      <c r="GW388" s="2">
        <f t="shared" si="4405"/>
        <v>0</v>
      </c>
      <c r="GX388" s="2"/>
      <c r="GY388" s="2"/>
      <c r="GZ388" s="2"/>
      <c r="HA388" s="2"/>
      <c r="HB388" s="2">
        <f t="shared" si="4406"/>
        <v>0</v>
      </c>
      <c r="HC388" s="2">
        <f t="shared" si="4407"/>
        <v>0</v>
      </c>
      <c r="HD388" s="2" t="s">
        <v>3</v>
      </c>
      <c r="HE388" s="2" t="s">
        <v>89</v>
      </c>
      <c r="HF388" s="2" t="s">
        <v>90</v>
      </c>
      <c r="HG388" s="2" t="s">
        <v>91</v>
      </c>
      <c r="HH388" s="2" t="s">
        <v>92</v>
      </c>
      <c r="HI388" s="2" t="s">
        <v>81</v>
      </c>
      <c r="HJ388" s="2" t="s">
        <v>3</v>
      </c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 t="s">
        <v>3</v>
      </c>
    </row>
    <row r="389" spans="1:268" ht="15.75" customHeight="1" x14ac:dyDescent="0.2">
      <c r="A389" s="16" t="s">
        <v>93</v>
      </c>
      <c r="B389" s="2"/>
      <c r="C389" s="2"/>
      <c r="D389" s="2"/>
      <c r="E389" s="2"/>
      <c r="F389" s="2" t="s">
        <v>94</v>
      </c>
      <c r="G389" s="2"/>
      <c r="H389" s="2"/>
      <c r="I389" s="2">
        <v>98.4</v>
      </c>
      <c r="J389" s="2">
        <v>0.01</v>
      </c>
      <c r="K389" s="4">
        <v>5.8974502899999996E-2</v>
      </c>
      <c r="L389" s="2"/>
      <c r="M389" s="2"/>
      <c r="N389" s="2"/>
      <c r="O389" s="2"/>
      <c r="P389" s="2"/>
      <c r="Q389" s="2">
        <v>0.03</v>
      </c>
      <c r="R389" s="2"/>
      <c r="S389" s="4">
        <v>3.1921685999999996</v>
      </c>
      <c r="T389" s="4">
        <v>1.60276134</v>
      </c>
      <c r="U389" s="4">
        <v>0.54552451999999996</v>
      </c>
      <c r="V389" s="4">
        <v>0.85477758000000004</v>
      </c>
      <c r="W389" s="4">
        <v>0.215799086</v>
      </c>
      <c r="X389" s="15">
        <f>31*(2*52/(2*52+3*16.001))</f>
        <v>21.210107695242861</v>
      </c>
      <c r="Y389" s="2"/>
      <c r="Z389" s="2"/>
      <c r="AA389" s="2"/>
      <c r="AB389" s="2"/>
      <c r="AC389" s="2"/>
      <c r="AD389" s="2">
        <v>10.8</v>
      </c>
      <c r="AE389" s="2">
        <v>0.01</v>
      </c>
      <c r="AF389" s="2"/>
      <c r="AG389" s="2"/>
      <c r="AH389" s="2"/>
      <c r="AI389" s="2"/>
      <c r="AJ389" s="2"/>
      <c r="AK389" s="2"/>
      <c r="AL389" s="2">
        <v>0.03</v>
      </c>
      <c r="AM389" s="2"/>
      <c r="AN389" s="2"/>
      <c r="AO389" s="2"/>
      <c r="AP389" s="2"/>
      <c r="AQ389" s="2"/>
      <c r="AR389" s="2"/>
      <c r="AS389" s="15">
        <f>31*(2*52/(2*52+3*16.001))</f>
        <v>21.210107695242861</v>
      </c>
      <c r="AT389" s="2"/>
      <c r="AU389" s="2"/>
      <c r="AV389" s="2"/>
      <c r="AW389" s="2"/>
      <c r="AX389" s="2"/>
      <c r="AY389" s="2">
        <v>55.9</v>
      </c>
      <c r="AZ389" s="2">
        <v>0.01</v>
      </c>
      <c r="BA389" s="4">
        <v>5.5267343999999996E-2</v>
      </c>
      <c r="BB389" s="2"/>
      <c r="BC389" s="2"/>
      <c r="BD389" s="2"/>
      <c r="BE389" s="2"/>
      <c r="BF389" s="2"/>
      <c r="BG389" s="2">
        <v>0.03</v>
      </c>
      <c r="BH389" s="2"/>
      <c r="BI389" s="4">
        <v>2.9914972999999998</v>
      </c>
      <c r="BJ389" s="4">
        <v>1.50200534</v>
      </c>
      <c r="BK389" s="4">
        <v>0.51123001599999995</v>
      </c>
      <c r="BL389" s="4"/>
      <c r="BM389" s="4"/>
      <c r="BN389" s="15">
        <f>31*(2*52/(2*52+3*16.001))</f>
        <v>21.210107695242861</v>
      </c>
      <c r="BO389" s="2"/>
      <c r="BP389" s="2"/>
      <c r="BQ389" s="2"/>
      <c r="BR389" s="2"/>
      <c r="BS389" s="2"/>
      <c r="BT389" s="2">
        <v>0</v>
      </c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>
        <v>0</v>
      </c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 t="s">
        <v>81</v>
      </c>
      <c r="DK389" s="2"/>
      <c r="DL389" s="2">
        <f t="shared" si="4367"/>
        <v>0.03</v>
      </c>
      <c r="DM389" s="2">
        <f t="shared" si="4368"/>
        <v>0</v>
      </c>
      <c r="DN389" s="2" t="s">
        <v>95</v>
      </c>
      <c r="DO389" s="2" t="s">
        <v>3</v>
      </c>
      <c r="DP389" s="2">
        <f t="shared" si="4369"/>
        <v>1.6510000000000004E-2</v>
      </c>
      <c r="DQ389" s="2">
        <f t="shared" ref="DQ389:DR389" si="6484">K389*$I389+AF389*$AD389+BA389*$AY389</f>
        <v>8.8925356149599999</v>
      </c>
      <c r="DR389" s="2">
        <f t="shared" si="6484"/>
        <v>0</v>
      </c>
      <c r="DS389" s="2">
        <f t="shared" ref="DS389:DX389" si="6485">(M389*$I389+AH389*$AD389+BC389*$AY389)/100</f>
        <v>0</v>
      </c>
      <c r="DT389" s="2">
        <f t="shared" si="6485"/>
        <v>0</v>
      </c>
      <c r="DU389" s="2">
        <f t="shared" si="6485"/>
        <v>0</v>
      </c>
      <c r="DV389" s="2">
        <f t="shared" si="6485"/>
        <v>0</v>
      </c>
      <c r="DW389" s="2">
        <f t="shared" si="6485"/>
        <v>4.9529999999999991E-2</v>
      </c>
      <c r="DX389" s="2">
        <f t="shared" si="6485"/>
        <v>0</v>
      </c>
      <c r="DY389" s="2">
        <f t="shared" ref="DY389:EC389" si="6486">S389*$I389+AN389*$AD389+BI389*$AY389</f>
        <v>481.33408930999997</v>
      </c>
      <c r="DZ389" s="2">
        <f t="shared" si="6486"/>
        <v>241.673814362</v>
      </c>
      <c r="EA389" s="2">
        <f t="shared" si="6486"/>
        <v>82.257370662399993</v>
      </c>
      <c r="EB389" s="2">
        <f t="shared" si="6486"/>
        <v>84.110113872000014</v>
      </c>
      <c r="EC389" s="2">
        <f t="shared" si="6486"/>
        <v>21.234630062400001</v>
      </c>
      <c r="ED389" s="2">
        <f t="shared" ref="ED389:EE389" si="6487">(X389*$I389+AS389*$AD389+BN389*$AY389)/100</f>
        <v>35.017887804845962</v>
      </c>
      <c r="EE389" s="2">
        <f t="shared" si="6487"/>
        <v>0</v>
      </c>
      <c r="EF389" s="2"/>
      <c r="EG389" s="2">
        <f t="shared" si="4374"/>
        <v>0</v>
      </c>
      <c r="EH389" s="2">
        <f t="shared" si="4375"/>
        <v>0</v>
      </c>
      <c r="EI389" s="39">
        <f t="shared" si="4376"/>
        <v>107.73792016000003</v>
      </c>
      <c r="EJ389" s="39">
        <f t="shared" ref="EJ389:EK389" si="6488">EJ$1*DQ389/1000000</f>
        <v>363.70756598807452</v>
      </c>
      <c r="EK389" s="39">
        <f t="shared" si="6488"/>
        <v>0</v>
      </c>
      <c r="EL389" s="39">
        <f t="shared" ref="EL389:EQ389" si="6489">EL$1*DS389</f>
        <v>0</v>
      </c>
      <c r="EM389" s="39">
        <f t="shared" si="6489"/>
        <v>0</v>
      </c>
      <c r="EN389" s="39">
        <f t="shared" si="6489"/>
        <v>0</v>
      </c>
      <c r="EO389" s="39">
        <f t="shared" si="6489"/>
        <v>0</v>
      </c>
      <c r="EP389" s="39">
        <f t="shared" si="6489"/>
        <v>649.53641999999991</v>
      </c>
      <c r="EQ389" s="39">
        <f t="shared" si="6489"/>
        <v>0</v>
      </c>
      <c r="ER389" s="39">
        <f t="shared" ref="ER389:EV389" si="6490">ER$1*DY389/1000000</f>
        <v>13660.911487793072</v>
      </c>
      <c r="ES389" s="39">
        <f t="shared" si="6490"/>
        <v>8053.9547080131078</v>
      </c>
      <c r="ET389" s="39">
        <f t="shared" si="6490"/>
        <v>5885.7661393903118</v>
      </c>
      <c r="EU389" s="39">
        <f t="shared" si="6490"/>
        <v>661.00813284422895</v>
      </c>
      <c r="EV389" s="39">
        <f t="shared" si="6490"/>
        <v>883.02604568488891</v>
      </c>
      <c r="EW389" s="39">
        <f t="shared" ref="EW389:EX389" si="6491">EW$1*ED389</f>
        <v>9769.9906975520244</v>
      </c>
      <c r="EX389" s="39">
        <f t="shared" si="6491"/>
        <v>0</v>
      </c>
      <c r="EY389" s="2"/>
      <c r="EZ389" s="39">
        <f t="shared" si="4381"/>
        <v>0</v>
      </c>
      <c r="FA389" s="39">
        <f t="shared" si="4382"/>
        <v>0</v>
      </c>
      <c r="FB389" s="2">
        <f t="shared" si="4383"/>
        <v>0</v>
      </c>
      <c r="FC389" s="2">
        <f t="shared" ref="FC389:FD389" si="6492">BV389*$BT389+CQ389*$CO389</f>
        <v>0</v>
      </c>
      <c r="FD389" s="2">
        <f t="shared" si="6492"/>
        <v>0</v>
      </c>
      <c r="FE389" s="2">
        <f t="shared" ref="FE389:FJ389" si="6493">(BX389*$BT389+CS389*$CO389)/100</f>
        <v>0</v>
      </c>
      <c r="FF389" s="2">
        <f t="shared" si="6493"/>
        <v>0</v>
      </c>
      <c r="FG389" s="2">
        <f t="shared" si="6493"/>
        <v>0</v>
      </c>
      <c r="FH389" s="2">
        <f t="shared" si="6493"/>
        <v>0</v>
      </c>
      <c r="FI389" s="2">
        <f t="shared" si="6493"/>
        <v>0</v>
      </c>
      <c r="FJ389" s="2">
        <f t="shared" si="6493"/>
        <v>0</v>
      </c>
      <c r="FK389" s="2">
        <f t="shared" ref="FK389:FO389" si="6494">CD389*$BT389+CY389*$CO389</f>
        <v>0</v>
      </c>
      <c r="FL389" s="2">
        <f t="shared" si="6494"/>
        <v>0</v>
      </c>
      <c r="FM389" s="2">
        <f t="shared" si="6494"/>
        <v>0</v>
      </c>
      <c r="FN389" s="2">
        <f t="shared" si="6494"/>
        <v>0</v>
      </c>
      <c r="FO389" s="2">
        <f t="shared" si="6494"/>
        <v>0</v>
      </c>
      <c r="FP389" s="2">
        <f t="shared" ref="FP389:FQ389" si="6495">(CI389*$BT389+DD389*$CO389)/100</f>
        <v>0</v>
      </c>
      <c r="FQ389" s="2">
        <f t="shared" si="6495"/>
        <v>0</v>
      </c>
      <c r="FR389" s="2"/>
      <c r="FS389" s="2">
        <f t="shared" si="4388"/>
        <v>0</v>
      </c>
      <c r="FT389" s="2">
        <f t="shared" si="4389"/>
        <v>0</v>
      </c>
      <c r="FU389" s="39">
        <f t="shared" si="4390"/>
        <v>0</v>
      </c>
      <c r="FV389" s="39">
        <f t="shared" ref="FV389:FW389" si="6496">FV$1*FC389/1000000</f>
        <v>0</v>
      </c>
      <c r="FW389" s="39">
        <f t="shared" si="6496"/>
        <v>0</v>
      </c>
      <c r="FX389" s="39">
        <f t="shared" ref="FX389:GC389" si="6497">FX$1*FE389</f>
        <v>0</v>
      </c>
      <c r="FY389" s="39">
        <f t="shared" si="6497"/>
        <v>0</v>
      </c>
      <c r="FZ389" s="39">
        <f t="shared" si="6497"/>
        <v>0</v>
      </c>
      <c r="GA389" s="39">
        <f t="shared" si="6497"/>
        <v>0</v>
      </c>
      <c r="GB389" s="39">
        <f t="shared" si="6497"/>
        <v>0</v>
      </c>
      <c r="GC389" s="39">
        <f t="shared" si="6497"/>
        <v>0</v>
      </c>
      <c r="GD389" s="39">
        <f t="shared" ref="GD389:GH389" si="6498">GD$1*FK389/1000000</f>
        <v>0</v>
      </c>
      <c r="GE389" s="39">
        <f t="shared" si="6498"/>
        <v>0</v>
      </c>
      <c r="GF389" s="39">
        <f t="shared" si="6498"/>
        <v>0</v>
      </c>
      <c r="GG389" s="39">
        <f t="shared" si="6498"/>
        <v>0</v>
      </c>
      <c r="GH389" s="39">
        <f t="shared" si="6498"/>
        <v>0</v>
      </c>
      <c r="GI389" s="39">
        <f t="shared" ref="GI389:GJ389" si="6499">GI$1*FP389</f>
        <v>0</v>
      </c>
      <c r="GJ389" s="39">
        <f t="shared" si="6499"/>
        <v>0</v>
      </c>
      <c r="GK389" s="2"/>
      <c r="GL389" s="39">
        <f t="shared" si="4395"/>
        <v>0</v>
      </c>
      <c r="GM389" s="39">
        <f t="shared" si="4396"/>
        <v>0</v>
      </c>
      <c r="GN389" s="2" t="s">
        <v>3</v>
      </c>
      <c r="GO389" s="2">
        <f t="shared" si="4397"/>
        <v>165.1</v>
      </c>
      <c r="GP389" s="4">
        <f t="shared" si="4398"/>
        <v>0.03</v>
      </c>
      <c r="GQ389" s="15">
        <f t="shared" si="4399"/>
        <v>49.53</v>
      </c>
      <c r="GR389" s="15">
        <f t="shared" si="4400"/>
        <v>40035.639117425701</v>
      </c>
      <c r="GS389" s="15">
        <f t="shared" si="4401"/>
        <v>242.49327145624289</v>
      </c>
      <c r="GT389" s="2">
        <f t="shared" si="4402"/>
        <v>29.52</v>
      </c>
      <c r="GU389" s="2">
        <f t="shared" si="4403"/>
        <v>3.24</v>
      </c>
      <c r="GV389" s="2">
        <f t="shared" si="4404"/>
        <v>16.769999999999996</v>
      </c>
      <c r="GW389" s="2">
        <f t="shared" si="4405"/>
        <v>0</v>
      </c>
      <c r="GX389" s="2"/>
      <c r="GY389" s="2"/>
      <c r="GZ389" s="2"/>
      <c r="HA389" s="2"/>
      <c r="HB389" s="2">
        <f t="shared" si="4406"/>
        <v>0</v>
      </c>
      <c r="HC389" s="2">
        <f t="shared" si="4407"/>
        <v>0</v>
      </c>
      <c r="HD389" s="2" t="s">
        <v>3</v>
      </c>
      <c r="HE389" s="2" t="s">
        <v>89</v>
      </c>
      <c r="HF389" s="2" t="s">
        <v>90</v>
      </c>
      <c r="HG389" s="2" t="s">
        <v>91</v>
      </c>
      <c r="HH389" s="2" t="s">
        <v>92</v>
      </c>
      <c r="HI389" s="2" t="s">
        <v>81</v>
      </c>
      <c r="HJ389" s="2" t="s">
        <v>3</v>
      </c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 t="s">
        <v>3</v>
      </c>
    </row>
    <row r="390" spans="1:268" ht="15.75" customHeight="1" x14ac:dyDescent="0.2">
      <c r="A390" s="16" t="s">
        <v>144</v>
      </c>
      <c r="B390" s="2"/>
      <c r="C390" s="2"/>
      <c r="D390" s="2"/>
      <c r="E390" s="2"/>
      <c r="F390" s="2" t="s">
        <v>145</v>
      </c>
      <c r="G390" s="2"/>
      <c r="H390" s="2"/>
      <c r="I390" s="2">
        <v>102.8</v>
      </c>
      <c r="J390" s="4">
        <v>1.9601167315175094E-2</v>
      </c>
      <c r="K390" s="4">
        <v>6.9095301556420241E-2</v>
      </c>
      <c r="L390" s="2"/>
      <c r="M390" s="2"/>
      <c r="N390" s="2"/>
      <c r="O390" s="2"/>
      <c r="P390" s="2"/>
      <c r="Q390" s="4">
        <v>0.14097276264591441</v>
      </c>
      <c r="R390" s="2"/>
      <c r="S390" s="4">
        <v>3.3585684435797671</v>
      </c>
      <c r="T390" s="4">
        <v>1.5444746692607008</v>
      </c>
      <c r="U390" s="4">
        <v>0.56594524319066153</v>
      </c>
      <c r="V390" s="2"/>
      <c r="W390" s="2"/>
      <c r="X390" s="15">
        <v>18.655150954295884</v>
      </c>
      <c r="Y390" s="2"/>
      <c r="Z390" s="2"/>
      <c r="AA390" s="2"/>
      <c r="AB390" s="2"/>
      <c r="AC390" s="2"/>
      <c r="AD390" s="2">
        <v>51.199999999999996</v>
      </c>
      <c r="AE390" s="4">
        <v>3.2421874999999996E-2</v>
      </c>
      <c r="AF390" s="4">
        <v>0.11020453124999999</v>
      </c>
      <c r="AG390" s="2"/>
      <c r="AH390" s="2"/>
      <c r="AI390" s="2"/>
      <c r="AJ390" s="2"/>
      <c r="AK390" s="2"/>
      <c r="AL390" s="4">
        <v>0.15562500000000001</v>
      </c>
      <c r="AM390" s="2"/>
      <c r="AN390" s="4">
        <v>3.6535332812500001</v>
      </c>
      <c r="AO390" s="4">
        <v>1.679052421875</v>
      </c>
      <c r="AP390" s="4">
        <v>0.53392851562499999</v>
      </c>
      <c r="AQ390" s="2"/>
      <c r="AR390" s="2"/>
      <c r="AS390" s="15">
        <v>14.695269172318971</v>
      </c>
      <c r="AT390" s="2"/>
      <c r="AU390" s="2"/>
      <c r="AV390" s="2"/>
      <c r="AW390" s="2"/>
      <c r="AX390" s="2"/>
      <c r="AY390" s="2">
        <v>21.8</v>
      </c>
      <c r="AZ390" s="4">
        <v>5.174311926605505E-2</v>
      </c>
      <c r="BA390" s="4">
        <v>0.16217266055045873</v>
      </c>
      <c r="BB390" s="2"/>
      <c r="BC390" s="2"/>
      <c r="BD390" s="2"/>
      <c r="BE390" s="2"/>
      <c r="BF390" s="2"/>
      <c r="BG390" s="4">
        <v>0.17770642201834863</v>
      </c>
      <c r="BH390" s="2"/>
      <c r="BI390" s="4">
        <v>3.7055919266055044</v>
      </c>
      <c r="BJ390" s="4">
        <v>1.7014451376146789</v>
      </c>
      <c r="BK390" s="4">
        <v>0.42400128440366974</v>
      </c>
      <c r="BL390" s="4"/>
      <c r="BM390" s="4"/>
      <c r="BN390" s="15">
        <v>8.727592109933612</v>
      </c>
      <c r="BO390" s="2"/>
      <c r="BP390" s="2"/>
      <c r="BQ390" s="2"/>
      <c r="BR390" s="2"/>
      <c r="BS390" s="2"/>
      <c r="BT390" s="2">
        <v>49.5</v>
      </c>
      <c r="BU390" s="4">
        <v>1.5656565656565657E-2</v>
      </c>
      <c r="BV390" s="4">
        <v>4.4190808080808087E-2</v>
      </c>
      <c r="BW390" s="2"/>
      <c r="BX390" s="2"/>
      <c r="BY390" s="2"/>
      <c r="BZ390" s="2"/>
      <c r="CA390" s="2"/>
      <c r="CB390" s="4">
        <v>0.13646464646464646</v>
      </c>
      <c r="CC390" s="2"/>
      <c r="CD390" s="4">
        <v>2.6769670707070703</v>
      </c>
      <c r="CE390" s="4">
        <v>1.2313635353535355</v>
      </c>
      <c r="CF390" s="4">
        <v>0.47646848484848486</v>
      </c>
      <c r="CG390" s="4"/>
      <c r="CH390" s="4"/>
      <c r="CI390" s="15">
        <v>19.873504623147728</v>
      </c>
      <c r="CJ390" s="2"/>
      <c r="CK390" s="2"/>
      <c r="CL390" s="2"/>
      <c r="CM390" s="2"/>
      <c r="CN390" s="2"/>
      <c r="CO390" s="2">
        <v>13.600000000000001</v>
      </c>
      <c r="CP390" s="4">
        <v>3.4705882352941177E-2</v>
      </c>
      <c r="CQ390" s="4">
        <v>8.7374705882352924E-2</v>
      </c>
      <c r="CR390" s="2"/>
      <c r="CS390" s="2"/>
      <c r="CT390" s="2"/>
      <c r="CU390" s="2"/>
      <c r="CV390" s="2"/>
      <c r="CW390" s="4">
        <v>0.15823529411764706</v>
      </c>
      <c r="CX390" s="2"/>
      <c r="CY390" s="4">
        <v>2.8094694117647059</v>
      </c>
      <c r="CZ390" s="4">
        <v>1.2910664705882351</v>
      </c>
      <c r="DA390" s="4">
        <v>0.40444235294117648</v>
      </c>
      <c r="DB390" s="4"/>
      <c r="DC390" s="4"/>
      <c r="DD390" s="15">
        <v>13.989816764452407</v>
      </c>
      <c r="DE390" s="2"/>
      <c r="DF390" s="2"/>
      <c r="DG390" s="2"/>
      <c r="DH390" s="2"/>
      <c r="DI390" s="2"/>
      <c r="DJ390" s="2" t="s">
        <v>81</v>
      </c>
      <c r="DK390" s="2"/>
      <c r="DL390" s="2">
        <f t="shared" si="4367"/>
        <v>0.1497952218430034</v>
      </c>
      <c r="DM390" s="2">
        <f t="shared" si="4368"/>
        <v>0</v>
      </c>
      <c r="DN390" s="2" t="s">
        <v>95</v>
      </c>
      <c r="DO390" s="2" t="s">
        <v>3</v>
      </c>
      <c r="DP390" s="2">
        <f t="shared" si="4369"/>
        <v>4.8029999999999989E-2</v>
      </c>
      <c r="DQ390" s="2">
        <f t="shared" ref="DQ390:DR390" si="6500">K390*$I390+AF390*$AD390+BA390*$AY390</f>
        <v>16.280833000000001</v>
      </c>
      <c r="DR390" s="2">
        <f t="shared" si="6500"/>
        <v>0</v>
      </c>
      <c r="DS390" s="2">
        <f t="shared" ref="DS390:DX390" si="6501">(M390*$I390+AH390*$AD390+BC390*$AY390)/100</f>
        <v>0</v>
      </c>
      <c r="DT390" s="2">
        <f t="shared" si="6501"/>
        <v>0</v>
      </c>
      <c r="DU390" s="2">
        <f t="shared" si="6501"/>
        <v>0</v>
      </c>
      <c r="DV390" s="2">
        <f t="shared" si="6501"/>
        <v>0</v>
      </c>
      <c r="DW390" s="2">
        <f t="shared" si="6501"/>
        <v>0.26334000000000002</v>
      </c>
      <c r="DX390" s="2">
        <f t="shared" si="6501"/>
        <v>0</v>
      </c>
      <c r="DY390" s="2">
        <f t="shared" ref="DY390:EC390" si="6502">S390*$I390+AN390*$AD390+BI390*$AY390</f>
        <v>613.10364400000003</v>
      </c>
      <c r="DZ390" s="2">
        <f t="shared" si="6502"/>
        <v>281.830984</v>
      </c>
      <c r="EA390" s="2">
        <f t="shared" si="6502"/>
        <v>94.759539000000004</v>
      </c>
      <c r="EB390" s="2">
        <f t="shared" si="6502"/>
        <v>0</v>
      </c>
      <c r="EC390" s="2">
        <f t="shared" si="6502"/>
        <v>0</v>
      </c>
      <c r="ED390" s="2">
        <f t="shared" ref="ED390:EE390" si="6503">(X390*$I390+AS390*$AD390+BN390*$AY390)/100</f>
        <v>28.604088077209006</v>
      </c>
      <c r="EE390" s="2">
        <f t="shared" si="6503"/>
        <v>0</v>
      </c>
      <c r="EF390" s="2"/>
      <c r="EG390" s="2">
        <f t="shared" si="4374"/>
        <v>0</v>
      </c>
      <c r="EH390" s="2">
        <f t="shared" si="4375"/>
        <v>0</v>
      </c>
      <c r="EI390" s="39">
        <f t="shared" si="4376"/>
        <v>313.42533647999994</v>
      </c>
      <c r="EJ390" s="39">
        <f t="shared" ref="EJ390:EK390" si="6504">EJ$1*DQ390/1000000</f>
        <v>665.89130469453369</v>
      </c>
      <c r="EK390" s="39">
        <f t="shared" si="6504"/>
        <v>0</v>
      </c>
      <c r="EL390" s="39">
        <f t="shared" ref="EL390:EQ390" si="6505">EL$1*DS390</f>
        <v>0</v>
      </c>
      <c r="EM390" s="39">
        <f t="shared" si="6505"/>
        <v>0</v>
      </c>
      <c r="EN390" s="39">
        <f t="shared" si="6505"/>
        <v>0</v>
      </c>
      <c r="EO390" s="39">
        <f t="shared" si="6505"/>
        <v>0</v>
      </c>
      <c r="EP390" s="39">
        <f t="shared" si="6505"/>
        <v>3453.4407600000004</v>
      </c>
      <c r="EQ390" s="39">
        <f t="shared" si="6505"/>
        <v>0</v>
      </c>
      <c r="ER390" s="39">
        <f t="shared" ref="ER390:EV390" si="6506">ER$1*DY390/1000000</f>
        <v>17400.709402348552</v>
      </c>
      <c r="ES390" s="39">
        <f t="shared" si="6506"/>
        <v>9392.2214388141474</v>
      </c>
      <c r="ET390" s="39">
        <f t="shared" si="6506"/>
        <v>6780.3344738488759</v>
      </c>
      <c r="EU390" s="39">
        <f t="shared" si="6506"/>
        <v>0</v>
      </c>
      <c r="EV390" s="39">
        <f t="shared" si="6506"/>
        <v>0</v>
      </c>
      <c r="EW390" s="39">
        <f t="shared" ref="EW390:EX390" si="6507">EW$1*ED390</f>
        <v>7980.5405735413124</v>
      </c>
      <c r="EX390" s="39">
        <f t="shared" si="6507"/>
        <v>0</v>
      </c>
      <c r="EY390" s="2"/>
      <c r="EZ390" s="39">
        <f t="shared" si="4381"/>
        <v>0</v>
      </c>
      <c r="FA390" s="39">
        <f t="shared" si="4382"/>
        <v>0</v>
      </c>
      <c r="FB390" s="2">
        <f t="shared" si="4383"/>
        <v>1.2470000000000002E-2</v>
      </c>
      <c r="FC390" s="2">
        <f t="shared" ref="FC390:FD390" si="6508">BV390*$BT390+CQ390*$CO390</f>
        <v>3.3757410000000001</v>
      </c>
      <c r="FD390" s="2">
        <f t="shared" si="6508"/>
        <v>0</v>
      </c>
      <c r="FE390" s="2">
        <f t="shared" ref="FE390:FJ390" si="6509">(BX390*$BT390+CS390*$CO390)/100</f>
        <v>0</v>
      </c>
      <c r="FF390" s="2">
        <f t="shared" si="6509"/>
        <v>0</v>
      </c>
      <c r="FG390" s="2">
        <f t="shared" si="6509"/>
        <v>0</v>
      </c>
      <c r="FH390" s="2">
        <f t="shared" si="6509"/>
        <v>0</v>
      </c>
      <c r="FI390" s="2">
        <f t="shared" si="6509"/>
        <v>8.9069999999999996E-2</v>
      </c>
      <c r="FJ390" s="2">
        <f t="shared" si="6509"/>
        <v>0</v>
      </c>
      <c r="FK390" s="2">
        <f t="shared" ref="FK390:FO390" si="6510">CD390*$BT390+CY390*$CO390</f>
        <v>170.71865399999999</v>
      </c>
      <c r="FL390" s="2">
        <f t="shared" si="6510"/>
        <v>78.510998999999998</v>
      </c>
      <c r="FM390" s="2">
        <f t="shared" si="6510"/>
        <v>29.085606000000002</v>
      </c>
      <c r="FN390" s="2">
        <f t="shared" si="6510"/>
        <v>0</v>
      </c>
      <c r="FO390" s="2">
        <f t="shared" si="6510"/>
        <v>0</v>
      </c>
      <c r="FP390" s="2">
        <f t="shared" ref="FP390:FQ390" si="6511">(CI390*$BT390+DD390*$CO390)/100</f>
        <v>11.739999868423654</v>
      </c>
      <c r="FQ390" s="2">
        <f t="shared" si="6511"/>
        <v>0</v>
      </c>
      <c r="FR390" s="2"/>
      <c r="FS390" s="2">
        <f t="shared" si="4388"/>
        <v>0</v>
      </c>
      <c r="FT390" s="2">
        <f t="shared" si="4389"/>
        <v>0</v>
      </c>
      <c r="FU390" s="39">
        <f t="shared" si="4390"/>
        <v>81.374431520000016</v>
      </c>
      <c r="FV390" s="39">
        <f t="shared" ref="FV390:FW390" si="6512">FV$1*FC390/1000000</f>
        <v>138.06889234726688</v>
      </c>
      <c r="FW390" s="39">
        <f t="shared" si="6512"/>
        <v>0</v>
      </c>
      <c r="FX390" s="39">
        <f t="shared" ref="FX390:GC390" si="6513">FX$1*FE390</f>
        <v>0</v>
      </c>
      <c r="FY390" s="39">
        <f t="shared" si="6513"/>
        <v>0</v>
      </c>
      <c r="FZ390" s="39">
        <f t="shared" si="6513"/>
        <v>0</v>
      </c>
      <c r="GA390" s="39">
        <f t="shared" si="6513"/>
        <v>0</v>
      </c>
      <c r="GB390" s="39">
        <f t="shared" si="6513"/>
        <v>1168.0639799999999</v>
      </c>
      <c r="GC390" s="39">
        <f t="shared" si="6513"/>
        <v>0</v>
      </c>
      <c r="GD390" s="39">
        <f t="shared" ref="GD390:GH390" si="6514">GD$1*FK390/1000000</f>
        <v>4845.2259530430856</v>
      </c>
      <c r="GE390" s="39">
        <f t="shared" si="6514"/>
        <v>2616.4358422369774</v>
      </c>
      <c r="GF390" s="39">
        <f t="shared" si="6514"/>
        <v>2081.1639560064314</v>
      </c>
      <c r="GG390" s="39">
        <f t="shared" si="6514"/>
        <v>0</v>
      </c>
      <c r="GH390" s="39">
        <f t="shared" si="6514"/>
        <v>0</v>
      </c>
      <c r="GI390" s="39">
        <f t="shared" ref="GI390:GJ390" si="6515">GI$1*FP390</f>
        <v>3275.4599632901995</v>
      </c>
      <c r="GJ390" s="39">
        <f t="shared" si="6515"/>
        <v>0</v>
      </c>
      <c r="GK390" s="2"/>
      <c r="GL390" s="39">
        <f t="shared" si="4395"/>
        <v>0</v>
      </c>
      <c r="GM390" s="39">
        <f t="shared" si="4396"/>
        <v>0</v>
      </c>
      <c r="GN390" s="2" t="s">
        <v>3</v>
      </c>
      <c r="GO390" s="2">
        <f t="shared" si="4397"/>
        <v>175.8</v>
      </c>
      <c r="GP390" s="4">
        <f t="shared" si="4398"/>
        <v>0.1497952218430034</v>
      </c>
      <c r="GQ390" s="15">
        <f t="shared" si="4399"/>
        <v>263.33999999999997</v>
      </c>
      <c r="GR390" s="15">
        <f t="shared" si="4400"/>
        <v>45986.563289727426</v>
      </c>
      <c r="GS390" s="15">
        <f t="shared" si="4401"/>
        <v>261.58454658548021</v>
      </c>
      <c r="GT390" s="2">
        <f t="shared" si="4402"/>
        <v>144.91999999999999</v>
      </c>
      <c r="GU390" s="2">
        <f t="shared" si="4403"/>
        <v>79.680000000000007</v>
      </c>
      <c r="GV390" s="2">
        <f t="shared" si="4404"/>
        <v>38.74</v>
      </c>
      <c r="GW390" s="2">
        <f t="shared" si="4405"/>
        <v>63.1</v>
      </c>
      <c r="GX390" s="4">
        <f t="shared" ref="GX390:GX392" si="6516">(BT390*CB390+CO390*CW390)/GW390</f>
        <v>0.14115689381933438</v>
      </c>
      <c r="GY390" s="15">
        <f t="shared" ref="GY390:GY392" si="6517">1000*GW390*GX390/100</f>
        <v>89.07</v>
      </c>
      <c r="GZ390" s="15">
        <f t="shared" ref="GZ390:GZ392" si="6518">SUM(FU390:GM390)</f>
        <v>14205.793018443961</v>
      </c>
      <c r="HA390" s="15">
        <f t="shared" ref="HA390:HA392" si="6519">GZ390/GW390</f>
        <v>225.13142659974582</v>
      </c>
      <c r="HB390" s="2">
        <f t="shared" si="4406"/>
        <v>67.55</v>
      </c>
      <c r="HC390" s="2">
        <f t="shared" si="4407"/>
        <v>21.52</v>
      </c>
      <c r="HD390" s="2" t="s">
        <v>3</v>
      </c>
      <c r="HE390" s="2" t="s">
        <v>89</v>
      </c>
      <c r="HF390" s="2" t="s">
        <v>90</v>
      </c>
      <c r="HG390" s="2" t="s">
        <v>91</v>
      </c>
      <c r="HH390" s="2" t="s">
        <v>92</v>
      </c>
      <c r="HI390" s="2" t="s">
        <v>81</v>
      </c>
      <c r="HJ390" s="2" t="s">
        <v>3</v>
      </c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 t="s">
        <v>3</v>
      </c>
    </row>
    <row r="391" spans="1:268" ht="15.75" customHeight="1" x14ac:dyDescent="0.2">
      <c r="A391" s="16" t="s">
        <v>146</v>
      </c>
      <c r="B391" s="2"/>
      <c r="C391" s="2"/>
      <c r="D391" s="2"/>
      <c r="E391" s="2"/>
      <c r="F391" s="2" t="s">
        <v>145</v>
      </c>
      <c r="G391" s="2"/>
      <c r="H391" s="2"/>
      <c r="I391" s="2">
        <v>179.9</v>
      </c>
      <c r="J391" s="4">
        <v>1.9883268482490273E-2</v>
      </c>
      <c r="K391" s="4">
        <v>0.20146092273485267</v>
      </c>
      <c r="L391" s="2"/>
      <c r="M391" s="2"/>
      <c r="N391" s="2"/>
      <c r="O391" s="2"/>
      <c r="P391" s="2"/>
      <c r="Q391" s="4">
        <v>0.13694274596998332</v>
      </c>
      <c r="R391" s="2"/>
      <c r="S391" s="4">
        <v>3.464008643690939</v>
      </c>
      <c r="T391" s="4">
        <v>1.6508603390772649</v>
      </c>
      <c r="U391" s="4">
        <v>0.28540297387437458</v>
      </c>
      <c r="V391" s="2"/>
      <c r="W391" s="2"/>
      <c r="X391" s="15">
        <v>18.744298137206904</v>
      </c>
      <c r="Y391" s="2"/>
      <c r="Z391" s="2"/>
      <c r="AA391" s="2"/>
      <c r="AB391" s="2"/>
      <c r="AC391" s="2"/>
      <c r="AD391" s="2">
        <v>92.1</v>
      </c>
      <c r="AE391" s="4">
        <v>4.5646036916395225E-2</v>
      </c>
      <c r="AF391" s="4">
        <v>0.22676833876221494</v>
      </c>
      <c r="AG391" s="2"/>
      <c r="AH391" s="2"/>
      <c r="AI391" s="2"/>
      <c r="AJ391" s="2"/>
      <c r="AK391" s="2"/>
      <c r="AL391" s="4">
        <v>0.18110749185667754</v>
      </c>
      <c r="AM391" s="2"/>
      <c r="AN391" s="4">
        <v>3.8991556026058634</v>
      </c>
      <c r="AO391" s="4">
        <v>1.8582405537459281</v>
      </c>
      <c r="AP391" s="4">
        <v>0.32125514657980453</v>
      </c>
      <c r="AQ391" s="2"/>
      <c r="AR391" s="2"/>
      <c r="AS391" s="15">
        <v>10.711509258385618</v>
      </c>
      <c r="AT391" s="2"/>
      <c r="AU391" s="2"/>
      <c r="AV391" s="2"/>
      <c r="AW391" s="2"/>
      <c r="AX391" s="2"/>
      <c r="AY391" s="2">
        <v>92.4</v>
      </c>
      <c r="AZ391" s="4">
        <v>4.4318181818181812E-2</v>
      </c>
      <c r="BA391" s="4">
        <v>0.22924519480519479</v>
      </c>
      <c r="BB391" s="2"/>
      <c r="BC391" s="2"/>
      <c r="BD391" s="2"/>
      <c r="BE391" s="2"/>
      <c r="BF391" s="2"/>
      <c r="BG391" s="4">
        <v>0.17883116883116879</v>
      </c>
      <c r="BH391" s="2"/>
      <c r="BI391" s="4">
        <v>3.941743766233766</v>
      </c>
      <c r="BJ391" s="4">
        <v>1.8785370129870129</v>
      </c>
      <c r="BK391" s="4">
        <v>0.32476402597402593</v>
      </c>
      <c r="BL391" s="4"/>
      <c r="BM391" s="4"/>
      <c r="BN391" s="15">
        <v>11.12553229682497</v>
      </c>
      <c r="BO391" s="2"/>
      <c r="BP391" s="2"/>
      <c r="BQ391" s="2"/>
      <c r="BR391" s="2"/>
      <c r="BS391" s="2"/>
      <c r="BT391" s="2">
        <v>40.4</v>
      </c>
      <c r="BU391" s="4">
        <v>1.0173267326732674E-2</v>
      </c>
      <c r="BV391" s="4">
        <v>3.2979133663366335E-2</v>
      </c>
      <c r="BW391" s="2"/>
      <c r="BX391" s="2"/>
      <c r="BY391" s="2"/>
      <c r="BZ391" s="2"/>
      <c r="CA391" s="2"/>
      <c r="CB391" s="4">
        <v>0.12029702970297029</v>
      </c>
      <c r="CC391" s="2"/>
      <c r="CD391" s="4">
        <v>2.7315577475247528</v>
      </c>
      <c r="CE391" s="4">
        <v>1.3586158415841585</v>
      </c>
      <c r="CF391" s="4">
        <v>0.52950995049504945</v>
      </c>
      <c r="CG391" s="4"/>
      <c r="CH391" s="4"/>
      <c r="CI391" s="15">
        <v>21.772141455979018</v>
      </c>
      <c r="CJ391" s="2"/>
      <c r="CK391" s="2"/>
      <c r="CL391" s="2"/>
      <c r="CM391" s="2"/>
      <c r="CN391" s="2"/>
      <c r="CO391" s="2">
        <v>0.1</v>
      </c>
      <c r="CP391" s="4">
        <v>0.01</v>
      </c>
      <c r="CQ391" s="4">
        <v>3.1220000000000001E-2</v>
      </c>
      <c r="CR391" s="2"/>
      <c r="CS391" s="2"/>
      <c r="CT391" s="2"/>
      <c r="CU391" s="2"/>
      <c r="CV391" s="2"/>
      <c r="CW391" s="4">
        <v>0.12</v>
      </c>
      <c r="CX391" s="2"/>
      <c r="CY391" s="4">
        <v>2.61802</v>
      </c>
      <c r="CZ391" s="4">
        <v>1.3023199999999997</v>
      </c>
      <c r="DA391" s="4">
        <v>0.50844</v>
      </c>
      <c r="DB391" s="4"/>
      <c r="DC391" s="4"/>
      <c r="DD391" s="15">
        <v>21.825885015427328</v>
      </c>
      <c r="DE391" s="2"/>
      <c r="DF391" s="2"/>
      <c r="DG391" s="2"/>
      <c r="DH391" s="2"/>
      <c r="DI391" s="2"/>
      <c r="DJ391" s="2" t="s">
        <v>81</v>
      </c>
      <c r="DK391" s="2"/>
      <c r="DL391" s="2">
        <f t="shared" si="4367"/>
        <v>0.1587266739846323</v>
      </c>
      <c r="DM391" s="2">
        <f t="shared" si="4368"/>
        <v>0</v>
      </c>
      <c r="DN391" s="2" t="s">
        <v>95</v>
      </c>
      <c r="DO391" s="2" t="s">
        <v>3</v>
      </c>
      <c r="DP391" s="2">
        <f t="shared" si="4369"/>
        <v>0.11875999999999999</v>
      </c>
      <c r="DQ391" s="2">
        <f t="shared" ref="DQ391:DR391" si="6520">K391*$I391+AF391*$AD391+BA391*$AY391</f>
        <v>78.310439999999986</v>
      </c>
      <c r="DR391" s="2">
        <f t="shared" si="6520"/>
        <v>0</v>
      </c>
      <c r="DS391" s="2">
        <f t="shared" ref="DS391:DX391" si="6521">(M391*$I391+AH391*$AD391+BC391*$AY391)/100</f>
        <v>0</v>
      </c>
      <c r="DT391" s="2">
        <f t="shared" si="6521"/>
        <v>0</v>
      </c>
      <c r="DU391" s="2">
        <f t="shared" si="6521"/>
        <v>0</v>
      </c>
      <c r="DV391" s="2">
        <f t="shared" si="6521"/>
        <v>0</v>
      </c>
      <c r="DW391" s="2">
        <f t="shared" si="6521"/>
        <v>0.57840000000000003</v>
      </c>
      <c r="DX391" s="2">
        <f t="shared" si="6521"/>
        <v>0</v>
      </c>
      <c r="DY391" s="2">
        <f t="shared" ref="DY391:EC391" si="6522">S391*$I391+AN391*$AD391+BI391*$AY391</f>
        <v>1346.50451</v>
      </c>
      <c r="DZ391" s="2">
        <f t="shared" si="6522"/>
        <v>641.7105499999999</v>
      </c>
      <c r="EA391" s="2">
        <f t="shared" si="6522"/>
        <v>110.93978999999997</v>
      </c>
      <c r="EB391" s="2">
        <f t="shared" si="6522"/>
        <v>0</v>
      </c>
      <c r="EC391" s="2">
        <f t="shared" si="6522"/>
        <v>0</v>
      </c>
      <c r="ED391" s="2">
        <f t="shared" ref="ED391:EE391" si="6523">(X391*$I391+AS391*$AD391+BN391*$AY391)/100</f>
        <v>53.86628421807464</v>
      </c>
      <c r="EE391" s="2">
        <f t="shared" si="6523"/>
        <v>0</v>
      </c>
      <c r="EF391" s="2"/>
      <c r="EG391" s="2">
        <f t="shared" si="4374"/>
        <v>0</v>
      </c>
      <c r="EH391" s="2">
        <f t="shared" si="4375"/>
        <v>0</v>
      </c>
      <c r="EI391" s="39">
        <f t="shared" si="4376"/>
        <v>774.98215615999993</v>
      </c>
      <c r="EJ391" s="39">
        <f t="shared" ref="EJ391:EK391" si="6524">EJ$1*DQ391/1000000</f>
        <v>3202.9221762057869</v>
      </c>
      <c r="EK391" s="39">
        <f t="shared" si="6524"/>
        <v>0</v>
      </c>
      <c r="EL391" s="39">
        <f t="shared" ref="EL391:EQ391" si="6525">EL$1*DS391</f>
        <v>0</v>
      </c>
      <c r="EM391" s="39">
        <f t="shared" si="6525"/>
        <v>0</v>
      </c>
      <c r="EN391" s="39">
        <f t="shared" si="6525"/>
        <v>0</v>
      </c>
      <c r="EO391" s="39">
        <f t="shared" si="6525"/>
        <v>0</v>
      </c>
      <c r="EP391" s="39">
        <f t="shared" si="6525"/>
        <v>7585.1376</v>
      </c>
      <c r="EQ391" s="39">
        <f t="shared" si="6525"/>
        <v>0</v>
      </c>
      <c r="ER391" s="39">
        <f t="shared" ref="ER391:EV391" si="6526">ER$1*DY391/1000000</f>
        <v>38215.616424327964</v>
      </c>
      <c r="ES391" s="39">
        <f t="shared" si="6526"/>
        <v>21385.46833879421</v>
      </c>
      <c r="ET391" s="39">
        <f t="shared" si="6526"/>
        <v>7938.0808581028932</v>
      </c>
      <c r="EU391" s="39">
        <f t="shared" si="6526"/>
        <v>0</v>
      </c>
      <c r="EV391" s="39">
        <f t="shared" si="6526"/>
        <v>0</v>
      </c>
      <c r="EW391" s="39">
        <f t="shared" ref="EW391:EX391" si="6527">EW$1*ED391</f>
        <v>15028.693296842825</v>
      </c>
      <c r="EX391" s="39">
        <f t="shared" si="6527"/>
        <v>0</v>
      </c>
      <c r="EY391" s="2"/>
      <c r="EZ391" s="39">
        <f t="shared" si="4381"/>
        <v>0</v>
      </c>
      <c r="FA391" s="39">
        <f t="shared" si="4382"/>
        <v>0</v>
      </c>
      <c r="FB391" s="2">
        <f t="shared" si="4383"/>
        <v>4.1199999999999995E-3</v>
      </c>
      <c r="FC391" s="2">
        <f t="shared" ref="FC391:FD391" si="6528">BV391*$BT391+CQ391*$CO391</f>
        <v>1.3354789999999999</v>
      </c>
      <c r="FD391" s="2">
        <f t="shared" si="6528"/>
        <v>0</v>
      </c>
      <c r="FE391" s="2">
        <f t="shared" ref="FE391:FJ391" si="6529">(BX391*$BT391+CS391*$CO391)/100</f>
        <v>0</v>
      </c>
      <c r="FF391" s="2">
        <f t="shared" si="6529"/>
        <v>0</v>
      </c>
      <c r="FG391" s="2">
        <f t="shared" si="6529"/>
        <v>0</v>
      </c>
      <c r="FH391" s="2">
        <f t="shared" si="6529"/>
        <v>0</v>
      </c>
      <c r="FI391" s="2">
        <f t="shared" si="6529"/>
        <v>4.8719999999999992E-2</v>
      </c>
      <c r="FJ391" s="2">
        <f t="shared" si="6529"/>
        <v>0</v>
      </c>
      <c r="FK391" s="2">
        <f t="shared" ref="FK391:FO391" si="6530">CD391*$BT391+CY391*$CO391</f>
        <v>110.61673500000001</v>
      </c>
      <c r="FL391" s="2">
        <f t="shared" si="6530"/>
        <v>55.018312000000002</v>
      </c>
      <c r="FM391" s="2">
        <f t="shared" si="6530"/>
        <v>21.443045999999999</v>
      </c>
      <c r="FN391" s="2">
        <f t="shared" si="6530"/>
        <v>0</v>
      </c>
      <c r="FO391" s="2">
        <f t="shared" si="6530"/>
        <v>0</v>
      </c>
      <c r="FP391" s="2">
        <f t="shared" ref="FP391:FQ391" si="6531">(CI391*$BT391+DD391*$CO391)/100</f>
        <v>8.8177710332309491</v>
      </c>
      <c r="FQ391" s="2">
        <f t="shared" si="6531"/>
        <v>0</v>
      </c>
      <c r="FR391" s="2"/>
      <c r="FS391" s="2">
        <f t="shared" si="4388"/>
        <v>0</v>
      </c>
      <c r="FT391" s="2">
        <f t="shared" si="4389"/>
        <v>0</v>
      </c>
      <c r="FU391" s="39">
        <f t="shared" si="4390"/>
        <v>26.885537919999997</v>
      </c>
      <c r="FV391" s="39">
        <f t="shared" ref="FV391:FW391" si="6532">FV$1*FC391/1000000</f>
        <v>54.621520514469445</v>
      </c>
      <c r="FW391" s="39">
        <f t="shared" si="6532"/>
        <v>0</v>
      </c>
      <c r="FX391" s="39">
        <f t="shared" ref="FX391:GC391" si="6533">FX$1*FE391</f>
        <v>0</v>
      </c>
      <c r="FY391" s="39">
        <f t="shared" si="6533"/>
        <v>0</v>
      </c>
      <c r="FZ391" s="39">
        <f t="shared" si="6533"/>
        <v>0</v>
      </c>
      <c r="GA391" s="39">
        <f t="shared" si="6533"/>
        <v>0</v>
      </c>
      <c r="GB391" s="39">
        <f t="shared" si="6533"/>
        <v>638.9140799999999</v>
      </c>
      <c r="GC391" s="39">
        <f t="shared" si="6533"/>
        <v>0</v>
      </c>
      <c r="GD391" s="39">
        <f t="shared" ref="GD391:GH391" si="6534">GD$1*FK391/1000000</f>
        <v>3139.4523252443728</v>
      </c>
      <c r="GE391" s="39">
        <f t="shared" si="6534"/>
        <v>1833.5250516450162</v>
      </c>
      <c r="GF391" s="39">
        <f t="shared" si="6534"/>
        <v>1534.3154425659166</v>
      </c>
      <c r="GG391" s="39">
        <f t="shared" si="6534"/>
        <v>0</v>
      </c>
      <c r="GH391" s="39">
        <f t="shared" si="6534"/>
        <v>0</v>
      </c>
      <c r="GI391" s="39">
        <f t="shared" ref="GI391:GJ391" si="6535">GI$1*FP391</f>
        <v>2460.1581182714349</v>
      </c>
      <c r="GJ391" s="39">
        <f t="shared" si="6535"/>
        <v>0</v>
      </c>
      <c r="GK391" s="2"/>
      <c r="GL391" s="39">
        <f t="shared" si="4395"/>
        <v>0</v>
      </c>
      <c r="GM391" s="39">
        <f t="shared" si="4396"/>
        <v>0</v>
      </c>
      <c r="GN391" s="2" t="s">
        <v>3</v>
      </c>
      <c r="GO391" s="2">
        <f t="shared" si="4397"/>
        <v>364.4</v>
      </c>
      <c r="GP391" s="4">
        <f t="shared" si="4398"/>
        <v>0.1587266739846323</v>
      </c>
      <c r="GQ391" s="15">
        <f t="shared" si="4399"/>
        <v>578.40000000000009</v>
      </c>
      <c r="GR391" s="15">
        <f t="shared" si="4400"/>
        <v>94130.900850433682</v>
      </c>
      <c r="GS391" s="15">
        <f t="shared" si="4401"/>
        <v>258.31751056650296</v>
      </c>
      <c r="GT391" s="2">
        <f t="shared" si="4402"/>
        <v>246.36</v>
      </c>
      <c r="GU391" s="2">
        <f t="shared" si="4403"/>
        <v>166.8</v>
      </c>
      <c r="GV391" s="2">
        <f t="shared" si="4404"/>
        <v>165.23999999999995</v>
      </c>
      <c r="GW391" s="2">
        <f t="shared" si="4405"/>
        <v>40.5</v>
      </c>
      <c r="GX391" s="4">
        <f t="shared" si="6516"/>
        <v>0.12029629629629628</v>
      </c>
      <c r="GY391" s="15">
        <f t="shared" si="6517"/>
        <v>48.719999999999992</v>
      </c>
      <c r="GZ391" s="15">
        <f t="shared" si="6518"/>
        <v>9687.8720761612094</v>
      </c>
      <c r="HA391" s="15">
        <f t="shared" si="6519"/>
        <v>239.2067179299064</v>
      </c>
      <c r="HB391" s="2">
        <f t="shared" si="4406"/>
        <v>48.599999999999994</v>
      </c>
      <c r="HC391" s="2">
        <f t="shared" si="4407"/>
        <v>0.12</v>
      </c>
      <c r="HD391" s="2" t="s">
        <v>3</v>
      </c>
      <c r="HE391" s="2" t="s">
        <v>89</v>
      </c>
      <c r="HF391" s="2" t="s">
        <v>90</v>
      </c>
      <c r="HG391" s="2" t="s">
        <v>91</v>
      </c>
      <c r="HH391" s="2" t="s">
        <v>92</v>
      </c>
      <c r="HI391" s="2" t="s">
        <v>81</v>
      </c>
      <c r="HJ391" s="2" t="s">
        <v>3</v>
      </c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 t="s">
        <v>3</v>
      </c>
    </row>
    <row r="392" spans="1:268" ht="15.75" customHeight="1" x14ac:dyDescent="0.2">
      <c r="A392" s="16" t="s">
        <v>209</v>
      </c>
      <c r="B392" s="2"/>
      <c r="C392" s="2"/>
      <c r="D392" s="2"/>
      <c r="E392" s="2"/>
      <c r="F392" s="2" t="s">
        <v>210</v>
      </c>
      <c r="G392" s="2"/>
      <c r="H392" s="2"/>
      <c r="I392" s="2">
        <v>6.6980000000000004</v>
      </c>
      <c r="J392" s="4">
        <v>8.8627284768528908E-2</v>
      </c>
      <c r="K392" s="4">
        <v>0.23825999999999997</v>
      </c>
      <c r="L392" s="2"/>
      <c r="M392" s="2"/>
      <c r="N392" s="2"/>
      <c r="O392" s="2"/>
      <c r="P392" s="2"/>
      <c r="Q392" s="4">
        <v>0.2156295867868934</v>
      </c>
      <c r="R392" s="2"/>
      <c r="S392" s="4">
        <v>4.0566899999999997</v>
      </c>
      <c r="T392" s="4">
        <v>1.6866300000000001</v>
      </c>
      <c r="U392" s="4">
        <v>0.28841999999999995</v>
      </c>
      <c r="V392" s="2"/>
      <c r="W392" s="2"/>
      <c r="X392" s="2"/>
      <c r="Y392" s="2"/>
      <c r="Z392" s="2"/>
      <c r="AA392" s="2"/>
      <c r="AB392" s="2"/>
      <c r="AC392" s="2"/>
      <c r="AD392" s="2">
        <v>50.986999999999995</v>
      </c>
      <c r="AE392" s="4">
        <v>4.147684110533801E-2</v>
      </c>
      <c r="AF392" s="4">
        <v>9.3933818424304247E-2</v>
      </c>
      <c r="AG392" s="2"/>
      <c r="AH392" s="2"/>
      <c r="AI392" s="2"/>
      <c r="AJ392" s="2"/>
      <c r="AK392" s="2"/>
      <c r="AL392" s="4">
        <v>0.14903304313763949</v>
      </c>
      <c r="AM392" s="2"/>
      <c r="AN392" s="4">
        <v>3.1791663369094088</v>
      </c>
      <c r="AO392" s="4">
        <v>1.4525827289309041</v>
      </c>
      <c r="AP392" s="4">
        <v>0.41587007590170044</v>
      </c>
      <c r="AQ392" s="2"/>
      <c r="AR392" s="2"/>
      <c r="AS392" s="2"/>
      <c r="AT392" s="2"/>
      <c r="AU392" s="2"/>
      <c r="AV392" s="2"/>
      <c r="AW392" s="2"/>
      <c r="AX392" s="2"/>
      <c r="AY392" s="2">
        <v>21.32</v>
      </c>
      <c r="AZ392" s="4">
        <v>5.6084803663925431E-2</v>
      </c>
      <c r="BA392" s="4">
        <v>0.12568529080675425</v>
      </c>
      <c r="BB392" s="2"/>
      <c r="BC392" s="2"/>
      <c r="BD392" s="2"/>
      <c r="BE392" s="2"/>
      <c r="BF392" s="2"/>
      <c r="BG392" s="4">
        <v>0.15620543421284055</v>
      </c>
      <c r="BH392" s="2"/>
      <c r="BI392" s="4">
        <v>3.1799967016885553</v>
      </c>
      <c r="BJ392" s="4">
        <v>1.4082384803001877</v>
      </c>
      <c r="BK392" s="4">
        <v>0.35106618386491556</v>
      </c>
      <c r="BL392" s="4"/>
      <c r="BM392" s="4"/>
      <c r="BN392" s="2"/>
      <c r="BO392" s="2"/>
      <c r="BP392" s="2"/>
      <c r="BQ392" s="2"/>
      <c r="BR392" s="2"/>
      <c r="BS392" s="2"/>
      <c r="BT392" s="2">
        <v>7.0519999999999996</v>
      </c>
      <c r="BU392" s="4">
        <v>8.8627284768528908E-2</v>
      </c>
      <c r="BV392" s="4">
        <v>0.19303999999999999</v>
      </c>
      <c r="BW392" s="2"/>
      <c r="BX392" s="2"/>
      <c r="BY392" s="2"/>
      <c r="BZ392" s="2"/>
      <c r="CA392" s="2"/>
      <c r="CB392" s="4">
        <v>0.2156295867868934</v>
      </c>
      <c r="CC392" s="2"/>
      <c r="CD392" s="4">
        <v>3.2867600000000001</v>
      </c>
      <c r="CE392" s="4">
        <v>1.36652</v>
      </c>
      <c r="CF392" s="4">
        <v>0.23368</v>
      </c>
      <c r="CG392" s="4"/>
      <c r="CH392" s="4"/>
      <c r="CI392" s="2"/>
      <c r="CJ392" s="2"/>
      <c r="CK392" s="2"/>
      <c r="CL392" s="2"/>
      <c r="CM392" s="2"/>
      <c r="CN392" s="2"/>
      <c r="CO392" s="2">
        <v>54.070000000000007</v>
      </c>
      <c r="CP392" s="4">
        <v>4.1291636725162659E-2</v>
      </c>
      <c r="CQ392" s="4">
        <v>7.5481501756981678E-2</v>
      </c>
      <c r="CR392" s="2"/>
      <c r="CS392" s="2"/>
      <c r="CT392" s="2"/>
      <c r="CU392" s="2"/>
      <c r="CV392" s="2"/>
      <c r="CW392" s="4">
        <v>0.1487714555335761</v>
      </c>
      <c r="CX392" s="2"/>
      <c r="CY392" s="4">
        <v>2.5560471499907522</v>
      </c>
      <c r="CZ392" s="4">
        <v>1.1679334270390234</v>
      </c>
      <c r="DA392" s="4">
        <v>0.33444352136119837</v>
      </c>
      <c r="DB392" s="4"/>
      <c r="DC392" s="4"/>
      <c r="DD392" s="2"/>
      <c r="DE392" s="2"/>
      <c r="DF392" s="2"/>
      <c r="DG392" s="2"/>
      <c r="DH392" s="2"/>
      <c r="DI392" s="2"/>
      <c r="DJ392" s="2" t="s">
        <v>81</v>
      </c>
      <c r="DK392" s="2"/>
      <c r="DL392" s="2">
        <f t="shared" si="4367"/>
        <v>0.15661457629485723</v>
      </c>
      <c r="DM392" s="2">
        <f t="shared" si="4368"/>
        <v>0</v>
      </c>
      <c r="DN392" s="2" t="s">
        <v>211</v>
      </c>
      <c r="DO392" s="2" t="s">
        <v>3</v>
      </c>
      <c r="DP392" s="2">
        <f t="shared" si="4369"/>
        <v>3.9041332649323655E-2</v>
      </c>
      <c r="DQ392" s="2">
        <f t="shared" ref="DQ392:DR392" si="6536">K392*$I392+AF392*$AD392+BA392*$AY392</f>
        <v>9.0648794800000001</v>
      </c>
      <c r="DR392" s="2">
        <f t="shared" si="6536"/>
        <v>0</v>
      </c>
      <c r="DS392" s="2">
        <f t="shared" ref="DS392:DX392" si="6537">(M392*$I392+AH392*$AD392+BC392*$AY392)/100</f>
        <v>0</v>
      </c>
      <c r="DT392" s="2">
        <f t="shared" si="6537"/>
        <v>0</v>
      </c>
      <c r="DU392" s="2">
        <f t="shared" si="6537"/>
        <v>0</v>
      </c>
      <c r="DV392" s="2">
        <f t="shared" si="6537"/>
        <v>0</v>
      </c>
      <c r="DW392" s="2">
        <f t="shared" si="6537"/>
        <v>0.12373334600175195</v>
      </c>
      <c r="DX392" s="2">
        <f t="shared" si="6537"/>
        <v>0</v>
      </c>
      <c r="DY392" s="2">
        <f t="shared" ref="DY392:EC392" si="6538">S392*$I392+AN392*$AD392+BI392*$AY392</f>
        <v>257.06539332</v>
      </c>
      <c r="DZ392" s="2">
        <f t="shared" si="6538"/>
        <v>115.38352774000001</v>
      </c>
      <c r="EA392" s="2">
        <f t="shared" si="6538"/>
        <v>30.620535759999999</v>
      </c>
      <c r="EB392" s="2">
        <f t="shared" si="6538"/>
        <v>0</v>
      </c>
      <c r="EC392" s="2">
        <f t="shared" si="6538"/>
        <v>0</v>
      </c>
      <c r="ED392" s="2">
        <f t="shared" ref="ED392:EE392" si="6539">(X392*$I392+AS392*$AD392+BN392*$AY392)/100</f>
        <v>0</v>
      </c>
      <c r="EE392" s="2">
        <f t="shared" si="6539"/>
        <v>0</v>
      </c>
      <c r="EF392" s="2"/>
      <c r="EG392" s="2">
        <f t="shared" si="4374"/>
        <v>0</v>
      </c>
      <c r="EH392" s="2">
        <f t="shared" si="4375"/>
        <v>0</v>
      </c>
      <c r="EI392" s="39">
        <f t="shared" si="4376"/>
        <v>254.76874499774883</v>
      </c>
      <c r="EJ392" s="39">
        <f t="shared" ref="EJ392:EK392" si="6540">EJ$1*DQ392/1000000</f>
        <v>370.75648548424437</v>
      </c>
      <c r="EK392" s="39">
        <f t="shared" si="6540"/>
        <v>0</v>
      </c>
      <c r="EL392" s="39">
        <f t="shared" ref="EL392:EQ392" si="6541">EL$1*DS392</f>
        <v>0</v>
      </c>
      <c r="EM392" s="39">
        <f t="shared" si="6541"/>
        <v>0</v>
      </c>
      <c r="EN392" s="39">
        <f t="shared" si="6541"/>
        <v>0</v>
      </c>
      <c r="EO392" s="39">
        <f t="shared" si="6541"/>
        <v>0</v>
      </c>
      <c r="EP392" s="39">
        <f t="shared" si="6541"/>
        <v>1622.639099466975</v>
      </c>
      <c r="EQ392" s="39">
        <f t="shared" si="6541"/>
        <v>0</v>
      </c>
      <c r="ER392" s="39">
        <f t="shared" ref="ER392:EV392" si="6542">ER$1*DY392/1000000</f>
        <v>7295.8630246891053</v>
      </c>
      <c r="ES392" s="39">
        <f t="shared" si="6542"/>
        <v>3845.2395387642514</v>
      </c>
      <c r="ET392" s="39">
        <f t="shared" si="6542"/>
        <v>2190.9928690266242</v>
      </c>
      <c r="EU392" s="39">
        <f t="shared" si="6542"/>
        <v>0</v>
      </c>
      <c r="EV392" s="39">
        <f t="shared" si="6542"/>
        <v>0</v>
      </c>
      <c r="EW392" s="39">
        <f t="shared" ref="EW392:EX392" si="6543">EW$1*ED392</f>
        <v>0</v>
      </c>
      <c r="EX392" s="39">
        <f t="shared" si="6543"/>
        <v>0</v>
      </c>
      <c r="EY392" s="2"/>
      <c r="EZ392" s="39">
        <f t="shared" si="4381"/>
        <v>0</v>
      </c>
      <c r="FA392" s="39">
        <f t="shared" si="4382"/>
        <v>0</v>
      </c>
      <c r="FB392" s="2">
        <f t="shared" si="4383"/>
        <v>2.8576384099172111E-2</v>
      </c>
      <c r="FC392" s="2">
        <f t="shared" ref="FC392:FD392" si="6544">BV392*$BT392+CQ392*$CO392</f>
        <v>5.442602879999999</v>
      </c>
      <c r="FD392" s="2">
        <f t="shared" si="6544"/>
        <v>0</v>
      </c>
      <c r="FE392" s="2">
        <f t="shared" ref="FE392:FJ392" si="6545">(BX392*$BT392+CS392*$CO392)/100</f>
        <v>0</v>
      </c>
      <c r="FF392" s="2">
        <f t="shared" si="6545"/>
        <v>0</v>
      </c>
      <c r="FG392" s="2">
        <f t="shared" si="6545"/>
        <v>0</v>
      </c>
      <c r="FH392" s="2">
        <f t="shared" si="6545"/>
        <v>0</v>
      </c>
      <c r="FI392" s="2">
        <f t="shared" si="6545"/>
        <v>9.5646924467216329E-2</v>
      </c>
      <c r="FJ392" s="2">
        <f t="shared" si="6545"/>
        <v>0</v>
      </c>
      <c r="FK392" s="2">
        <f t="shared" ref="FK392:FO392" si="6546">CD392*$BT392+CY392*$CO392</f>
        <v>161.38370092</v>
      </c>
      <c r="FL392" s="2">
        <f t="shared" si="6546"/>
        <v>72.786859440000001</v>
      </c>
      <c r="FM392" s="2">
        <f t="shared" si="6546"/>
        <v>19.731272559999997</v>
      </c>
      <c r="FN392" s="2">
        <f t="shared" si="6546"/>
        <v>0</v>
      </c>
      <c r="FO392" s="2">
        <f t="shared" si="6546"/>
        <v>0</v>
      </c>
      <c r="FP392" s="2">
        <f t="shared" ref="FP392:FQ392" si="6547">(CI392*$BT392+DD392*$CO392)/100</f>
        <v>0</v>
      </c>
      <c r="FQ392" s="2">
        <f t="shared" si="6547"/>
        <v>0</v>
      </c>
      <c r="FR392" s="2"/>
      <c r="FS392" s="2">
        <f t="shared" si="4388"/>
        <v>0</v>
      </c>
      <c r="FT392" s="2">
        <f t="shared" si="4389"/>
        <v>0</v>
      </c>
      <c r="FU392" s="39">
        <f t="shared" si="4390"/>
        <v>186.47850929970312</v>
      </c>
      <c r="FV392" s="39">
        <f t="shared" ref="FV392:FW392" si="6548">FV$1*FC392/1000000</f>
        <v>222.60420782508032</v>
      </c>
      <c r="FW392" s="39">
        <f t="shared" si="6548"/>
        <v>0</v>
      </c>
      <c r="FX392" s="39">
        <f t="shared" ref="FX392:GC392" si="6549">FX$1*FE392</f>
        <v>0</v>
      </c>
      <c r="FY392" s="39">
        <f t="shared" si="6549"/>
        <v>0</v>
      </c>
      <c r="FZ392" s="39">
        <f t="shared" si="6549"/>
        <v>0</v>
      </c>
      <c r="GA392" s="39">
        <f t="shared" si="6549"/>
        <v>0</v>
      </c>
      <c r="GB392" s="39">
        <f t="shared" si="6549"/>
        <v>1254.313767463075</v>
      </c>
      <c r="GC392" s="39">
        <f t="shared" si="6549"/>
        <v>0</v>
      </c>
      <c r="GD392" s="39">
        <f t="shared" ref="GD392:GH392" si="6550">GD$1*FK392/1000000</f>
        <v>4580.2873779436386</v>
      </c>
      <c r="GE392" s="39">
        <f t="shared" si="6550"/>
        <v>2425.6747501414534</v>
      </c>
      <c r="GF392" s="39">
        <f t="shared" si="6550"/>
        <v>1411.8328240439871</v>
      </c>
      <c r="GG392" s="39">
        <f t="shared" si="6550"/>
        <v>0</v>
      </c>
      <c r="GH392" s="39">
        <f t="shared" si="6550"/>
        <v>0</v>
      </c>
      <c r="GI392" s="39">
        <f t="shared" ref="GI392:GJ392" si="6551">GI$1*FP392</f>
        <v>0</v>
      </c>
      <c r="GJ392" s="39">
        <f t="shared" si="6551"/>
        <v>0</v>
      </c>
      <c r="GK392" s="2"/>
      <c r="GL392" s="39">
        <f t="shared" si="4395"/>
        <v>0</v>
      </c>
      <c r="GM392" s="39">
        <f t="shared" si="4396"/>
        <v>0</v>
      </c>
      <c r="GN392" s="2" t="s">
        <v>3</v>
      </c>
      <c r="GO392" s="4">
        <f t="shared" si="4397"/>
        <v>79.004999999999995</v>
      </c>
      <c r="GP392" s="4">
        <f t="shared" si="4398"/>
        <v>0.15661457629485723</v>
      </c>
      <c r="GQ392" s="15">
        <f t="shared" si="4399"/>
        <v>123.73334600175195</v>
      </c>
      <c r="GR392" s="15">
        <f t="shared" si="4400"/>
        <v>15580.25976242895</v>
      </c>
      <c r="GS392" s="15">
        <f t="shared" si="4401"/>
        <v>197.20599661323905</v>
      </c>
      <c r="GT392" s="2">
        <f t="shared" si="4402"/>
        <v>14.442869722986121</v>
      </c>
      <c r="GU392" s="2">
        <f t="shared" si="4403"/>
        <v>75.98747770458823</v>
      </c>
      <c r="GV392" s="2">
        <f t="shared" si="4404"/>
        <v>33.302998574177607</v>
      </c>
      <c r="GW392" s="2">
        <f t="shared" si="4405"/>
        <v>61.122000000000007</v>
      </c>
      <c r="GX392" s="4">
        <f t="shared" si="6516"/>
        <v>0.15648526629890436</v>
      </c>
      <c r="GY392" s="15">
        <f t="shared" si="6517"/>
        <v>95.646924467216337</v>
      </c>
      <c r="GZ392" s="15">
        <f t="shared" si="6518"/>
        <v>10081.191436716939</v>
      </c>
      <c r="HA392" s="15">
        <f t="shared" si="6519"/>
        <v>164.93556226427373</v>
      </c>
      <c r="HB392" s="2">
        <f t="shared" si="4406"/>
        <v>15.206198460211722</v>
      </c>
      <c r="HC392" s="2">
        <f t="shared" si="4407"/>
        <v>80.440726007004599</v>
      </c>
      <c r="HD392" s="2" t="s">
        <v>3</v>
      </c>
      <c r="HE392" s="2" t="s">
        <v>89</v>
      </c>
      <c r="HF392" s="2" t="s">
        <v>90</v>
      </c>
      <c r="HG392" s="2" t="s">
        <v>91</v>
      </c>
      <c r="HH392" s="2" t="s">
        <v>92</v>
      </c>
      <c r="HI392" s="2" t="s">
        <v>81</v>
      </c>
      <c r="HJ392" s="2" t="s">
        <v>3</v>
      </c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 t="s">
        <v>3</v>
      </c>
    </row>
    <row r="393" spans="1:268" ht="15.75" customHeight="1" x14ac:dyDescent="0.2">
      <c r="A393" s="16" t="s">
        <v>223</v>
      </c>
      <c r="B393" s="2"/>
      <c r="C393" s="2"/>
      <c r="D393" s="2"/>
      <c r="E393" s="2"/>
      <c r="F393" s="2" t="s">
        <v>224</v>
      </c>
      <c r="G393" s="2"/>
      <c r="H393" s="2"/>
      <c r="I393" s="2">
        <v>0</v>
      </c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>
        <v>13.685</v>
      </c>
      <c r="AE393" s="4">
        <v>2.9148595329822911E-2</v>
      </c>
      <c r="AF393" s="2">
        <v>0.02</v>
      </c>
      <c r="AG393" s="2"/>
      <c r="AH393" s="2"/>
      <c r="AI393" s="2"/>
      <c r="AJ393" s="2"/>
      <c r="AK393" s="2"/>
      <c r="AL393" s="4">
        <v>0.11240231217618901</v>
      </c>
      <c r="AM393" s="2"/>
      <c r="AN393" s="2">
        <v>1.32</v>
      </c>
      <c r="AO393" s="2">
        <v>0.59</v>
      </c>
      <c r="AP393" s="2">
        <v>0.24</v>
      </c>
      <c r="AQ393" s="2"/>
      <c r="AR393" s="2"/>
      <c r="AS393" s="2"/>
      <c r="AT393" s="2"/>
      <c r="AU393" s="2"/>
      <c r="AV393" s="2"/>
      <c r="AW393" s="2"/>
      <c r="AX393" s="2"/>
      <c r="AY393" s="2">
        <v>9.9450000000000003</v>
      </c>
      <c r="AZ393" s="4">
        <v>2.9148595329822911E-2</v>
      </c>
      <c r="BA393" s="2">
        <v>0.03</v>
      </c>
      <c r="BB393" s="2"/>
      <c r="BC393" s="2"/>
      <c r="BD393" s="2"/>
      <c r="BE393" s="2"/>
      <c r="BF393" s="2"/>
      <c r="BG393" s="4">
        <v>0.11240231217618901</v>
      </c>
      <c r="BH393" s="2"/>
      <c r="BI393" s="2">
        <v>2.36</v>
      </c>
      <c r="BJ393" s="2">
        <v>0.98</v>
      </c>
      <c r="BK393" s="2">
        <v>0.38</v>
      </c>
      <c r="BL393" s="2"/>
      <c r="BM393" s="2"/>
      <c r="BN393" s="2"/>
      <c r="BO393" s="2"/>
      <c r="BP393" s="2"/>
      <c r="BQ393" s="2"/>
      <c r="BR393" s="2"/>
      <c r="BS393" s="2"/>
      <c r="BT393" s="2">
        <v>0</v>
      </c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>
        <v>0</v>
      </c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>
        <f t="shared" si="4367"/>
        <v>0.11240231217618898</v>
      </c>
      <c r="DM393" s="2">
        <f t="shared" si="4368"/>
        <v>0</v>
      </c>
      <c r="DN393" s="2" t="s">
        <v>225</v>
      </c>
      <c r="DO393" s="2" t="s">
        <v>3</v>
      </c>
      <c r="DP393" s="2">
        <f t="shared" si="4369"/>
        <v>6.8878130764371548E-3</v>
      </c>
      <c r="DQ393" s="2">
        <f t="shared" ref="DQ393:DR393" si="6552">K393*$I393+AF393*$AD393+BA393*$AY393</f>
        <v>0.57204999999999995</v>
      </c>
      <c r="DR393" s="2">
        <f t="shared" si="6552"/>
        <v>0</v>
      </c>
      <c r="DS393" s="2">
        <f t="shared" ref="DS393:DX393" si="6553">(M393*$I393+AH393*$AD393+BC393*$AY393)/100</f>
        <v>0</v>
      </c>
      <c r="DT393" s="2">
        <f t="shared" si="6553"/>
        <v>0</v>
      </c>
      <c r="DU393" s="2">
        <f t="shared" si="6553"/>
        <v>0</v>
      </c>
      <c r="DV393" s="2">
        <f t="shared" si="6553"/>
        <v>0</v>
      </c>
      <c r="DW393" s="2">
        <f t="shared" si="6553"/>
        <v>2.6560666367233463E-2</v>
      </c>
      <c r="DX393" s="2">
        <f t="shared" si="6553"/>
        <v>0</v>
      </c>
      <c r="DY393" s="2">
        <f t="shared" ref="DY393:EC393" si="6554">S393*$I393+AN393*$AD393+BI393*$AY393</f>
        <v>41.534400000000005</v>
      </c>
      <c r="DZ393" s="2">
        <f t="shared" si="6554"/>
        <v>17.820250000000001</v>
      </c>
      <c r="EA393" s="2">
        <f t="shared" si="6554"/>
        <v>7.0635000000000003</v>
      </c>
      <c r="EB393" s="2">
        <f t="shared" si="6554"/>
        <v>0</v>
      </c>
      <c r="EC393" s="2">
        <f t="shared" si="6554"/>
        <v>0</v>
      </c>
      <c r="ED393" s="2">
        <f t="shared" ref="ED393:EE393" si="6555">(X393*$I393+AS393*$AD393+BN393*$AY393)/100</f>
        <v>0</v>
      </c>
      <c r="EE393" s="2">
        <f t="shared" si="6555"/>
        <v>0</v>
      </c>
      <c r="EF393" s="2"/>
      <c r="EG393" s="2">
        <f t="shared" si="4374"/>
        <v>0</v>
      </c>
      <c r="EH393" s="2">
        <f t="shared" si="4375"/>
        <v>0</v>
      </c>
      <c r="EI393" s="39">
        <f t="shared" si="4376"/>
        <v>44.947223216607519</v>
      </c>
      <c r="EJ393" s="39">
        <f t="shared" ref="EJ393:EK393" si="6556">EJ$1*DQ393/1000000</f>
        <v>23.397028938906747</v>
      </c>
      <c r="EK393" s="39">
        <f t="shared" si="6556"/>
        <v>0</v>
      </c>
      <c r="EL393" s="39">
        <f t="shared" ref="EL393:EQ393" si="6557">EL$1*DS393</f>
        <v>0</v>
      </c>
      <c r="EM393" s="39">
        <f t="shared" si="6557"/>
        <v>0</v>
      </c>
      <c r="EN393" s="39">
        <f t="shared" si="6557"/>
        <v>0</v>
      </c>
      <c r="EO393" s="39">
        <f t="shared" si="6557"/>
        <v>0</v>
      </c>
      <c r="EP393" s="39">
        <f t="shared" si="6557"/>
        <v>348.31657873989963</v>
      </c>
      <c r="EQ393" s="39">
        <f t="shared" si="6557"/>
        <v>0</v>
      </c>
      <c r="ER393" s="39">
        <f t="shared" ref="ER393:EV393" si="6558">ER$1*DY393/1000000</f>
        <v>1178.802363472669</v>
      </c>
      <c r="ES393" s="39">
        <f t="shared" si="6558"/>
        <v>593.87272371382642</v>
      </c>
      <c r="ET393" s="39">
        <f t="shared" si="6558"/>
        <v>505.4150016077171</v>
      </c>
      <c r="EU393" s="39">
        <f t="shared" si="6558"/>
        <v>0</v>
      </c>
      <c r="EV393" s="39">
        <f t="shared" si="6558"/>
        <v>0</v>
      </c>
      <c r="EW393" s="39">
        <f t="shared" ref="EW393:EX393" si="6559">EW$1*ED393</f>
        <v>0</v>
      </c>
      <c r="EX393" s="39">
        <f t="shared" si="6559"/>
        <v>0</v>
      </c>
      <c r="EY393" s="2"/>
      <c r="EZ393" s="39">
        <f t="shared" si="4381"/>
        <v>0</v>
      </c>
      <c r="FA393" s="39">
        <f t="shared" si="4382"/>
        <v>0</v>
      </c>
      <c r="FB393" s="2">
        <f t="shared" si="4383"/>
        <v>0</v>
      </c>
      <c r="FC393" s="2">
        <f t="shared" ref="FC393:FD393" si="6560">BV393*$BT393+CQ393*$CO393</f>
        <v>0</v>
      </c>
      <c r="FD393" s="2">
        <f t="shared" si="6560"/>
        <v>0</v>
      </c>
      <c r="FE393" s="2">
        <f t="shared" ref="FE393:FJ393" si="6561">(BX393*$BT393+CS393*$CO393)/100</f>
        <v>0</v>
      </c>
      <c r="FF393" s="2">
        <f t="shared" si="6561"/>
        <v>0</v>
      </c>
      <c r="FG393" s="2">
        <f t="shared" si="6561"/>
        <v>0</v>
      </c>
      <c r="FH393" s="2">
        <f t="shared" si="6561"/>
        <v>0</v>
      </c>
      <c r="FI393" s="2">
        <f t="shared" si="6561"/>
        <v>0</v>
      </c>
      <c r="FJ393" s="2">
        <f t="shared" si="6561"/>
        <v>0</v>
      </c>
      <c r="FK393" s="2">
        <f t="shared" ref="FK393:FO393" si="6562">CD393*$BT393+CY393*$CO393</f>
        <v>0</v>
      </c>
      <c r="FL393" s="2">
        <f t="shared" si="6562"/>
        <v>0</v>
      </c>
      <c r="FM393" s="2">
        <f t="shared" si="6562"/>
        <v>0</v>
      </c>
      <c r="FN393" s="2">
        <f t="shared" si="6562"/>
        <v>0</v>
      </c>
      <c r="FO393" s="2">
        <f t="shared" si="6562"/>
        <v>0</v>
      </c>
      <c r="FP393" s="2">
        <f t="shared" ref="FP393:FQ393" si="6563">(CI393*$BT393+DD393*$CO393)/100</f>
        <v>0</v>
      </c>
      <c r="FQ393" s="2">
        <f t="shared" si="6563"/>
        <v>0</v>
      </c>
      <c r="FR393" s="2"/>
      <c r="FS393" s="2">
        <f t="shared" si="4388"/>
        <v>0</v>
      </c>
      <c r="FT393" s="2">
        <f t="shared" si="4389"/>
        <v>0</v>
      </c>
      <c r="FU393" s="39">
        <f t="shared" si="4390"/>
        <v>0</v>
      </c>
      <c r="FV393" s="39">
        <f t="shared" ref="FV393:FW393" si="6564">FV$1*FC393/1000000</f>
        <v>0</v>
      </c>
      <c r="FW393" s="39">
        <f t="shared" si="6564"/>
        <v>0</v>
      </c>
      <c r="FX393" s="39">
        <f t="shared" ref="FX393:GC393" si="6565">FX$1*FE393</f>
        <v>0</v>
      </c>
      <c r="FY393" s="39">
        <f t="shared" si="6565"/>
        <v>0</v>
      </c>
      <c r="FZ393" s="39">
        <f t="shared" si="6565"/>
        <v>0</v>
      </c>
      <c r="GA393" s="39">
        <f t="shared" si="6565"/>
        <v>0</v>
      </c>
      <c r="GB393" s="39">
        <f t="shared" si="6565"/>
        <v>0</v>
      </c>
      <c r="GC393" s="39">
        <f t="shared" si="6565"/>
        <v>0</v>
      </c>
      <c r="GD393" s="39">
        <f t="shared" ref="GD393:GH393" si="6566">GD$1*FK393/1000000</f>
        <v>0</v>
      </c>
      <c r="GE393" s="39">
        <f t="shared" si="6566"/>
        <v>0</v>
      </c>
      <c r="GF393" s="39">
        <f t="shared" si="6566"/>
        <v>0</v>
      </c>
      <c r="GG393" s="39">
        <f t="shared" si="6566"/>
        <v>0</v>
      </c>
      <c r="GH393" s="39">
        <f t="shared" si="6566"/>
        <v>0</v>
      </c>
      <c r="GI393" s="39">
        <f t="shared" ref="GI393:GJ393" si="6567">GI$1*FP393</f>
        <v>0</v>
      </c>
      <c r="GJ393" s="39">
        <f t="shared" si="6567"/>
        <v>0</v>
      </c>
      <c r="GK393" s="2"/>
      <c r="GL393" s="39">
        <f t="shared" si="4395"/>
        <v>0</v>
      </c>
      <c r="GM393" s="39">
        <f t="shared" si="4396"/>
        <v>0</v>
      </c>
      <c r="GN393" s="2" t="s">
        <v>3</v>
      </c>
      <c r="GO393" s="2">
        <f t="shared" si="4397"/>
        <v>23.630000000000003</v>
      </c>
      <c r="GP393" s="4">
        <f t="shared" si="4398"/>
        <v>0.11240231217618898</v>
      </c>
      <c r="GQ393" s="15">
        <f t="shared" si="4399"/>
        <v>26.560666367233463</v>
      </c>
      <c r="GR393" s="15">
        <f t="shared" si="4400"/>
        <v>2694.7509196896262</v>
      </c>
      <c r="GS393" s="15">
        <f t="shared" si="4401"/>
        <v>114.0393956703185</v>
      </c>
      <c r="GT393" s="2">
        <f t="shared" si="4402"/>
        <v>0</v>
      </c>
      <c r="GU393" s="2">
        <f t="shared" si="4403"/>
        <v>15.382256421311467</v>
      </c>
      <c r="GV393" s="2">
        <f t="shared" si="4404"/>
        <v>11.178409945921997</v>
      </c>
      <c r="GW393" s="2">
        <f t="shared" si="4405"/>
        <v>0</v>
      </c>
      <c r="GX393" s="2"/>
      <c r="GY393" s="2"/>
      <c r="GZ393" s="2"/>
      <c r="HA393" s="2"/>
      <c r="HB393" s="2">
        <f t="shared" si="4406"/>
        <v>0</v>
      </c>
      <c r="HC393" s="2">
        <f t="shared" si="4407"/>
        <v>0</v>
      </c>
      <c r="HD393" s="2" t="s">
        <v>3</v>
      </c>
      <c r="HE393" s="2" t="s">
        <v>89</v>
      </c>
      <c r="HF393" s="2" t="s">
        <v>90</v>
      </c>
      <c r="HG393" s="2" t="s">
        <v>91</v>
      </c>
      <c r="HH393" s="2" t="s">
        <v>226</v>
      </c>
      <c r="HI393" s="2" t="s">
        <v>81</v>
      </c>
      <c r="HJ393" s="2" t="s">
        <v>3</v>
      </c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 t="s">
        <v>3</v>
      </c>
    </row>
    <row r="394" spans="1:268" ht="15.75" customHeight="1" x14ac:dyDescent="0.2">
      <c r="A394" s="16" t="s">
        <v>254</v>
      </c>
      <c r="B394" s="2"/>
      <c r="C394" s="2"/>
      <c r="D394" s="2"/>
      <c r="E394" s="2"/>
      <c r="F394" s="2" t="s">
        <v>255</v>
      </c>
      <c r="G394" s="2"/>
      <c r="H394" s="2"/>
      <c r="I394" s="2">
        <v>29.6</v>
      </c>
      <c r="J394" s="4">
        <v>2.9148595329822911E-2</v>
      </c>
      <c r="K394" s="4">
        <v>5.6096699999999999E-2</v>
      </c>
      <c r="L394" s="2"/>
      <c r="M394" s="2"/>
      <c r="N394" s="2"/>
      <c r="O394" s="2"/>
      <c r="P394" s="2"/>
      <c r="Q394" s="4">
        <v>0.11240231217618901</v>
      </c>
      <c r="R394" s="2"/>
      <c r="S394" s="4">
        <v>1.5734069999999998</v>
      </c>
      <c r="T394" s="4">
        <v>1.387221</v>
      </c>
      <c r="U394" s="4">
        <v>0.28328520000000001</v>
      </c>
      <c r="V394" s="2"/>
      <c r="W394" s="2"/>
      <c r="X394" s="2"/>
      <c r="Y394" s="2"/>
      <c r="Z394" s="2"/>
      <c r="AA394" s="2"/>
      <c r="AB394" s="2"/>
      <c r="AC394" s="2"/>
      <c r="AD394" s="2">
        <v>8.1999999999999993</v>
      </c>
      <c r="AE394" s="4">
        <v>2.9148595329822911E-2</v>
      </c>
      <c r="AF394" s="4">
        <v>5.4396800000000002E-2</v>
      </c>
      <c r="AG394" s="2"/>
      <c r="AH394" s="2"/>
      <c r="AI394" s="2"/>
      <c r="AJ394" s="2"/>
      <c r="AK394" s="2"/>
      <c r="AL394" s="4">
        <v>0.11240231217618901</v>
      </c>
      <c r="AM394" s="2"/>
      <c r="AN394" s="4">
        <v>1.525728</v>
      </c>
      <c r="AO394" s="4">
        <v>1.3451840000000002</v>
      </c>
      <c r="AP394" s="4">
        <v>0.27470080000000002</v>
      </c>
      <c r="AQ394" s="2"/>
      <c r="AR394" s="2"/>
      <c r="AS394" s="2"/>
      <c r="AT394" s="2"/>
      <c r="AU394" s="2"/>
      <c r="AV394" s="2"/>
      <c r="AW394" s="2"/>
      <c r="AX394" s="2"/>
      <c r="AY394" s="2">
        <v>8.4</v>
      </c>
      <c r="AZ394" s="4">
        <v>2.9148595329822911E-2</v>
      </c>
      <c r="BA394" s="4">
        <v>5.4396800000000002E-2</v>
      </c>
      <c r="BB394" s="2"/>
      <c r="BC394" s="2"/>
      <c r="BD394" s="2"/>
      <c r="BE394" s="2"/>
      <c r="BF394" s="2"/>
      <c r="BG394" s="4">
        <v>0.11240231217618901</v>
      </c>
      <c r="BH394" s="2"/>
      <c r="BI394" s="4">
        <v>1.525728</v>
      </c>
      <c r="BJ394" s="4">
        <v>1.3451840000000002</v>
      </c>
      <c r="BK394" s="4">
        <v>0.27470080000000002</v>
      </c>
      <c r="BL394" s="4"/>
      <c r="BM394" s="4"/>
      <c r="BN394" s="2"/>
      <c r="BO394" s="2"/>
      <c r="BP394" s="2"/>
      <c r="BQ394" s="2"/>
      <c r="BR394" s="2"/>
      <c r="BS394" s="2"/>
      <c r="BT394" s="2">
        <v>0</v>
      </c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>
        <v>0</v>
      </c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>
        <f t="shared" si="4367"/>
        <v>0.11240231217618903</v>
      </c>
      <c r="DM394" s="2">
        <f t="shared" si="4368"/>
        <v>0</v>
      </c>
      <c r="DN394" s="2" t="s">
        <v>95</v>
      </c>
      <c r="DO394" s="2" t="s">
        <v>3</v>
      </c>
      <c r="DP394" s="2">
        <f t="shared" si="4369"/>
        <v>1.3466651042378184E-2</v>
      </c>
      <c r="DQ394" s="2">
        <f t="shared" ref="DQ394:DR394" si="6568">K394*$I394+AF394*$AD394+BA394*$AY394</f>
        <v>2.5634492</v>
      </c>
      <c r="DR394" s="2">
        <f t="shared" si="6568"/>
        <v>0</v>
      </c>
      <c r="DS394" s="2">
        <f t="shared" ref="DS394:DX394" si="6569">(M394*$I394+AH394*$AD394+BC394*$AY394)/100</f>
        <v>0</v>
      </c>
      <c r="DT394" s="2">
        <f t="shared" si="6569"/>
        <v>0</v>
      </c>
      <c r="DU394" s="2">
        <f t="shared" si="6569"/>
        <v>0</v>
      </c>
      <c r="DV394" s="2">
        <f t="shared" si="6569"/>
        <v>0</v>
      </c>
      <c r="DW394" s="2">
        <f t="shared" si="6569"/>
        <v>5.1929868225399328E-2</v>
      </c>
      <c r="DX394" s="2">
        <f t="shared" si="6569"/>
        <v>0</v>
      </c>
      <c r="DY394" s="2">
        <f t="shared" ref="DY394:EC394" si="6570">S394*$I394+AN394*$AD394+BI394*$AY394</f>
        <v>71.899931999999993</v>
      </c>
      <c r="DZ394" s="2">
        <f t="shared" si="6570"/>
        <v>63.391796000000006</v>
      </c>
      <c r="EA394" s="2">
        <f t="shared" si="6570"/>
        <v>12.945275200000001</v>
      </c>
      <c r="EB394" s="2">
        <f t="shared" si="6570"/>
        <v>0</v>
      </c>
      <c r="EC394" s="2">
        <f t="shared" si="6570"/>
        <v>0</v>
      </c>
      <c r="ED394" s="2">
        <f t="shared" ref="ED394:EE394" si="6571">(X394*$I394+AS394*$AD394+BN394*$AY394)/100</f>
        <v>0</v>
      </c>
      <c r="EE394" s="2">
        <f t="shared" si="6571"/>
        <v>0</v>
      </c>
      <c r="EF394" s="2"/>
      <c r="EG394" s="2">
        <f t="shared" si="4374"/>
        <v>0</v>
      </c>
      <c r="EH394" s="2">
        <f t="shared" si="4375"/>
        <v>0</v>
      </c>
      <c r="EI394" s="39">
        <f t="shared" si="4376"/>
        <v>87.878193508559761</v>
      </c>
      <c r="EJ394" s="39">
        <f t="shared" ref="EJ394:EK394" si="6572">EJ$1*DQ394/1000000</f>
        <v>104.84589654019291</v>
      </c>
      <c r="EK394" s="39">
        <f t="shared" si="6572"/>
        <v>0</v>
      </c>
      <c r="EL394" s="39">
        <f t="shared" ref="EL394:EQ394" si="6573">EL$1*DS394</f>
        <v>0</v>
      </c>
      <c r="EM394" s="39">
        <f t="shared" si="6573"/>
        <v>0</v>
      </c>
      <c r="EN394" s="39">
        <f t="shared" si="6573"/>
        <v>0</v>
      </c>
      <c r="EO394" s="39">
        <f t="shared" si="6573"/>
        <v>0</v>
      </c>
      <c r="EP394" s="39">
        <f t="shared" si="6573"/>
        <v>681.00829190788681</v>
      </c>
      <c r="EQ394" s="39">
        <f t="shared" si="6573"/>
        <v>0</v>
      </c>
      <c r="ER394" s="39">
        <f t="shared" ref="ER394:EV394" si="6574">ER$1*DY394/1000000</f>
        <v>2040.6171697466232</v>
      </c>
      <c r="ES394" s="39">
        <f t="shared" si="6574"/>
        <v>2112.5774639318329</v>
      </c>
      <c r="ET394" s="39">
        <f t="shared" si="6574"/>
        <v>926.27398400514483</v>
      </c>
      <c r="EU394" s="39">
        <f t="shared" si="6574"/>
        <v>0</v>
      </c>
      <c r="EV394" s="39">
        <f t="shared" si="6574"/>
        <v>0</v>
      </c>
      <c r="EW394" s="39">
        <f t="shared" ref="EW394:EX394" si="6575">EW$1*ED394</f>
        <v>0</v>
      </c>
      <c r="EX394" s="39">
        <f t="shared" si="6575"/>
        <v>0</v>
      </c>
      <c r="EY394" s="2"/>
      <c r="EZ394" s="39">
        <f t="shared" si="4381"/>
        <v>0</v>
      </c>
      <c r="FA394" s="39">
        <f t="shared" si="4382"/>
        <v>0</v>
      </c>
      <c r="FB394" s="2">
        <f t="shared" si="4383"/>
        <v>0</v>
      </c>
      <c r="FC394" s="2">
        <f t="shared" ref="FC394:FD394" si="6576">BV394*$BT394+CQ394*$CO394</f>
        <v>0</v>
      </c>
      <c r="FD394" s="2">
        <f t="shared" si="6576"/>
        <v>0</v>
      </c>
      <c r="FE394" s="2">
        <f t="shared" ref="FE394:FJ394" si="6577">(BX394*$BT394+CS394*$CO394)/100</f>
        <v>0</v>
      </c>
      <c r="FF394" s="2">
        <f t="shared" si="6577"/>
        <v>0</v>
      </c>
      <c r="FG394" s="2">
        <f t="shared" si="6577"/>
        <v>0</v>
      </c>
      <c r="FH394" s="2">
        <f t="shared" si="6577"/>
        <v>0</v>
      </c>
      <c r="FI394" s="2">
        <f t="shared" si="6577"/>
        <v>0</v>
      </c>
      <c r="FJ394" s="2">
        <f t="shared" si="6577"/>
        <v>0</v>
      </c>
      <c r="FK394" s="2">
        <f t="shared" ref="FK394:FO394" si="6578">CD394*$BT394+CY394*$CO394</f>
        <v>0</v>
      </c>
      <c r="FL394" s="2">
        <f t="shared" si="6578"/>
        <v>0</v>
      </c>
      <c r="FM394" s="2">
        <f t="shared" si="6578"/>
        <v>0</v>
      </c>
      <c r="FN394" s="2">
        <f t="shared" si="6578"/>
        <v>0</v>
      </c>
      <c r="FO394" s="2">
        <f t="shared" si="6578"/>
        <v>0</v>
      </c>
      <c r="FP394" s="2">
        <f t="shared" ref="FP394:FQ394" si="6579">(CI394*$BT394+DD394*$CO394)/100</f>
        <v>0</v>
      </c>
      <c r="FQ394" s="2">
        <f t="shared" si="6579"/>
        <v>0</v>
      </c>
      <c r="FR394" s="2"/>
      <c r="FS394" s="2">
        <f t="shared" si="4388"/>
        <v>0</v>
      </c>
      <c r="FT394" s="2">
        <f t="shared" si="4389"/>
        <v>0</v>
      </c>
      <c r="FU394" s="39">
        <f t="shared" si="4390"/>
        <v>0</v>
      </c>
      <c r="FV394" s="39">
        <f t="shared" ref="FV394:FW394" si="6580">FV$1*FC394/1000000</f>
        <v>0</v>
      </c>
      <c r="FW394" s="39">
        <f t="shared" si="6580"/>
        <v>0</v>
      </c>
      <c r="FX394" s="39">
        <f t="shared" ref="FX394:GC394" si="6581">FX$1*FE394</f>
        <v>0</v>
      </c>
      <c r="FY394" s="39">
        <f t="shared" si="6581"/>
        <v>0</v>
      </c>
      <c r="FZ394" s="39">
        <f t="shared" si="6581"/>
        <v>0</v>
      </c>
      <c r="GA394" s="39">
        <f t="shared" si="6581"/>
        <v>0</v>
      </c>
      <c r="GB394" s="39">
        <f t="shared" si="6581"/>
        <v>0</v>
      </c>
      <c r="GC394" s="39">
        <f t="shared" si="6581"/>
        <v>0</v>
      </c>
      <c r="GD394" s="39">
        <f t="shared" ref="GD394:GH394" si="6582">GD$1*FK394/1000000</f>
        <v>0</v>
      </c>
      <c r="GE394" s="39">
        <f t="shared" si="6582"/>
        <v>0</v>
      </c>
      <c r="GF394" s="39">
        <f t="shared" si="6582"/>
        <v>0</v>
      </c>
      <c r="GG394" s="39">
        <f t="shared" si="6582"/>
        <v>0</v>
      </c>
      <c r="GH394" s="39">
        <f t="shared" si="6582"/>
        <v>0</v>
      </c>
      <c r="GI394" s="39">
        <f t="shared" ref="GI394:GJ394" si="6583">GI$1*FP394</f>
        <v>0</v>
      </c>
      <c r="GJ394" s="39">
        <f t="shared" si="6583"/>
        <v>0</v>
      </c>
      <c r="GK394" s="2"/>
      <c r="GL394" s="39">
        <f t="shared" si="4395"/>
        <v>0</v>
      </c>
      <c r="GM394" s="39">
        <f t="shared" si="4396"/>
        <v>0</v>
      </c>
      <c r="GN394" s="2" t="s">
        <v>3</v>
      </c>
      <c r="GO394" s="2">
        <f t="shared" si="4397"/>
        <v>46.199999999999996</v>
      </c>
      <c r="GP394" s="4">
        <f t="shared" si="4398"/>
        <v>0.11240231217618903</v>
      </c>
      <c r="GQ394" s="15">
        <f t="shared" si="4399"/>
        <v>51.929868225399325</v>
      </c>
      <c r="GR394" s="15">
        <f t="shared" si="4400"/>
        <v>5953.2009996402403</v>
      </c>
      <c r="GS394" s="15">
        <f t="shared" si="4401"/>
        <v>128.85716449437751</v>
      </c>
      <c r="GT394" s="2">
        <f t="shared" si="4402"/>
        <v>33.271084404151949</v>
      </c>
      <c r="GU394" s="2">
        <f t="shared" si="4403"/>
        <v>9.2169895984474977</v>
      </c>
      <c r="GV394" s="2">
        <f t="shared" si="4404"/>
        <v>9.4417942227998779</v>
      </c>
      <c r="GW394" s="2">
        <f t="shared" si="4405"/>
        <v>0</v>
      </c>
      <c r="GX394" s="2"/>
      <c r="GY394" s="2"/>
      <c r="GZ394" s="2"/>
      <c r="HA394" s="2"/>
      <c r="HB394" s="2">
        <f t="shared" si="4406"/>
        <v>0</v>
      </c>
      <c r="HC394" s="2">
        <f t="shared" si="4407"/>
        <v>0</v>
      </c>
      <c r="HD394" s="2" t="s">
        <v>3</v>
      </c>
      <c r="HE394" s="2" t="s">
        <v>89</v>
      </c>
      <c r="HF394" s="2" t="s">
        <v>90</v>
      </c>
      <c r="HG394" s="2" t="s">
        <v>91</v>
      </c>
      <c r="HH394" s="2" t="s">
        <v>226</v>
      </c>
      <c r="HI394" s="2" t="s">
        <v>81</v>
      </c>
      <c r="HJ394" s="2" t="s">
        <v>3</v>
      </c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 t="s">
        <v>3</v>
      </c>
    </row>
    <row r="395" spans="1:268" ht="15.75" customHeight="1" x14ac:dyDescent="0.2">
      <c r="A395" s="16" t="s">
        <v>332</v>
      </c>
      <c r="B395" s="2"/>
      <c r="C395" s="2"/>
      <c r="D395" s="2"/>
      <c r="E395" s="2"/>
      <c r="F395" s="2" t="s">
        <v>333</v>
      </c>
      <c r="G395" s="2"/>
      <c r="H395" s="2"/>
      <c r="I395" s="2">
        <v>0</v>
      </c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>
        <v>0</v>
      </c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>
        <v>259.81</v>
      </c>
      <c r="AZ395" s="4">
        <v>5.0645766568285941E-2</v>
      </c>
      <c r="BA395" s="4">
        <v>0.19818310861591162</v>
      </c>
      <c r="BB395" s="2"/>
      <c r="BC395" s="2"/>
      <c r="BD395" s="2"/>
      <c r="BE395" s="2"/>
      <c r="BF395" s="2"/>
      <c r="BG395" s="4">
        <v>0.14062229501023565</v>
      </c>
      <c r="BH395" s="2"/>
      <c r="BI395" s="4">
        <v>3.0461057584196145</v>
      </c>
      <c r="BJ395" s="4">
        <v>2.2666371761402568</v>
      </c>
      <c r="BK395" s="4">
        <v>0.40588912613171169</v>
      </c>
      <c r="BL395" s="4"/>
      <c r="BM395" s="4"/>
      <c r="BN395" s="2"/>
      <c r="BO395" s="2"/>
      <c r="BP395" s="2"/>
      <c r="BQ395" s="2"/>
      <c r="BR395" s="2"/>
      <c r="BS395" s="2"/>
      <c r="BT395" s="2">
        <v>0</v>
      </c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>
        <v>0</v>
      </c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 t="s">
        <v>81</v>
      </c>
      <c r="DK395" s="2"/>
      <c r="DL395" s="2">
        <f t="shared" si="4367"/>
        <v>0.14062229501023565</v>
      </c>
      <c r="DM395" s="2">
        <f t="shared" si="4368"/>
        <v>0</v>
      </c>
      <c r="DN395" s="2" t="s">
        <v>334</v>
      </c>
      <c r="DO395" s="2" t="s">
        <v>3</v>
      </c>
      <c r="DP395" s="2">
        <f t="shared" si="4369"/>
        <v>0.1315827661210637</v>
      </c>
      <c r="DQ395" s="2">
        <f t="shared" ref="DQ395:DR395" si="6584">K395*$I395+AF395*$AD395+BA395*$AY395</f>
        <v>51.4899534495</v>
      </c>
      <c r="DR395" s="2">
        <f t="shared" si="6584"/>
        <v>0</v>
      </c>
      <c r="DS395" s="2">
        <f t="shared" ref="DS395:DX395" si="6585">(M395*$I395+AH395*$AD395+BC395*$AY395)/100</f>
        <v>0</v>
      </c>
      <c r="DT395" s="2">
        <f t="shared" si="6585"/>
        <v>0</v>
      </c>
      <c r="DU395" s="2">
        <f t="shared" si="6585"/>
        <v>0</v>
      </c>
      <c r="DV395" s="2">
        <f t="shared" si="6585"/>
        <v>0</v>
      </c>
      <c r="DW395" s="2">
        <f t="shared" si="6585"/>
        <v>0.36535078466609328</v>
      </c>
      <c r="DX395" s="2">
        <f t="shared" si="6585"/>
        <v>0</v>
      </c>
      <c r="DY395" s="2">
        <f t="shared" ref="DY395:EC395" si="6586">S395*$I395+AN395*$AD395+BI395*$AY395</f>
        <v>791.40873709500011</v>
      </c>
      <c r="DZ395" s="2">
        <f t="shared" si="6586"/>
        <v>588.89500473300018</v>
      </c>
      <c r="EA395" s="2">
        <f t="shared" si="6586"/>
        <v>105.45405386028001</v>
      </c>
      <c r="EB395" s="2">
        <f t="shared" si="6586"/>
        <v>0</v>
      </c>
      <c r="EC395" s="2">
        <f t="shared" si="6586"/>
        <v>0</v>
      </c>
      <c r="ED395" s="2">
        <f t="shared" ref="ED395:EE395" si="6587">(X395*$I395+AS395*$AD395+BN395*$AY395)/100</f>
        <v>0</v>
      </c>
      <c r="EE395" s="2">
        <f t="shared" si="6587"/>
        <v>0</v>
      </c>
      <c r="EF395" s="2"/>
      <c r="EG395" s="2">
        <f t="shared" si="4374"/>
        <v>0</v>
      </c>
      <c r="EH395" s="2">
        <f t="shared" si="4375"/>
        <v>0</v>
      </c>
      <c r="EI395" s="39">
        <f t="shared" si="4376"/>
        <v>858.65860392387128</v>
      </c>
      <c r="EJ395" s="39">
        <f t="shared" ref="EJ395:EK395" si="6588">EJ$1*DQ395/1000000</f>
        <v>2105.9556523396782</v>
      </c>
      <c r="EK395" s="39">
        <f t="shared" si="6588"/>
        <v>0</v>
      </c>
      <c r="EL395" s="39">
        <f t="shared" ref="EL395:EQ395" si="6589">EL$1*DS395</f>
        <v>0</v>
      </c>
      <c r="EM395" s="39">
        <f t="shared" si="6589"/>
        <v>0</v>
      </c>
      <c r="EN395" s="39">
        <f t="shared" si="6589"/>
        <v>0</v>
      </c>
      <c r="EO395" s="39">
        <f t="shared" si="6589"/>
        <v>0</v>
      </c>
      <c r="EP395" s="39">
        <f t="shared" si="6589"/>
        <v>4791.2101901111473</v>
      </c>
      <c r="EQ395" s="39">
        <f t="shared" si="6589"/>
        <v>0</v>
      </c>
      <c r="ER395" s="39">
        <f t="shared" ref="ER395:EV395" si="6590">ER$1*DY395/1000000</f>
        <v>22461.24874225957</v>
      </c>
      <c r="ES395" s="39">
        <f t="shared" si="6590"/>
        <v>19625.352082167952</v>
      </c>
      <c r="ET395" s="39">
        <f t="shared" si="6590"/>
        <v>7545.5596802341206</v>
      </c>
      <c r="EU395" s="39">
        <f t="shared" si="6590"/>
        <v>0</v>
      </c>
      <c r="EV395" s="39">
        <f t="shared" si="6590"/>
        <v>0</v>
      </c>
      <c r="EW395" s="39">
        <f t="shared" ref="EW395:EX395" si="6591">EW$1*ED395</f>
        <v>0</v>
      </c>
      <c r="EX395" s="39">
        <f t="shared" si="6591"/>
        <v>0</v>
      </c>
      <c r="EY395" s="2"/>
      <c r="EZ395" s="39">
        <f t="shared" si="4381"/>
        <v>0</v>
      </c>
      <c r="FA395" s="39">
        <f t="shared" si="4382"/>
        <v>0</v>
      </c>
      <c r="FB395" s="2">
        <f t="shared" si="4383"/>
        <v>0</v>
      </c>
      <c r="FC395" s="2">
        <f t="shared" ref="FC395:FD395" si="6592">BV395*$BT395+CQ395*$CO395</f>
        <v>0</v>
      </c>
      <c r="FD395" s="2">
        <f t="shared" si="6592"/>
        <v>0</v>
      </c>
      <c r="FE395" s="2">
        <f t="shared" ref="FE395:FJ395" si="6593">(BX395*$BT395+CS395*$CO395)/100</f>
        <v>0</v>
      </c>
      <c r="FF395" s="2">
        <f t="shared" si="6593"/>
        <v>0</v>
      </c>
      <c r="FG395" s="2">
        <f t="shared" si="6593"/>
        <v>0</v>
      </c>
      <c r="FH395" s="2">
        <f t="shared" si="6593"/>
        <v>0</v>
      </c>
      <c r="FI395" s="2">
        <f t="shared" si="6593"/>
        <v>0</v>
      </c>
      <c r="FJ395" s="2">
        <f t="shared" si="6593"/>
        <v>0</v>
      </c>
      <c r="FK395" s="2">
        <f t="shared" ref="FK395:FO395" si="6594">CD395*$BT395+CY395*$CO395</f>
        <v>0</v>
      </c>
      <c r="FL395" s="2">
        <f t="shared" si="6594"/>
        <v>0</v>
      </c>
      <c r="FM395" s="2">
        <f t="shared" si="6594"/>
        <v>0</v>
      </c>
      <c r="FN395" s="2">
        <f t="shared" si="6594"/>
        <v>0</v>
      </c>
      <c r="FO395" s="2">
        <f t="shared" si="6594"/>
        <v>0</v>
      </c>
      <c r="FP395" s="2">
        <f t="shared" ref="FP395:FQ395" si="6595">(CI395*$BT395+DD395*$CO395)/100</f>
        <v>0</v>
      </c>
      <c r="FQ395" s="2">
        <f t="shared" si="6595"/>
        <v>0</v>
      </c>
      <c r="FR395" s="2"/>
      <c r="FS395" s="2">
        <f t="shared" si="4388"/>
        <v>0</v>
      </c>
      <c r="FT395" s="2">
        <f t="shared" si="4389"/>
        <v>0</v>
      </c>
      <c r="FU395" s="39">
        <f t="shared" si="4390"/>
        <v>0</v>
      </c>
      <c r="FV395" s="39">
        <f t="shared" ref="FV395:FW395" si="6596">FV$1*FC395/1000000</f>
        <v>0</v>
      </c>
      <c r="FW395" s="39">
        <f t="shared" si="6596"/>
        <v>0</v>
      </c>
      <c r="FX395" s="39">
        <f t="shared" ref="FX395:GC395" si="6597">FX$1*FE395</f>
        <v>0</v>
      </c>
      <c r="FY395" s="39">
        <f t="shared" si="6597"/>
        <v>0</v>
      </c>
      <c r="FZ395" s="39">
        <f t="shared" si="6597"/>
        <v>0</v>
      </c>
      <c r="GA395" s="39">
        <f t="shared" si="6597"/>
        <v>0</v>
      </c>
      <c r="GB395" s="39">
        <f t="shared" si="6597"/>
        <v>0</v>
      </c>
      <c r="GC395" s="39">
        <f t="shared" si="6597"/>
        <v>0</v>
      </c>
      <c r="GD395" s="39">
        <f t="shared" ref="GD395:GH395" si="6598">GD$1*FK395/1000000</f>
        <v>0</v>
      </c>
      <c r="GE395" s="39">
        <f t="shared" si="6598"/>
        <v>0</v>
      </c>
      <c r="GF395" s="39">
        <f t="shared" si="6598"/>
        <v>0</v>
      </c>
      <c r="GG395" s="39">
        <f t="shared" si="6598"/>
        <v>0</v>
      </c>
      <c r="GH395" s="39">
        <f t="shared" si="6598"/>
        <v>0</v>
      </c>
      <c r="GI395" s="39">
        <f t="shared" ref="GI395:GJ395" si="6599">GI$1*FP395</f>
        <v>0</v>
      </c>
      <c r="GJ395" s="39">
        <f t="shared" si="6599"/>
        <v>0</v>
      </c>
      <c r="GK395" s="2"/>
      <c r="GL395" s="39">
        <f t="shared" si="4395"/>
        <v>0</v>
      </c>
      <c r="GM395" s="39">
        <f t="shared" si="4396"/>
        <v>0</v>
      </c>
      <c r="GN395" s="2" t="s">
        <v>3</v>
      </c>
      <c r="GO395" s="15">
        <f t="shared" si="4397"/>
        <v>259.81</v>
      </c>
      <c r="GP395" s="4">
        <f t="shared" si="4398"/>
        <v>0.14062229501023565</v>
      </c>
      <c r="GQ395" s="15">
        <f t="shared" si="4399"/>
        <v>365.35078466609326</v>
      </c>
      <c r="GR395" s="15">
        <f t="shared" si="4400"/>
        <v>57387.984951036342</v>
      </c>
      <c r="GS395" s="15">
        <f t="shared" si="4401"/>
        <v>220.88443459080227</v>
      </c>
      <c r="GT395" s="2">
        <f t="shared" si="4402"/>
        <v>0</v>
      </c>
      <c r="GU395" s="2">
        <f t="shared" si="4403"/>
        <v>0</v>
      </c>
      <c r="GV395" s="2">
        <f t="shared" si="4404"/>
        <v>365.35078466609326</v>
      </c>
      <c r="GW395" s="2">
        <f t="shared" si="4405"/>
        <v>0</v>
      </c>
      <c r="GX395" s="2"/>
      <c r="GY395" s="2"/>
      <c r="GZ395" s="2"/>
      <c r="HA395" s="2"/>
      <c r="HB395" s="2">
        <f t="shared" si="4406"/>
        <v>0</v>
      </c>
      <c r="HC395" s="2">
        <f t="shared" si="4407"/>
        <v>0</v>
      </c>
      <c r="HD395" s="2" t="s">
        <v>3</v>
      </c>
      <c r="HE395" s="2" t="s">
        <v>89</v>
      </c>
      <c r="HF395" s="2" t="s">
        <v>90</v>
      </c>
      <c r="HG395" s="2" t="s">
        <v>91</v>
      </c>
      <c r="HH395" s="2" t="s">
        <v>226</v>
      </c>
      <c r="HI395" s="2" t="s">
        <v>81</v>
      </c>
      <c r="HJ395" s="2" t="s">
        <v>3</v>
      </c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 t="s">
        <v>3</v>
      </c>
    </row>
    <row r="396" spans="1:268" ht="15.75" customHeight="1" x14ac:dyDescent="0.2">
      <c r="A396" s="16" t="s">
        <v>391</v>
      </c>
      <c r="B396" s="2"/>
      <c r="C396" s="2"/>
      <c r="D396" s="2"/>
      <c r="E396" s="2"/>
      <c r="F396" s="2" t="s">
        <v>392</v>
      </c>
      <c r="G396" s="2"/>
      <c r="H396" s="2"/>
      <c r="I396" s="4">
        <v>5.5811739999999999</v>
      </c>
      <c r="J396" s="4">
        <v>1.5542233663308669E-2</v>
      </c>
      <c r="K396" s="2">
        <v>0.03</v>
      </c>
      <c r="L396" s="2"/>
      <c r="M396" s="2"/>
      <c r="N396" s="2"/>
      <c r="O396" s="2"/>
      <c r="P396" s="2"/>
      <c r="Q396" s="4">
        <v>0.11240231217618901</v>
      </c>
      <c r="R396" s="2"/>
      <c r="S396" s="2">
        <v>2.48</v>
      </c>
      <c r="T396" s="2">
        <v>1.04</v>
      </c>
      <c r="U396" s="2">
        <v>0.41</v>
      </c>
      <c r="V396" s="2"/>
      <c r="W396" s="2"/>
      <c r="X396" s="2"/>
      <c r="Y396" s="2"/>
      <c r="Z396" s="2"/>
      <c r="AA396" s="2"/>
      <c r="AB396" s="2"/>
      <c r="AC396" s="2"/>
      <c r="AD396" s="4">
        <v>28.550511</v>
      </c>
      <c r="AE396" s="4">
        <v>1.5542233663308669E-2</v>
      </c>
      <c r="AF396" s="2">
        <v>0.02</v>
      </c>
      <c r="AG396" s="2"/>
      <c r="AH396" s="2"/>
      <c r="AI396" s="2"/>
      <c r="AJ396" s="2"/>
      <c r="AK396" s="2"/>
      <c r="AL396" s="4">
        <v>0.11240231217618901</v>
      </c>
      <c r="AM396" s="2"/>
      <c r="AN396" s="2">
        <v>2.5499999999999998</v>
      </c>
      <c r="AO396" s="2">
        <v>1.05</v>
      </c>
      <c r="AP396" s="2">
        <v>0.42</v>
      </c>
      <c r="AQ396" s="2"/>
      <c r="AR396" s="2"/>
      <c r="AS396" s="2"/>
      <c r="AT396" s="2"/>
      <c r="AU396" s="2"/>
      <c r="AV396" s="2"/>
      <c r="AW396" s="2"/>
      <c r="AX396" s="2"/>
      <c r="AY396" s="4">
        <v>22.069275000000001</v>
      </c>
      <c r="AZ396" s="4">
        <v>1.5542233663308669E-2</v>
      </c>
      <c r="BA396" s="2">
        <v>0.03</v>
      </c>
      <c r="BB396" s="2"/>
      <c r="BC396" s="2"/>
      <c r="BD396" s="2"/>
      <c r="BE396" s="2"/>
      <c r="BF396" s="2"/>
      <c r="BG396" s="4">
        <v>0.11240231217618901</v>
      </c>
      <c r="BH396" s="2"/>
      <c r="BI396" s="2">
        <v>2.56</v>
      </c>
      <c r="BJ396" s="2">
        <v>1.06</v>
      </c>
      <c r="BK396" s="2">
        <v>0.43</v>
      </c>
      <c r="BL396" s="2"/>
      <c r="BM396" s="2"/>
      <c r="BN396" s="2"/>
      <c r="BO396" s="2"/>
      <c r="BP396" s="2"/>
      <c r="BQ396" s="2"/>
      <c r="BR396" s="2"/>
      <c r="BS396" s="2"/>
      <c r="BT396" s="2">
        <v>1.96</v>
      </c>
      <c r="BU396" s="4">
        <v>1.5542233663308669E-2</v>
      </c>
      <c r="BV396" s="2">
        <v>0.03</v>
      </c>
      <c r="BW396" s="2"/>
      <c r="BX396" s="2"/>
      <c r="BY396" s="2"/>
      <c r="BZ396" s="2"/>
      <c r="CA396" s="2"/>
      <c r="CB396" s="4">
        <v>0.11240231217618901</v>
      </c>
      <c r="CC396" s="2"/>
      <c r="CD396" s="2">
        <v>2.58</v>
      </c>
      <c r="CE396" s="2">
        <v>1.08</v>
      </c>
      <c r="CF396" s="2">
        <v>0.43</v>
      </c>
      <c r="CG396" s="2"/>
      <c r="CH396" s="2"/>
      <c r="CI396" s="2"/>
      <c r="CJ396" s="2"/>
      <c r="CK396" s="2"/>
      <c r="CL396" s="2"/>
      <c r="CM396" s="2"/>
      <c r="CN396" s="2"/>
      <c r="CO396" s="4">
        <v>22.164999999999999</v>
      </c>
      <c r="CP396" s="4">
        <v>1.5542233663308669E-2</v>
      </c>
      <c r="CQ396" s="2">
        <v>0.03</v>
      </c>
      <c r="CR396" s="2"/>
      <c r="CS396" s="2"/>
      <c r="CT396" s="2"/>
      <c r="CU396" s="2"/>
      <c r="CV396" s="2"/>
      <c r="CW396" s="4">
        <v>0.11240231217618901</v>
      </c>
      <c r="CX396" s="2"/>
      <c r="CY396" s="2">
        <v>2.54</v>
      </c>
      <c r="CZ396" s="2">
        <v>1.05</v>
      </c>
      <c r="DA396" s="2">
        <v>0.42</v>
      </c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>
        <f t="shared" si="4367"/>
        <v>0.11240231217618903</v>
      </c>
      <c r="DM396" s="2">
        <f t="shared" si="4368"/>
        <v>0</v>
      </c>
      <c r="DN396" s="2" t="s">
        <v>150</v>
      </c>
      <c r="DO396" s="2" t="s">
        <v>3</v>
      </c>
      <c r="DP396" s="2">
        <f t="shared" si="4369"/>
        <v>8.734884524222641E-3</v>
      </c>
      <c r="DQ396" s="2">
        <f t="shared" ref="DQ396:DR396" si="6600">K396*$I396+AF396*$AD396+BA396*$AY396</f>
        <v>1.40052369</v>
      </c>
      <c r="DR396" s="2">
        <f t="shared" si="6600"/>
        <v>0</v>
      </c>
      <c r="DS396" s="2">
        <f t="shared" ref="DS396:DX396" si="6601">(M396*$I396+AH396*$AD396+BC396*$AY396)/100</f>
        <v>0</v>
      </c>
      <c r="DT396" s="2">
        <f t="shared" si="6601"/>
        <v>0</v>
      </c>
      <c r="DU396" s="2">
        <f t="shared" si="6601"/>
        <v>0</v>
      </c>
      <c r="DV396" s="2">
        <f t="shared" si="6601"/>
        <v>0</v>
      </c>
      <c r="DW396" s="2">
        <f t="shared" si="6601"/>
        <v>6.3171178505215114E-2</v>
      </c>
      <c r="DX396" s="2">
        <f t="shared" si="6601"/>
        <v>0</v>
      </c>
      <c r="DY396" s="2">
        <f t="shared" ref="DY396:EC396" si="6602">S396*$I396+AN396*$AD396+BI396*$AY396</f>
        <v>143.14245857</v>
      </c>
      <c r="DZ396" s="2">
        <f t="shared" si="6602"/>
        <v>59.175889010000006</v>
      </c>
      <c r="EA396" s="2">
        <f t="shared" si="6602"/>
        <v>23.769284209999999</v>
      </c>
      <c r="EB396" s="2">
        <f t="shared" si="6602"/>
        <v>0</v>
      </c>
      <c r="EC396" s="2">
        <f t="shared" si="6602"/>
        <v>0</v>
      </c>
      <c r="ED396" s="2">
        <f t="shared" ref="ED396:EE396" si="6603">(X396*$I396+AS396*$AD396+BN396*$AY396)/100</f>
        <v>0</v>
      </c>
      <c r="EE396" s="2">
        <f t="shared" si="6603"/>
        <v>0</v>
      </c>
      <c r="EF396" s="2"/>
      <c r="EG396" s="2">
        <f t="shared" si="4374"/>
        <v>0</v>
      </c>
      <c r="EH396" s="2">
        <f t="shared" si="4375"/>
        <v>0</v>
      </c>
      <c r="EI396" s="39">
        <f t="shared" si="4376"/>
        <v>57.000502209419651</v>
      </c>
      <c r="EJ396" s="39">
        <f t="shared" ref="EJ396:EK396" si="6604">EJ$1*DQ396/1000000</f>
        <v>57.281869250160767</v>
      </c>
      <c r="EK396" s="39">
        <f t="shared" si="6604"/>
        <v>0</v>
      </c>
      <c r="EL396" s="39">
        <f t="shared" ref="EL396:EQ396" si="6605">EL$1*DS396</f>
        <v>0</v>
      </c>
      <c r="EM396" s="39">
        <f t="shared" si="6605"/>
        <v>0</v>
      </c>
      <c r="EN396" s="39">
        <f t="shared" si="6605"/>
        <v>0</v>
      </c>
      <c r="EO396" s="39">
        <f t="shared" si="6605"/>
        <v>0</v>
      </c>
      <c r="EP396" s="39">
        <f t="shared" si="6605"/>
        <v>828.42683491739103</v>
      </c>
      <c r="EQ396" s="39">
        <f t="shared" si="6605"/>
        <v>0</v>
      </c>
      <c r="ER396" s="39">
        <f t="shared" ref="ER396:EV396" si="6606">ER$1*DY396/1000000</f>
        <v>4062.5762855754401</v>
      </c>
      <c r="ES396" s="39">
        <f t="shared" si="6606"/>
        <v>1972.0793133966017</v>
      </c>
      <c r="ET396" s="39">
        <f t="shared" si="6606"/>
        <v>1700.7648923637621</v>
      </c>
      <c r="EU396" s="39">
        <f t="shared" si="6606"/>
        <v>0</v>
      </c>
      <c r="EV396" s="39">
        <f t="shared" si="6606"/>
        <v>0</v>
      </c>
      <c r="EW396" s="39">
        <f t="shared" ref="EW396:EX396" si="6607">EW$1*ED396</f>
        <v>0</v>
      </c>
      <c r="EX396" s="39">
        <f t="shared" si="6607"/>
        <v>0</v>
      </c>
      <c r="EY396" s="2"/>
      <c r="EZ396" s="39">
        <f t="shared" si="4381"/>
        <v>0</v>
      </c>
      <c r="FA396" s="39">
        <f t="shared" si="4382"/>
        <v>0</v>
      </c>
      <c r="FB396" s="2">
        <f t="shared" si="4383"/>
        <v>3.7495638712732164E-3</v>
      </c>
      <c r="FC396" s="2">
        <f t="shared" ref="FC396:FD396" si="6608">BV396*$BT396+CQ396*$CO396</f>
        <v>0.72374999999999989</v>
      </c>
      <c r="FD396" s="2">
        <f t="shared" si="6608"/>
        <v>0</v>
      </c>
      <c r="FE396" s="2">
        <f t="shared" ref="FE396:FJ396" si="6609">(BX396*$BT396+CS396*$CO396)/100</f>
        <v>0</v>
      </c>
      <c r="FF396" s="2">
        <f t="shared" si="6609"/>
        <v>0</v>
      </c>
      <c r="FG396" s="2">
        <f t="shared" si="6609"/>
        <v>0</v>
      </c>
      <c r="FH396" s="2">
        <f t="shared" si="6609"/>
        <v>0</v>
      </c>
      <c r="FI396" s="2">
        <f t="shared" si="6609"/>
        <v>2.7117057812505601E-2</v>
      </c>
      <c r="FJ396" s="2">
        <f t="shared" si="6609"/>
        <v>0</v>
      </c>
      <c r="FK396" s="2">
        <f t="shared" ref="FK396:FO396" si="6610">CD396*$BT396+CY396*$CO396</f>
        <v>61.355899999999998</v>
      </c>
      <c r="FL396" s="2">
        <f t="shared" si="6610"/>
        <v>25.390050000000002</v>
      </c>
      <c r="FM396" s="2">
        <f t="shared" si="6610"/>
        <v>10.152099999999999</v>
      </c>
      <c r="FN396" s="2">
        <f t="shared" si="6610"/>
        <v>0</v>
      </c>
      <c r="FO396" s="2">
        <f t="shared" si="6610"/>
        <v>0</v>
      </c>
      <c r="FP396" s="2">
        <f t="shared" ref="FP396:FQ396" si="6611">(CI396*$BT396+DD396*$CO396)/100</f>
        <v>0</v>
      </c>
      <c r="FQ396" s="2">
        <f t="shared" si="6611"/>
        <v>0</v>
      </c>
      <c r="FR396" s="2"/>
      <c r="FS396" s="2">
        <f t="shared" si="4388"/>
        <v>0</v>
      </c>
      <c r="FT396" s="2">
        <f t="shared" si="4389"/>
        <v>0</v>
      </c>
      <c r="FU396" s="39">
        <f t="shared" si="4390"/>
        <v>24.46821399140244</v>
      </c>
      <c r="FV396" s="39">
        <f t="shared" ref="FV396:FW396" si="6612">FV$1*FC396/1000000</f>
        <v>29.601607717041794</v>
      </c>
      <c r="FW396" s="39">
        <f t="shared" si="6612"/>
        <v>0</v>
      </c>
      <c r="FX396" s="39">
        <f t="shared" ref="FX396:GC396" si="6613">FX$1*FE396</f>
        <v>0</v>
      </c>
      <c r="FY396" s="39">
        <f t="shared" si="6613"/>
        <v>0</v>
      </c>
      <c r="FZ396" s="39">
        <f t="shared" si="6613"/>
        <v>0</v>
      </c>
      <c r="GA396" s="39">
        <f t="shared" si="6613"/>
        <v>0</v>
      </c>
      <c r="GB396" s="39">
        <f t="shared" si="6613"/>
        <v>355.61309615319846</v>
      </c>
      <c r="GC396" s="39">
        <f t="shared" si="6613"/>
        <v>0</v>
      </c>
      <c r="GD396" s="39">
        <f t="shared" ref="GD396:GH396" si="6614">GD$1*FK396/1000000</f>
        <v>1741.3633020578775</v>
      </c>
      <c r="GE396" s="39">
        <f t="shared" si="6614"/>
        <v>846.1417852572348</v>
      </c>
      <c r="GF396" s="39">
        <f t="shared" si="6614"/>
        <v>726.41376623794213</v>
      </c>
      <c r="GG396" s="39">
        <f t="shared" si="6614"/>
        <v>0</v>
      </c>
      <c r="GH396" s="39">
        <f t="shared" si="6614"/>
        <v>0</v>
      </c>
      <c r="GI396" s="39">
        <f t="shared" ref="GI396:GJ396" si="6615">GI$1*FP396</f>
        <v>0</v>
      </c>
      <c r="GJ396" s="39">
        <f t="shared" si="6615"/>
        <v>0</v>
      </c>
      <c r="GK396" s="2"/>
      <c r="GL396" s="39">
        <f t="shared" si="4395"/>
        <v>0</v>
      </c>
      <c r="GM396" s="39">
        <f t="shared" si="4396"/>
        <v>0</v>
      </c>
      <c r="GN396" s="2" t="s">
        <v>3</v>
      </c>
      <c r="GO396" s="4">
        <f t="shared" si="4397"/>
        <v>56.200959999999995</v>
      </c>
      <c r="GP396" s="4">
        <f t="shared" si="4398"/>
        <v>0.11240231217618903</v>
      </c>
      <c r="GQ396" s="15">
        <f t="shared" si="4399"/>
        <v>63.17117850521511</v>
      </c>
      <c r="GR396" s="15">
        <f t="shared" si="4400"/>
        <v>8678.1296977127749</v>
      </c>
      <c r="GS396" s="15">
        <f t="shared" si="4401"/>
        <v>154.41248152545393</v>
      </c>
      <c r="GT396" s="2">
        <f t="shared" si="4402"/>
        <v>6.273368622576295</v>
      </c>
      <c r="GU396" s="2">
        <f t="shared" si="4403"/>
        <v>32.091434502117181</v>
      </c>
      <c r="GV396" s="2">
        <f t="shared" si="4404"/>
        <v>24.80637538052164</v>
      </c>
      <c r="GW396" s="4">
        <f t="shared" si="4405"/>
        <v>24.125</v>
      </c>
      <c r="GX396" s="4">
        <f>(BT396*CB396+CO396*CW396)/GW396</f>
        <v>0.11240231217618901</v>
      </c>
      <c r="GY396" s="15">
        <f>1000*GW396*GX396/100</f>
        <v>27.1170578125056</v>
      </c>
      <c r="GZ396" s="15">
        <f>SUM(FU396:GM396)</f>
        <v>3723.6017714146974</v>
      </c>
      <c r="HA396" s="15">
        <f>GZ396/GW396</f>
        <v>154.34618741615327</v>
      </c>
      <c r="HB396" s="2">
        <f t="shared" si="4406"/>
        <v>2.2030853186533044</v>
      </c>
      <c r="HC396" s="2">
        <f t="shared" si="4407"/>
        <v>24.913972493852292</v>
      </c>
      <c r="HD396" s="2" t="s">
        <v>3</v>
      </c>
      <c r="HE396" s="2" t="s">
        <v>89</v>
      </c>
      <c r="HF396" s="2" t="s">
        <v>90</v>
      </c>
      <c r="HG396" s="2" t="s">
        <v>91</v>
      </c>
      <c r="HH396" s="2" t="s">
        <v>92</v>
      </c>
      <c r="HI396" s="2" t="s">
        <v>81</v>
      </c>
      <c r="HJ396" s="2" t="s">
        <v>3</v>
      </c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 t="s">
        <v>3</v>
      </c>
    </row>
    <row r="397" spans="1:268" ht="15.75" customHeight="1" x14ac:dyDescent="0.2">
      <c r="A397" s="16" t="s">
        <v>410</v>
      </c>
      <c r="B397" s="2"/>
      <c r="C397" s="2"/>
      <c r="D397" s="2"/>
      <c r="E397" s="2"/>
      <c r="F397" s="2" t="s">
        <v>145</v>
      </c>
      <c r="G397" s="2"/>
      <c r="H397" s="2"/>
      <c r="I397" s="2">
        <v>152.69999999999999</v>
      </c>
      <c r="J397" s="4">
        <v>3.9823182711198425E-2</v>
      </c>
      <c r="K397" s="4">
        <v>0.13637410609037329</v>
      </c>
      <c r="L397" s="2"/>
      <c r="M397" s="2"/>
      <c r="N397" s="2"/>
      <c r="O397" s="2"/>
      <c r="P397" s="2"/>
      <c r="Q397" s="4">
        <v>0.14337917485265225</v>
      </c>
      <c r="R397" s="2"/>
      <c r="S397" s="4">
        <v>2.3226248722986247</v>
      </c>
      <c r="T397" s="4">
        <v>1.4219295088408643</v>
      </c>
      <c r="U397" s="4">
        <v>0.2932561886051081</v>
      </c>
      <c r="V397" s="2"/>
      <c r="W397" s="2"/>
      <c r="X397" s="2"/>
      <c r="Y397" s="2"/>
      <c r="Z397" s="2"/>
      <c r="AA397" s="2"/>
      <c r="AB397" s="2"/>
      <c r="AC397" s="2"/>
      <c r="AD397" s="2">
        <v>214.3</v>
      </c>
      <c r="AE397" s="4">
        <v>4.0387307512832475E-2</v>
      </c>
      <c r="AF397" s="4">
        <v>0.13281717218852077</v>
      </c>
      <c r="AG397" s="2"/>
      <c r="AH397" s="2"/>
      <c r="AI397" s="2"/>
      <c r="AJ397" s="2"/>
      <c r="AK397" s="2"/>
      <c r="AL397" s="4">
        <v>0.14419972001866541</v>
      </c>
      <c r="AM397" s="2"/>
      <c r="AN397" s="4">
        <v>2.2868516472235183</v>
      </c>
      <c r="AO397" s="4">
        <v>1.4019297246850206</v>
      </c>
      <c r="AP397" s="4">
        <v>0.29033799346710215</v>
      </c>
      <c r="AQ397" s="2"/>
      <c r="AR397" s="2"/>
      <c r="AS397" s="2"/>
      <c r="AT397" s="2"/>
      <c r="AU397" s="2"/>
      <c r="AV397" s="2"/>
      <c r="AW397" s="2"/>
      <c r="AX397" s="2"/>
      <c r="AY397" s="2">
        <v>200.5</v>
      </c>
      <c r="AZ397" s="4">
        <v>5.0817955112219454E-2</v>
      </c>
      <c r="BA397" s="4">
        <v>0.16373889276807979</v>
      </c>
      <c r="BB397" s="2"/>
      <c r="BC397" s="2"/>
      <c r="BD397" s="2"/>
      <c r="BE397" s="2"/>
      <c r="BF397" s="2"/>
      <c r="BG397" s="4">
        <v>0.1593715710723192</v>
      </c>
      <c r="BH397" s="2"/>
      <c r="BI397" s="4">
        <v>2.3884704339152116</v>
      </c>
      <c r="BJ397" s="4">
        <v>1.4315725586034911</v>
      </c>
      <c r="BK397" s="4">
        <v>0.27577921197007477</v>
      </c>
      <c r="BL397" s="4"/>
      <c r="BM397" s="4"/>
      <c r="BN397" s="2"/>
      <c r="BO397" s="2"/>
      <c r="BP397" s="2"/>
      <c r="BQ397" s="2"/>
      <c r="BR397" s="2"/>
      <c r="BS397" s="2"/>
      <c r="BT397" s="2">
        <v>0</v>
      </c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>
        <v>0</v>
      </c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 t="s">
        <v>81</v>
      </c>
      <c r="DK397" s="2"/>
      <c r="DL397" s="2">
        <f t="shared" si="4367"/>
        <v>0.14933920704845813</v>
      </c>
      <c r="DM397" s="2">
        <f t="shared" si="4368"/>
        <v>0</v>
      </c>
      <c r="DN397" s="2" t="s">
        <v>95</v>
      </c>
      <c r="DO397" s="2" t="s">
        <v>3</v>
      </c>
      <c r="DP397" s="2">
        <f t="shared" si="4369"/>
        <v>0.24924999999999997</v>
      </c>
      <c r="DQ397" s="2">
        <f t="shared" ref="DQ397:DR397" si="6616">K397*$I397+AF397*$AD397+BA397*$AY397</f>
        <v>82.116693999999995</v>
      </c>
      <c r="DR397" s="2">
        <f t="shared" si="6616"/>
        <v>0</v>
      </c>
      <c r="DS397" s="2">
        <f t="shared" ref="DS397:DX397" si="6617">(M397*$I397+AH397*$AD397+BC397*$AY397)/100</f>
        <v>0</v>
      </c>
      <c r="DT397" s="2">
        <f t="shared" si="6617"/>
        <v>0</v>
      </c>
      <c r="DU397" s="2">
        <f t="shared" si="6617"/>
        <v>0</v>
      </c>
      <c r="DV397" s="2">
        <f t="shared" si="6617"/>
        <v>0</v>
      </c>
      <c r="DW397" s="2">
        <f t="shared" si="6617"/>
        <v>0.84749999999999981</v>
      </c>
      <c r="DX397" s="2">
        <f t="shared" si="6617"/>
        <v>0</v>
      </c>
      <c r="DY397" s="2">
        <f t="shared" ref="DY397:EC397" si="6618">S397*$I397+AN397*$AD397+BI397*$AY397</f>
        <v>1323.625448</v>
      </c>
      <c r="DZ397" s="2">
        <f t="shared" si="6618"/>
        <v>804.59247399999981</v>
      </c>
      <c r="EA397" s="2">
        <f t="shared" si="6618"/>
        <v>162.293384</v>
      </c>
      <c r="EB397" s="2">
        <f t="shared" si="6618"/>
        <v>0</v>
      </c>
      <c r="EC397" s="2">
        <f t="shared" si="6618"/>
        <v>0</v>
      </c>
      <c r="ED397" s="2">
        <f t="shared" ref="ED397:EE397" si="6619">(X397*$I397+AS397*$AD397+BN397*$AY397)/100</f>
        <v>0</v>
      </c>
      <c r="EE397" s="2">
        <f t="shared" si="6619"/>
        <v>0</v>
      </c>
      <c r="EF397" s="2"/>
      <c r="EG397" s="2">
        <f t="shared" si="4374"/>
        <v>0</v>
      </c>
      <c r="EH397" s="2">
        <f t="shared" si="4375"/>
        <v>0</v>
      </c>
      <c r="EI397" s="39">
        <f t="shared" si="4376"/>
        <v>1626.5097879999998</v>
      </c>
      <c r="EJ397" s="39">
        <f t="shared" ref="EJ397:EK397" si="6620">EJ$1*DQ397/1000000</f>
        <v>3358.5991886816714</v>
      </c>
      <c r="EK397" s="39">
        <f t="shared" si="6620"/>
        <v>0</v>
      </c>
      <c r="EL397" s="39">
        <f t="shared" ref="EL397:EQ397" si="6621">EL$1*DS397</f>
        <v>0</v>
      </c>
      <c r="EM397" s="39">
        <f t="shared" si="6621"/>
        <v>0</v>
      </c>
      <c r="EN397" s="39">
        <f t="shared" si="6621"/>
        <v>0</v>
      </c>
      <c r="EO397" s="39">
        <f t="shared" si="6621"/>
        <v>0</v>
      </c>
      <c r="EP397" s="39">
        <f t="shared" si="6621"/>
        <v>11114.114999999998</v>
      </c>
      <c r="EQ397" s="39">
        <f t="shared" si="6621"/>
        <v>0</v>
      </c>
      <c r="ER397" s="39">
        <f t="shared" ref="ER397:EV397" si="6622">ER$1*DY397/1000000</f>
        <v>37566.277746999353</v>
      </c>
      <c r="ES397" s="39">
        <f t="shared" si="6622"/>
        <v>26813.626296714465</v>
      </c>
      <c r="ET397" s="39">
        <f t="shared" si="6622"/>
        <v>11612.587376694535</v>
      </c>
      <c r="EU397" s="39">
        <f t="shared" si="6622"/>
        <v>0</v>
      </c>
      <c r="EV397" s="39">
        <f t="shared" si="6622"/>
        <v>0</v>
      </c>
      <c r="EW397" s="39">
        <f t="shared" ref="EW397:EX397" si="6623">EW$1*ED397</f>
        <v>0</v>
      </c>
      <c r="EX397" s="39">
        <f t="shared" si="6623"/>
        <v>0</v>
      </c>
      <c r="EY397" s="2"/>
      <c r="EZ397" s="39">
        <f t="shared" si="4381"/>
        <v>0</v>
      </c>
      <c r="FA397" s="39">
        <f t="shared" si="4382"/>
        <v>0</v>
      </c>
      <c r="FB397" s="2">
        <f t="shared" si="4383"/>
        <v>0</v>
      </c>
      <c r="FC397" s="2">
        <f t="shared" ref="FC397:FD397" si="6624">BV397*$BT397+CQ397*$CO397</f>
        <v>0</v>
      </c>
      <c r="FD397" s="2">
        <f t="shared" si="6624"/>
        <v>0</v>
      </c>
      <c r="FE397" s="2">
        <f t="shared" ref="FE397:FJ397" si="6625">(BX397*$BT397+CS397*$CO397)/100</f>
        <v>0</v>
      </c>
      <c r="FF397" s="2">
        <f t="shared" si="6625"/>
        <v>0</v>
      </c>
      <c r="FG397" s="2">
        <f t="shared" si="6625"/>
        <v>0</v>
      </c>
      <c r="FH397" s="2">
        <f t="shared" si="6625"/>
        <v>0</v>
      </c>
      <c r="FI397" s="2">
        <f t="shared" si="6625"/>
        <v>0</v>
      </c>
      <c r="FJ397" s="2">
        <f t="shared" si="6625"/>
        <v>0</v>
      </c>
      <c r="FK397" s="2">
        <f t="shared" ref="FK397:FO397" si="6626">CD397*$BT397+CY397*$CO397</f>
        <v>0</v>
      </c>
      <c r="FL397" s="2">
        <f t="shared" si="6626"/>
        <v>0</v>
      </c>
      <c r="FM397" s="2">
        <f t="shared" si="6626"/>
        <v>0</v>
      </c>
      <c r="FN397" s="2">
        <f t="shared" si="6626"/>
        <v>0</v>
      </c>
      <c r="FO397" s="2">
        <f t="shared" si="6626"/>
        <v>0</v>
      </c>
      <c r="FP397" s="2">
        <f t="shared" ref="FP397:FQ397" si="6627">(CI397*$BT397+DD397*$CO397)/100</f>
        <v>0</v>
      </c>
      <c r="FQ397" s="2">
        <f t="shared" si="6627"/>
        <v>0</v>
      </c>
      <c r="FR397" s="2"/>
      <c r="FS397" s="2">
        <f t="shared" si="4388"/>
        <v>0</v>
      </c>
      <c r="FT397" s="2">
        <f t="shared" si="4389"/>
        <v>0</v>
      </c>
      <c r="FU397" s="39">
        <f t="shared" si="4390"/>
        <v>0</v>
      </c>
      <c r="FV397" s="39">
        <f t="shared" ref="FV397:FW397" si="6628">FV$1*FC397/1000000</f>
        <v>0</v>
      </c>
      <c r="FW397" s="39">
        <f t="shared" si="6628"/>
        <v>0</v>
      </c>
      <c r="FX397" s="39">
        <f t="shared" ref="FX397:GC397" si="6629">FX$1*FE397</f>
        <v>0</v>
      </c>
      <c r="FY397" s="39">
        <f t="shared" si="6629"/>
        <v>0</v>
      </c>
      <c r="FZ397" s="39">
        <f t="shared" si="6629"/>
        <v>0</v>
      </c>
      <c r="GA397" s="39">
        <f t="shared" si="6629"/>
        <v>0</v>
      </c>
      <c r="GB397" s="39">
        <f t="shared" si="6629"/>
        <v>0</v>
      </c>
      <c r="GC397" s="39">
        <f t="shared" si="6629"/>
        <v>0</v>
      </c>
      <c r="GD397" s="39">
        <f t="shared" ref="GD397:GH397" si="6630">GD$1*FK397/1000000</f>
        <v>0</v>
      </c>
      <c r="GE397" s="39">
        <f t="shared" si="6630"/>
        <v>0</v>
      </c>
      <c r="GF397" s="39">
        <f t="shared" si="6630"/>
        <v>0</v>
      </c>
      <c r="GG397" s="39">
        <f t="shared" si="6630"/>
        <v>0</v>
      </c>
      <c r="GH397" s="39">
        <f t="shared" si="6630"/>
        <v>0</v>
      </c>
      <c r="GI397" s="39">
        <f t="shared" ref="GI397:GJ397" si="6631">GI$1*FP397</f>
        <v>0</v>
      </c>
      <c r="GJ397" s="39">
        <f t="shared" si="6631"/>
        <v>0</v>
      </c>
      <c r="GK397" s="2"/>
      <c r="GL397" s="39">
        <f t="shared" si="4395"/>
        <v>0</v>
      </c>
      <c r="GM397" s="39">
        <f t="shared" si="4396"/>
        <v>0</v>
      </c>
      <c r="GN397" s="2" t="s">
        <v>3</v>
      </c>
      <c r="GO397" s="2">
        <f t="shared" si="4397"/>
        <v>567.5</v>
      </c>
      <c r="GP397" s="4">
        <f t="shared" si="4398"/>
        <v>0.14933920704845813</v>
      </c>
      <c r="GQ397" s="15">
        <f t="shared" si="4399"/>
        <v>847.49999999999989</v>
      </c>
      <c r="GR397" s="15">
        <f t="shared" si="4400"/>
        <v>92091.715397090025</v>
      </c>
      <c r="GS397" s="15">
        <f t="shared" si="4401"/>
        <v>162.27615047945378</v>
      </c>
      <c r="GT397" s="2">
        <f t="shared" si="4402"/>
        <v>218.94</v>
      </c>
      <c r="GU397" s="2">
        <f t="shared" si="4403"/>
        <v>309.02</v>
      </c>
      <c r="GV397" s="2">
        <f t="shared" si="4404"/>
        <v>319.53999999999996</v>
      </c>
      <c r="GW397" s="2">
        <f t="shared" si="4405"/>
        <v>0</v>
      </c>
      <c r="GX397" s="2"/>
      <c r="GY397" s="2"/>
      <c r="GZ397" s="2"/>
      <c r="HA397" s="2"/>
      <c r="HB397" s="2">
        <f t="shared" si="4406"/>
        <v>0</v>
      </c>
      <c r="HC397" s="2">
        <f t="shared" si="4407"/>
        <v>0</v>
      </c>
      <c r="HD397" s="2" t="s">
        <v>3</v>
      </c>
      <c r="HE397" s="2" t="s">
        <v>89</v>
      </c>
      <c r="HF397" s="2" t="s">
        <v>90</v>
      </c>
      <c r="HG397" s="2" t="s">
        <v>91</v>
      </c>
      <c r="HH397" s="2" t="s">
        <v>226</v>
      </c>
      <c r="HI397" s="2" t="s">
        <v>81</v>
      </c>
      <c r="HJ397" s="2" t="s">
        <v>3</v>
      </c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 t="s">
        <v>3</v>
      </c>
    </row>
    <row r="398" spans="1:268" ht="15.75" customHeight="1" x14ac:dyDescent="0.2">
      <c r="A398" s="16" t="s">
        <v>444</v>
      </c>
      <c r="B398" s="2"/>
      <c r="C398" s="2"/>
      <c r="D398" s="2"/>
      <c r="E398" s="2"/>
      <c r="F398" s="2" t="s">
        <v>445</v>
      </c>
      <c r="G398" s="2"/>
      <c r="H398" s="2"/>
      <c r="I398" s="2">
        <v>32.33</v>
      </c>
      <c r="J398" s="2">
        <v>8.9999999999999993E-3</v>
      </c>
      <c r="K398" s="4">
        <v>3.5549999999999998E-2</v>
      </c>
      <c r="L398" s="2"/>
      <c r="M398" s="2"/>
      <c r="N398" s="2"/>
      <c r="O398" s="2"/>
      <c r="P398" s="2"/>
      <c r="Q398" s="2">
        <v>9.7000000000000003E-2</v>
      </c>
      <c r="R398" s="2"/>
      <c r="S398" s="4">
        <v>2.35025</v>
      </c>
      <c r="T398" s="4">
        <v>1.1573499999999999</v>
      </c>
      <c r="U398" s="4">
        <v>0.40289999999999998</v>
      </c>
      <c r="V398" s="2"/>
      <c r="W398" s="2"/>
      <c r="X398" s="15">
        <f>29.8*(2*52/(2*52+3*16.001))</f>
        <v>20.389071268330234</v>
      </c>
      <c r="Y398" s="2"/>
      <c r="Z398" s="2"/>
      <c r="AA398" s="2"/>
      <c r="AB398" s="2"/>
      <c r="AC398" s="2"/>
      <c r="AD398" s="2">
        <f>26.37+4.82</f>
        <v>31.19</v>
      </c>
      <c r="AE398" s="19">
        <f>(0.009*26.37+0.042*4.82)/AD398</f>
        <v>1.4099711445976274E-2</v>
      </c>
      <c r="AF398" s="4">
        <f>(0.03375*26.37+0.1113*4.82)/AD398</f>
        <v>4.5734321898044245E-2</v>
      </c>
      <c r="AG398" s="2"/>
      <c r="AH398" s="2"/>
      <c r="AI398" s="2"/>
      <c r="AJ398" s="2"/>
      <c r="AK398" s="2"/>
      <c r="AL398" s="19">
        <f>(0.097*26.37+0.104*4.82)/AD398</f>
        <v>9.8081756973388903E-2</v>
      </c>
      <c r="AM398" s="2"/>
      <c r="AN398" s="4">
        <f>(2.23125*26.37+0.58065*4.82)/AD398</f>
        <v>1.976171705674896</v>
      </c>
      <c r="AO398" s="4">
        <f>(1.09875*26.37+0.32445*4.82)/AD398</f>
        <v>0.97909222507213844</v>
      </c>
      <c r="AP398" s="4">
        <f>(0.3825*26.37+0.0336*4.82)/AD398</f>
        <v>0.32858214171208716</v>
      </c>
      <c r="AQ398" s="2"/>
      <c r="AR398" s="2"/>
      <c r="AS398" s="15">
        <f>((29.8*(2*52/(2*52+3*16.001)))*26.37+0.0336*4.82)/AD398</f>
        <v>17.243403698168269</v>
      </c>
      <c r="AT398" s="2"/>
      <c r="AU398" s="2"/>
      <c r="AV398" s="2"/>
      <c r="AW398" s="2"/>
      <c r="AX398" s="2"/>
      <c r="AY398" s="2">
        <v>88.73</v>
      </c>
      <c r="AZ398" s="2">
        <v>8.9999999999999993E-3</v>
      </c>
      <c r="BA398" s="4">
        <v>3.7440000000000001E-2</v>
      </c>
      <c r="BB398" s="2"/>
      <c r="BC398" s="2"/>
      <c r="BD398" s="2"/>
      <c r="BE398" s="2"/>
      <c r="BF398" s="2"/>
      <c r="BG398" s="2">
        <v>9.7000000000000003E-2</v>
      </c>
      <c r="BH398" s="2"/>
      <c r="BI398" s="4">
        <v>2.4752000000000001</v>
      </c>
      <c r="BJ398" s="4">
        <v>1.21888</v>
      </c>
      <c r="BK398" s="4">
        <v>0.42431999999999997</v>
      </c>
      <c r="BL398" s="4"/>
      <c r="BM398" s="4"/>
      <c r="BN398" s="15">
        <f>29.8*(2*52/(2*52+3*16.001))</f>
        <v>20.389071268330234</v>
      </c>
      <c r="BO398" s="2"/>
      <c r="BP398" s="2"/>
      <c r="BQ398" s="2"/>
      <c r="BR398" s="2"/>
      <c r="BS398" s="2"/>
      <c r="BT398" s="2">
        <v>0</v>
      </c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>
        <f>3.77+5.04</f>
        <v>8.81</v>
      </c>
      <c r="CP398" s="19">
        <f>(0.009*3.77+0.042*5.04)/CO398</f>
        <v>2.7878547105561858E-2</v>
      </c>
      <c r="CQ398" s="19">
        <f>(0.02826*3.77+0.09116*5.04)/CO398</f>
        <v>6.4243654937570935E-2</v>
      </c>
      <c r="CR398" s="2"/>
      <c r="CS398" s="2"/>
      <c r="CT398" s="2"/>
      <c r="CU398" s="2"/>
      <c r="CV398" s="2"/>
      <c r="CW398" s="4">
        <f>(0.097*3.77+0.104*5.04)/CO398</f>
        <v>0.10100454029511918</v>
      </c>
      <c r="CX398" s="2"/>
      <c r="CY398" s="4">
        <f>(1.8683*3.77+0.47558*5.04)/CO398</f>
        <v>1.0715566628830873</v>
      </c>
      <c r="CZ398" s="4">
        <f>(0.92002*3.77+0.26574*5.04)/CO398</f>
        <v>0.54572133938706013</v>
      </c>
      <c r="DA398" s="4">
        <f>(0.32028*3.77+0.02752*5.04)/CO398</f>
        <v>0.15279868331441546</v>
      </c>
      <c r="DB398" s="4"/>
      <c r="DC398" s="4"/>
      <c r="DD398" s="15">
        <f>((29.8*(2*52/(2*52+3*16.001)))*3.77+0.02752*5.04)/CO398</f>
        <v>8.740692336164015</v>
      </c>
      <c r="DE398" s="2"/>
      <c r="DF398" s="2"/>
      <c r="DG398" s="2"/>
      <c r="DH398" s="2"/>
      <c r="DI398" s="2"/>
      <c r="DJ398" s="2" t="s">
        <v>81</v>
      </c>
      <c r="DK398" s="2"/>
      <c r="DL398" s="2">
        <f t="shared" si="4367"/>
        <v>9.7221609195402292E-2</v>
      </c>
      <c r="DM398" s="2">
        <f t="shared" si="4368"/>
        <v>0</v>
      </c>
      <c r="DN398" s="2" t="s">
        <v>211</v>
      </c>
      <c r="DO398" s="2" t="s">
        <v>3</v>
      </c>
      <c r="DP398" s="2">
        <f t="shared" si="4369"/>
        <v>1.5293099999999999E-2</v>
      </c>
      <c r="DQ398" s="2">
        <f t="shared" ref="DQ398:DR398" si="6632">K398*$I398+AF398*$AD398+BA398*$AY398</f>
        <v>5.8978362000000004</v>
      </c>
      <c r="DR398" s="2">
        <f t="shared" si="6632"/>
        <v>0</v>
      </c>
      <c r="DS398" s="2">
        <f t="shared" ref="DS398:DX398" si="6633">(M398*$I398+AH398*$AD398+BC398*$AY398)/100</f>
        <v>0</v>
      </c>
      <c r="DT398" s="2">
        <f t="shared" si="6633"/>
        <v>0</v>
      </c>
      <c r="DU398" s="2">
        <f t="shared" si="6633"/>
        <v>0</v>
      </c>
      <c r="DV398" s="2">
        <f t="shared" si="6633"/>
        <v>0</v>
      </c>
      <c r="DW398" s="2">
        <f t="shared" si="6633"/>
        <v>0.14801990000000001</v>
      </c>
      <c r="DX398" s="2">
        <f t="shared" si="6633"/>
        <v>0</v>
      </c>
      <c r="DY398" s="2">
        <f t="shared" ref="DY398:EC398" si="6634">S398*$I398+AN398*$AD398+BI398*$AY398</f>
        <v>357.24487400000004</v>
      </c>
      <c r="DZ398" s="2">
        <f t="shared" si="6634"/>
        <v>176.10623440000001</v>
      </c>
      <c r="EA398" s="2">
        <f t="shared" si="6634"/>
        <v>60.924147599999998</v>
      </c>
      <c r="EB398" s="2">
        <f t="shared" si="6634"/>
        <v>0</v>
      </c>
      <c r="EC398" s="2">
        <f t="shared" si="6634"/>
        <v>0</v>
      </c>
      <c r="ED398" s="2">
        <f t="shared" ref="ED398:EE398" si="6635">(X398*$I398+AS398*$AD398+BN398*$AY398)/100</f>
        <v>30.061227290899264</v>
      </c>
      <c r="EE398" s="2">
        <f t="shared" si="6635"/>
        <v>0</v>
      </c>
      <c r="EF398" s="2"/>
      <c r="EG398" s="2">
        <f t="shared" si="4374"/>
        <v>0</v>
      </c>
      <c r="EH398" s="2">
        <f t="shared" si="4375"/>
        <v>0</v>
      </c>
      <c r="EI398" s="39">
        <f t="shared" si="4376"/>
        <v>99.796898049599989</v>
      </c>
      <c r="EJ398" s="39">
        <f t="shared" ref="EJ398:EK398" si="6636">EJ$1*DQ398/1000000</f>
        <v>241.22339699035371</v>
      </c>
      <c r="EK398" s="39">
        <f t="shared" si="6636"/>
        <v>0</v>
      </c>
      <c r="EL398" s="39">
        <f t="shared" ref="EL398:EQ398" si="6637">EL$1*DS398</f>
        <v>0</v>
      </c>
      <c r="EM398" s="39">
        <f t="shared" si="6637"/>
        <v>0</v>
      </c>
      <c r="EN398" s="39">
        <f t="shared" si="6637"/>
        <v>0</v>
      </c>
      <c r="EO398" s="39">
        <f t="shared" si="6637"/>
        <v>0</v>
      </c>
      <c r="EP398" s="39">
        <f t="shared" si="6637"/>
        <v>1941.1329686000001</v>
      </c>
      <c r="EQ398" s="39">
        <f t="shared" si="6637"/>
        <v>0</v>
      </c>
      <c r="ER398" s="39">
        <f t="shared" ref="ER398:EV398" si="6638">ER$1*DY398/1000000</f>
        <v>10139.091977004502</v>
      </c>
      <c r="ES398" s="39">
        <f t="shared" si="6638"/>
        <v>5868.8676694273954</v>
      </c>
      <c r="ET398" s="39">
        <f t="shared" si="6638"/>
        <v>4359.3088634816722</v>
      </c>
      <c r="EU398" s="39">
        <f t="shared" si="6638"/>
        <v>0</v>
      </c>
      <c r="EV398" s="39">
        <f t="shared" si="6638"/>
        <v>0</v>
      </c>
      <c r="EW398" s="39">
        <f t="shared" ref="EW398:EX398" si="6639">EW$1*ED398</f>
        <v>8387.0824141608955</v>
      </c>
      <c r="EX398" s="39">
        <f t="shared" si="6639"/>
        <v>0</v>
      </c>
      <c r="EY398" s="2"/>
      <c r="EZ398" s="39">
        <f t="shared" si="4381"/>
        <v>0</v>
      </c>
      <c r="FA398" s="39">
        <f t="shared" si="4382"/>
        <v>0</v>
      </c>
      <c r="FB398" s="2">
        <f t="shared" si="4383"/>
        <v>2.4561000000000001E-3</v>
      </c>
      <c r="FC398" s="2">
        <f t="shared" ref="FC398:FD398" si="6640">BV398*$BT398+CQ398*$CO398</f>
        <v>0.56598660000000001</v>
      </c>
      <c r="FD398" s="2">
        <f t="shared" si="6640"/>
        <v>0</v>
      </c>
      <c r="FE398" s="2">
        <f t="shared" ref="FE398:FJ398" si="6641">(BX398*$BT398+CS398*$CO398)/100</f>
        <v>0</v>
      </c>
      <c r="FF398" s="2">
        <f t="shared" si="6641"/>
        <v>0</v>
      </c>
      <c r="FG398" s="2">
        <f t="shared" si="6641"/>
        <v>0</v>
      </c>
      <c r="FH398" s="2">
        <f t="shared" si="6641"/>
        <v>0</v>
      </c>
      <c r="FI398" s="2">
        <f t="shared" si="6641"/>
        <v>8.8985000000000002E-3</v>
      </c>
      <c r="FJ398" s="2">
        <f t="shared" si="6641"/>
        <v>0</v>
      </c>
      <c r="FK398" s="2">
        <f t="shared" ref="FK398:FO398" si="6642">CD398*$BT398+CY398*$CO398</f>
        <v>9.4404141999999993</v>
      </c>
      <c r="FL398" s="2">
        <f t="shared" si="6642"/>
        <v>4.8078050000000001</v>
      </c>
      <c r="FM398" s="2">
        <f t="shared" si="6642"/>
        <v>1.3461564000000001</v>
      </c>
      <c r="FN398" s="2">
        <f t="shared" si="6642"/>
        <v>0</v>
      </c>
      <c r="FO398" s="2">
        <f t="shared" si="6642"/>
        <v>0</v>
      </c>
      <c r="FP398" s="2">
        <f t="shared" ref="FP398:FQ398" si="6643">(CI398*$BT398+DD398*$CO398)/100</f>
        <v>0.77005499481604966</v>
      </c>
      <c r="FQ398" s="2">
        <f t="shared" si="6643"/>
        <v>0</v>
      </c>
      <c r="FR398" s="2"/>
      <c r="FS398" s="2">
        <f t="shared" si="4388"/>
        <v>0</v>
      </c>
      <c r="FT398" s="2">
        <f t="shared" si="4389"/>
        <v>0</v>
      </c>
      <c r="FU398" s="39">
        <f t="shared" si="4390"/>
        <v>16.027565457600002</v>
      </c>
      <c r="FV398" s="39">
        <f t="shared" ref="FV398:FW398" si="6644">FV$1*FC398/1000000</f>
        <v>23.149033929260447</v>
      </c>
      <c r="FW398" s="39">
        <f t="shared" si="6644"/>
        <v>0</v>
      </c>
      <c r="FX398" s="39">
        <f t="shared" ref="FX398:GC398" si="6645">FX$1*FE398</f>
        <v>0</v>
      </c>
      <c r="FY398" s="39">
        <f t="shared" si="6645"/>
        <v>0</v>
      </c>
      <c r="FZ398" s="39">
        <f t="shared" si="6645"/>
        <v>0</v>
      </c>
      <c r="GA398" s="39">
        <f t="shared" si="6645"/>
        <v>0</v>
      </c>
      <c r="GB398" s="39">
        <f t="shared" si="6645"/>
        <v>116.694929</v>
      </c>
      <c r="GC398" s="39">
        <f t="shared" si="6645"/>
        <v>0</v>
      </c>
      <c r="GD398" s="39">
        <f t="shared" ref="GD398:GH398" si="6646">GD$1*FK398/1000000</f>
        <v>267.93170410842436</v>
      </c>
      <c r="GE398" s="39">
        <f t="shared" si="6646"/>
        <v>160.22357994051447</v>
      </c>
      <c r="GF398" s="39">
        <f t="shared" si="6646"/>
        <v>96.321602473311913</v>
      </c>
      <c r="GG398" s="39">
        <f t="shared" si="6646"/>
        <v>0</v>
      </c>
      <c r="GH398" s="39">
        <f t="shared" si="6646"/>
        <v>0</v>
      </c>
      <c r="GI398" s="39">
        <f t="shared" ref="GI398:GJ398" si="6647">GI$1*FP398</f>
        <v>214.84534355367785</v>
      </c>
      <c r="GJ398" s="39">
        <f t="shared" si="6647"/>
        <v>0</v>
      </c>
      <c r="GK398" s="2"/>
      <c r="GL398" s="39">
        <f t="shared" si="4395"/>
        <v>0</v>
      </c>
      <c r="GM398" s="39">
        <f t="shared" si="4396"/>
        <v>0</v>
      </c>
      <c r="GN398" s="2" t="s">
        <v>3</v>
      </c>
      <c r="GO398" s="15">
        <f t="shared" si="4397"/>
        <v>152.25</v>
      </c>
      <c r="GP398" s="4">
        <f t="shared" si="4398"/>
        <v>9.7221609195402292E-2</v>
      </c>
      <c r="GQ398" s="15">
        <f t="shared" si="4399"/>
        <v>148.01990000000001</v>
      </c>
      <c r="GR398" s="15">
        <f t="shared" si="4400"/>
        <v>31036.504187714418</v>
      </c>
      <c r="GS398" s="15">
        <f t="shared" si="4401"/>
        <v>203.85224425428189</v>
      </c>
      <c r="GT398" s="2">
        <f t="shared" si="4402"/>
        <v>31.360099999999999</v>
      </c>
      <c r="GU398" s="2">
        <f t="shared" si="4403"/>
        <v>30.591699999999999</v>
      </c>
      <c r="GV398" s="2">
        <f t="shared" si="4404"/>
        <v>86.068100000000015</v>
      </c>
      <c r="GW398" s="2">
        <f t="shared" si="4405"/>
        <v>8.81</v>
      </c>
      <c r="GX398" s="2">
        <f>(BT398*CB398+CO398*CW398)/GW398</f>
        <v>0.10100454029511918</v>
      </c>
      <c r="GY398" s="15">
        <f>1000*GW398*GX398/100</f>
        <v>8.8985000000000003</v>
      </c>
      <c r="GZ398" s="15">
        <f>SUM(FU398:GM398)</f>
        <v>895.19375846278899</v>
      </c>
      <c r="HA398" s="15">
        <f>GZ398/GW398</f>
        <v>101.61109630678649</v>
      </c>
      <c r="HB398" s="2">
        <f t="shared" si="4406"/>
        <v>0</v>
      </c>
      <c r="HC398" s="2">
        <f t="shared" si="4407"/>
        <v>8.8985000000000003</v>
      </c>
      <c r="HD398" s="2" t="s">
        <v>3</v>
      </c>
      <c r="HE398" s="2" t="s">
        <v>89</v>
      </c>
      <c r="HF398" s="2" t="s">
        <v>90</v>
      </c>
      <c r="HG398" s="2" t="s">
        <v>91</v>
      </c>
      <c r="HH398" s="2" t="s">
        <v>92</v>
      </c>
      <c r="HI398" s="2" t="s">
        <v>81</v>
      </c>
      <c r="HJ398" s="2" t="s">
        <v>3</v>
      </c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 t="s">
        <v>3</v>
      </c>
    </row>
    <row r="399" spans="1:268" ht="15.75" customHeight="1" x14ac:dyDescent="0.2">
      <c r="A399" s="16" t="s">
        <v>451</v>
      </c>
      <c r="B399" s="2"/>
      <c r="C399" s="2"/>
      <c r="D399" s="2"/>
      <c r="E399" s="2"/>
      <c r="F399" s="2" t="s">
        <v>452</v>
      </c>
      <c r="G399" s="2"/>
      <c r="H399" s="2"/>
      <c r="I399" s="2">
        <v>2.8</v>
      </c>
      <c r="J399" s="4">
        <v>2.9148595329822911E-2</v>
      </c>
      <c r="K399" s="4">
        <v>5.6096699999999999E-2</v>
      </c>
      <c r="L399" s="2"/>
      <c r="M399" s="2"/>
      <c r="N399" s="2"/>
      <c r="O399" s="2"/>
      <c r="P399" s="2"/>
      <c r="Q399" s="4">
        <v>0.11240231217618901</v>
      </c>
      <c r="R399" s="2"/>
      <c r="S399" s="4">
        <v>2.4316289999999996</v>
      </c>
      <c r="T399" s="4">
        <v>2.1438869999999999</v>
      </c>
      <c r="U399" s="4">
        <v>0.43780439999999998</v>
      </c>
      <c r="V399" s="2"/>
      <c r="W399" s="2"/>
      <c r="X399" s="2"/>
      <c r="Y399" s="2"/>
      <c r="Z399" s="2"/>
      <c r="AA399" s="2"/>
      <c r="AB399" s="2"/>
      <c r="AC399" s="2"/>
      <c r="AD399" s="2">
        <v>0</v>
      </c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>
        <v>0</v>
      </c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>
        <v>0</v>
      </c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>
        <v>0</v>
      </c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>
        <f t="shared" si="4367"/>
        <v>0.11240231217618901</v>
      </c>
      <c r="DM399" s="2">
        <f t="shared" si="4368"/>
        <v>0</v>
      </c>
      <c r="DN399" s="2" t="s">
        <v>95</v>
      </c>
      <c r="DO399" s="2" t="s">
        <v>3</v>
      </c>
      <c r="DP399" s="2">
        <f t="shared" si="4369"/>
        <v>8.1616066923504153E-4</v>
      </c>
      <c r="DQ399" s="2">
        <f t="shared" ref="DQ399:DR399" si="6648">K399*$I399+AF399*$AD399+BA399*$AY399</f>
        <v>0.15707075999999998</v>
      </c>
      <c r="DR399" s="2">
        <f t="shared" si="6648"/>
        <v>0</v>
      </c>
      <c r="DS399" s="2">
        <f t="shared" ref="DS399:DX399" si="6649">(M399*$I399+AH399*$AD399+BC399*$AY399)/100</f>
        <v>0</v>
      </c>
      <c r="DT399" s="2">
        <f t="shared" si="6649"/>
        <v>0</v>
      </c>
      <c r="DU399" s="2">
        <f t="shared" si="6649"/>
        <v>0</v>
      </c>
      <c r="DV399" s="2">
        <f t="shared" si="6649"/>
        <v>0</v>
      </c>
      <c r="DW399" s="2">
        <f t="shared" si="6649"/>
        <v>3.147264740933292E-3</v>
      </c>
      <c r="DX399" s="2">
        <f t="shared" si="6649"/>
        <v>0</v>
      </c>
      <c r="DY399" s="2">
        <f t="shared" ref="DY399:EC399" si="6650">S399*$I399+AN399*$AD399+BI399*$AY399</f>
        <v>6.8085611999999989</v>
      </c>
      <c r="DZ399" s="2">
        <f t="shared" si="6650"/>
        <v>6.0028835999999997</v>
      </c>
      <c r="EA399" s="2">
        <f t="shared" si="6650"/>
        <v>1.2258523199999998</v>
      </c>
      <c r="EB399" s="2">
        <f t="shared" si="6650"/>
        <v>0</v>
      </c>
      <c r="EC399" s="2">
        <f t="shared" si="6650"/>
        <v>0</v>
      </c>
      <c r="ED399" s="2">
        <f t="shared" ref="ED399:EE399" si="6651">(X399*$I399+AS399*$AD399+BN399*$AY399)/100</f>
        <v>0</v>
      </c>
      <c r="EE399" s="2">
        <f t="shared" si="6651"/>
        <v>0</v>
      </c>
      <c r="EF399" s="2"/>
      <c r="EG399" s="2">
        <f t="shared" si="4374"/>
        <v>0</v>
      </c>
      <c r="EH399" s="2">
        <f t="shared" si="4375"/>
        <v>0</v>
      </c>
      <c r="EI399" s="39">
        <f t="shared" si="4376"/>
        <v>5.3259511217308946</v>
      </c>
      <c r="EJ399" s="39">
        <f t="shared" ref="EJ399:EK399" si="6652">EJ$1*DQ399/1000000</f>
        <v>6.4242445890675226</v>
      </c>
      <c r="EK399" s="39">
        <f t="shared" si="6652"/>
        <v>0</v>
      </c>
      <c r="EL399" s="39">
        <f t="shared" ref="EL399:EQ399" si="6653">EL$1*DS399</f>
        <v>0</v>
      </c>
      <c r="EM399" s="39">
        <f t="shared" si="6653"/>
        <v>0</v>
      </c>
      <c r="EN399" s="39">
        <f t="shared" si="6653"/>
        <v>0</v>
      </c>
      <c r="EO399" s="39">
        <f t="shared" si="6653"/>
        <v>0</v>
      </c>
      <c r="EP399" s="39">
        <f t="shared" si="6653"/>
        <v>41.27322981259919</v>
      </c>
      <c r="EQ399" s="39">
        <f t="shared" si="6653"/>
        <v>0</v>
      </c>
      <c r="ER399" s="39">
        <f t="shared" ref="ER399:EV399" si="6654">ER$1*DY399/1000000</f>
        <v>193.23616169749192</v>
      </c>
      <c r="ES399" s="39">
        <f t="shared" si="6654"/>
        <v>200.05043889221864</v>
      </c>
      <c r="ET399" s="39">
        <f t="shared" si="6654"/>
        <v>87.713478060964633</v>
      </c>
      <c r="EU399" s="39">
        <f t="shared" si="6654"/>
        <v>0</v>
      </c>
      <c r="EV399" s="39">
        <f t="shared" si="6654"/>
        <v>0</v>
      </c>
      <c r="EW399" s="39">
        <f t="shared" ref="EW399:EX399" si="6655">EW$1*ED399</f>
        <v>0</v>
      </c>
      <c r="EX399" s="39">
        <f t="shared" si="6655"/>
        <v>0</v>
      </c>
      <c r="EY399" s="2"/>
      <c r="EZ399" s="39">
        <f t="shared" si="4381"/>
        <v>0</v>
      </c>
      <c r="FA399" s="39">
        <f t="shared" si="4382"/>
        <v>0</v>
      </c>
      <c r="FB399" s="2">
        <f t="shared" si="4383"/>
        <v>0</v>
      </c>
      <c r="FC399" s="2">
        <f t="shared" ref="FC399:FD399" si="6656">BV399*$BT399+CQ399*$CO399</f>
        <v>0</v>
      </c>
      <c r="FD399" s="2">
        <f t="shared" si="6656"/>
        <v>0</v>
      </c>
      <c r="FE399" s="2">
        <f t="shared" ref="FE399:FJ399" si="6657">(BX399*$BT399+CS399*$CO399)/100</f>
        <v>0</v>
      </c>
      <c r="FF399" s="2">
        <f t="shared" si="6657"/>
        <v>0</v>
      </c>
      <c r="FG399" s="2">
        <f t="shared" si="6657"/>
        <v>0</v>
      </c>
      <c r="FH399" s="2">
        <f t="shared" si="6657"/>
        <v>0</v>
      </c>
      <c r="FI399" s="2">
        <f t="shared" si="6657"/>
        <v>0</v>
      </c>
      <c r="FJ399" s="2">
        <f t="shared" si="6657"/>
        <v>0</v>
      </c>
      <c r="FK399" s="2">
        <f t="shared" ref="FK399:FO399" si="6658">CD399*$BT399+CY399*$CO399</f>
        <v>0</v>
      </c>
      <c r="FL399" s="2">
        <f t="shared" si="6658"/>
        <v>0</v>
      </c>
      <c r="FM399" s="2">
        <f t="shared" si="6658"/>
        <v>0</v>
      </c>
      <c r="FN399" s="2">
        <f t="shared" si="6658"/>
        <v>0</v>
      </c>
      <c r="FO399" s="2">
        <f t="shared" si="6658"/>
        <v>0</v>
      </c>
      <c r="FP399" s="2">
        <f t="shared" ref="FP399:FQ399" si="6659">(CI399*$BT399+DD399*$CO399)/100</f>
        <v>0</v>
      </c>
      <c r="FQ399" s="2">
        <f t="shared" si="6659"/>
        <v>0</v>
      </c>
      <c r="FR399" s="2"/>
      <c r="FS399" s="2">
        <f t="shared" si="4388"/>
        <v>0</v>
      </c>
      <c r="FT399" s="2">
        <f t="shared" si="4389"/>
        <v>0</v>
      </c>
      <c r="FU399" s="39">
        <f t="shared" si="4390"/>
        <v>0</v>
      </c>
      <c r="FV399" s="39">
        <f t="shared" ref="FV399:FW399" si="6660">FV$1*FC399/1000000</f>
        <v>0</v>
      </c>
      <c r="FW399" s="39">
        <f t="shared" si="6660"/>
        <v>0</v>
      </c>
      <c r="FX399" s="39">
        <f t="shared" ref="FX399:GC399" si="6661">FX$1*FE399</f>
        <v>0</v>
      </c>
      <c r="FY399" s="39">
        <f t="shared" si="6661"/>
        <v>0</v>
      </c>
      <c r="FZ399" s="39">
        <f t="shared" si="6661"/>
        <v>0</v>
      </c>
      <c r="GA399" s="39">
        <f t="shared" si="6661"/>
        <v>0</v>
      </c>
      <c r="GB399" s="39">
        <f t="shared" si="6661"/>
        <v>0</v>
      </c>
      <c r="GC399" s="39">
        <f t="shared" si="6661"/>
        <v>0</v>
      </c>
      <c r="GD399" s="39">
        <f t="shared" ref="GD399:GH399" si="6662">GD$1*FK399/1000000</f>
        <v>0</v>
      </c>
      <c r="GE399" s="39">
        <f t="shared" si="6662"/>
        <v>0</v>
      </c>
      <c r="GF399" s="39">
        <f t="shared" si="6662"/>
        <v>0</v>
      </c>
      <c r="GG399" s="39">
        <f t="shared" si="6662"/>
        <v>0</v>
      </c>
      <c r="GH399" s="39">
        <f t="shared" si="6662"/>
        <v>0</v>
      </c>
      <c r="GI399" s="39">
        <f t="shared" ref="GI399:GJ399" si="6663">GI$1*FP399</f>
        <v>0</v>
      </c>
      <c r="GJ399" s="39">
        <f t="shared" si="6663"/>
        <v>0</v>
      </c>
      <c r="GK399" s="2"/>
      <c r="GL399" s="39">
        <f t="shared" si="4395"/>
        <v>0</v>
      </c>
      <c r="GM399" s="39">
        <f t="shared" si="4396"/>
        <v>0</v>
      </c>
      <c r="GN399" s="2" t="s">
        <v>3</v>
      </c>
      <c r="GO399" s="2">
        <f t="shared" si="4397"/>
        <v>2.8</v>
      </c>
      <c r="GP399" s="4">
        <f t="shared" si="4398"/>
        <v>0.11240231217618901</v>
      </c>
      <c r="GQ399" s="15">
        <f t="shared" si="4399"/>
        <v>3.1472647409332923</v>
      </c>
      <c r="GR399" s="15">
        <f t="shared" si="4400"/>
        <v>534.02350417407274</v>
      </c>
      <c r="GS399" s="15">
        <f t="shared" si="4401"/>
        <v>190.72268006216885</v>
      </c>
      <c r="GT399" s="2">
        <f t="shared" si="4402"/>
        <v>3.1472647409332923</v>
      </c>
      <c r="GU399" s="2">
        <f t="shared" si="4403"/>
        <v>0</v>
      </c>
      <c r="GV399" s="2">
        <f t="shared" si="4404"/>
        <v>0</v>
      </c>
      <c r="GW399" s="2">
        <f t="shared" si="4405"/>
        <v>0</v>
      </c>
      <c r="GX399" s="2"/>
      <c r="GY399" s="2"/>
      <c r="GZ399" s="2"/>
      <c r="HA399" s="2"/>
      <c r="HB399" s="2">
        <f t="shared" si="4406"/>
        <v>0</v>
      </c>
      <c r="HC399" s="2">
        <f t="shared" si="4407"/>
        <v>0</v>
      </c>
      <c r="HD399" s="2" t="s">
        <v>3</v>
      </c>
      <c r="HE399" s="2" t="s">
        <v>89</v>
      </c>
      <c r="HF399" s="2" t="s">
        <v>90</v>
      </c>
      <c r="HG399" s="2" t="s">
        <v>91</v>
      </c>
      <c r="HH399" s="2" t="s">
        <v>226</v>
      </c>
      <c r="HI399" s="2" t="s">
        <v>81</v>
      </c>
      <c r="HJ399" s="2" t="s">
        <v>3</v>
      </c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 t="s">
        <v>3</v>
      </c>
    </row>
    <row r="400" spans="1:268" ht="15.75" customHeight="1" x14ac:dyDescent="0.2">
      <c r="A400" s="16" t="s">
        <v>453</v>
      </c>
      <c r="B400" s="2"/>
      <c r="C400" s="2"/>
      <c r="D400" s="2"/>
      <c r="E400" s="2"/>
      <c r="F400" s="2" t="s">
        <v>454</v>
      </c>
      <c r="G400" s="2"/>
      <c r="H400" s="2"/>
      <c r="I400" s="2">
        <v>0</v>
      </c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>
        <v>2.71</v>
      </c>
      <c r="AE400" s="4">
        <v>2.9148595329822911E-2</v>
      </c>
      <c r="AF400" s="4">
        <v>5.3716840000000002E-2</v>
      </c>
      <c r="AG400" s="2"/>
      <c r="AH400" s="2"/>
      <c r="AI400" s="2"/>
      <c r="AJ400" s="2"/>
      <c r="AK400" s="2"/>
      <c r="AL400" s="4">
        <v>0.11240231217618901</v>
      </c>
      <c r="AM400" s="2"/>
      <c r="AN400" s="4">
        <v>1.5066564</v>
      </c>
      <c r="AO400" s="4">
        <v>1.3283692</v>
      </c>
      <c r="AP400" s="4">
        <v>0.27126704000000001</v>
      </c>
      <c r="AQ400" s="2"/>
      <c r="AR400" s="2"/>
      <c r="AS400" s="2"/>
      <c r="AT400" s="2"/>
      <c r="AU400" s="2"/>
      <c r="AV400" s="2"/>
      <c r="AW400" s="2"/>
      <c r="AX400" s="2"/>
      <c r="AY400" s="2">
        <v>3.89</v>
      </c>
      <c r="AZ400" s="4">
        <v>2.9148595329822911E-2</v>
      </c>
      <c r="BA400" s="19">
        <v>1.492537313432836E-2</v>
      </c>
      <c r="BB400" s="2"/>
      <c r="BC400" s="2"/>
      <c r="BD400" s="2"/>
      <c r="BE400" s="2"/>
      <c r="BF400" s="2"/>
      <c r="BG400" s="4">
        <v>0.11240231217618901</v>
      </c>
      <c r="BH400" s="2"/>
      <c r="BI400" s="19">
        <v>0.44402985074626866</v>
      </c>
      <c r="BJ400" s="19">
        <v>0.44402985074626866</v>
      </c>
      <c r="BK400" s="19">
        <v>9.7014925373134345E-2</v>
      </c>
      <c r="BL400" s="19"/>
      <c r="BM400" s="19"/>
      <c r="BN400" s="2"/>
      <c r="BO400" s="2"/>
      <c r="BP400" s="2"/>
      <c r="BQ400" s="2"/>
      <c r="BR400" s="2"/>
      <c r="BS400" s="2"/>
      <c r="BT400" s="2">
        <v>0</v>
      </c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>
        <v>0</v>
      </c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>
        <f t="shared" si="4367"/>
        <v>0.11240231217618901</v>
      </c>
      <c r="DM400" s="2">
        <f t="shared" si="4368"/>
        <v>0</v>
      </c>
      <c r="DN400" s="2" t="s">
        <v>122</v>
      </c>
      <c r="DO400" s="2" t="s">
        <v>3</v>
      </c>
      <c r="DP400" s="2">
        <f t="shared" si="4369"/>
        <v>1.9238072917683122E-3</v>
      </c>
      <c r="DQ400" s="2">
        <f t="shared" ref="DQ400:DR400" si="6664">K400*$I400+AF400*$AD400+BA400*$AY400</f>
        <v>0.20363233789253732</v>
      </c>
      <c r="DR400" s="2">
        <f t="shared" si="6664"/>
        <v>0</v>
      </c>
      <c r="DS400" s="2">
        <f t="shared" ref="DS400:DX400" si="6665">(M400*$I400+AH400*$AD400+BC400*$AY400)/100</f>
        <v>0</v>
      </c>
      <c r="DT400" s="2">
        <f t="shared" si="6665"/>
        <v>0</v>
      </c>
      <c r="DU400" s="2">
        <f t="shared" si="6665"/>
        <v>0</v>
      </c>
      <c r="DV400" s="2">
        <f t="shared" si="6665"/>
        <v>0</v>
      </c>
      <c r="DW400" s="2">
        <f t="shared" si="6665"/>
        <v>7.4185526036284746E-3</v>
      </c>
      <c r="DX400" s="2">
        <f t="shared" si="6665"/>
        <v>0</v>
      </c>
      <c r="DY400" s="2">
        <f t="shared" ref="DY400:EC400" si="6666">S400*$I400+AN400*$AD400+BI400*$AY400</f>
        <v>5.8103149634029849</v>
      </c>
      <c r="DZ400" s="2">
        <f t="shared" si="6666"/>
        <v>5.3271566514029853</v>
      </c>
      <c r="EA400" s="2">
        <f t="shared" si="6666"/>
        <v>1.1125217381014927</v>
      </c>
      <c r="EB400" s="2">
        <f t="shared" si="6666"/>
        <v>0</v>
      </c>
      <c r="EC400" s="2">
        <f t="shared" si="6666"/>
        <v>0</v>
      </c>
      <c r="ED400" s="2">
        <f t="shared" ref="ED400:EE400" si="6667">(X400*$I400+AS400*$AD400+BN400*$AY400)/100</f>
        <v>0</v>
      </c>
      <c r="EE400" s="2">
        <f t="shared" si="6667"/>
        <v>0</v>
      </c>
      <c r="EF400" s="2"/>
      <c r="EG400" s="2">
        <f t="shared" si="4374"/>
        <v>0</v>
      </c>
      <c r="EH400" s="2">
        <f t="shared" si="4375"/>
        <v>0</v>
      </c>
      <c r="EI400" s="39">
        <f t="shared" si="4376"/>
        <v>12.554027644079966</v>
      </c>
      <c r="EJ400" s="39">
        <f t="shared" ref="EJ400:EK400" si="6668">EJ$1*DQ400/1000000</f>
        <v>8.3286280964407542</v>
      </c>
      <c r="EK400" s="39">
        <f t="shared" si="6668"/>
        <v>0</v>
      </c>
      <c r="EL400" s="39">
        <f t="shared" ref="EL400:EQ400" si="6669">EL$1*DS400</f>
        <v>0</v>
      </c>
      <c r="EM400" s="39">
        <f t="shared" si="6669"/>
        <v>0</v>
      </c>
      <c r="EN400" s="39">
        <f t="shared" si="6669"/>
        <v>0</v>
      </c>
      <c r="EO400" s="39">
        <f t="shared" si="6669"/>
        <v>0</v>
      </c>
      <c r="EP400" s="39">
        <f t="shared" si="6669"/>
        <v>97.28689884398382</v>
      </c>
      <c r="EQ400" s="39">
        <f t="shared" si="6669"/>
        <v>0</v>
      </c>
      <c r="ER400" s="39">
        <f t="shared" ref="ER400:EV400" si="6670">ER$1*DY400/1000000</f>
        <v>164.90458538898</v>
      </c>
      <c r="ES400" s="39">
        <f t="shared" si="6670"/>
        <v>177.53134946024426</v>
      </c>
      <c r="ET400" s="39">
        <f t="shared" si="6670"/>
        <v>79.604328739461479</v>
      </c>
      <c r="EU400" s="39">
        <f t="shared" si="6670"/>
        <v>0</v>
      </c>
      <c r="EV400" s="39">
        <f t="shared" si="6670"/>
        <v>0</v>
      </c>
      <c r="EW400" s="39">
        <f t="shared" ref="EW400:EX400" si="6671">EW$1*ED400</f>
        <v>0</v>
      </c>
      <c r="EX400" s="39">
        <f t="shared" si="6671"/>
        <v>0</v>
      </c>
      <c r="EY400" s="2"/>
      <c r="EZ400" s="39">
        <f t="shared" si="4381"/>
        <v>0</v>
      </c>
      <c r="FA400" s="39">
        <f t="shared" si="4382"/>
        <v>0</v>
      </c>
      <c r="FB400" s="2">
        <f t="shared" si="4383"/>
        <v>0</v>
      </c>
      <c r="FC400" s="2">
        <f t="shared" ref="FC400:FD400" si="6672">BV400*$BT400+CQ400*$CO400</f>
        <v>0</v>
      </c>
      <c r="FD400" s="2">
        <f t="shared" si="6672"/>
        <v>0</v>
      </c>
      <c r="FE400" s="2">
        <f t="shared" ref="FE400:FJ400" si="6673">(BX400*$BT400+CS400*$CO400)/100</f>
        <v>0</v>
      </c>
      <c r="FF400" s="2">
        <f t="shared" si="6673"/>
        <v>0</v>
      </c>
      <c r="FG400" s="2">
        <f t="shared" si="6673"/>
        <v>0</v>
      </c>
      <c r="FH400" s="2">
        <f t="shared" si="6673"/>
        <v>0</v>
      </c>
      <c r="FI400" s="2">
        <f t="shared" si="6673"/>
        <v>0</v>
      </c>
      <c r="FJ400" s="2">
        <f t="shared" si="6673"/>
        <v>0</v>
      </c>
      <c r="FK400" s="2">
        <f t="shared" ref="FK400:FO400" si="6674">CD400*$BT400+CY400*$CO400</f>
        <v>0</v>
      </c>
      <c r="FL400" s="2">
        <f t="shared" si="6674"/>
        <v>0</v>
      </c>
      <c r="FM400" s="2">
        <f t="shared" si="6674"/>
        <v>0</v>
      </c>
      <c r="FN400" s="2">
        <f t="shared" si="6674"/>
        <v>0</v>
      </c>
      <c r="FO400" s="2">
        <f t="shared" si="6674"/>
        <v>0</v>
      </c>
      <c r="FP400" s="2">
        <f t="shared" ref="FP400:FQ400" si="6675">(CI400*$BT400+DD400*$CO400)/100</f>
        <v>0</v>
      </c>
      <c r="FQ400" s="2">
        <f t="shared" si="6675"/>
        <v>0</v>
      </c>
      <c r="FR400" s="2"/>
      <c r="FS400" s="2">
        <f t="shared" si="4388"/>
        <v>0</v>
      </c>
      <c r="FT400" s="2">
        <f t="shared" si="4389"/>
        <v>0</v>
      </c>
      <c r="FU400" s="39">
        <f t="shared" si="4390"/>
        <v>0</v>
      </c>
      <c r="FV400" s="39">
        <f t="shared" ref="FV400:FW400" si="6676">FV$1*FC400/1000000</f>
        <v>0</v>
      </c>
      <c r="FW400" s="39">
        <f t="shared" si="6676"/>
        <v>0</v>
      </c>
      <c r="FX400" s="39">
        <f t="shared" ref="FX400:GC400" si="6677">FX$1*FE400</f>
        <v>0</v>
      </c>
      <c r="FY400" s="39">
        <f t="shared" si="6677"/>
        <v>0</v>
      </c>
      <c r="FZ400" s="39">
        <f t="shared" si="6677"/>
        <v>0</v>
      </c>
      <c r="GA400" s="39">
        <f t="shared" si="6677"/>
        <v>0</v>
      </c>
      <c r="GB400" s="39">
        <f t="shared" si="6677"/>
        <v>0</v>
      </c>
      <c r="GC400" s="39">
        <f t="shared" si="6677"/>
        <v>0</v>
      </c>
      <c r="GD400" s="39">
        <f t="shared" ref="GD400:GH400" si="6678">GD$1*FK400/1000000</f>
        <v>0</v>
      </c>
      <c r="GE400" s="39">
        <f t="shared" si="6678"/>
        <v>0</v>
      </c>
      <c r="GF400" s="39">
        <f t="shared" si="6678"/>
        <v>0</v>
      </c>
      <c r="GG400" s="39">
        <f t="shared" si="6678"/>
        <v>0</v>
      </c>
      <c r="GH400" s="39">
        <f t="shared" si="6678"/>
        <v>0</v>
      </c>
      <c r="GI400" s="39">
        <f t="shared" ref="GI400:GJ400" si="6679">GI$1*FP400</f>
        <v>0</v>
      </c>
      <c r="GJ400" s="39">
        <f t="shared" si="6679"/>
        <v>0</v>
      </c>
      <c r="GK400" s="2"/>
      <c r="GL400" s="39">
        <f t="shared" si="4395"/>
        <v>0</v>
      </c>
      <c r="GM400" s="39">
        <f t="shared" si="4396"/>
        <v>0</v>
      </c>
      <c r="GN400" s="2" t="s">
        <v>3</v>
      </c>
      <c r="GO400" s="2">
        <f t="shared" si="4397"/>
        <v>6.6</v>
      </c>
      <c r="GP400" s="4">
        <f t="shared" si="4398"/>
        <v>0.11240231217618901</v>
      </c>
      <c r="GQ400" s="15">
        <f t="shared" si="4399"/>
        <v>7.4185526036284752</v>
      </c>
      <c r="GR400" s="15">
        <f t="shared" si="4400"/>
        <v>540.20981817319023</v>
      </c>
      <c r="GS400" s="15">
        <f t="shared" si="4401"/>
        <v>81.849972450483378</v>
      </c>
      <c r="GT400" s="2">
        <f t="shared" si="4402"/>
        <v>0</v>
      </c>
      <c r="GU400" s="2">
        <f t="shared" si="4403"/>
        <v>3.0461026599747218</v>
      </c>
      <c r="GV400" s="2">
        <f t="shared" si="4404"/>
        <v>4.3724499436537529</v>
      </c>
      <c r="GW400" s="2">
        <f t="shared" si="4405"/>
        <v>0</v>
      </c>
      <c r="GX400" s="2"/>
      <c r="GY400" s="2"/>
      <c r="GZ400" s="2"/>
      <c r="HA400" s="2"/>
      <c r="HB400" s="2">
        <f t="shared" si="4406"/>
        <v>0</v>
      </c>
      <c r="HC400" s="2">
        <f t="shared" si="4407"/>
        <v>0</v>
      </c>
      <c r="HD400" s="2" t="s">
        <v>3</v>
      </c>
      <c r="HE400" s="2" t="s">
        <v>89</v>
      </c>
      <c r="HF400" s="2" t="s">
        <v>90</v>
      </c>
      <c r="HG400" s="2" t="s">
        <v>91</v>
      </c>
      <c r="HH400" s="2" t="s">
        <v>226</v>
      </c>
      <c r="HI400" s="2" t="s">
        <v>81</v>
      </c>
      <c r="HJ400" s="2" t="s">
        <v>3</v>
      </c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 t="s">
        <v>3</v>
      </c>
    </row>
    <row r="401" spans="1:268" ht="15.75" customHeight="1" x14ac:dyDescent="0.2">
      <c r="A401" s="16" t="s">
        <v>482</v>
      </c>
      <c r="B401" s="2"/>
      <c r="C401" s="2"/>
      <c r="D401" s="2"/>
      <c r="E401" s="2"/>
      <c r="F401" s="2" t="s">
        <v>483</v>
      </c>
      <c r="G401" s="2"/>
      <c r="H401" s="2"/>
      <c r="I401" s="2">
        <v>67.224999999999994</v>
      </c>
      <c r="J401" s="4">
        <v>5.4018565140117075E-2</v>
      </c>
      <c r="K401" s="4">
        <v>0.1403371335068799</v>
      </c>
      <c r="L401" s="2"/>
      <c r="M401" s="2"/>
      <c r="N401" s="2"/>
      <c r="O401" s="2"/>
      <c r="P401" s="2"/>
      <c r="Q401" s="4">
        <v>0.14504986907307207</v>
      </c>
      <c r="R401" s="2"/>
      <c r="S401" s="4">
        <v>2.2807834912606917</v>
      </c>
      <c r="T401" s="4">
        <v>1.8898124554853106</v>
      </c>
      <c r="U401" s="4">
        <v>0.36908769535143177</v>
      </c>
      <c r="V401" s="2"/>
      <c r="W401" s="2"/>
      <c r="X401" s="2"/>
      <c r="Y401" s="2"/>
      <c r="Z401" s="2"/>
      <c r="AA401" s="2"/>
      <c r="AB401" s="2"/>
      <c r="AC401" s="2"/>
      <c r="AD401" s="2">
        <v>137.98500000000001</v>
      </c>
      <c r="AE401" s="4">
        <v>8.38270200529182E-2</v>
      </c>
      <c r="AF401" s="4">
        <v>0.17986810160524694</v>
      </c>
      <c r="AG401" s="2"/>
      <c r="AH401" s="2"/>
      <c r="AI401" s="2"/>
      <c r="AJ401" s="2"/>
      <c r="AK401" s="2"/>
      <c r="AL401" s="4">
        <v>0.18418032380209357</v>
      </c>
      <c r="AM401" s="2"/>
      <c r="AN401" s="4">
        <v>1.7779394861760334</v>
      </c>
      <c r="AO401" s="4">
        <v>1.0033939921005905</v>
      </c>
      <c r="AP401" s="4">
        <v>0.15246751458491861</v>
      </c>
      <c r="AQ401" s="2"/>
      <c r="AR401" s="2"/>
      <c r="AS401" s="2"/>
      <c r="AT401" s="2"/>
      <c r="AU401" s="2"/>
      <c r="AV401" s="2"/>
      <c r="AW401" s="2"/>
      <c r="AX401" s="2"/>
      <c r="AY401" s="2">
        <v>149.76300000000001</v>
      </c>
      <c r="AZ401" s="4">
        <v>6.2464252950091399E-2</v>
      </c>
      <c r="BA401" s="4">
        <v>0.14772145389715749</v>
      </c>
      <c r="BB401" s="2"/>
      <c r="BC401" s="2"/>
      <c r="BD401" s="2"/>
      <c r="BE401" s="2"/>
      <c r="BF401" s="2"/>
      <c r="BG401" s="4">
        <v>0.156136777316737</v>
      </c>
      <c r="BH401" s="2"/>
      <c r="BI401" s="4">
        <v>2.0666478219586946</v>
      </c>
      <c r="BJ401" s="4">
        <v>1.5917558927104825</v>
      </c>
      <c r="BK401" s="4">
        <v>0.30358544086323058</v>
      </c>
      <c r="BL401" s="4"/>
      <c r="BM401" s="4"/>
      <c r="BN401" s="2"/>
      <c r="BO401" s="2"/>
      <c r="BP401" s="2"/>
      <c r="BQ401" s="2"/>
      <c r="BR401" s="2"/>
      <c r="BS401" s="2"/>
      <c r="BT401" s="2">
        <v>0</v>
      </c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>
        <v>0</v>
      </c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 t="s">
        <v>81</v>
      </c>
      <c r="DK401" s="2"/>
      <c r="DL401" s="2">
        <f t="shared" si="4367"/>
        <v>0.16493821110212786</v>
      </c>
      <c r="DM401" s="2">
        <f t="shared" si="4368"/>
        <v>0</v>
      </c>
      <c r="DN401" s="2" t="s">
        <v>302</v>
      </c>
      <c r="DO401" s="2" t="s">
        <v>3</v>
      </c>
      <c r="DP401" s="2">
        <f t="shared" si="4369"/>
        <v>0.24553103318110828</v>
      </c>
      <c r="DQ401" s="2">
        <f t="shared" ref="DQ401:DR401" si="6680">K401*$I401+AF401*$AD401+BA401*$AY401</f>
        <v>56.376471899999999</v>
      </c>
      <c r="DR401" s="2">
        <f t="shared" si="6680"/>
        <v>0</v>
      </c>
      <c r="DS401" s="2">
        <f t="shared" ref="DS401:DX401" si="6681">(M401*$I401+AH401*$AD401+BC401*$AY401)/100</f>
        <v>0</v>
      </c>
      <c r="DT401" s="2">
        <f t="shared" si="6681"/>
        <v>0</v>
      </c>
      <c r="DU401" s="2">
        <f t="shared" si="6681"/>
        <v>0</v>
      </c>
      <c r="DV401" s="2">
        <f t="shared" si="6681"/>
        <v>0</v>
      </c>
      <c r="DW401" s="2">
        <f t="shared" si="6681"/>
        <v>0.58548611609555634</v>
      </c>
      <c r="DX401" s="2">
        <f t="shared" si="6681"/>
        <v>0</v>
      </c>
      <c r="DY401" s="2">
        <f t="shared" ref="DY401:EC401" si="6682">S401*$I401+AN401*$AD401+BI401*$AY401</f>
        <v>708.16202795999993</v>
      </c>
      <c r="DZ401" s="2">
        <f t="shared" si="6682"/>
        <v>503.88210007999999</v>
      </c>
      <c r="EA401" s="2">
        <f t="shared" si="6682"/>
        <v>91.316016700000006</v>
      </c>
      <c r="EB401" s="2">
        <f t="shared" si="6682"/>
        <v>0</v>
      </c>
      <c r="EC401" s="2">
        <f t="shared" si="6682"/>
        <v>0</v>
      </c>
      <c r="ED401" s="2">
        <f t="shared" ref="ED401:EE401" si="6683">(X401*$I401+AS401*$AD401+BN401*$AY401)/100</f>
        <v>0</v>
      </c>
      <c r="EE401" s="2">
        <f t="shared" si="6683"/>
        <v>0</v>
      </c>
      <c r="EF401" s="2"/>
      <c r="EG401" s="2">
        <f t="shared" si="4374"/>
        <v>0</v>
      </c>
      <c r="EH401" s="2">
        <f t="shared" si="4375"/>
        <v>0</v>
      </c>
      <c r="EI401" s="39">
        <f t="shared" si="4376"/>
        <v>1602.2412386231711</v>
      </c>
      <c r="EJ401" s="39">
        <f t="shared" ref="EJ401:EK401" si="6684">EJ$1*DQ401/1000000</f>
        <v>2305.8158281929259</v>
      </c>
      <c r="EK401" s="39">
        <f t="shared" si="6684"/>
        <v>0</v>
      </c>
      <c r="EL401" s="39">
        <f t="shared" ref="EL401:EQ401" si="6685">EL$1*DS401</f>
        <v>0</v>
      </c>
      <c r="EM401" s="39">
        <f t="shared" si="6685"/>
        <v>0</v>
      </c>
      <c r="EN401" s="39">
        <f t="shared" si="6685"/>
        <v>0</v>
      </c>
      <c r="EO401" s="39">
        <f t="shared" si="6685"/>
        <v>0</v>
      </c>
      <c r="EP401" s="39">
        <f t="shared" si="6685"/>
        <v>7678.0649264771255</v>
      </c>
      <c r="EQ401" s="39">
        <f t="shared" si="6685"/>
        <v>0</v>
      </c>
      <c r="ER401" s="39">
        <f t="shared" ref="ER401:EV401" si="6686">ER$1*DY401/1000000</f>
        <v>20098.59471379979</v>
      </c>
      <c r="ES401" s="39">
        <f t="shared" si="6686"/>
        <v>16792.235530093709</v>
      </c>
      <c r="ET401" s="39">
        <f t="shared" si="6686"/>
        <v>6533.939934485853</v>
      </c>
      <c r="EU401" s="39">
        <f t="shared" si="6686"/>
        <v>0</v>
      </c>
      <c r="EV401" s="39">
        <f t="shared" si="6686"/>
        <v>0</v>
      </c>
      <c r="EW401" s="39">
        <f t="shared" ref="EW401:EX401" si="6687">EW$1*ED401</f>
        <v>0</v>
      </c>
      <c r="EX401" s="39">
        <f t="shared" si="6687"/>
        <v>0</v>
      </c>
      <c r="EY401" s="2"/>
      <c r="EZ401" s="39">
        <f t="shared" si="4381"/>
        <v>0</v>
      </c>
      <c r="FA401" s="39">
        <f t="shared" si="4382"/>
        <v>0</v>
      </c>
      <c r="FB401" s="2">
        <f t="shared" si="4383"/>
        <v>0</v>
      </c>
      <c r="FC401" s="2">
        <f t="shared" ref="FC401:FD401" si="6688">BV401*$BT401+CQ401*$CO401</f>
        <v>0</v>
      </c>
      <c r="FD401" s="2">
        <f t="shared" si="6688"/>
        <v>0</v>
      </c>
      <c r="FE401" s="2">
        <f t="shared" ref="FE401:FJ401" si="6689">(BX401*$BT401+CS401*$CO401)/100</f>
        <v>0</v>
      </c>
      <c r="FF401" s="2">
        <f t="shared" si="6689"/>
        <v>0</v>
      </c>
      <c r="FG401" s="2">
        <f t="shared" si="6689"/>
        <v>0</v>
      </c>
      <c r="FH401" s="2">
        <f t="shared" si="6689"/>
        <v>0</v>
      </c>
      <c r="FI401" s="2">
        <f t="shared" si="6689"/>
        <v>0</v>
      </c>
      <c r="FJ401" s="2">
        <f t="shared" si="6689"/>
        <v>0</v>
      </c>
      <c r="FK401" s="2">
        <f t="shared" ref="FK401:FO401" si="6690">CD401*$BT401+CY401*$CO401</f>
        <v>0</v>
      </c>
      <c r="FL401" s="2">
        <f t="shared" si="6690"/>
        <v>0</v>
      </c>
      <c r="FM401" s="2">
        <f t="shared" si="6690"/>
        <v>0</v>
      </c>
      <c r="FN401" s="2">
        <f t="shared" si="6690"/>
        <v>0</v>
      </c>
      <c r="FO401" s="2">
        <f t="shared" si="6690"/>
        <v>0</v>
      </c>
      <c r="FP401" s="2">
        <f t="shared" ref="FP401:FQ401" si="6691">(CI401*$BT401+DD401*$CO401)/100</f>
        <v>0</v>
      </c>
      <c r="FQ401" s="2">
        <f t="shared" si="6691"/>
        <v>0</v>
      </c>
      <c r="FR401" s="2"/>
      <c r="FS401" s="2">
        <f t="shared" si="4388"/>
        <v>0</v>
      </c>
      <c r="FT401" s="2">
        <f t="shared" si="4389"/>
        <v>0</v>
      </c>
      <c r="FU401" s="39">
        <f t="shared" si="4390"/>
        <v>0</v>
      </c>
      <c r="FV401" s="39">
        <f t="shared" ref="FV401:FW401" si="6692">FV$1*FC401/1000000</f>
        <v>0</v>
      </c>
      <c r="FW401" s="39">
        <f t="shared" si="6692"/>
        <v>0</v>
      </c>
      <c r="FX401" s="39">
        <f t="shared" ref="FX401:GC401" si="6693">FX$1*FE401</f>
        <v>0</v>
      </c>
      <c r="FY401" s="39">
        <f t="shared" si="6693"/>
        <v>0</v>
      </c>
      <c r="FZ401" s="39">
        <f t="shared" si="6693"/>
        <v>0</v>
      </c>
      <c r="GA401" s="39">
        <f t="shared" si="6693"/>
        <v>0</v>
      </c>
      <c r="GB401" s="39">
        <f t="shared" si="6693"/>
        <v>0</v>
      </c>
      <c r="GC401" s="39">
        <f t="shared" si="6693"/>
        <v>0</v>
      </c>
      <c r="GD401" s="39">
        <f t="shared" ref="GD401:GH401" si="6694">GD$1*FK401/1000000</f>
        <v>0</v>
      </c>
      <c r="GE401" s="39">
        <f t="shared" si="6694"/>
        <v>0</v>
      </c>
      <c r="GF401" s="39">
        <f t="shared" si="6694"/>
        <v>0</v>
      </c>
      <c r="GG401" s="39">
        <f t="shared" si="6694"/>
        <v>0</v>
      </c>
      <c r="GH401" s="39">
        <f t="shared" si="6694"/>
        <v>0</v>
      </c>
      <c r="GI401" s="39">
        <f t="shared" ref="GI401:GJ401" si="6695">GI$1*FP401</f>
        <v>0</v>
      </c>
      <c r="GJ401" s="39">
        <f t="shared" si="6695"/>
        <v>0</v>
      </c>
      <c r="GK401" s="2"/>
      <c r="GL401" s="39">
        <f t="shared" si="4395"/>
        <v>0</v>
      </c>
      <c r="GM401" s="39">
        <f t="shared" si="4396"/>
        <v>0</v>
      </c>
      <c r="GN401" s="2" t="s">
        <v>3</v>
      </c>
      <c r="GO401" s="15">
        <f t="shared" si="4397"/>
        <v>354.97300000000001</v>
      </c>
      <c r="GP401" s="4">
        <f t="shared" si="4398"/>
        <v>0.16493821110212786</v>
      </c>
      <c r="GQ401" s="15">
        <f t="shared" si="4399"/>
        <v>585.48611609555633</v>
      </c>
      <c r="GR401" s="15">
        <f t="shared" si="4400"/>
        <v>55010.892171672574</v>
      </c>
      <c r="GS401" s="15">
        <f t="shared" si="4401"/>
        <v>154.9720462448484</v>
      </c>
      <c r="GT401" s="2">
        <f t="shared" si="4402"/>
        <v>97.509774484372699</v>
      </c>
      <c r="GU401" s="2">
        <f t="shared" si="4403"/>
        <v>254.14121979831882</v>
      </c>
      <c r="GV401" s="2">
        <f t="shared" si="4404"/>
        <v>233.83512181286486</v>
      </c>
      <c r="GW401" s="2">
        <f t="shared" si="4405"/>
        <v>0</v>
      </c>
      <c r="GX401" s="2"/>
      <c r="GY401" s="2"/>
      <c r="GZ401" s="2"/>
      <c r="HA401" s="2"/>
      <c r="HB401" s="2">
        <f t="shared" si="4406"/>
        <v>0</v>
      </c>
      <c r="HC401" s="2">
        <f t="shared" si="4407"/>
        <v>0</v>
      </c>
      <c r="HD401" s="2" t="s">
        <v>3</v>
      </c>
      <c r="HE401" s="2" t="s">
        <v>89</v>
      </c>
      <c r="HF401" s="2" t="s">
        <v>90</v>
      </c>
      <c r="HG401" s="2" t="s">
        <v>91</v>
      </c>
      <c r="HH401" s="2" t="s">
        <v>226</v>
      </c>
      <c r="HI401" s="2" t="s">
        <v>81</v>
      </c>
      <c r="HJ401" s="2" t="s">
        <v>3</v>
      </c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 t="s">
        <v>3</v>
      </c>
    </row>
    <row r="402" spans="1:268" ht="15.75" customHeight="1" x14ac:dyDescent="0.2">
      <c r="A402" s="16" t="s">
        <v>510</v>
      </c>
      <c r="B402" s="2"/>
      <c r="C402" s="2"/>
      <c r="D402" s="2"/>
      <c r="E402" s="2"/>
      <c r="F402" s="2" t="s">
        <v>511</v>
      </c>
      <c r="G402" s="2"/>
      <c r="H402" s="2"/>
      <c r="I402" s="2">
        <v>0</v>
      </c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>
        <v>12.2</v>
      </c>
      <c r="AE402" s="4">
        <v>6.0789089661712092E-2</v>
      </c>
      <c r="AF402" s="4">
        <v>6.0000000000000005E-2</v>
      </c>
      <c r="AG402" s="2"/>
      <c r="AH402" s="2"/>
      <c r="AI402" s="2"/>
      <c r="AJ402" s="2"/>
      <c r="AK402" s="2"/>
      <c r="AL402" s="4">
        <v>0.15393774011700964</v>
      </c>
      <c r="AM402" s="2"/>
      <c r="AN402" s="4">
        <v>2.35</v>
      </c>
      <c r="AO402" s="4">
        <v>1.83</v>
      </c>
      <c r="AP402" s="4">
        <v>0.33999999999999997</v>
      </c>
      <c r="AQ402" s="2"/>
      <c r="AR402" s="2"/>
      <c r="AS402" s="2"/>
      <c r="AT402" s="2"/>
      <c r="AU402" s="2"/>
      <c r="AV402" s="2"/>
      <c r="AW402" s="2"/>
      <c r="AX402" s="2"/>
      <c r="AY402" s="2">
        <v>0</v>
      </c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>
        <v>0</v>
      </c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>
        <v>0</v>
      </c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 t="s">
        <v>81</v>
      </c>
      <c r="DK402" s="2"/>
      <c r="DL402" s="2">
        <f t="shared" si="4367"/>
        <v>0.15393774011700964</v>
      </c>
      <c r="DM402" s="2">
        <f t="shared" si="4368"/>
        <v>0</v>
      </c>
      <c r="DN402" s="2" t="s">
        <v>512</v>
      </c>
      <c r="DO402" s="2" t="s">
        <v>3</v>
      </c>
      <c r="DP402" s="2">
        <f t="shared" si="4369"/>
        <v>7.4162689387288752E-3</v>
      </c>
      <c r="DQ402" s="2">
        <f t="shared" ref="DQ402:DR402" si="6696">K402*$I402+AF402*$AD402+BA402*$AY402</f>
        <v>0.73199999999999998</v>
      </c>
      <c r="DR402" s="2">
        <f t="shared" si="6696"/>
        <v>0</v>
      </c>
      <c r="DS402" s="2">
        <f t="shared" ref="DS402:DX402" si="6697">(M402*$I402+AH402*$AD402+BC402*$AY402)/100</f>
        <v>0</v>
      </c>
      <c r="DT402" s="2">
        <f t="shared" si="6697"/>
        <v>0</v>
      </c>
      <c r="DU402" s="2">
        <f t="shared" si="6697"/>
        <v>0</v>
      </c>
      <c r="DV402" s="2">
        <f t="shared" si="6697"/>
        <v>0</v>
      </c>
      <c r="DW402" s="2">
        <f t="shared" si="6697"/>
        <v>1.8780404294275174E-2</v>
      </c>
      <c r="DX402" s="2">
        <f t="shared" si="6697"/>
        <v>0</v>
      </c>
      <c r="DY402" s="2">
        <f t="shared" ref="DY402:EC402" si="6698">S402*$I402+AN402*$AD402+BI402*$AY402</f>
        <v>28.669999999999998</v>
      </c>
      <c r="DZ402" s="2">
        <f t="shared" si="6698"/>
        <v>22.326000000000001</v>
      </c>
      <c r="EA402" s="2">
        <f t="shared" si="6698"/>
        <v>4.1479999999999997</v>
      </c>
      <c r="EB402" s="2">
        <f t="shared" si="6698"/>
        <v>0</v>
      </c>
      <c r="EC402" s="2">
        <f t="shared" si="6698"/>
        <v>0</v>
      </c>
      <c r="ED402" s="2">
        <f t="shared" ref="ED402:EE402" si="6699">(X402*$I402+AS402*$AD402+BN402*$AY402)/100</f>
        <v>0</v>
      </c>
      <c r="EE402" s="2">
        <f t="shared" si="6699"/>
        <v>0</v>
      </c>
      <c r="EF402" s="2"/>
      <c r="EG402" s="2">
        <f t="shared" si="4374"/>
        <v>0</v>
      </c>
      <c r="EH402" s="2">
        <f t="shared" si="4375"/>
        <v>0</v>
      </c>
      <c r="EI402" s="39">
        <f t="shared" si="4376"/>
        <v>48.395723246872166</v>
      </c>
      <c r="EJ402" s="39">
        <f t="shared" ref="EJ402:EK402" si="6700">EJ$1*DQ402/1000000</f>
        <v>29.939035369774917</v>
      </c>
      <c r="EK402" s="39">
        <f t="shared" si="6700"/>
        <v>0</v>
      </c>
      <c r="EL402" s="39">
        <f t="shared" ref="EL402:EQ402" si="6701">EL$1*DS402</f>
        <v>0</v>
      </c>
      <c r="EM402" s="39">
        <f t="shared" si="6701"/>
        <v>0</v>
      </c>
      <c r="EN402" s="39">
        <f t="shared" si="6701"/>
        <v>0</v>
      </c>
      <c r="EO402" s="39">
        <f t="shared" si="6701"/>
        <v>0</v>
      </c>
      <c r="EP402" s="39">
        <f t="shared" si="6701"/>
        <v>246.28622191512463</v>
      </c>
      <c r="EQ402" s="39">
        <f t="shared" si="6701"/>
        <v>0</v>
      </c>
      <c r="ER402" s="39">
        <f t="shared" ref="ER402:EV402" si="6702">ER$1*DY402/1000000</f>
        <v>813.69331832797411</v>
      </c>
      <c r="ES402" s="39">
        <f t="shared" si="6702"/>
        <v>744.03010225080391</v>
      </c>
      <c r="ET402" s="39">
        <f t="shared" si="6702"/>
        <v>296.80207073954989</v>
      </c>
      <c r="EU402" s="39">
        <f t="shared" si="6702"/>
        <v>0</v>
      </c>
      <c r="EV402" s="39">
        <f t="shared" si="6702"/>
        <v>0</v>
      </c>
      <c r="EW402" s="39">
        <f t="shared" ref="EW402:EX402" si="6703">EW$1*ED402</f>
        <v>0</v>
      </c>
      <c r="EX402" s="39">
        <f t="shared" si="6703"/>
        <v>0</v>
      </c>
      <c r="EY402" s="2"/>
      <c r="EZ402" s="39">
        <f t="shared" si="4381"/>
        <v>0</v>
      </c>
      <c r="FA402" s="39">
        <f t="shared" si="4382"/>
        <v>0</v>
      </c>
      <c r="FB402" s="2">
        <f t="shared" si="4383"/>
        <v>0</v>
      </c>
      <c r="FC402" s="2">
        <f t="shared" ref="FC402:FD402" si="6704">BV402*$BT402+CQ402*$CO402</f>
        <v>0</v>
      </c>
      <c r="FD402" s="2">
        <f t="shared" si="6704"/>
        <v>0</v>
      </c>
      <c r="FE402" s="2">
        <f t="shared" ref="FE402:FJ402" si="6705">(BX402*$BT402+CS402*$CO402)/100</f>
        <v>0</v>
      </c>
      <c r="FF402" s="2">
        <f t="shared" si="6705"/>
        <v>0</v>
      </c>
      <c r="FG402" s="2">
        <f t="shared" si="6705"/>
        <v>0</v>
      </c>
      <c r="FH402" s="2">
        <f t="shared" si="6705"/>
        <v>0</v>
      </c>
      <c r="FI402" s="2">
        <f t="shared" si="6705"/>
        <v>0</v>
      </c>
      <c r="FJ402" s="2">
        <f t="shared" si="6705"/>
        <v>0</v>
      </c>
      <c r="FK402" s="2">
        <f t="shared" ref="FK402:FO402" si="6706">CD402*$BT402+CY402*$CO402</f>
        <v>0</v>
      </c>
      <c r="FL402" s="2">
        <f t="shared" si="6706"/>
        <v>0</v>
      </c>
      <c r="FM402" s="2">
        <f t="shared" si="6706"/>
        <v>0</v>
      </c>
      <c r="FN402" s="2">
        <f t="shared" si="6706"/>
        <v>0</v>
      </c>
      <c r="FO402" s="2">
        <f t="shared" si="6706"/>
        <v>0</v>
      </c>
      <c r="FP402" s="2">
        <f t="shared" ref="FP402:FQ402" si="6707">(CI402*$BT402+DD402*$CO402)/100</f>
        <v>0</v>
      </c>
      <c r="FQ402" s="2">
        <f t="shared" si="6707"/>
        <v>0</v>
      </c>
      <c r="FR402" s="2"/>
      <c r="FS402" s="2">
        <f t="shared" si="4388"/>
        <v>0</v>
      </c>
      <c r="FT402" s="2">
        <f t="shared" si="4389"/>
        <v>0</v>
      </c>
      <c r="FU402" s="39">
        <f t="shared" si="4390"/>
        <v>0</v>
      </c>
      <c r="FV402" s="39">
        <f t="shared" ref="FV402:FW402" si="6708">FV$1*FC402/1000000</f>
        <v>0</v>
      </c>
      <c r="FW402" s="39">
        <f t="shared" si="6708"/>
        <v>0</v>
      </c>
      <c r="FX402" s="39">
        <f t="shared" ref="FX402:GC402" si="6709">FX$1*FE402</f>
        <v>0</v>
      </c>
      <c r="FY402" s="39">
        <f t="shared" si="6709"/>
        <v>0</v>
      </c>
      <c r="FZ402" s="39">
        <f t="shared" si="6709"/>
        <v>0</v>
      </c>
      <c r="GA402" s="39">
        <f t="shared" si="6709"/>
        <v>0</v>
      </c>
      <c r="GB402" s="39">
        <f t="shared" si="6709"/>
        <v>0</v>
      </c>
      <c r="GC402" s="39">
        <f t="shared" si="6709"/>
        <v>0</v>
      </c>
      <c r="GD402" s="39">
        <f t="shared" ref="GD402:GH402" si="6710">GD$1*FK402/1000000</f>
        <v>0</v>
      </c>
      <c r="GE402" s="39">
        <f t="shared" si="6710"/>
        <v>0</v>
      </c>
      <c r="GF402" s="39">
        <f t="shared" si="6710"/>
        <v>0</v>
      </c>
      <c r="GG402" s="39">
        <f t="shared" si="6710"/>
        <v>0</v>
      </c>
      <c r="GH402" s="39">
        <f t="shared" si="6710"/>
        <v>0</v>
      </c>
      <c r="GI402" s="39">
        <f t="shared" ref="GI402:GJ402" si="6711">GI$1*FP402</f>
        <v>0</v>
      </c>
      <c r="GJ402" s="39">
        <f t="shared" si="6711"/>
        <v>0</v>
      </c>
      <c r="GK402" s="2"/>
      <c r="GL402" s="39">
        <f t="shared" si="4395"/>
        <v>0</v>
      </c>
      <c r="GM402" s="39">
        <f t="shared" si="4396"/>
        <v>0</v>
      </c>
      <c r="GN402" s="2" t="s">
        <v>3</v>
      </c>
      <c r="GO402" s="2">
        <f t="shared" si="4397"/>
        <v>12.2</v>
      </c>
      <c r="GP402" s="4">
        <f t="shared" si="4398"/>
        <v>0.15393774011700964</v>
      </c>
      <c r="GQ402" s="15">
        <f t="shared" si="4399"/>
        <v>18.780404294275176</v>
      </c>
      <c r="GR402" s="15">
        <f t="shared" si="4400"/>
        <v>2179.1464718500997</v>
      </c>
      <c r="GS402" s="15">
        <f t="shared" si="4401"/>
        <v>178.61856326640162</v>
      </c>
      <c r="GT402" s="2">
        <f t="shared" si="4402"/>
        <v>0</v>
      </c>
      <c r="GU402" s="2">
        <f t="shared" si="4403"/>
        <v>18.780404294275176</v>
      </c>
      <c r="GV402" s="2">
        <f t="shared" si="4404"/>
        <v>0</v>
      </c>
      <c r="GW402" s="2">
        <f t="shared" si="4405"/>
        <v>0</v>
      </c>
      <c r="GX402" s="2"/>
      <c r="GY402" s="2"/>
      <c r="GZ402" s="2"/>
      <c r="HA402" s="2"/>
      <c r="HB402" s="2">
        <f t="shared" si="4406"/>
        <v>0</v>
      </c>
      <c r="HC402" s="2">
        <f t="shared" si="4407"/>
        <v>0</v>
      </c>
      <c r="HD402" s="2" t="s">
        <v>3</v>
      </c>
      <c r="HE402" s="2" t="s">
        <v>89</v>
      </c>
      <c r="HF402" s="2" t="s">
        <v>90</v>
      </c>
      <c r="HG402" s="2" t="s">
        <v>91</v>
      </c>
      <c r="HH402" s="2" t="s">
        <v>226</v>
      </c>
      <c r="HI402" s="2" t="s">
        <v>81</v>
      </c>
      <c r="HJ402" s="2" t="s">
        <v>3</v>
      </c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 t="s">
        <v>3</v>
      </c>
    </row>
    <row r="403" spans="1:268" ht="15.75" customHeight="1" x14ac:dyDescent="0.2">
      <c r="A403" s="16" t="s">
        <v>534</v>
      </c>
      <c r="B403" s="2"/>
      <c r="C403" s="2"/>
      <c r="D403" s="2"/>
      <c r="E403" s="2"/>
      <c r="F403" s="2" t="s">
        <v>333</v>
      </c>
      <c r="G403" s="2"/>
      <c r="H403" s="2"/>
      <c r="I403" s="2">
        <v>0</v>
      </c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>
        <v>37.972972972972968</v>
      </c>
      <c r="AE403" s="4">
        <v>4.8053377393388851E-2</v>
      </c>
      <c r="AF403" s="4">
        <v>0.19408784213523131</v>
      </c>
      <c r="AG403" s="2"/>
      <c r="AH403" s="2"/>
      <c r="AI403" s="2"/>
      <c r="AJ403" s="2"/>
      <c r="AK403" s="2"/>
      <c r="AL403" s="4">
        <v>0.1583219183197408</v>
      </c>
      <c r="AM403" s="2"/>
      <c r="AN403" s="4">
        <v>3.2778307402135236</v>
      </c>
      <c r="AO403" s="4">
        <v>1.6833978661921711</v>
      </c>
      <c r="AP403" s="4">
        <v>0.40021082014234877</v>
      </c>
      <c r="AQ403" s="2"/>
      <c r="AR403" s="2"/>
      <c r="AS403" s="2"/>
      <c r="AT403" s="2"/>
      <c r="AU403" s="2"/>
      <c r="AV403" s="2"/>
      <c r="AW403" s="2"/>
      <c r="AX403" s="2"/>
      <c r="AY403" s="2">
        <v>6.0810810810810807</v>
      </c>
      <c r="AZ403" s="4">
        <v>6.5091859431719454E-2</v>
      </c>
      <c r="BA403" s="4">
        <v>0.25794948977777776</v>
      </c>
      <c r="BB403" s="2"/>
      <c r="BC403" s="2"/>
      <c r="BD403" s="2"/>
      <c r="BE403" s="2"/>
      <c r="BF403" s="2"/>
      <c r="BG403" s="4">
        <v>0.16593686374435782</v>
      </c>
      <c r="BH403" s="2"/>
      <c r="BI403" s="4">
        <v>3.3009859555555559</v>
      </c>
      <c r="BJ403" s="4">
        <v>1.7128986311111112</v>
      </c>
      <c r="BK403" s="4">
        <v>0.3281825244444444</v>
      </c>
      <c r="BL403" s="4"/>
      <c r="BM403" s="4"/>
      <c r="BN403" s="2"/>
      <c r="BO403" s="2"/>
      <c r="BP403" s="2"/>
      <c r="BQ403" s="2"/>
      <c r="BR403" s="2"/>
      <c r="BS403" s="2"/>
      <c r="BT403" s="2">
        <v>0</v>
      </c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>
        <v>0</v>
      </c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 t="s">
        <v>81</v>
      </c>
      <c r="DK403" s="2"/>
      <c r="DL403" s="2">
        <f t="shared" si="4367"/>
        <v>0.1593730610930775</v>
      </c>
      <c r="DM403" s="2">
        <f t="shared" si="4368"/>
        <v>0</v>
      </c>
      <c r="DN403" s="2" t="s">
        <v>211</v>
      </c>
      <c r="DO403" s="2" t="s">
        <v>3</v>
      </c>
      <c r="DP403" s="2">
        <f t="shared" si="4369"/>
        <v>2.2205584759418431E-2</v>
      </c>
      <c r="DQ403" s="2">
        <f t="shared" ref="DQ403:DR403" si="6712">K403*$I403+AF403*$AD403+BA403*$AY403</f>
        <v>8.9387041459459446</v>
      </c>
      <c r="DR403" s="2">
        <f t="shared" si="6712"/>
        <v>0</v>
      </c>
      <c r="DS403" s="2">
        <f t="shared" ref="DS403:DX403" si="6713">(M403*$I403+AH403*$AD403+BC403*$AY403)/100</f>
        <v>0</v>
      </c>
      <c r="DT403" s="2">
        <f t="shared" si="6713"/>
        <v>0</v>
      </c>
      <c r="DU403" s="2">
        <f t="shared" si="6713"/>
        <v>0</v>
      </c>
      <c r="DV403" s="2">
        <f t="shared" si="6713"/>
        <v>0</v>
      </c>
      <c r="DW403" s="2">
        <f t="shared" si="6713"/>
        <v>7.0210294481544949E-2</v>
      </c>
      <c r="DX403" s="2">
        <f t="shared" si="6713"/>
        <v>0</v>
      </c>
      <c r="DY403" s="2">
        <f t="shared" ref="DY403:EC403" si="6714">S403*$I403+AN403*$AD403+BI403*$AY403</f>
        <v>144.54254135135136</v>
      </c>
      <c r="DZ403" s="2">
        <f t="shared" si="6714"/>
        <v>74.339897135135146</v>
      </c>
      <c r="EA403" s="2">
        <f t="shared" si="6714"/>
        <v>17.192899197297294</v>
      </c>
      <c r="EB403" s="2">
        <f t="shared" si="6714"/>
        <v>0</v>
      </c>
      <c r="EC403" s="2">
        <f t="shared" si="6714"/>
        <v>0</v>
      </c>
      <c r="ED403" s="2">
        <f t="shared" ref="ED403:EE403" si="6715">(X403*$I403+AS403*$AD403+BN403*$AY403)/100</f>
        <v>0</v>
      </c>
      <c r="EE403" s="2">
        <f t="shared" si="6715"/>
        <v>0</v>
      </c>
      <c r="EF403" s="2"/>
      <c r="EG403" s="2">
        <f t="shared" si="4374"/>
        <v>0</v>
      </c>
      <c r="EH403" s="2">
        <f t="shared" si="4375"/>
        <v>0</v>
      </c>
      <c r="EI403" s="39">
        <f t="shared" si="4376"/>
        <v>144.90511919541706</v>
      </c>
      <c r="EJ403" s="39">
        <f t="shared" ref="EJ403:EK403" si="6716">EJ$1*DQ403/1000000</f>
        <v>365.59587375058652</v>
      </c>
      <c r="EK403" s="39">
        <f t="shared" si="6716"/>
        <v>0</v>
      </c>
      <c r="EL403" s="39">
        <f t="shared" ref="EL403:EQ403" si="6717">EL$1*DS403</f>
        <v>0</v>
      </c>
      <c r="EM403" s="39">
        <f t="shared" si="6717"/>
        <v>0</v>
      </c>
      <c r="EN403" s="39">
        <f t="shared" si="6717"/>
        <v>0</v>
      </c>
      <c r="EO403" s="39">
        <f t="shared" si="6717"/>
        <v>0</v>
      </c>
      <c r="EP403" s="39">
        <f t="shared" si="6717"/>
        <v>920.73780183098052</v>
      </c>
      <c r="EQ403" s="39">
        <f t="shared" si="6717"/>
        <v>0</v>
      </c>
      <c r="ER403" s="39">
        <f t="shared" ref="ER403:EV403" si="6718">ER$1*DY403/1000000</f>
        <v>4102.3125256972271</v>
      </c>
      <c r="ES403" s="39">
        <f t="shared" si="6718"/>
        <v>2477.4308549121583</v>
      </c>
      <c r="ET403" s="39">
        <f t="shared" si="6718"/>
        <v>1230.2044560689926</v>
      </c>
      <c r="EU403" s="39">
        <f t="shared" si="6718"/>
        <v>0</v>
      </c>
      <c r="EV403" s="39">
        <f t="shared" si="6718"/>
        <v>0</v>
      </c>
      <c r="EW403" s="39">
        <f t="shared" ref="EW403:EX403" si="6719">EW$1*ED403</f>
        <v>0</v>
      </c>
      <c r="EX403" s="39">
        <f t="shared" si="6719"/>
        <v>0</v>
      </c>
      <c r="EY403" s="2"/>
      <c r="EZ403" s="39">
        <f t="shared" si="4381"/>
        <v>0</v>
      </c>
      <c r="FA403" s="39">
        <f t="shared" si="4382"/>
        <v>0</v>
      </c>
      <c r="FB403" s="2">
        <f t="shared" si="4383"/>
        <v>0</v>
      </c>
      <c r="FC403" s="2">
        <f t="shared" ref="FC403:FD403" si="6720">BV403*$BT403+CQ403*$CO403</f>
        <v>0</v>
      </c>
      <c r="FD403" s="2">
        <f t="shared" si="6720"/>
        <v>0</v>
      </c>
      <c r="FE403" s="2">
        <f t="shared" ref="FE403:FJ403" si="6721">(BX403*$BT403+CS403*$CO403)/100</f>
        <v>0</v>
      </c>
      <c r="FF403" s="2">
        <f t="shared" si="6721"/>
        <v>0</v>
      </c>
      <c r="FG403" s="2">
        <f t="shared" si="6721"/>
        <v>0</v>
      </c>
      <c r="FH403" s="2">
        <f t="shared" si="6721"/>
        <v>0</v>
      </c>
      <c r="FI403" s="2">
        <f t="shared" si="6721"/>
        <v>0</v>
      </c>
      <c r="FJ403" s="2">
        <f t="shared" si="6721"/>
        <v>0</v>
      </c>
      <c r="FK403" s="2">
        <f t="shared" ref="FK403:FO403" si="6722">CD403*$BT403+CY403*$CO403</f>
        <v>0</v>
      </c>
      <c r="FL403" s="2">
        <f t="shared" si="6722"/>
        <v>0</v>
      </c>
      <c r="FM403" s="2">
        <f t="shared" si="6722"/>
        <v>0</v>
      </c>
      <c r="FN403" s="2">
        <f t="shared" si="6722"/>
        <v>0</v>
      </c>
      <c r="FO403" s="2">
        <f t="shared" si="6722"/>
        <v>0</v>
      </c>
      <c r="FP403" s="2">
        <f t="shared" ref="FP403:FQ403" si="6723">(CI403*$BT403+DD403*$CO403)/100</f>
        <v>0</v>
      </c>
      <c r="FQ403" s="2">
        <f t="shared" si="6723"/>
        <v>0</v>
      </c>
      <c r="FR403" s="2"/>
      <c r="FS403" s="2">
        <f t="shared" si="4388"/>
        <v>0</v>
      </c>
      <c r="FT403" s="2">
        <f t="shared" si="4389"/>
        <v>0</v>
      </c>
      <c r="FU403" s="39">
        <f t="shared" si="4390"/>
        <v>0</v>
      </c>
      <c r="FV403" s="39">
        <f t="shared" ref="FV403:FW403" si="6724">FV$1*FC403/1000000</f>
        <v>0</v>
      </c>
      <c r="FW403" s="39">
        <f t="shared" si="6724"/>
        <v>0</v>
      </c>
      <c r="FX403" s="39">
        <f t="shared" ref="FX403:GC403" si="6725">FX$1*FE403</f>
        <v>0</v>
      </c>
      <c r="FY403" s="39">
        <f t="shared" si="6725"/>
        <v>0</v>
      </c>
      <c r="FZ403" s="39">
        <f t="shared" si="6725"/>
        <v>0</v>
      </c>
      <c r="GA403" s="39">
        <f t="shared" si="6725"/>
        <v>0</v>
      </c>
      <c r="GB403" s="39">
        <f t="shared" si="6725"/>
        <v>0</v>
      </c>
      <c r="GC403" s="39">
        <f t="shared" si="6725"/>
        <v>0</v>
      </c>
      <c r="GD403" s="39">
        <f t="shared" ref="GD403:GH403" si="6726">GD$1*FK403/1000000</f>
        <v>0</v>
      </c>
      <c r="GE403" s="39">
        <f t="shared" si="6726"/>
        <v>0</v>
      </c>
      <c r="GF403" s="39">
        <f t="shared" si="6726"/>
        <v>0</v>
      </c>
      <c r="GG403" s="39">
        <f t="shared" si="6726"/>
        <v>0</v>
      </c>
      <c r="GH403" s="39">
        <f t="shared" si="6726"/>
        <v>0</v>
      </c>
      <c r="GI403" s="39">
        <f t="shared" ref="GI403:GJ403" si="6727">GI$1*FP403</f>
        <v>0</v>
      </c>
      <c r="GJ403" s="39">
        <f t="shared" si="6727"/>
        <v>0</v>
      </c>
      <c r="GK403" s="2"/>
      <c r="GL403" s="39">
        <f t="shared" si="4395"/>
        <v>0</v>
      </c>
      <c r="GM403" s="39">
        <f t="shared" si="4396"/>
        <v>0</v>
      </c>
      <c r="GN403" s="2" t="s">
        <v>3</v>
      </c>
      <c r="GO403" s="4">
        <f t="shared" si="4397"/>
        <v>44.054054054054049</v>
      </c>
      <c r="GP403" s="4">
        <f t="shared" si="4398"/>
        <v>0.1593730610930775</v>
      </c>
      <c r="GQ403" s="15">
        <f t="shared" si="4399"/>
        <v>70.210294481544949</v>
      </c>
      <c r="GR403" s="15">
        <f t="shared" si="4400"/>
        <v>9241.1866314553608</v>
      </c>
      <c r="GS403" s="15">
        <f t="shared" si="4401"/>
        <v>209.76926709438553</v>
      </c>
      <c r="GT403" s="2">
        <f t="shared" si="4402"/>
        <v>0</v>
      </c>
      <c r="GU403" s="2">
        <f t="shared" si="4403"/>
        <v>60.119539253847513</v>
      </c>
      <c r="GV403" s="2">
        <f t="shared" si="4404"/>
        <v>10.090755227697434</v>
      </c>
      <c r="GW403" s="2">
        <f t="shared" si="4405"/>
        <v>0</v>
      </c>
      <c r="GX403" s="2"/>
      <c r="GY403" s="2"/>
      <c r="GZ403" s="2"/>
      <c r="HA403" s="2"/>
      <c r="HB403" s="2">
        <f t="shared" si="4406"/>
        <v>0</v>
      </c>
      <c r="HC403" s="2">
        <f t="shared" si="4407"/>
        <v>0</v>
      </c>
      <c r="HD403" s="2" t="s">
        <v>3</v>
      </c>
      <c r="HE403" s="2" t="s">
        <v>89</v>
      </c>
      <c r="HF403" s="2" t="s">
        <v>90</v>
      </c>
      <c r="HG403" s="2" t="s">
        <v>91</v>
      </c>
      <c r="HH403" s="2" t="s">
        <v>92</v>
      </c>
      <c r="HI403" s="2" t="s">
        <v>81</v>
      </c>
      <c r="HJ403" s="2" t="s">
        <v>3</v>
      </c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 t="s">
        <v>3</v>
      </c>
    </row>
    <row r="404" spans="1:268" ht="15.75" customHeight="1" x14ac:dyDescent="0.2">
      <c r="A404" s="16" t="s">
        <v>553</v>
      </c>
      <c r="B404" s="2"/>
      <c r="C404" s="2"/>
      <c r="D404" s="2"/>
      <c r="E404" s="2"/>
      <c r="F404" s="2" t="s">
        <v>94</v>
      </c>
      <c r="G404" s="2"/>
      <c r="H404" s="2"/>
      <c r="I404" s="2">
        <v>289.39999999999998</v>
      </c>
      <c r="J404" s="4">
        <v>4.5936420179682101E-2</v>
      </c>
      <c r="K404" s="4">
        <v>0.12238103662750519</v>
      </c>
      <c r="L404" s="2"/>
      <c r="M404" s="2"/>
      <c r="N404" s="2"/>
      <c r="O404" s="2"/>
      <c r="P404" s="2"/>
      <c r="Q404" s="4">
        <v>9.390463026952317E-2</v>
      </c>
      <c r="R404" s="2"/>
      <c r="S404" s="4">
        <v>3.4919625224602631</v>
      </c>
      <c r="T404" s="4">
        <v>1.7102224326192124</v>
      </c>
      <c r="U404" s="4">
        <v>0.47217055286800286</v>
      </c>
      <c r="V404" s="2"/>
      <c r="W404" s="2"/>
      <c r="X404" s="15">
        <v>12.436120170599516</v>
      </c>
      <c r="Y404" s="2"/>
      <c r="Z404" s="2"/>
      <c r="AA404" s="2"/>
      <c r="AB404" s="2"/>
      <c r="AC404" s="2"/>
      <c r="AD404" s="2">
        <v>138.1</v>
      </c>
      <c r="AE404" s="4">
        <v>4.8870383779869658E-2</v>
      </c>
      <c r="AF404" s="4">
        <v>0.12790955829109341</v>
      </c>
      <c r="AG404" s="2"/>
      <c r="AH404" s="2"/>
      <c r="AI404" s="2"/>
      <c r="AJ404" s="2"/>
      <c r="AK404" s="2"/>
      <c r="AL404" s="4">
        <v>0.1083055756698045</v>
      </c>
      <c r="AM404" s="2"/>
      <c r="AN404" s="4">
        <v>3.5147593772628536</v>
      </c>
      <c r="AO404" s="4">
        <v>1.7094128023171615</v>
      </c>
      <c r="AP404" s="4">
        <v>0.46352657494569155</v>
      </c>
      <c r="AQ404" s="2"/>
      <c r="AR404" s="2"/>
      <c r="AS404" s="15">
        <v>11.608063892446808</v>
      </c>
      <c r="AT404" s="2"/>
      <c r="AU404" s="2"/>
      <c r="AV404" s="2"/>
      <c r="AW404" s="2"/>
      <c r="AX404" s="2"/>
      <c r="AY404" s="2">
        <v>25.299999999999997</v>
      </c>
      <c r="AZ404" s="4">
        <v>5.0158102766798413E-2</v>
      </c>
      <c r="BA404" s="4">
        <v>0.12696735177865615</v>
      </c>
      <c r="BB404" s="2"/>
      <c r="BC404" s="2"/>
      <c r="BD404" s="2"/>
      <c r="BE404" s="2"/>
      <c r="BF404" s="2"/>
      <c r="BG404" s="4">
        <v>2.0724110671936762</v>
      </c>
      <c r="BH404" s="2"/>
      <c r="BI404" s="4">
        <v>3.4321509090909093</v>
      </c>
      <c r="BJ404" s="4">
        <v>1.6640099604743084</v>
      </c>
      <c r="BK404" s="4">
        <v>0.44751446640316206</v>
      </c>
      <c r="BL404" s="4"/>
      <c r="BM404" s="4"/>
      <c r="BN404" s="15">
        <v>11.244629325107715</v>
      </c>
      <c r="BO404" s="2"/>
      <c r="BP404" s="2"/>
      <c r="BQ404" s="2"/>
      <c r="BR404" s="2"/>
      <c r="BS404" s="2"/>
      <c r="BT404" s="2">
        <v>21.200000000000003</v>
      </c>
      <c r="BU404" s="4">
        <v>4.6981132075471693E-2</v>
      </c>
      <c r="BV404" s="4">
        <v>7.751320754716981E-2</v>
      </c>
      <c r="BW404" s="2"/>
      <c r="BX404" s="2"/>
      <c r="BY404" s="2"/>
      <c r="BZ404" s="2"/>
      <c r="CA404" s="2"/>
      <c r="CB404" s="4">
        <v>9.5471698113207534E-2</v>
      </c>
      <c r="CC404" s="2"/>
      <c r="CD404" s="4">
        <v>2.2227316037735849</v>
      </c>
      <c r="CE404" s="4">
        <v>1.0895809433962265</v>
      </c>
      <c r="CF404" s="4">
        <v>0.30150613207547167</v>
      </c>
      <c r="CG404" s="4"/>
      <c r="CH404" s="4"/>
      <c r="CI404" s="15">
        <v>12.141269803637194</v>
      </c>
      <c r="CJ404" s="2"/>
      <c r="CK404" s="2"/>
      <c r="CL404" s="2"/>
      <c r="CM404" s="2"/>
      <c r="CN404" s="2"/>
      <c r="CO404" s="2">
        <v>85.7</v>
      </c>
      <c r="CP404" s="4">
        <v>5.3407234539089847E-2</v>
      </c>
      <c r="CQ404" s="4">
        <v>8.8882380396732796E-2</v>
      </c>
      <c r="CR404" s="2"/>
      <c r="CS404" s="2"/>
      <c r="CT404" s="2"/>
      <c r="CU404" s="2"/>
      <c r="CV404" s="2"/>
      <c r="CW404" s="4">
        <v>6.0851808634772471E-2</v>
      </c>
      <c r="CX404" s="2"/>
      <c r="CY404" s="4">
        <v>2.3342361726954493</v>
      </c>
      <c r="CZ404" s="4">
        <v>1.1253003500583432</v>
      </c>
      <c r="DA404" s="4">
        <v>0.29808378063010499</v>
      </c>
      <c r="DB404" s="4"/>
      <c r="DC404" s="4"/>
      <c r="DD404" s="15">
        <v>10.327622732926624</v>
      </c>
      <c r="DE404" s="2"/>
      <c r="DF404" s="2"/>
      <c r="DG404" s="2"/>
      <c r="DH404" s="2"/>
      <c r="DI404" s="2"/>
      <c r="DJ404" s="2" t="s">
        <v>81</v>
      </c>
      <c r="DK404" s="2"/>
      <c r="DL404" s="2">
        <f t="shared" si="4367"/>
        <v>0.20884496466431093</v>
      </c>
      <c r="DM404" s="2">
        <f t="shared" si="4368"/>
        <v>0</v>
      </c>
      <c r="DN404" s="2" t="s">
        <v>95</v>
      </c>
      <c r="DO404" s="2" t="s">
        <v>3</v>
      </c>
      <c r="DP404" s="2">
        <f t="shared" si="4369"/>
        <v>0.21311999999999998</v>
      </c>
      <c r="DQ404" s="2">
        <f t="shared" ref="DQ404:DR404" si="6728">K404*$I404+AF404*$AD404+BA404*$AY404</f>
        <v>56.293655999999999</v>
      </c>
      <c r="DR404" s="2">
        <f t="shared" si="6728"/>
        <v>0</v>
      </c>
      <c r="DS404" s="2">
        <f t="shared" ref="DS404:DX404" si="6729">(M404*$I404+AH404*$AD404+BC404*$AY404)/100</f>
        <v>0</v>
      </c>
      <c r="DT404" s="2">
        <f t="shared" si="6729"/>
        <v>0</v>
      </c>
      <c r="DU404" s="2">
        <f t="shared" si="6729"/>
        <v>0</v>
      </c>
      <c r="DV404" s="2">
        <f t="shared" si="6729"/>
        <v>0</v>
      </c>
      <c r="DW404" s="2">
        <f t="shared" si="6729"/>
        <v>0.94564999999999999</v>
      </c>
      <c r="DX404" s="2">
        <f t="shared" si="6729"/>
        <v>0</v>
      </c>
      <c r="DY404" s="2">
        <f t="shared" ref="DY404:EC404" si="6730">S404*$I404+AN404*$AD404+BI404*$AY404</f>
        <v>1582.795642</v>
      </c>
      <c r="DZ404" s="2">
        <f t="shared" si="6730"/>
        <v>773.10773200000006</v>
      </c>
      <c r="EA404" s="2">
        <f t="shared" si="6730"/>
        <v>211.98129399999999</v>
      </c>
      <c r="EB404" s="2">
        <f t="shared" si="6730"/>
        <v>0</v>
      </c>
      <c r="EC404" s="2">
        <f t="shared" si="6730"/>
        <v>0</v>
      </c>
      <c r="ED404" s="2">
        <f t="shared" ref="ED404:EE404" si="6731">(X404*$I404+AS404*$AD404+BN404*$AY404)/100</f>
        <v>54.865759228436289</v>
      </c>
      <c r="EE404" s="2">
        <f t="shared" si="6731"/>
        <v>0</v>
      </c>
      <c r="EF404" s="2"/>
      <c r="EG404" s="2">
        <f t="shared" si="4374"/>
        <v>0</v>
      </c>
      <c r="EH404" s="2">
        <f t="shared" si="4375"/>
        <v>0</v>
      </c>
      <c r="EI404" s="39">
        <f t="shared" si="4376"/>
        <v>1390.7392819199999</v>
      </c>
      <c r="EJ404" s="39">
        <f t="shared" ref="EJ404:EK404" si="6732">EJ$1*DQ404/1000000</f>
        <v>2302.4286312540194</v>
      </c>
      <c r="EK404" s="39">
        <f t="shared" si="6732"/>
        <v>0</v>
      </c>
      <c r="EL404" s="39">
        <f t="shared" ref="EL404:EQ404" si="6733">EL$1*DS404</f>
        <v>0</v>
      </c>
      <c r="EM404" s="39">
        <f t="shared" si="6733"/>
        <v>0</v>
      </c>
      <c r="EN404" s="39">
        <f t="shared" si="6733"/>
        <v>0</v>
      </c>
      <c r="EO404" s="39">
        <f t="shared" si="6733"/>
        <v>0</v>
      </c>
      <c r="EP404" s="39">
        <f t="shared" si="6733"/>
        <v>12401.2541</v>
      </c>
      <c r="EQ404" s="39">
        <f t="shared" si="6733"/>
        <v>0</v>
      </c>
      <c r="ER404" s="39">
        <f t="shared" ref="ER404:EV404" si="6734">ER$1*DY404/1000000</f>
        <v>44921.877857482956</v>
      </c>
      <c r="ES404" s="39">
        <f t="shared" si="6734"/>
        <v>25764.374491214148</v>
      </c>
      <c r="ET404" s="39">
        <f t="shared" si="6734"/>
        <v>15167.909116983923</v>
      </c>
      <c r="EU404" s="39">
        <f t="shared" si="6734"/>
        <v>0</v>
      </c>
      <c r="EV404" s="39">
        <f t="shared" si="6734"/>
        <v>0</v>
      </c>
      <c r="EW404" s="39">
        <f t="shared" ref="EW404:EX404" si="6735">EW$1*ED404</f>
        <v>15307.546824733725</v>
      </c>
      <c r="EX404" s="39">
        <f t="shared" si="6735"/>
        <v>0</v>
      </c>
      <c r="EY404" s="2"/>
      <c r="EZ404" s="39">
        <f t="shared" si="4381"/>
        <v>0</v>
      </c>
      <c r="FA404" s="39">
        <f t="shared" si="4382"/>
        <v>0</v>
      </c>
      <c r="FB404" s="2">
        <f t="shared" si="4383"/>
        <v>5.5730000000000002E-2</v>
      </c>
      <c r="FC404" s="2">
        <f t="shared" ref="FC404:FD404" si="6736">BV404*$BT404+CQ404*$CO404</f>
        <v>9.2605000000000004</v>
      </c>
      <c r="FD404" s="2">
        <f t="shared" si="6736"/>
        <v>0</v>
      </c>
      <c r="FE404" s="2">
        <f t="shared" ref="FE404:FJ404" si="6737">(BX404*$BT404+CS404*$CO404)/100</f>
        <v>0</v>
      </c>
      <c r="FF404" s="2">
        <f t="shared" si="6737"/>
        <v>0</v>
      </c>
      <c r="FG404" s="2">
        <f t="shared" si="6737"/>
        <v>0</v>
      </c>
      <c r="FH404" s="2">
        <f t="shared" si="6737"/>
        <v>0</v>
      </c>
      <c r="FI404" s="2">
        <f t="shared" si="6737"/>
        <v>7.239000000000001E-2</v>
      </c>
      <c r="FJ404" s="2">
        <f t="shared" si="6737"/>
        <v>0</v>
      </c>
      <c r="FK404" s="2">
        <f t="shared" ref="FK404:FO404" si="6738">CD404*$BT404+CY404*$CO404</f>
        <v>247.16595000000001</v>
      </c>
      <c r="FL404" s="2">
        <f t="shared" si="6738"/>
        <v>119.53735600000002</v>
      </c>
      <c r="FM404" s="2">
        <f t="shared" si="6738"/>
        <v>31.937709999999996</v>
      </c>
      <c r="FN404" s="2">
        <f t="shared" si="6738"/>
        <v>0</v>
      </c>
      <c r="FO404" s="2">
        <f t="shared" si="6738"/>
        <v>0</v>
      </c>
      <c r="FP404" s="2">
        <f t="shared" ref="FP404:FQ404" si="6739">(CI404*$BT404+DD404*$CO404)/100</f>
        <v>11.424721880489203</v>
      </c>
      <c r="FQ404" s="2">
        <f t="shared" si="6739"/>
        <v>0</v>
      </c>
      <c r="FR404" s="2"/>
      <c r="FS404" s="2">
        <f t="shared" si="4388"/>
        <v>0</v>
      </c>
      <c r="FT404" s="2">
        <f t="shared" si="4389"/>
        <v>0</v>
      </c>
      <c r="FU404" s="39">
        <f t="shared" si="4390"/>
        <v>363.67257968000001</v>
      </c>
      <c r="FV404" s="39">
        <f t="shared" ref="FV404:FW404" si="6740">FV$1*FC404/1000000</f>
        <v>378.7574276527331</v>
      </c>
      <c r="FW404" s="39">
        <f t="shared" si="6740"/>
        <v>0</v>
      </c>
      <c r="FX404" s="39">
        <f t="shared" ref="FX404:GC404" si="6741">FX$1*FE404</f>
        <v>0</v>
      </c>
      <c r="FY404" s="39">
        <f t="shared" si="6741"/>
        <v>0</v>
      </c>
      <c r="FZ404" s="39">
        <f t="shared" si="6741"/>
        <v>0</v>
      </c>
      <c r="GA404" s="39">
        <f t="shared" si="6741"/>
        <v>0</v>
      </c>
      <c r="GB404" s="39">
        <f t="shared" si="6741"/>
        <v>949.32246000000009</v>
      </c>
      <c r="GC404" s="39">
        <f t="shared" si="6741"/>
        <v>0</v>
      </c>
      <c r="GD404" s="39">
        <f t="shared" ref="GD404:GH404" si="6742">GD$1*FK404/1000000</f>
        <v>7014.9034542443724</v>
      </c>
      <c r="GE404" s="39">
        <f t="shared" si="6742"/>
        <v>3983.6688707099684</v>
      </c>
      <c r="GF404" s="39">
        <f t="shared" si="6742"/>
        <v>2285.2407094212217</v>
      </c>
      <c r="GG404" s="39">
        <f t="shared" si="6742"/>
        <v>0</v>
      </c>
      <c r="GH404" s="39">
        <f t="shared" si="6742"/>
        <v>0</v>
      </c>
      <c r="GI404" s="39">
        <f t="shared" ref="GI404:GJ404" si="6743">GI$1*FP404</f>
        <v>3187.4974046564876</v>
      </c>
      <c r="GJ404" s="39">
        <f t="shared" si="6743"/>
        <v>0</v>
      </c>
      <c r="GK404" s="2"/>
      <c r="GL404" s="39">
        <f t="shared" si="4395"/>
        <v>0</v>
      </c>
      <c r="GM404" s="39">
        <f t="shared" si="4396"/>
        <v>0</v>
      </c>
      <c r="GN404" s="2" t="s">
        <v>3</v>
      </c>
      <c r="GO404" s="2">
        <f t="shared" si="4397"/>
        <v>452.8</v>
      </c>
      <c r="GP404" s="4">
        <f t="shared" si="4398"/>
        <v>0.20884496466431093</v>
      </c>
      <c r="GQ404" s="15">
        <f t="shared" si="4399"/>
        <v>945.64999999999986</v>
      </c>
      <c r="GR404" s="15">
        <f t="shared" si="4400"/>
        <v>117256.13030358877</v>
      </c>
      <c r="GS404" s="15">
        <f t="shared" si="4401"/>
        <v>258.95788494608826</v>
      </c>
      <c r="GT404" s="2">
        <f t="shared" si="4402"/>
        <v>271.76000000000005</v>
      </c>
      <c r="GU404" s="2">
        <f t="shared" si="4403"/>
        <v>149.57</v>
      </c>
      <c r="GV404" s="2">
        <f t="shared" si="4404"/>
        <v>524.32000000000005</v>
      </c>
      <c r="GW404" s="2">
        <f t="shared" si="4405"/>
        <v>106.9</v>
      </c>
      <c r="GX404" s="19">
        <f>(BT404*CB404+CO404*CW404)/GW404</f>
        <v>6.7717492984097294E-2</v>
      </c>
      <c r="GY404" s="15">
        <f>1000*GW404*GX404/100</f>
        <v>72.390000000000015</v>
      </c>
      <c r="GZ404" s="15">
        <f>SUM(FU404:GM404)</f>
        <v>18163.062906364779</v>
      </c>
      <c r="HA404" s="15">
        <f>GZ404/GW404</f>
        <v>169.90704309040953</v>
      </c>
      <c r="HB404" s="2">
        <f t="shared" si="4406"/>
        <v>20.239999999999998</v>
      </c>
      <c r="HC404" s="2">
        <f t="shared" si="4407"/>
        <v>52.150000000000006</v>
      </c>
      <c r="HD404" s="2" t="s">
        <v>3</v>
      </c>
      <c r="HE404" s="2" t="s">
        <v>89</v>
      </c>
      <c r="HF404" s="2" t="s">
        <v>90</v>
      </c>
      <c r="HG404" s="2" t="s">
        <v>91</v>
      </c>
      <c r="HH404" s="2" t="s">
        <v>92</v>
      </c>
      <c r="HI404" s="2" t="s">
        <v>81</v>
      </c>
      <c r="HJ404" s="2" t="s">
        <v>3</v>
      </c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 t="s">
        <v>3</v>
      </c>
    </row>
    <row r="405" spans="1:268" ht="15.75" customHeight="1" x14ac:dyDescent="0.2">
      <c r="A405" s="16" t="s">
        <v>554</v>
      </c>
      <c r="B405" s="2"/>
      <c r="C405" s="2"/>
      <c r="D405" s="2"/>
      <c r="E405" s="2"/>
      <c r="F405" s="2" t="s">
        <v>555</v>
      </c>
      <c r="G405" s="2"/>
      <c r="H405" s="2"/>
      <c r="I405" s="2">
        <v>3.8</v>
      </c>
      <c r="J405" s="4">
        <v>6.5547794945827784E-2</v>
      </c>
      <c r="K405" s="4">
        <v>0.33273793650526318</v>
      </c>
      <c r="L405" s="2"/>
      <c r="M405" s="2"/>
      <c r="N405" s="2"/>
      <c r="O405" s="2"/>
      <c r="P405" s="2"/>
      <c r="Q405" s="4">
        <v>0.18303150006772359</v>
      </c>
      <c r="R405" s="2"/>
      <c r="S405" s="4">
        <v>3.8078104547368419</v>
      </c>
      <c r="T405" s="4">
        <v>1.9858089715789475</v>
      </c>
      <c r="U405" s="4">
        <v>0.33642534631578946</v>
      </c>
      <c r="V405" s="4">
        <v>0.57867076368421055</v>
      </c>
      <c r="W405" s="4">
        <v>0.12118811863157895</v>
      </c>
      <c r="X405" s="2"/>
      <c r="Y405" s="2"/>
      <c r="Z405" s="2"/>
      <c r="AA405" s="2"/>
      <c r="AB405" s="2"/>
      <c r="AC405" s="2"/>
      <c r="AD405" s="2">
        <v>4.4000000000000004</v>
      </c>
      <c r="AE405" s="4">
        <v>5.872885477093881E-2</v>
      </c>
      <c r="AF405" s="4">
        <v>0.31589743374090906</v>
      </c>
      <c r="AG405" s="2"/>
      <c r="AH405" s="2"/>
      <c r="AI405" s="2"/>
      <c r="AJ405" s="2"/>
      <c r="AK405" s="2"/>
      <c r="AL405" s="4">
        <v>0.17340024717342339</v>
      </c>
      <c r="AM405" s="2"/>
      <c r="AN405" s="4">
        <v>4.0876368709090904</v>
      </c>
      <c r="AO405" s="4">
        <v>2.1201052127272724</v>
      </c>
      <c r="AP405" s="4">
        <v>0.41061160636363636</v>
      </c>
      <c r="AQ405" s="4">
        <v>0.69059013045454543</v>
      </c>
      <c r="AR405" s="4">
        <v>0.15153261145454544</v>
      </c>
      <c r="AS405" s="2"/>
      <c r="AT405" s="2"/>
      <c r="AU405" s="2"/>
      <c r="AV405" s="2"/>
      <c r="AW405" s="2"/>
      <c r="AX405" s="2"/>
      <c r="AY405" s="2">
        <v>3.2</v>
      </c>
      <c r="AZ405" s="4">
        <v>5.6652574909995049E-2</v>
      </c>
      <c r="BA405" s="4">
        <v>0.32884145944999998</v>
      </c>
      <c r="BB405" s="2"/>
      <c r="BC405" s="2"/>
      <c r="BD405" s="2"/>
      <c r="BE405" s="2"/>
      <c r="BF405" s="2"/>
      <c r="BG405" s="4">
        <v>0.17046765414471021</v>
      </c>
      <c r="BH405" s="2"/>
      <c r="BI405" s="4">
        <v>4.4112322799999992</v>
      </c>
      <c r="BJ405" s="4">
        <v>2.2845426449999997</v>
      </c>
      <c r="BK405" s="4">
        <v>0.45756833499999994</v>
      </c>
      <c r="BL405" s="4">
        <v>0.76553415749999987</v>
      </c>
      <c r="BM405" s="4">
        <v>0.16979201049999998</v>
      </c>
      <c r="BN405" s="2"/>
      <c r="BO405" s="2"/>
      <c r="BP405" s="2"/>
      <c r="BQ405" s="2"/>
      <c r="BR405" s="2"/>
      <c r="BS405" s="2"/>
      <c r="BT405" s="2">
        <v>0</v>
      </c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>
        <v>0</v>
      </c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 t="s">
        <v>81</v>
      </c>
      <c r="DK405" s="2"/>
      <c r="DL405" s="2">
        <f t="shared" si="4367"/>
        <v>0.17578748079679699</v>
      </c>
      <c r="DM405" s="2">
        <f t="shared" si="4368"/>
        <v>0</v>
      </c>
      <c r="DN405" s="2" t="s">
        <v>88</v>
      </c>
      <c r="DO405" s="2" t="s">
        <v>3</v>
      </c>
      <c r="DP405" s="2">
        <f t="shared" si="4369"/>
        <v>6.8877682149826045E-3</v>
      </c>
      <c r="DQ405" s="2">
        <f t="shared" ref="DQ405:DR405" si="6744">K405*$I405+AF405*$AD405+BA405*$AY405</f>
        <v>3.70664553742</v>
      </c>
      <c r="DR405" s="2">
        <f t="shared" si="6744"/>
        <v>0</v>
      </c>
      <c r="DS405" s="2">
        <f t="shared" ref="DS405:DX405" si="6745">(M405*$I405+AH405*$AD405+BC405*$AY405)/100</f>
        <v>0</v>
      </c>
      <c r="DT405" s="2">
        <f t="shared" si="6745"/>
        <v>0</v>
      </c>
      <c r="DU405" s="2">
        <f t="shared" si="6745"/>
        <v>0</v>
      </c>
      <c r="DV405" s="2">
        <f t="shared" si="6745"/>
        <v>0</v>
      </c>
      <c r="DW405" s="2">
        <f t="shared" si="6745"/>
        <v>2.0039772810834851E-2</v>
      </c>
      <c r="DX405" s="2">
        <f t="shared" si="6745"/>
        <v>0</v>
      </c>
      <c r="DY405" s="2">
        <f t="shared" ref="DY405:EC405" si="6746">S405*$I405+AN405*$AD405+BI405*$AY405</f>
        <v>46.571225255999991</v>
      </c>
      <c r="DZ405" s="2">
        <f t="shared" si="6746"/>
        <v>24.185073491999997</v>
      </c>
      <c r="EA405" s="2">
        <f t="shared" si="6746"/>
        <v>4.549326056</v>
      </c>
      <c r="EB405" s="2">
        <f t="shared" si="6746"/>
        <v>7.68725478</v>
      </c>
      <c r="EC405" s="2">
        <f t="shared" si="6746"/>
        <v>1.6705927748000002</v>
      </c>
      <c r="ED405" s="2">
        <f t="shared" ref="ED405:EE405" si="6747">(X405*$I405+AS405*$AD405+BN405*$AY405)/100</f>
        <v>0</v>
      </c>
      <c r="EE405" s="2">
        <f t="shared" si="6747"/>
        <v>0</v>
      </c>
      <c r="EF405" s="2"/>
      <c r="EG405" s="2">
        <f t="shared" si="4374"/>
        <v>0</v>
      </c>
      <c r="EH405" s="2">
        <f t="shared" si="4375"/>
        <v>0</v>
      </c>
      <c r="EI405" s="39">
        <f t="shared" si="4376"/>
        <v>44.946930467981922</v>
      </c>
      <c r="EJ405" s="39">
        <f t="shared" ref="EJ405:EK405" si="6748">EJ$1*DQ405/1000000</f>
        <v>151.60299432791766</v>
      </c>
      <c r="EK405" s="39">
        <f t="shared" si="6748"/>
        <v>0</v>
      </c>
      <c r="EL405" s="39">
        <f t="shared" ref="EL405:EQ405" si="6749">EL$1*DS405</f>
        <v>0</v>
      </c>
      <c r="EM405" s="39">
        <f t="shared" si="6749"/>
        <v>0</v>
      </c>
      <c r="EN405" s="39">
        <f t="shared" si="6749"/>
        <v>0</v>
      </c>
      <c r="EO405" s="39">
        <f t="shared" si="6749"/>
        <v>0</v>
      </c>
      <c r="EP405" s="39">
        <f t="shared" si="6749"/>
        <v>262.80158064128824</v>
      </c>
      <c r="EQ405" s="39">
        <f t="shared" si="6749"/>
        <v>0</v>
      </c>
      <c r="ER405" s="39">
        <f t="shared" ref="ER405:EV405" si="6750">ER$1*DY405/1000000</f>
        <v>1321.7542663813808</v>
      </c>
      <c r="ES405" s="39">
        <f t="shared" si="6750"/>
        <v>805.98507136056458</v>
      </c>
      <c r="ET405" s="39">
        <f t="shared" si="6750"/>
        <v>325.51817596195502</v>
      </c>
      <c r="EU405" s="39">
        <f t="shared" si="6750"/>
        <v>60.412924140829581</v>
      </c>
      <c r="EV405" s="39">
        <f t="shared" si="6750"/>
        <v>69.470338195035239</v>
      </c>
      <c r="EW405" s="39">
        <f t="shared" ref="EW405:EX405" si="6751">EW$1*ED405</f>
        <v>0</v>
      </c>
      <c r="EX405" s="39">
        <f t="shared" si="6751"/>
        <v>0</v>
      </c>
      <c r="EY405" s="2"/>
      <c r="EZ405" s="39">
        <f t="shared" si="4381"/>
        <v>0</v>
      </c>
      <c r="FA405" s="39">
        <f t="shared" si="4382"/>
        <v>0</v>
      </c>
      <c r="FB405" s="2">
        <f t="shared" si="4383"/>
        <v>0</v>
      </c>
      <c r="FC405" s="2">
        <f t="shared" ref="FC405:FD405" si="6752">BV405*$BT405+CQ405*$CO405</f>
        <v>0</v>
      </c>
      <c r="FD405" s="2">
        <f t="shared" si="6752"/>
        <v>0</v>
      </c>
      <c r="FE405" s="2">
        <f t="shared" ref="FE405:FJ405" si="6753">(BX405*$BT405+CS405*$CO405)/100</f>
        <v>0</v>
      </c>
      <c r="FF405" s="2">
        <f t="shared" si="6753"/>
        <v>0</v>
      </c>
      <c r="FG405" s="2">
        <f t="shared" si="6753"/>
        <v>0</v>
      </c>
      <c r="FH405" s="2">
        <f t="shared" si="6753"/>
        <v>0</v>
      </c>
      <c r="FI405" s="2">
        <f t="shared" si="6753"/>
        <v>0</v>
      </c>
      <c r="FJ405" s="2">
        <f t="shared" si="6753"/>
        <v>0</v>
      </c>
      <c r="FK405" s="2">
        <f t="shared" ref="FK405:FO405" si="6754">CD405*$BT405+CY405*$CO405</f>
        <v>0</v>
      </c>
      <c r="FL405" s="2">
        <f t="shared" si="6754"/>
        <v>0</v>
      </c>
      <c r="FM405" s="2">
        <f t="shared" si="6754"/>
        <v>0</v>
      </c>
      <c r="FN405" s="2">
        <f t="shared" si="6754"/>
        <v>0</v>
      </c>
      <c r="FO405" s="2">
        <f t="shared" si="6754"/>
        <v>0</v>
      </c>
      <c r="FP405" s="2">
        <f t="shared" ref="FP405:FQ405" si="6755">(CI405*$BT405+DD405*$CO405)/100</f>
        <v>0</v>
      </c>
      <c r="FQ405" s="2">
        <f t="shared" si="6755"/>
        <v>0</v>
      </c>
      <c r="FR405" s="2"/>
      <c r="FS405" s="2">
        <f t="shared" si="4388"/>
        <v>0</v>
      </c>
      <c r="FT405" s="2">
        <f t="shared" si="4389"/>
        <v>0</v>
      </c>
      <c r="FU405" s="39">
        <f t="shared" si="4390"/>
        <v>0</v>
      </c>
      <c r="FV405" s="39">
        <f t="shared" ref="FV405:FW405" si="6756">FV$1*FC405/1000000</f>
        <v>0</v>
      </c>
      <c r="FW405" s="39">
        <f t="shared" si="6756"/>
        <v>0</v>
      </c>
      <c r="FX405" s="39">
        <f t="shared" ref="FX405:GC405" si="6757">FX$1*FE405</f>
        <v>0</v>
      </c>
      <c r="FY405" s="39">
        <f t="shared" si="6757"/>
        <v>0</v>
      </c>
      <c r="FZ405" s="39">
        <f t="shared" si="6757"/>
        <v>0</v>
      </c>
      <c r="GA405" s="39">
        <f t="shared" si="6757"/>
        <v>0</v>
      </c>
      <c r="GB405" s="39">
        <f t="shared" si="6757"/>
        <v>0</v>
      </c>
      <c r="GC405" s="39">
        <f t="shared" si="6757"/>
        <v>0</v>
      </c>
      <c r="GD405" s="39">
        <f t="shared" ref="GD405:GH405" si="6758">GD$1*FK405/1000000</f>
        <v>0</v>
      </c>
      <c r="GE405" s="39">
        <f t="shared" si="6758"/>
        <v>0</v>
      </c>
      <c r="GF405" s="39">
        <f t="shared" si="6758"/>
        <v>0</v>
      </c>
      <c r="GG405" s="39">
        <f t="shared" si="6758"/>
        <v>0</v>
      </c>
      <c r="GH405" s="39">
        <f t="shared" si="6758"/>
        <v>0</v>
      </c>
      <c r="GI405" s="39">
        <f t="shared" ref="GI405:GJ405" si="6759">GI$1*FP405</f>
        <v>0</v>
      </c>
      <c r="GJ405" s="39">
        <f t="shared" si="6759"/>
        <v>0</v>
      </c>
      <c r="GK405" s="2"/>
      <c r="GL405" s="39">
        <f t="shared" si="4395"/>
        <v>0</v>
      </c>
      <c r="GM405" s="39">
        <f t="shared" si="4396"/>
        <v>0</v>
      </c>
      <c r="GN405" s="2" t="s">
        <v>3</v>
      </c>
      <c r="GO405" s="2">
        <f t="shared" si="4397"/>
        <v>11.399999999999999</v>
      </c>
      <c r="GP405" s="4">
        <f t="shared" si="4398"/>
        <v>0.17578748079679699</v>
      </c>
      <c r="GQ405" s="15">
        <f t="shared" si="4399"/>
        <v>20.039772810834855</v>
      </c>
      <c r="GR405" s="15">
        <f t="shared" si="4400"/>
        <v>3042.4922814769529</v>
      </c>
      <c r="GS405" s="15">
        <f t="shared" si="4401"/>
        <v>266.88528784885557</v>
      </c>
      <c r="GT405" s="2">
        <f t="shared" si="4402"/>
        <v>6.9551970025734962</v>
      </c>
      <c r="GU405" s="2">
        <f t="shared" si="4403"/>
        <v>7.6296108756306307</v>
      </c>
      <c r="GV405" s="2">
        <f t="shared" si="4404"/>
        <v>5.4549649326307268</v>
      </c>
      <c r="GW405" s="2">
        <f t="shared" si="4405"/>
        <v>0</v>
      </c>
      <c r="GX405" s="2"/>
      <c r="GY405" s="2"/>
      <c r="GZ405" s="2"/>
      <c r="HA405" s="2"/>
      <c r="HB405" s="2">
        <f t="shared" si="4406"/>
        <v>0</v>
      </c>
      <c r="HC405" s="2">
        <f t="shared" si="4407"/>
        <v>0</v>
      </c>
      <c r="HD405" s="2" t="s">
        <v>3</v>
      </c>
      <c r="HE405" s="2" t="s">
        <v>89</v>
      </c>
      <c r="HF405" s="2" t="s">
        <v>90</v>
      </c>
      <c r="HG405" s="2" t="s">
        <v>91</v>
      </c>
      <c r="HH405" s="2" t="s">
        <v>92</v>
      </c>
      <c r="HI405" s="2" t="s">
        <v>81</v>
      </c>
      <c r="HJ405" s="2" t="s">
        <v>3</v>
      </c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 t="s">
        <v>3</v>
      </c>
    </row>
    <row r="406" spans="1:268" ht="15.75" customHeight="1" x14ac:dyDescent="0.2">
      <c r="A406" s="16" t="s">
        <v>643</v>
      </c>
      <c r="B406" s="2"/>
      <c r="C406" s="2"/>
      <c r="D406" s="2"/>
      <c r="E406" s="2"/>
      <c r="F406" s="17" t="s">
        <v>215</v>
      </c>
      <c r="G406" s="2"/>
      <c r="H406" s="2"/>
      <c r="I406" s="2">
        <v>0</v>
      </c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>
        <v>0</v>
      </c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>
        <v>109.6</v>
      </c>
      <c r="AZ406" s="4">
        <v>2.9148595329822911E-2</v>
      </c>
      <c r="BA406" s="4">
        <v>3.9097699999999999E-2</v>
      </c>
      <c r="BB406" s="2"/>
      <c r="BC406" s="2"/>
      <c r="BD406" s="2"/>
      <c r="BE406" s="2"/>
      <c r="BF406" s="2"/>
      <c r="BG406" s="4">
        <v>0.11240231217618901</v>
      </c>
      <c r="BH406" s="2"/>
      <c r="BI406" s="4">
        <v>1.096617</v>
      </c>
      <c r="BJ406" s="4">
        <v>0.96685100000000002</v>
      </c>
      <c r="BK406" s="4">
        <v>0.19744119999999998</v>
      </c>
      <c r="BL406" s="2"/>
      <c r="BM406" s="2"/>
      <c r="BN406" s="2"/>
      <c r="BO406" s="2"/>
      <c r="BP406" s="2"/>
      <c r="BQ406" s="2"/>
      <c r="BR406" s="2"/>
      <c r="BS406" s="2"/>
      <c r="BT406" s="2">
        <v>0</v>
      </c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>
        <v>0</v>
      </c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>
        <f t="shared" si="4367"/>
        <v>0.11240231217618903</v>
      </c>
      <c r="DM406" s="2">
        <f t="shared" si="4368"/>
        <v>0</v>
      </c>
      <c r="DN406" s="2" t="s">
        <v>644</v>
      </c>
      <c r="DO406" s="2" t="s">
        <v>3</v>
      </c>
      <c r="DP406" s="2">
        <f t="shared" si="4369"/>
        <v>3.1946860481485907E-2</v>
      </c>
      <c r="DQ406" s="2">
        <f t="shared" ref="DQ406:DR406" si="6760">K406*$I406+AF406*$AD406+BA406*$AY406</f>
        <v>4.2851079199999997</v>
      </c>
      <c r="DR406" s="2">
        <f t="shared" si="6760"/>
        <v>0</v>
      </c>
      <c r="DS406" s="2">
        <f t="shared" ref="DS406:DX406" si="6761">(M406*$I406+AH406*$AD406+BC406*$AY406)/100</f>
        <v>0</v>
      </c>
      <c r="DT406" s="2">
        <f t="shared" si="6761"/>
        <v>0</v>
      </c>
      <c r="DU406" s="2">
        <f t="shared" si="6761"/>
        <v>0</v>
      </c>
      <c r="DV406" s="2">
        <f t="shared" si="6761"/>
        <v>0</v>
      </c>
      <c r="DW406" s="2">
        <f t="shared" si="6761"/>
        <v>0.12319293414510316</v>
      </c>
      <c r="DX406" s="2">
        <f t="shared" si="6761"/>
        <v>0</v>
      </c>
      <c r="DY406" s="2">
        <f t="shared" ref="DY406:EC406" si="6762">S406*$I406+AN406*$AD406+BI406*$AY406</f>
        <v>120.18922319999999</v>
      </c>
      <c r="DZ406" s="2">
        <f t="shared" si="6762"/>
        <v>105.9668696</v>
      </c>
      <c r="EA406" s="2">
        <f t="shared" si="6762"/>
        <v>21.639555519999998</v>
      </c>
      <c r="EB406" s="2">
        <f t="shared" si="6762"/>
        <v>0</v>
      </c>
      <c r="EC406" s="2">
        <f t="shared" si="6762"/>
        <v>0</v>
      </c>
      <c r="ED406" s="2">
        <f t="shared" ref="ED406:EE406" si="6763">(X406*$I406+AS406*$AD406+BN406*$AY406)/100</f>
        <v>0</v>
      </c>
      <c r="EE406" s="2">
        <f t="shared" si="6763"/>
        <v>0</v>
      </c>
      <c r="EF406" s="2"/>
      <c r="EG406" s="2">
        <f t="shared" si="4374"/>
        <v>0</v>
      </c>
      <c r="EH406" s="2">
        <f t="shared" si="4375"/>
        <v>0</v>
      </c>
      <c r="EI406" s="39">
        <f t="shared" si="4376"/>
        <v>208.47294390775215</v>
      </c>
      <c r="EJ406" s="39">
        <f t="shared" ref="EJ406:EK406" si="6764">EJ$1*DQ406/1000000</f>
        <v>175.26229177620576</v>
      </c>
      <c r="EK406" s="39">
        <f t="shared" si="6764"/>
        <v>0</v>
      </c>
      <c r="EL406" s="39">
        <f t="shared" ref="EL406:EQ406" si="6765">EL$1*DS406</f>
        <v>0</v>
      </c>
      <c r="EM406" s="39">
        <f t="shared" si="6765"/>
        <v>0</v>
      </c>
      <c r="EN406" s="39">
        <f t="shared" si="6765"/>
        <v>0</v>
      </c>
      <c r="EO406" s="39">
        <f t="shared" si="6765"/>
        <v>0</v>
      </c>
      <c r="EP406" s="39">
        <f t="shared" si="6765"/>
        <v>1615.5521383788828</v>
      </c>
      <c r="EQ406" s="39">
        <f t="shared" si="6765"/>
        <v>0</v>
      </c>
      <c r="ER406" s="39">
        <f t="shared" ref="ER406:EV406" si="6766">ER$1*DY406/1000000</f>
        <v>3411.1324678363976</v>
      </c>
      <c r="ES406" s="39">
        <f t="shared" si="6766"/>
        <v>3531.4225935539553</v>
      </c>
      <c r="ET406" s="39">
        <f t="shared" si="6766"/>
        <v>1548.3762989921543</v>
      </c>
      <c r="EU406" s="39">
        <f t="shared" si="6766"/>
        <v>0</v>
      </c>
      <c r="EV406" s="39">
        <f t="shared" si="6766"/>
        <v>0</v>
      </c>
      <c r="EW406" s="39">
        <f t="shared" ref="EW406:EX406" si="6767">EW$1*ED406</f>
        <v>0</v>
      </c>
      <c r="EX406" s="39">
        <f t="shared" si="6767"/>
        <v>0</v>
      </c>
      <c r="EY406" s="2"/>
      <c r="EZ406" s="39">
        <f t="shared" si="4381"/>
        <v>0</v>
      </c>
      <c r="FA406" s="39">
        <f t="shared" si="4382"/>
        <v>0</v>
      </c>
      <c r="FB406" s="2">
        <f t="shared" si="4383"/>
        <v>0</v>
      </c>
      <c r="FC406" s="2">
        <f t="shared" ref="FC406:FD406" si="6768">BV406*$BT406+CQ406*$CO406</f>
        <v>0</v>
      </c>
      <c r="FD406" s="2">
        <f t="shared" si="6768"/>
        <v>0</v>
      </c>
      <c r="FE406" s="2">
        <f t="shared" ref="FE406:FJ406" si="6769">(BX406*$BT406+CS406*$CO406)/100</f>
        <v>0</v>
      </c>
      <c r="FF406" s="2">
        <f t="shared" si="6769"/>
        <v>0</v>
      </c>
      <c r="FG406" s="2">
        <f t="shared" si="6769"/>
        <v>0</v>
      </c>
      <c r="FH406" s="2">
        <f t="shared" si="6769"/>
        <v>0</v>
      </c>
      <c r="FI406" s="2">
        <f t="shared" si="6769"/>
        <v>0</v>
      </c>
      <c r="FJ406" s="2">
        <f t="shared" si="6769"/>
        <v>0</v>
      </c>
      <c r="FK406" s="2">
        <f t="shared" ref="FK406:FO406" si="6770">CD406*$BT406+CY406*$CO406</f>
        <v>0</v>
      </c>
      <c r="FL406" s="2">
        <f t="shared" si="6770"/>
        <v>0</v>
      </c>
      <c r="FM406" s="2">
        <f t="shared" si="6770"/>
        <v>0</v>
      </c>
      <c r="FN406" s="2">
        <f t="shared" si="6770"/>
        <v>0</v>
      </c>
      <c r="FO406" s="2">
        <f t="shared" si="6770"/>
        <v>0</v>
      </c>
      <c r="FP406" s="2">
        <f t="shared" ref="FP406:FQ406" si="6771">(CI406*$BT406+DD406*$CO406)/100</f>
        <v>0</v>
      </c>
      <c r="FQ406" s="2">
        <f t="shared" si="6771"/>
        <v>0</v>
      </c>
      <c r="FR406" s="2"/>
      <c r="FS406" s="2">
        <f t="shared" si="4388"/>
        <v>0</v>
      </c>
      <c r="FT406" s="2">
        <f t="shared" si="4389"/>
        <v>0</v>
      </c>
      <c r="FU406" s="39">
        <f t="shared" si="4390"/>
        <v>0</v>
      </c>
      <c r="FV406" s="39">
        <f t="shared" ref="FV406:FW406" si="6772">FV$1*FC406/1000000</f>
        <v>0</v>
      </c>
      <c r="FW406" s="39">
        <f t="shared" si="6772"/>
        <v>0</v>
      </c>
      <c r="FX406" s="39">
        <f t="shared" ref="FX406:GC406" si="6773">FX$1*FE406</f>
        <v>0</v>
      </c>
      <c r="FY406" s="39">
        <f t="shared" si="6773"/>
        <v>0</v>
      </c>
      <c r="FZ406" s="39">
        <f t="shared" si="6773"/>
        <v>0</v>
      </c>
      <c r="GA406" s="39">
        <f t="shared" si="6773"/>
        <v>0</v>
      </c>
      <c r="GB406" s="39">
        <f t="shared" si="6773"/>
        <v>0</v>
      </c>
      <c r="GC406" s="39">
        <f t="shared" si="6773"/>
        <v>0</v>
      </c>
      <c r="GD406" s="39">
        <f t="shared" ref="GD406:GH406" si="6774">GD$1*FK406/1000000</f>
        <v>0</v>
      </c>
      <c r="GE406" s="39">
        <f t="shared" si="6774"/>
        <v>0</v>
      </c>
      <c r="GF406" s="39">
        <f t="shared" si="6774"/>
        <v>0</v>
      </c>
      <c r="GG406" s="39">
        <f t="shared" si="6774"/>
        <v>0</v>
      </c>
      <c r="GH406" s="39">
        <f t="shared" si="6774"/>
        <v>0</v>
      </c>
      <c r="GI406" s="39">
        <f t="shared" ref="GI406:GJ406" si="6775">GI$1*FP406</f>
        <v>0</v>
      </c>
      <c r="GJ406" s="39">
        <f t="shared" si="6775"/>
        <v>0</v>
      </c>
      <c r="GK406" s="2"/>
      <c r="GL406" s="39">
        <f t="shared" si="4395"/>
        <v>0</v>
      </c>
      <c r="GM406" s="39">
        <f t="shared" si="4396"/>
        <v>0</v>
      </c>
      <c r="GN406" s="2" t="s">
        <v>3</v>
      </c>
      <c r="GO406" s="2">
        <f t="shared" si="4397"/>
        <v>109.6</v>
      </c>
      <c r="GP406" s="4">
        <f t="shared" si="4398"/>
        <v>0.11240231217618903</v>
      </c>
      <c r="GQ406" s="15">
        <f t="shared" si="4399"/>
        <v>123.19293414510317</v>
      </c>
      <c r="GR406" s="15">
        <f t="shared" si="4400"/>
        <v>10490.218734445347</v>
      </c>
      <c r="GS406" s="15">
        <f t="shared" si="4401"/>
        <v>95.71367458435536</v>
      </c>
      <c r="GT406" s="2">
        <f t="shared" si="4402"/>
        <v>0</v>
      </c>
      <c r="GU406" s="2">
        <f t="shared" si="4403"/>
        <v>0</v>
      </c>
      <c r="GV406" s="2">
        <f t="shared" si="4404"/>
        <v>123.19293414510315</v>
      </c>
      <c r="GW406" s="2">
        <f t="shared" si="4405"/>
        <v>0</v>
      </c>
      <c r="GX406" s="2"/>
      <c r="GY406" s="2"/>
      <c r="GZ406" s="2"/>
      <c r="HA406" s="2"/>
      <c r="HB406" s="2">
        <f t="shared" si="4406"/>
        <v>0</v>
      </c>
      <c r="HC406" s="2">
        <f t="shared" si="4407"/>
        <v>0</v>
      </c>
      <c r="HD406" s="2" t="s">
        <v>3</v>
      </c>
      <c r="HE406" s="2" t="s">
        <v>89</v>
      </c>
      <c r="HF406" s="2" t="s">
        <v>90</v>
      </c>
      <c r="HG406" s="2" t="s">
        <v>91</v>
      </c>
      <c r="HH406" s="2" t="s">
        <v>226</v>
      </c>
      <c r="HI406" s="2" t="s">
        <v>81</v>
      </c>
      <c r="HJ406" s="2" t="s">
        <v>3</v>
      </c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 t="s">
        <v>3</v>
      </c>
    </row>
    <row r="407" spans="1:268" ht="15.75" customHeight="1" x14ac:dyDescent="0.2">
      <c r="A407" s="16" t="s">
        <v>670</v>
      </c>
      <c r="B407" s="2"/>
      <c r="C407" s="2"/>
      <c r="D407" s="2"/>
      <c r="E407" s="2"/>
      <c r="F407" s="2" t="s">
        <v>671</v>
      </c>
      <c r="G407" s="2"/>
      <c r="H407" s="2"/>
      <c r="I407" s="2">
        <v>38.6</v>
      </c>
      <c r="J407" s="2">
        <v>0.14000000000000001</v>
      </c>
      <c r="K407" s="4">
        <v>2.1090000000000001E-2</v>
      </c>
      <c r="L407" s="2"/>
      <c r="M407" s="2"/>
      <c r="N407" s="2"/>
      <c r="O407" s="2"/>
      <c r="P407" s="2"/>
      <c r="Q407" s="2">
        <v>0.05</v>
      </c>
      <c r="R407" s="2">
        <v>7.0000000000000007E-2</v>
      </c>
      <c r="S407" s="4">
        <v>1.8381600000000002</v>
      </c>
      <c r="T407" s="4">
        <v>1.0089900000000001</v>
      </c>
      <c r="U407" s="4">
        <v>0.31486999999999998</v>
      </c>
      <c r="V407" s="4">
        <v>0.40515000000000001</v>
      </c>
      <c r="W407" s="4">
        <v>0.11174000000000001</v>
      </c>
      <c r="X407" s="2"/>
      <c r="Y407" s="2"/>
      <c r="Z407" s="2"/>
      <c r="AA407" s="2"/>
      <c r="AB407" s="2"/>
      <c r="AC407" s="2"/>
      <c r="AD407" s="2">
        <v>4.9000000000000004</v>
      </c>
      <c r="AE407" s="2">
        <v>0.14000000000000001</v>
      </c>
      <c r="AF407" s="4">
        <v>2.5080000000000002E-2</v>
      </c>
      <c r="AG407" s="2"/>
      <c r="AH407" s="2"/>
      <c r="AI407" s="2"/>
      <c r="AJ407" s="2"/>
      <c r="AK407" s="2"/>
      <c r="AL407" s="2">
        <v>0.05</v>
      </c>
      <c r="AM407" s="2">
        <v>7.0000000000000007E-2</v>
      </c>
      <c r="AN407" s="4">
        <v>2.1859200000000003</v>
      </c>
      <c r="AO407" s="4">
        <v>1.1998800000000001</v>
      </c>
      <c r="AP407" s="4">
        <v>0.37444</v>
      </c>
      <c r="AQ407" s="4">
        <v>0.48180000000000006</v>
      </c>
      <c r="AR407" s="4">
        <v>0.13288000000000003</v>
      </c>
      <c r="AS407" s="2"/>
      <c r="AT407" s="2"/>
      <c r="AU407" s="2"/>
      <c r="AV407" s="2"/>
      <c r="AW407" s="2"/>
      <c r="AX407" s="2"/>
      <c r="AY407" s="2">
        <v>0</v>
      </c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15">
        <v>16</v>
      </c>
      <c r="BU407" s="2">
        <v>0.14000000000000001</v>
      </c>
      <c r="BV407" s="4">
        <v>1.8283846153846154E-2</v>
      </c>
      <c r="BW407" s="2"/>
      <c r="BX407" s="2"/>
      <c r="BY407" s="2"/>
      <c r="BZ407" s="2"/>
      <c r="CA407" s="2"/>
      <c r="CB407" s="2">
        <v>0.05</v>
      </c>
      <c r="CC407" s="2">
        <v>7.0000000000000007E-2</v>
      </c>
      <c r="CD407" s="4">
        <v>1.5935815384615384</v>
      </c>
      <c r="CE407" s="4">
        <v>0.87473769230769227</v>
      </c>
      <c r="CF407" s="4">
        <v>0.27297461538461537</v>
      </c>
      <c r="CG407" s="4">
        <v>0.35124230769230769</v>
      </c>
      <c r="CH407" s="4">
        <v>9.6872307692307688E-2</v>
      </c>
      <c r="CI407" s="2"/>
      <c r="CJ407" s="2"/>
      <c r="CK407" s="2"/>
      <c r="CL407" s="2"/>
      <c r="CM407" s="2"/>
      <c r="CN407" s="2"/>
      <c r="CO407" s="2">
        <v>0</v>
      </c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 t="s">
        <v>81</v>
      </c>
      <c r="DK407" s="2" t="s">
        <v>81</v>
      </c>
      <c r="DL407" s="2">
        <f t="shared" si="4367"/>
        <v>0.05</v>
      </c>
      <c r="DM407" s="2">
        <f t="shared" si="4368"/>
        <v>7.0000000000000007E-2</v>
      </c>
      <c r="DN407" s="2" t="s">
        <v>95</v>
      </c>
      <c r="DO407" s="2" t="s">
        <v>3</v>
      </c>
      <c r="DP407" s="2">
        <f t="shared" si="4369"/>
        <v>6.090000000000001E-2</v>
      </c>
      <c r="DQ407" s="2">
        <f t="shared" ref="DQ407:DR407" si="6776">K407*$I407+AF407*$AD407+BA407*$AY407</f>
        <v>0.93696600000000008</v>
      </c>
      <c r="DR407" s="2">
        <f t="shared" si="6776"/>
        <v>0</v>
      </c>
      <c r="DS407" s="2">
        <f t="shared" ref="DS407:DX407" si="6777">(M407*$I407+AH407*$AD407+BC407*$AY407)/100</f>
        <v>0</v>
      </c>
      <c r="DT407" s="2">
        <f t="shared" si="6777"/>
        <v>0</v>
      </c>
      <c r="DU407" s="2">
        <f t="shared" si="6777"/>
        <v>0</v>
      </c>
      <c r="DV407" s="2">
        <f t="shared" si="6777"/>
        <v>0</v>
      </c>
      <c r="DW407" s="2">
        <f t="shared" si="6777"/>
        <v>2.1750000000000002E-2</v>
      </c>
      <c r="DX407" s="2">
        <f t="shared" si="6777"/>
        <v>3.0450000000000005E-2</v>
      </c>
      <c r="DY407" s="2">
        <f t="shared" ref="DY407:EC407" si="6778">S407*$I407+AN407*$AD407+BI407*$AY407</f>
        <v>81.663984000000013</v>
      </c>
      <c r="DZ407" s="2">
        <f t="shared" si="6778"/>
        <v>44.826426000000005</v>
      </c>
      <c r="EA407" s="2">
        <f t="shared" si="6778"/>
        <v>13.988738</v>
      </c>
      <c r="EB407" s="2">
        <f t="shared" si="6778"/>
        <v>17.999610000000001</v>
      </c>
      <c r="EC407" s="2">
        <f t="shared" si="6778"/>
        <v>4.9642760000000008</v>
      </c>
      <c r="ED407" s="2">
        <f t="shared" ref="ED407:EE407" si="6779">(X407*$I407+AS407*$AD407+BN407*$AY407)/100</f>
        <v>0</v>
      </c>
      <c r="EE407" s="2">
        <f t="shared" si="6779"/>
        <v>0</v>
      </c>
      <c r="EF407" s="2"/>
      <c r="EG407" s="2">
        <f t="shared" si="4374"/>
        <v>0</v>
      </c>
      <c r="EH407" s="2">
        <f t="shared" si="4375"/>
        <v>0</v>
      </c>
      <c r="EI407" s="39">
        <f t="shared" si="4376"/>
        <v>397.41001440000008</v>
      </c>
      <c r="EJ407" s="39">
        <f t="shared" ref="EJ407:EK407" si="6780">EJ$1*DQ407/1000000</f>
        <v>38.322210675241159</v>
      </c>
      <c r="EK407" s="39">
        <f t="shared" si="6780"/>
        <v>0</v>
      </c>
      <c r="EL407" s="39">
        <f t="shared" ref="EL407:EQ407" si="6781">EL$1*DS407</f>
        <v>0</v>
      </c>
      <c r="EM407" s="39">
        <f t="shared" si="6781"/>
        <v>0</v>
      </c>
      <c r="EN407" s="39">
        <f t="shared" si="6781"/>
        <v>0</v>
      </c>
      <c r="EO407" s="39">
        <f t="shared" si="6781"/>
        <v>0</v>
      </c>
      <c r="EP407" s="39">
        <f t="shared" si="6781"/>
        <v>285.22950000000003</v>
      </c>
      <c r="EQ407" s="39">
        <f t="shared" si="6781"/>
        <v>2211.2645058000003</v>
      </c>
      <c r="ER407" s="39">
        <f t="shared" ref="ER407:EV407" si="6782">ER$1*DY407/1000000</f>
        <v>2317.7341516861734</v>
      </c>
      <c r="ES407" s="39">
        <f t="shared" si="6782"/>
        <v>1493.8730771440519</v>
      </c>
      <c r="ET407" s="39">
        <f t="shared" si="6782"/>
        <v>1000.9369347717043</v>
      </c>
      <c r="EU407" s="39">
        <f t="shared" si="6782"/>
        <v>141.45609903858519</v>
      </c>
      <c r="EV407" s="39">
        <f t="shared" si="6782"/>
        <v>206.43566631897107</v>
      </c>
      <c r="EW407" s="39">
        <f t="shared" ref="EW407:EX407" si="6783">EW$1*ED407</f>
        <v>0</v>
      </c>
      <c r="EX407" s="39">
        <f t="shared" si="6783"/>
        <v>0</v>
      </c>
      <c r="EY407" s="2"/>
      <c r="EZ407" s="39">
        <f t="shared" si="4381"/>
        <v>0</v>
      </c>
      <c r="FA407" s="39">
        <f t="shared" si="4382"/>
        <v>0</v>
      </c>
      <c r="FB407" s="2">
        <f t="shared" si="4383"/>
        <v>2.2400000000000003E-2</v>
      </c>
      <c r="FC407" s="2">
        <f t="shared" ref="FC407:FD407" si="6784">BV407*$BT407+CQ407*$CO407</f>
        <v>0.29254153846153846</v>
      </c>
      <c r="FD407" s="2">
        <f t="shared" si="6784"/>
        <v>0</v>
      </c>
      <c r="FE407" s="2">
        <f t="shared" ref="FE407:FJ407" si="6785">(BX407*$BT407+CS407*$CO407)/100</f>
        <v>0</v>
      </c>
      <c r="FF407" s="2">
        <f t="shared" si="6785"/>
        <v>0</v>
      </c>
      <c r="FG407" s="2">
        <f t="shared" si="6785"/>
        <v>0</v>
      </c>
      <c r="FH407" s="2">
        <f t="shared" si="6785"/>
        <v>0</v>
      </c>
      <c r="FI407" s="2">
        <f t="shared" si="6785"/>
        <v>8.0000000000000002E-3</v>
      </c>
      <c r="FJ407" s="2">
        <f t="shared" si="6785"/>
        <v>1.1200000000000002E-2</v>
      </c>
      <c r="FK407" s="2">
        <f t="shared" ref="FK407:FO407" si="6786">CD407*$BT407+CY407*$CO407</f>
        <v>25.497304615384614</v>
      </c>
      <c r="FL407" s="2">
        <f t="shared" si="6786"/>
        <v>13.995803076923076</v>
      </c>
      <c r="FM407" s="2">
        <f t="shared" si="6786"/>
        <v>4.3675938461538459</v>
      </c>
      <c r="FN407" s="2">
        <f t="shared" si="6786"/>
        <v>5.619876923076923</v>
      </c>
      <c r="FO407" s="2">
        <f t="shared" si="6786"/>
        <v>1.549956923076923</v>
      </c>
      <c r="FP407" s="2">
        <f t="shared" ref="FP407:FQ407" si="6787">(CI407*$BT407+DD407*$CO407)/100</f>
        <v>0</v>
      </c>
      <c r="FQ407" s="2">
        <f t="shared" si="6787"/>
        <v>0</v>
      </c>
      <c r="FR407" s="2"/>
      <c r="FS407" s="2">
        <f t="shared" si="4388"/>
        <v>0</v>
      </c>
      <c r="FT407" s="2">
        <f t="shared" si="4389"/>
        <v>0</v>
      </c>
      <c r="FU407" s="39">
        <f t="shared" si="4390"/>
        <v>146.17379840000001</v>
      </c>
      <c r="FV407" s="39">
        <f t="shared" ref="FV407:FW407" si="6788">FV$1*FC407/1000000</f>
        <v>11.965042987880286</v>
      </c>
      <c r="FW407" s="39">
        <f t="shared" si="6788"/>
        <v>0</v>
      </c>
      <c r="FX407" s="39">
        <f t="shared" ref="FX407:GC407" si="6789">FX$1*FE407</f>
        <v>0</v>
      </c>
      <c r="FY407" s="39">
        <f t="shared" si="6789"/>
        <v>0</v>
      </c>
      <c r="FZ407" s="39">
        <f t="shared" si="6789"/>
        <v>0</v>
      </c>
      <c r="GA407" s="39">
        <f t="shared" si="6789"/>
        <v>0</v>
      </c>
      <c r="GB407" s="39">
        <f t="shared" si="6789"/>
        <v>104.91200000000001</v>
      </c>
      <c r="GC407" s="39">
        <f t="shared" si="6789"/>
        <v>813.33866880000005</v>
      </c>
      <c r="GD407" s="39">
        <f t="shared" ref="GD407:GH407" si="6790">GD$1*FK407/1000000</f>
        <v>723.64793864358137</v>
      </c>
      <c r="GE407" s="39">
        <f t="shared" si="6790"/>
        <v>466.42026311946574</v>
      </c>
      <c r="GF407" s="39">
        <f t="shared" si="6790"/>
        <v>312.51468121691818</v>
      </c>
      <c r="GG407" s="39">
        <f t="shared" si="6790"/>
        <v>44.165727291615127</v>
      </c>
      <c r="GH407" s="39">
        <f t="shared" si="6790"/>
        <v>64.453787456838967</v>
      </c>
      <c r="GI407" s="39">
        <f t="shared" ref="GI407:GJ407" si="6791">GI$1*FP407</f>
        <v>0</v>
      </c>
      <c r="GJ407" s="39">
        <f t="shared" si="6791"/>
        <v>0</v>
      </c>
      <c r="GK407" s="2"/>
      <c r="GL407" s="39">
        <f t="shared" si="4395"/>
        <v>0</v>
      </c>
      <c r="GM407" s="39">
        <f t="shared" si="4396"/>
        <v>0</v>
      </c>
      <c r="GN407" s="2" t="s">
        <v>3</v>
      </c>
      <c r="GO407" s="2">
        <f t="shared" si="4397"/>
        <v>43.5</v>
      </c>
      <c r="GP407" s="4">
        <f t="shared" si="4398"/>
        <v>0.05</v>
      </c>
      <c r="GQ407" s="15">
        <f t="shared" si="4399"/>
        <v>21.75</v>
      </c>
      <c r="GR407" s="15">
        <f t="shared" si="4400"/>
        <v>8092.6621598347274</v>
      </c>
      <c r="GS407" s="15">
        <f t="shared" si="4401"/>
        <v>186.03821057091326</v>
      </c>
      <c r="GT407" s="2">
        <f t="shared" si="4402"/>
        <v>19.3</v>
      </c>
      <c r="GU407" s="2">
        <f t="shared" si="4403"/>
        <v>2.4500000000000002</v>
      </c>
      <c r="GV407" s="2">
        <f t="shared" si="4404"/>
        <v>0</v>
      </c>
      <c r="GW407" s="15">
        <f t="shared" si="4405"/>
        <v>16</v>
      </c>
      <c r="GX407" s="2">
        <f>(BT407*CB407+CO407*CW407)/GW407</f>
        <v>0.05</v>
      </c>
      <c r="GY407" s="15">
        <f>1000*GW407*GX407/100</f>
        <v>8</v>
      </c>
      <c r="GZ407" s="15">
        <f>SUM(FU407:GM407)</f>
        <v>2687.5919079162995</v>
      </c>
      <c r="HA407" s="15">
        <f>GZ407/GW407</f>
        <v>167.97449424476872</v>
      </c>
      <c r="HB407" s="2">
        <f t="shared" si="4406"/>
        <v>8</v>
      </c>
      <c r="HC407" s="2">
        <f t="shared" si="4407"/>
        <v>0</v>
      </c>
      <c r="HD407" s="2" t="s">
        <v>3</v>
      </c>
      <c r="HE407" s="2" t="s">
        <v>89</v>
      </c>
      <c r="HF407" s="2" t="s">
        <v>90</v>
      </c>
      <c r="HG407" s="2" t="s">
        <v>91</v>
      </c>
      <c r="HH407" s="2" t="s">
        <v>92</v>
      </c>
      <c r="HI407" s="2" t="s">
        <v>81</v>
      </c>
      <c r="HJ407" s="2" t="s">
        <v>3</v>
      </c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 t="s">
        <v>3</v>
      </c>
    </row>
    <row r="408" spans="1:268" ht="15.75" customHeight="1" x14ac:dyDescent="0.2">
      <c r="A408" s="16" t="s">
        <v>672</v>
      </c>
      <c r="B408" s="2"/>
      <c r="C408" s="2"/>
      <c r="D408" s="2"/>
      <c r="E408" s="2"/>
      <c r="F408" s="2" t="s">
        <v>673</v>
      </c>
      <c r="G408" s="2"/>
      <c r="H408" s="2"/>
      <c r="I408" s="2">
        <v>0</v>
      </c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>
        <v>0</v>
      </c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>
        <v>148.80000000000001</v>
      </c>
      <c r="AZ408" s="4">
        <v>3.2000000000000001E-2</v>
      </c>
      <c r="BA408" s="4">
        <v>0.14000000000000001</v>
      </c>
      <c r="BB408" s="2"/>
      <c r="BC408" s="2"/>
      <c r="BD408" s="2"/>
      <c r="BE408" s="2"/>
      <c r="BF408" s="2"/>
      <c r="BG408" s="4">
        <v>0.13200000000000001</v>
      </c>
      <c r="BH408" s="2"/>
      <c r="BI408" s="4">
        <v>4.1100000000000003</v>
      </c>
      <c r="BJ408" s="4">
        <v>1.72</v>
      </c>
      <c r="BK408" s="4">
        <v>0.56000000000000005</v>
      </c>
      <c r="BL408" s="2"/>
      <c r="BM408" s="2"/>
      <c r="BN408" s="2"/>
      <c r="BO408" s="2"/>
      <c r="BP408" s="2"/>
      <c r="BQ408" s="2"/>
      <c r="BR408" s="2"/>
      <c r="BS408" s="2"/>
      <c r="BT408" s="2">
        <v>0</v>
      </c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>
        <v>0</v>
      </c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 t="s">
        <v>81</v>
      </c>
      <c r="DK408" s="2"/>
      <c r="DL408" s="2">
        <f t="shared" si="4367"/>
        <v>0.13200000000000001</v>
      </c>
      <c r="DM408" s="2">
        <f t="shared" si="4368"/>
        <v>0</v>
      </c>
      <c r="DN408" s="2" t="s">
        <v>512</v>
      </c>
      <c r="DO408" s="2" t="s">
        <v>3</v>
      </c>
      <c r="DP408" s="2">
        <f t="shared" si="4369"/>
        <v>4.7616000000000006E-2</v>
      </c>
      <c r="DQ408" s="2">
        <f t="shared" ref="DQ408:DR408" si="6792">K408*$I408+AF408*$AD408+BA408*$AY408</f>
        <v>20.832000000000004</v>
      </c>
      <c r="DR408" s="2">
        <f t="shared" si="6792"/>
        <v>0</v>
      </c>
      <c r="DS408" s="2">
        <f t="shared" ref="DS408:DX408" si="6793">(M408*$I408+AH408*$AD408+BC408*$AY408)/100</f>
        <v>0</v>
      </c>
      <c r="DT408" s="2">
        <f t="shared" si="6793"/>
        <v>0</v>
      </c>
      <c r="DU408" s="2">
        <f t="shared" si="6793"/>
        <v>0</v>
      </c>
      <c r="DV408" s="2">
        <f t="shared" si="6793"/>
        <v>0</v>
      </c>
      <c r="DW408" s="2">
        <f t="shared" si="6793"/>
        <v>0.19641600000000004</v>
      </c>
      <c r="DX408" s="2">
        <f t="shared" si="6793"/>
        <v>0</v>
      </c>
      <c r="DY408" s="2">
        <f t="shared" ref="DY408:EC408" si="6794">S408*$I408+AN408*$AD408+BI408*$AY408</f>
        <v>611.5680000000001</v>
      </c>
      <c r="DZ408" s="2">
        <f t="shared" si="6794"/>
        <v>255.93600000000001</v>
      </c>
      <c r="EA408" s="2">
        <f t="shared" si="6794"/>
        <v>83.328000000000017</v>
      </c>
      <c r="EB408" s="2">
        <f t="shared" si="6794"/>
        <v>0</v>
      </c>
      <c r="EC408" s="2">
        <f t="shared" si="6794"/>
        <v>0</v>
      </c>
      <c r="ED408" s="2">
        <f t="shared" ref="ED408:EE408" si="6795">(X408*$I408+AS408*$AD408+BN408*$AY408)/100</f>
        <v>0</v>
      </c>
      <c r="EE408" s="2">
        <f t="shared" si="6795"/>
        <v>0</v>
      </c>
      <c r="EF408" s="2"/>
      <c r="EG408" s="2">
        <f t="shared" si="4374"/>
        <v>0</v>
      </c>
      <c r="EH408" s="2">
        <f t="shared" si="4375"/>
        <v>0</v>
      </c>
      <c r="EI408" s="39">
        <f t="shared" si="4376"/>
        <v>310.72373145600005</v>
      </c>
      <c r="EJ408" s="39">
        <f t="shared" ref="EJ408:EK408" si="6796">EJ$1*DQ408/1000000</f>
        <v>852.0354983922831</v>
      </c>
      <c r="EK408" s="39">
        <f t="shared" si="6796"/>
        <v>0</v>
      </c>
      <c r="EL408" s="39">
        <f t="shared" ref="EL408:EQ408" si="6797">EL$1*DS408</f>
        <v>0</v>
      </c>
      <c r="EM408" s="39">
        <f t="shared" si="6797"/>
        <v>0</v>
      </c>
      <c r="EN408" s="39">
        <f t="shared" si="6797"/>
        <v>0</v>
      </c>
      <c r="EO408" s="39">
        <f t="shared" si="6797"/>
        <v>0</v>
      </c>
      <c r="EP408" s="39">
        <f t="shared" si="6797"/>
        <v>2575.7994240000003</v>
      </c>
      <c r="EQ408" s="39">
        <f t="shared" si="6797"/>
        <v>0</v>
      </c>
      <c r="ER408" s="39">
        <f t="shared" ref="ER408:EV408" si="6798">ER$1*DY408/1000000</f>
        <v>17357.12575176849</v>
      </c>
      <c r="ES408" s="39">
        <f t="shared" si="6798"/>
        <v>8529.252362700965</v>
      </c>
      <c r="ET408" s="39">
        <f t="shared" si="6798"/>
        <v>5962.3729389067548</v>
      </c>
      <c r="EU408" s="39">
        <f t="shared" si="6798"/>
        <v>0</v>
      </c>
      <c r="EV408" s="39">
        <f t="shared" si="6798"/>
        <v>0</v>
      </c>
      <c r="EW408" s="39">
        <f t="shared" ref="EW408:EX408" si="6799">EW$1*ED408</f>
        <v>0</v>
      </c>
      <c r="EX408" s="39">
        <f t="shared" si="6799"/>
        <v>0</v>
      </c>
      <c r="EY408" s="2"/>
      <c r="EZ408" s="39">
        <f t="shared" si="4381"/>
        <v>0</v>
      </c>
      <c r="FA408" s="39">
        <f t="shared" si="4382"/>
        <v>0</v>
      </c>
      <c r="FB408" s="2">
        <f t="shared" si="4383"/>
        <v>0</v>
      </c>
      <c r="FC408" s="2">
        <f t="shared" ref="FC408:FD408" si="6800">BV408*$BT408+CQ408*$CO408</f>
        <v>0</v>
      </c>
      <c r="FD408" s="2">
        <f t="shared" si="6800"/>
        <v>0</v>
      </c>
      <c r="FE408" s="2">
        <f t="shared" ref="FE408:FJ408" si="6801">(BX408*$BT408+CS408*$CO408)/100</f>
        <v>0</v>
      </c>
      <c r="FF408" s="2">
        <f t="shared" si="6801"/>
        <v>0</v>
      </c>
      <c r="FG408" s="2">
        <f t="shared" si="6801"/>
        <v>0</v>
      </c>
      <c r="FH408" s="2">
        <f t="shared" si="6801"/>
        <v>0</v>
      </c>
      <c r="FI408" s="2">
        <f t="shared" si="6801"/>
        <v>0</v>
      </c>
      <c r="FJ408" s="2">
        <f t="shared" si="6801"/>
        <v>0</v>
      </c>
      <c r="FK408" s="2">
        <f t="shared" ref="FK408:FO408" si="6802">CD408*$BT408+CY408*$CO408</f>
        <v>0</v>
      </c>
      <c r="FL408" s="2">
        <f t="shared" si="6802"/>
        <v>0</v>
      </c>
      <c r="FM408" s="2">
        <f t="shared" si="6802"/>
        <v>0</v>
      </c>
      <c r="FN408" s="2">
        <f t="shared" si="6802"/>
        <v>0</v>
      </c>
      <c r="FO408" s="2">
        <f t="shared" si="6802"/>
        <v>0</v>
      </c>
      <c r="FP408" s="2">
        <f t="shared" ref="FP408:FQ408" si="6803">(CI408*$BT408+DD408*$CO408)/100</f>
        <v>0</v>
      </c>
      <c r="FQ408" s="2">
        <f t="shared" si="6803"/>
        <v>0</v>
      </c>
      <c r="FR408" s="2"/>
      <c r="FS408" s="2">
        <f t="shared" si="4388"/>
        <v>0</v>
      </c>
      <c r="FT408" s="2">
        <f t="shared" si="4389"/>
        <v>0</v>
      </c>
      <c r="FU408" s="39">
        <f t="shared" si="4390"/>
        <v>0</v>
      </c>
      <c r="FV408" s="39">
        <f t="shared" ref="FV408:FW408" si="6804">FV$1*FC408/1000000</f>
        <v>0</v>
      </c>
      <c r="FW408" s="39">
        <f t="shared" si="6804"/>
        <v>0</v>
      </c>
      <c r="FX408" s="39">
        <f t="shared" ref="FX408:GC408" si="6805">FX$1*FE408</f>
        <v>0</v>
      </c>
      <c r="FY408" s="39">
        <f t="shared" si="6805"/>
        <v>0</v>
      </c>
      <c r="FZ408" s="39">
        <f t="shared" si="6805"/>
        <v>0</v>
      </c>
      <c r="GA408" s="39">
        <f t="shared" si="6805"/>
        <v>0</v>
      </c>
      <c r="GB408" s="39">
        <f t="shared" si="6805"/>
        <v>0</v>
      </c>
      <c r="GC408" s="39">
        <f t="shared" si="6805"/>
        <v>0</v>
      </c>
      <c r="GD408" s="39">
        <f t="shared" ref="GD408:GH408" si="6806">GD$1*FK408/1000000</f>
        <v>0</v>
      </c>
      <c r="GE408" s="39">
        <f t="shared" si="6806"/>
        <v>0</v>
      </c>
      <c r="GF408" s="39">
        <f t="shared" si="6806"/>
        <v>0</v>
      </c>
      <c r="GG408" s="39">
        <f t="shared" si="6806"/>
        <v>0</v>
      </c>
      <c r="GH408" s="39">
        <f t="shared" si="6806"/>
        <v>0</v>
      </c>
      <c r="GI408" s="39">
        <f t="shared" ref="GI408:GJ408" si="6807">GI$1*FP408</f>
        <v>0</v>
      </c>
      <c r="GJ408" s="39">
        <f t="shared" si="6807"/>
        <v>0</v>
      </c>
      <c r="GK408" s="2"/>
      <c r="GL408" s="39">
        <f t="shared" si="4395"/>
        <v>0</v>
      </c>
      <c r="GM408" s="39">
        <f t="shared" si="4396"/>
        <v>0</v>
      </c>
      <c r="GN408" s="2" t="s">
        <v>3</v>
      </c>
      <c r="GO408" s="2">
        <f t="shared" si="4397"/>
        <v>148.80000000000001</v>
      </c>
      <c r="GP408" s="4">
        <f t="shared" si="4398"/>
        <v>0.13200000000000001</v>
      </c>
      <c r="GQ408" s="15">
        <f t="shared" si="4399"/>
        <v>196.41600000000003</v>
      </c>
      <c r="GR408" s="15">
        <f t="shared" si="4400"/>
        <v>35587.309707224493</v>
      </c>
      <c r="GS408" s="15">
        <f t="shared" si="4401"/>
        <v>239.16202760231513</v>
      </c>
      <c r="GT408" s="2">
        <f t="shared" si="4402"/>
        <v>0</v>
      </c>
      <c r="GU408" s="2">
        <f t="shared" si="4403"/>
        <v>0</v>
      </c>
      <c r="GV408" s="2">
        <f t="shared" si="4404"/>
        <v>196.41600000000003</v>
      </c>
      <c r="GW408" s="2">
        <f t="shared" si="4405"/>
        <v>0</v>
      </c>
      <c r="GX408" s="2"/>
      <c r="GY408" s="2"/>
      <c r="GZ408" s="2"/>
      <c r="HA408" s="2"/>
      <c r="HB408" s="2">
        <f t="shared" si="4406"/>
        <v>0</v>
      </c>
      <c r="HC408" s="2">
        <f t="shared" si="4407"/>
        <v>0</v>
      </c>
      <c r="HD408" s="2" t="s">
        <v>3</v>
      </c>
      <c r="HE408" s="2" t="s">
        <v>89</v>
      </c>
      <c r="HF408" s="2" t="s">
        <v>90</v>
      </c>
      <c r="HG408" s="2" t="s">
        <v>91</v>
      </c>
      <c r="HH408" s="2" t="s">
        <v>92</v>
      </c>
      <c r="HI408" s="2" t="s">
        <v>81</v>
      </c>
      <c r="HJ408" s="2" t="s">
        <v>3</v>
      </c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 t="s">
        <v>3</v>
      </c>
    </row>
    <row r="409" spans="1:268" ht="15.75" customHeight="1" x14ac:dyDescent="0.2">
      <c r="A409" s="16" t="s">
        <v>733</v>
      </c>
      <c r="B409" s="2"/>
      <c r="C409" s="2"/>
      <c r="D409" s="2"/>
      <c r="E409" s="2"/>
      <c r="F409" s="2" t="s">
        <v>734</v>
      </c>
      <c r="G409" s="2"/>
      <c r="H409" s="2"/>
      <c r="I409" s="2">
        <v>40.39</v>
      </c>
      <c r="J409" s="4">
        <v>6.3800445654865076E-2</v>
      </c>
      <c r="K409" s="4">
        <v>0.13392820252537757</v>
      </c>
      <c r="L409" s="2"/>
      <c r="M409" s="2"/>
      <c r="N409" s="2"/>
      <c r="O409" s="2"/>
      <c r="P409" s="2"/>
      <c r="Q409" s="4">
        <v>0.1807006684822976</v>
      </c>
      <c r="R409" s="2"/>
      <c r="S409" s="4">
        <v>2.2807774696707104</v>
      </c>
      <c r="T409" s="4">
        <v>1.939513226046051</v>
      </c>
      <c r="U409" s="4">
        <v>0.31708340430799703</v>
      </c>
      <c r="V409" s="2"/>
      <c r="W409" s="2"/>
      <c r="X409" s="2"/>
      <c r="Y409" s="2"/>
      <c r="Z409" s="2"/>
      <c r="AA409" s="2"/>
      <c r="AB409" s="2"/>
      <c r="AC409" s="2"/>
      <c r="AD409" s="2">
        <v>128.85</v>
      </c>
      <c r="AE409" s="4">
        <v>7.9450523864959252E-2</v>
      </c>
      <c r="AF409" s="4">
        <v>0.19727657741559956</v>
      </c>
      <c r="AG409" s="2"/>
      <c r="AH409" s="2"/>
      <c r="AI409" s="2"/>
      <c r="AJ409" s="2"/>
      <c r="AK409" s="2"/>
      <c r="AL409" s="4">
        <v>0.19786495925494763</v>
      </c>
      <c r="AM409" s="2"/>
      <c r="AN409" s="4">
        <v>2.8239773504074503</v>
      </c>
      <c r="AO409" s="4">
        <v>2.193101839348079</v>
      </c>
      <c r="AP409" s="4">
        <v>0.33253596740395808</v>
      </c>
      <c r="AQ409" s="2"/>
      <c r="AR409" s="2"/>
      <c r="AS409" s="2"/>
      <c r="AT409" s="2"/>
      <c r="AU409" s="2"/>
      <c r="AV409" s="2"/>
      <c r="AW409" s="2"/>
      <c r="AX409" s="2"/>
      <c r="AY409" s="2">
        <v>110.55000000000001</v>
      </c>
      <c r="AZ409" s="4">
        <v>7.9213025780189947E-2</v>
      </c>
      <c r="BA409" s="4">
        <v>0.17888024423337853</v>
      </c>
      <c r="BB409" s="2"/>
      <c r="BC409" s="2"/>
      <c r="BD409" s="2"/>
      <c r="BE409" s="2"/>
      <c r="BF409" s="2"/>
      <c r="BG409" s="4">
        <v>0.19561736770691995</v>
      </c>
      <c r="BH409" s="2"/>
      <c r="BI409" s="4">
        <v>2.8650871370420621</v>
      </c>
      <c r="BJ409" s="4">
        <v>2.365907978290366</v>
      </c>
      <c r="BK409" s="4">
        <v>0.37799438263229318</v>
      </c>
      <c r="BL409" s="2"/>
      <c r="BM409" s="2"/>
      <c r="BN409" s="2"/>
      <c r="BO409" s="2"/>
      <c r="BP409" s="2"/>
      <c r="BQ409" s="2"/>
      <c r="BR409" s="2"/>
      <c r="BS409" s="2"/>
      <c r="BT409" s="2">
        <v>0</v>
      </c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>
        <v>0</v>
      </c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 t="s">
        <v>81</v>
      </c>
      <c r="DK409" s="2"/>
      <c r="DL409" s="2">
        <f t="shared" si="4367"/>
        <v>0.19449908860216589</v>
      </c>
      <c r="DM409" s="2">
        <f t="shared" si="4368"/>
        <v>0</v>
      </c>
      <c r="DN409" s="2" t="s">
        <v>512</v>
      </c>
      <c r="DO409" s="2" t="s">
        <v>3</v>
      </c>
      <c r="DP409" s="2">
        <f t="shared" si="4369"/>
        <v>0.21571100000000001</v>
      </c>
      <c r="DQ409" s="2">
        <f t="shared" ref="DQ409:DR409" si="6808">K409*$I409+AF409*$AD409+BA409*$AY409</f>
        <v>50.603658100000004</v>
      </c>
      <c r="DR409" s="2">
        <f t="shared" si="6808"/>
        <v>0</v>
      </c>
      <c r="DS409" s="2">
        <f t="shared" ref="DS409:DX409" si="6809">(M409*$I409+AH409*$AD409+BC409*$AY409)/100</f>
        <v>0</v>
      </c>
      <c r="DT409" s="2">
        <f t="shared" si="6809"/>
        <v>0</v>
      </c>
      <c r="DU409" s="2">
        <f t="shared" si="6809"/>
        <v>0</v>
      </c>
      <c r="DV409" s="2">
        <f t="shared" si="6809"/>
        <v>0</v>
      </c>
      <c r="DW409" s="2">
        <f t="shared" si="6809"/>
        <v>0.54418900000000003</v>
      </c>
      <c r="DX409" s="2">
        <f t="shared" si="6809"/>
        <v>0</v>
      </c>
      <c r="DY409" s="2">
        <f t="shared" ref="DY409:EC409" si="6810">S409*$I409+AN409*$AD409+BI409*$AY409</f>
        <v>772.72546659999989</v>
      </c>
      <c r="DZ409" s="2">
        <f t="shared" si="6810"/>
        <v>622.46923820000006</v>
      </c>
      <c r="EA409" s="2">
        <f t="shared" si="6810"/>
        <v>97.441537100000005</v>
      </c>
      <c r="EB409" s="2">
        <f t="shared" si="6810"/>
        <v>0</v>
      </c>
      <c r="EC409" s="2">
        <f t="shared" si="6810"/>
        <v>0</v>
      </c>
      <c r="ED409" s="2">
        <f t="shared" ref="ED409:EE409" si="6811">(X409*$I409+AS409*$AD409+BN409*$AY409)/100</f>
        <v>0</v>
      </c>
      <c r="EE409" s="2">
        <f t="shared" si="6811"/>
        <v>0</v>
      </c>
      <c r="EF409" s="2"/>
      <c r="EG409" s="2">
        <f t="shared" si="4374"/>
        <v>0</v>
      </c>
      <c r="EH409" s="2">
        <f t="shared" si="4375"/>
        <v>0</v>
      </c>
      <c r="EI409" s="39">
        <f t="shared" si="4376"/>
        <v>1407.6471529760001</v>
      </c>
      <c r="EJ409" s="39">
        <f t="shared" ref="EJ409:EK409" si="6812">EJ$1*DQ409/1000000</f>
        <v>2069.7058875627008</v>
      </c>
      <c r="EK409" s="39">
        <f t="shared" si="6812"/>
        <v>0</v>
      </c>
      <c r="EL409" s="39">
        <f t="shared" ref="EL409:EQ409" si="6813">EL$1*DS409</f>
        <v>0</v>
      </c>
      <c r="EM409" s="39">
        <f t="shared" si="6813"/>
        <v>0</v>
      </c>
      <c r="EN409" s="39">
        <f t="shared" si="6813"/>
        <v>0</v>
      </c>
      <c r="EO409" s="39">
        <f t="shared" si="6813"/>
        <v>0</v>
      </c>
      <c r="EP409" s="39">
        <f t="shared" si="6813"/>
        <v>7136.4945460000008</v>
      </c>
      <c r="EQ409" s="39">
        <f t="shared" si="6813"/>
        <v>0</v>
      </c>
      <c r="ER409" s="39">
        <f t="shared" ref="ER409:EV409" si="6814">ER$1*DY409/1000000</f>
        <v>21930.992294185075</v>
      </c>
      <c r="ES409" s="39">
        <f t="shared" si="6814"/>
        <v>20744.237702496019</v>
      </c>
      <c r="ET409" s="39">
        <f t="shared" si="6814"/>
        <v>6972.2396305025732</v>
      </c>
      <c r="EU409" s="39">
        <f t="shared" si="6814"/>
        <v>0</v>
      </c>
      <c r="EV409" s="39">
        <f t="shared" si="6814"/>
        <v>0</v>
      </c>
      <c r="EW409" s="39">
        <f t="shared" ref="EW409:EX409" si="6815">EW$1*ED409</f>
        <v>0</v>
      </c>
      <c r="EX409" s="39">
        <f t="shared" si="6815"/>
        <v>0</v>
      </c>
      <c r="EY409" s="2"/>
      <c r="EZ409" s="39">
        <f t="shared" si="4381"/>
        <v>0</v>
      </c>
      <c r="FA409" s="39">
        <f t="shared" si="4382"/>
        <v>0</v>
      </c>
      <c r="FB409" s="2">
        <f t="shared" si="4383"/>
        <v>0</v>
      </c>
      <c r="FC409" s="2">
        <f t="shared" ref="FC409:FD409" si="6816">BV409*$BT409+CQ409*$CO409</f>
        <v>0</v>
      </c>
      <c r="FD409" s="2">
        <f t="shared" si="6816"/>
        <v>0</v>
      </c>
      <c r="FE409" s="2">
        <f t="shared" ref="FE409:FJ409" si="6817">(BX409*$BT409+CS409*$CO409)/100</f>
        <v>0</v>
      </c>
      <c r="FF409" s="2">
        <f t="shared" si="6817"/>
        <v>0</v>
      </c>
      <c r="FG409" s="2">
        <f t="shared" si="6817"/>
        <v>0</v>
      </c>
      <c r="FH409" s="2">
        <f t="shared" si="6817"/>
        <v>0</v>
      </c>
      <c r="FI409" s="2">
        <f t="shared" si="6817"/>
        <v>0</v>
      </c>
      <c r="FJ409" s="2">
        <f t="shared" si="6817"/>
        <v>0</v>
      </c>
      <c r="FK409" s="2">
        <f t="shared" ref="FK409:FO409" si="6818">CD409*$BT409+CY409*$CO409</f>
        <v>0</v>
      </c>
      <c r="FL409" s="2">
        <f t="shared" si="6818"/>
        <v>0</v>
      </c>
      <c r="FM409" s="2">
        <f t="shared" si="6818"/>
        <v>0</v>
      </c>
      <c r="FN409" s="2">
        <f t="shared" si="6818"/>
        <v>0</v>
      </c>
      <c r="FO409" s="2">
        <f t="shared" si="6818"/>
        <v>0</v>
      </c>
      <c r="FP409" s="2">
        <f t="shared" ref="FP409:FQ409" si="6819">(CI409*$BT409+DD409*$CO409)/100</f>
        <v>0</v>
      </c>
      <c r="FQ409" s="2">
        <f t="shared" si="6819"/>
        <v>0</v>
      </c>
      <c r="FR409" s="2"/>
      <c r="FS409" s="2">
        <f t="shared" si="4388"/>
        <v>0</v>
      </c>
      <c r="FT409" s="2">
        <f t="shared" si="4389"/>
        <v>0</v>
      </c>
      <c r="FU409" s="39">
        <f t="shared" si="4390"/>
        <v>0</v>
      </c>
      <c r="FV409" s="39">
        <f t="shared" ref="FV409:FW409" si="6820">FV$1*FC409/1000000</f>
        <v>0</v>
      </c>
      <c r="FW409" s="39">
        <f t="shared" si="6820"/>
        <v>0</v>
      </c>
      <c r="FX409" s="39">
        <f t="shared" ref="FX409:GC409" si="6821">FX$1*FE409</f>
        <v>0</v>
      </c>
      <c r="FY409" s="39">
        <f t="shared" si="6821"/>
        <v>0</v>
      </c>
      <c r="FZ409" s="39">
        <f t="shared" si="6821"/>
        <v>0</v>
      </c>
      <c r="GA409" s="39">
        <f t="shared" si="6821"/>
        <v>0</v>
      </c>
      <c r="GB409" s="39">
        <f t="shared" si="6821"/>
        <v>0</v>
      </c>
      <c r="GC409" s="39">
        <f t="shared" si="6821"/>
        <v>0</v>
      </c>
      <c r="GD409" s="39">
        <f t="shared" ref="GD409:GH409" si="6822">GD$1*FK409/1000000</f>
        <v>0</v>
      </c>
      <c r="GE409" s="39">
        <f t="shared" si="6822"/>
        <v>0</v>
      </c>
      <c r="GF409" s="39">
        <f t="shared" si="6822"/>
        <v>0</v>
      </c>
      <c r="GG409" s="39">
        <f t="shared" si="6822"/>
        <v>0</v>
      </c>
      <c r="GH409" s="39">
        <f t="shared" si="6822"/>
        <v>0</v>
      </c>
      <c r="GI409" s="39">
        <f t="shared" ref="GI409:GJ409" si="6823">GI$1*FP409</f>
        <v>0</v>
      </c>
      <c r="GJ409" s="39">
        <f t="shared" si="6823"/>
        <v>0</v>
      </c>
      <c r="GK409" s="2"/>
      <c r="GL409" s="39">
        <f t="shared" si="4395"/>
        <v>0</v>
      </c>
      <c r="GM409" s="39">
        <f t="shared" si="4396"/>
        <v>0</v>
      </c>
      <c r="GN409" s="2" t="s">
        <v>3</v>
      </c>
      <c r="GO409" s="15">
        <f t="shared" si="4397"/>
        <v>279.79000000000002</v>
      </c>
      <c r="GP409" s="4">
        <f t="shared" si="4398"/>
        <v>0.19449908860216589</v>
      </c>
      <c r="GQ409" s="15">
        <f t="shared" si="4399"/>
        <v>544.18899999999996</v>
      </c>
      <c r="GR409" s="15">
        <f t="shared" si="4400"/>
        <v>60261.317213722374</v>
      </c>
      <c r="GS409" s="15">
        <f t="shared" si="4401"/>
        <v>215.38052544309079</v>
      </c>
      <c r="GT409" s="2">
        <f t="shared" si="4402"/>
        <v>72.984999999999999</v>
      </c>
      <c r="GU409" s="2">
        <f t="shared" si="4403"/>
        <v>254.94900000000001</v>
      </c>
      <c r="GV409" s="2">
        <f t="shared" si="4404"/>
        <v>216.25500000000002</v>
      </c>
      <c r="GW409" s="2">
        <f t="shared" si="4405"/>
        <v>0</v>
      </c>
      <c r="GX409" s="2"/>
      <c r="GY409" s="2"/>
      <c r="GZ409" s="2"/>
      <c r="HA409" s="2"/>
      <c r="HB409" s="2">
        <f t="shared" si="4406"/>
        <v>0</v>
      </c>
      <c r="HC409" s="2">
        <f t="shared" si="4407"/>
        <v>0</v>
      </c>
      <c r="HD409" s="2" t="s">
        <v>3</v>
      </c>
      <c r="HE409" s="2" t="s">
        <v>89</v>
      </c>
      <c r="HF409" s="2" t="s">
        <v>90</v>
      </c>
      <c r="HG409" s="2" t="s">
        <v>91</v>
      </c>
      <c r="HH409" s="2" t="s">
        <v>226</v>
      </c>
      <c r="HI409" s="2" t="s">
        <v>81</v>
      </c>
      <c r="HJ409" s="2" t="s">
        <v>3</v>
      </c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 t="s">
        <v>3</v>
      </c>
    </row>
    <row r="410" spans="1:268" ht="15.75" customHeight="1" x14ac:dyDescent="0.2">
      <c r="A410" s="16" t="s">
        <v>736</v>
      </c>
      <c r="B410" s="2"/>
      <c r="C410" s="2"/>
      <c r="D410" s="2"/>
      <c r="E410" s="2"/>
      <c r="F410" s="2" t="s">
        <v>224</v>
      </c>
      <c r="G410" s="2"/>
      <c r="H410" s="2"/>
      <c r="I410" s="2">
        <v>0</v>
      </c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>
        <v>0</v>
      </c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>
        <v>9.5519999999999996</v>
      </c>
      <c r="AZ410" s="4">
        <v>6.6691870325387398E-2</v>
      </c>
      <c r="BA410" s="4">
        <v>0.30951319095477386</v>
      </c>
      <c r="BB410" s="2"/>
      <c r="BC410" s="2"/>
      <c r="BD410" s="2"/>
      <c r="BE410" s="2"/>
      <c r="BF410" s="2"/>
      <c r="BG410" s="4">
        <v>0.16168649771652202</v>
      </c>
      <c r="BH410" s="2"/>
      <c r="BI410" s="4">
        <v>2.514808417085427</v>
      </c>
      <c r="BJ410" s="4">
        <v>1.6989572864321607</v>
      </c>
      <c r="BK410" s="4">
        <v>0.22727701005025125</v>
      </c>
      <c r="BL410" s="2"/>
      <c r="BM410" s="2"/>
      <c r="BN410" s="2"/>
      <c r="BO410" s="2"/>
      <c r="BP410" s="2"/>
      <c r="BQ410" s="2"/>
      <c r="BR410" s="2"/>
      <c r="BS410" s="2"/>
      <c r="BT410" s="2">
        <v>0</v>
      </c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>
        <v>0</v>
      </c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 t="s">
        <v>81</v>
      </c>
      <c r="DK410" s="2"/>
      <c r="DL410" s="2">
        <f t="shared" si="4367"/>
        <v>0.16168649771652202</v>
      </c>
      <c r="DM410" s="2">
        <f t="shared" si="4368"/>
        <v>0</v>
      </c>
      <c r="DN410" s="2" t="s">
        <v>225</v>
      </c>
      <c r="DO410" s="2" t="s">
        <v>3</v>
      </c>
      <c r="DP410" s="2">
        <f t="shared" si="4369"/>
        <v>6.3704074534810043E-3</v>
      </c>
      <c r="DQ410" s="2">
        <f t="shared" ref="DQ410:DR410" si="6824">K410*$I410+AF410*$AD410+BA410*$AY410</f>
        <v>2.9564699999999999</v>
      </c>
      <c r="DR410" s="2">
        <f t="shared" si="6824"/>
        <v>0</v>
      </c>
      <c r="DS410" s="2">
        <f t="shared" ref="DS410:DX410" si="6825">(M410*$I410+AH410*$AD410+BC410*$AY410)/100</f>
        <v>0</v>
      </c>
      <c r="DT410" s="2">
        <f t="shared" si="6825"/>
        <v>0</v>
      </c>
      <c r="DU410" s="2">
        <f t="shared" si="6825"/>
        <v>0</v>
      </c>
      <c r="DV410" s="2">
        <f t="shared" si="6825"/>
        <v>0</v>
      </c>
      <c r="DW410" s="2">
        <f t="shared" si="6825"/>
        <v>1.5444294261882183E-2</v>
      </c>
      <c r="DX410" s="2">
        <f t="shared" si="6825"/>
        <v>0</v>
      </c>
      <c r="DY410" s="2">
        <f t="shared" ref="DY410:EC410" si="6826">S410*$I410+AN410*$AD410+BI410*$AY410</f>
        <v>24.021449999999998</v>
      </c>
      <c r="DZ410" s="2">
        <f t="shared" si="6826"/>
        <v>16.228439999999999</v>
      </c>
      <c r="EA410" s="2">
        <f t="shared" si="6826"/>
        <v>2.1709499999999999</v>
      </c>
      <c r="EB410" s="2">
        <f t="shared" si="6826"/>
        <v>0</v>
      </c>
      <c r="EC410" s="2">
        <f t="shared" si="6826"/>
        <v>0</v>
      </c>
      <c r="ED410" s="2">
        <f t="shared" ref="ED410:EE410" si="6827">(X410*$I410+AS410*$AD410+BN410*$AY410)/100</f>
        <v>0</v>
      </c>
      <c r="EE410" s="2">
        <f t="shared" si="6827"/>
        <v>0</v>
      </c>
      <c r="EF410" s="2"/>
      <c r="EG410" s="2">
        <f t="shared" si="4374"/>
        <v>0</v>
      </c>
      <c r="EH410" s="2">
        <f t="shared" si="4375"/>
        <v>0</v>
      </c>
      <c r="EI410" s="39">
        <f t="shared" si="4376"/>
        <v>41.570832804954897</v>
      </c>
      <c r="EJ410" s="39">
        <f t="shared" ref="EJ410:EK410" si="6828">EJ$1*DQ410/1000000</f>
        <v>120.9205736334405</v>
      </c>
      <c r="EK410" s="39">
        <f t="shared" si="6828"/>
        <v>0</v>
      </c>
      <c r="EL410" s="39">
        <f t="shared" ref="EL410:EQ410" si="6829">EL$1*DS410</f>
        <v>0</v>
      </c>
      <c r="EM410" s="39">
        <f t="shared" si="6829"/>
        <v>0</v>
      </c>
      <c r="EN410" s="39">
        <f t="shared" si="6829"/>
        <v>0</v>
      </c>
      <c r="EO410" s="39">
        <f t="shared" si="6829"/>
        <v>0</v>
      </c>
      <c r="EP410" s="39">
        <f t="shared" si="6829"/>
        <v>202.53647495032294</v>
      </c>
      <c r="EQ410" s="39">
        <f t="shared" si="6829"/>
        <v>0</v>
      </c>
      <c r="ER410" s="39">
        <f t="shared" ref="ER410:EV410" si="6830">ER$1*DY410/1000000</f>
        <v>681.76119154340813</v>
      </c>
      <c r="ES410" s="39">
        <f t="shared" si="6830"/>
        <v>540.8245038327974</v>
      </c>
      <c r="ET410" s="39">
        <f t="shared" si="6830"/>
        <v>155.33810401929262</v>
      </c>
      <c r="EU410" s="39">
        <f t="shared" si="6830"/>
        <v>0</v>
      </c>
      <c r="EV410" s="39">
        <f t="shared" si="6830"/>
        <v>0</v>
      </c>
      <c r="EW410" s="39">
        <f t="shared" ref="EW410:EX410" si="6831">EW$1*ED410</f>
        <v>0</v>
      </c>
      <c r="EX410" s="39">
        <f t="shared" si="6831"/>
        <v>0</v>
      </c>
      <c r="EY410" s="2"/>
      <c r="EZ410" s="39">
        <f t="shared" si="4381"/>
        <v>0</v>
      </c>
      <c r="FA410" s="39">
        <f t="shared" si="4382"/>
        <v>0</v>
      </c>
      <c r="FB410" s="2">
        <f t="shared" si="4383"/>
        <v>0</v>
      </c>
      <c r="FC410" s="2">
        <f t="shared" ref="FC410:FD410" si="6832">BV410*$BT410+CQ410*$CO410</f>
        <v>0</v>
      </c>
      <c r="FD410" s="2">
        <f t="shared" si="6832"/>
        <v>0</v>
      </c>
      <c r="FE410" s="2">
        <f t="shared" ref="FE410:FJ410" si="6833">(BX410*$BT410+CS410*$CO410)/100</f>
        <v>0</v>
      </c>
      <c r="FF410" s="2">
        <f t="shared" si="6833"/>
        <v>0</v>
      </c>
      <c r="FG410" s="2">
        <f t="shared" si="6833"/>
        <v>0</v>
      </c>
      <c r="FH410" s="2">
        <f t="shared" si="6833"/>
        <v>0</v>
      </c>
      <c r="FI410" s="2">
        <f t="shared" si="6833"/>
        <v>0</v>
      </c>
      <c r="FJ410" s="2">
        <f t="shared" si="6833"/>
        <v>0</v>
      </c>
      <c r="FK410" s="2">
        <f t="shared" ref="FK410:FO410" si="6834">CD410*$BT410+CY410*$CO410</f>
        <v>0</v>
      </c>
      <c r="FL410" s="2">
        <f t="shared" si="6834"/>
        <v>0</v>
      </c>
      <c r="FM410" s="2">
        <f t="shared" si="6834"/>
        <v>0</v>
      </c>
      <c r="FN410" s="2">
        <f t="shared" si="6834"/>
        <v>0</v>
      </c>
      <c r="FO410" s="2">
        <f t="shared" si="6834"/>
        <v>0</v>
      </c>
      <c r="FP410" s="2">
        <f t="shared" ref="FP410:FQ410" si="6835">(CI410*$BT410+DD410*$CO410)/100</f>
        <v>0</v>
      </c>
      <c r="FQ410" s="2">
        <f t="shared" si="6835"/>
        <v>0</v>
      </c>
      <c r="FR410" s="2"/>
      <c r="FS410" s="2">
        <f t="shared" si="4388"/>
        <v>0</v>
      </c>
      <c r="FT410" s="2">
        <f t="shared" si="4389"/>
        <v>0</v>
      </c>
      <c r="FU410" s="39">
        <f t="shared" si="4390"/>
        <v>0</v>
      </c>
      <c r="FV410" s="39">
        <f t="shared" ref="FV410:FW410" si="6836">FV$1*FC410/1000000</f>
        <v>0</v>
      </c>
      <c r="FW410" s="39">
        <f t="shared" si="6836"/>
        <v>0</v>
      </c>
      <c r="FX410" s="39">
        <f t="shared" ref="FX410:GC410" si="6837">FX$1*FE410</f>
        <v>0</v>
      </c>
      <c r="FY410" s="39">
        <f t="shared" si="6837"/>
        <v>0</v>
      </c>
      <c r="FZ410" s="39">
        <f t="shared" si="6837"/>
        <v>0</v>
      </c>
      <c r="GA410" s="39">
        <f t="shared" si="6837"/>
        <v>0</v>
      </c>
      <c r="GB410" s="39">
        <f t="shared" si="6837"/>
        <v>0</v>
      </c>
      <c r="GC410" s="39">
        <f t="shared" si="6837"/>
        <v>0</v>
      </c>
      <c r="GD410" s="39">
        <f t="shared" ref="GD410:GH410" si="6838">GD$1*FK410/1000000</f>
        <v>0</v>
      </c>
      <c r="GE410" s="39">
        <f t="shared" si="6838"/>
        <v>0</v>
      </c>
      <c r="GF410" s="39">
        <f t="shared" si="6838"/>
        <v>0</v>
      </c>
      <c r="GG410" s="39">
        <f t="shared" si="6838"/>
        <v>0</v>
      </c>
      <c r="GH410" s="39">
        <f t="shared" si="6838"/>
        <v>0</v>
      </c>
      <c r="GI410" s="39">
        <f t="shared" ref="GI410:GJ410" si="6839">GI$1*FP410</f>
        <v>0</v>
      </c>
      <c r="GJ410" s="39">
        <f t="shared" si="6839"/>
        <v>0</v>
      </c>
      <c r="GK410" s="2"/>
      <c r="GL410" s="39">
        <f t="shared" si="4395"/>
        <v>0</v>
      </c>
      <c r="GM410" s="39">
        <f t="shared" si="4396"/>
        <v>0</v>
      </c>
      <c r="GN410" s="2" t="s">
        <v>3</v>
      </c>
      <c r="GO410" s="4">
        <f t="shared" si="4397"/>
        <v>9.5519999999999996</v>
      </c>
      <c r="GP410" s="4">
        <f t="shared" si="4398"/>
        <v>0.16168649771652202</v>
      </c>
      <c r="GQ410" s="15">
        <f t="shared" si="4399"/>
        <v>15.444294261882183</v>
      </c>
      <c r="GR410" s="15">
        <f t="shared" si="4400"/>
        <v>1742.9516807842165</v>
      </c>
      <c r="GS410" s="15">
        <f t="shared" si="4401"/>
        <v>182.46981582749336</v>
      </c>
      <c r="GT410" s="2">
        <f t="shared" si="4402"/>
        <v>0</v>
      </c>
      <c r="GU410" s="2">
        <f t="shared" si="4403"/>
        <v>0</v>
      </c>
      <c r="GV410" s="2">
        <f t="shared" si="4404"/>
        <v>15.444294261882183</v>
      </c>
      <c r="GW410" s="2">
        <f t="shared" si="4405"/>
        <v>0</v>
      </c>
      <c r="GX410" s="2"/>
      <c r="GY410" s="2"/>
      <c r="GZ410" s="2"/>
      <c r="HA410" s="2"/>
      <c r="HB410" s="2">
        <f t="shared" si="4406"/>
        <v>0</v>
      </c>
      <c r="HC410" s="2">
        <f t="shared" si="4407"/>
        <v>0</v>
      </c>
      <c r="HD410" s="2" t="s">
        <v>3</v>
      </c>
      <c r="HE410" s="2" t="s">
        <v>89</v>
      </c>
      <c r="HF410" s="2" t="s">
        <v>90</v>
      </c>
      <c r="HG410" s="2" t="s">
        <v>91</v>
      </c>
      <c r="HH410" s="2" t="s">
        <v>226</v>
      </c>
      <c r="HI410" s="2" t="s">
        <v>81</v>
      </c>
      <c r="HJ410" s="2" t="s">
        <v>3</v>
      </c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 t="s">
        <v>3</v>
      </c>
    </row>
    <row r="411" spans="1:268" ht="15.75" customHeight="1" x14ac:dyDescent="0.2">
      <c r="A411" s="16" t="s">
        <v>765</v>
      </c>
      <c r="B411" s="2"/>
      <c r="C411" s="2"/>
      <c r="D411" s="2"/>
      <c r="E411" s="2"/>
      <c r="F411" s="2" t="s">
        <v>766</v>
      </c>
      <c r="G411" s="2"/>
      <c r="H411" s="2"/>
      <c r="I411" s="2">
        <v>11.7</v>
      </c>
      <c r="J411" s="4">
        <v>4.0000000000000001E-3</v>
      </c>
      <c r="K411" s="4">
        <v>0.02</v>
      </c>
      <c r="L411" s="2"/>
      <c r="M411" s="2"/>
      <c r="N411" s="2"/>
      <c r="O411" s="2"/>
      <c r="P411" s="2"/>
      <c r="Q411" s="4">
        <v>1.4999999999999999E-2</v>
      </c>
      <c r="R411" s="2"/>
      <c r="S411" s="4">
        <v>3.3700000000000006</v>
      </c>
      <c r="T411" s="4">
        <v>1.52</v>
      </c>
      <c r="U411" s="4">
        <v>0.68</v>
      </c>
      <c r="V411" s="2"/>
      <c r="W411" s="2"/>
      <c r="X411" s="2"/>
      <c r="Y411" s="2"/>
      <c r="Z411" s="2"/>
      <c r="AA411" s="2"/>
      <c r="AB411" s="2"/>
      <c r="AC411" s="2"/>
      <c r="AD411" s="2">
        <v>71.7</v>
      </c>
      <c r="AE411" s="4">
        <v>2.7E-2</v>
      </c>
      <c r="AF411" s="4">
        <v>0.08</v>
      </c>
      <c r="AG411" s="2"/>
      <c r="AH411" s="2"/>
      <c r="AI411" s="2"/>
      <c r="AJ411" s="2"/>
      <c r="AK411" s="2"/>
      <c r="AL411" s="4">
        <v>0.08</v>
      </c>
      <c r="AM411" s="2"/>
      <c r="AN411" s="4">
        <v>2.57</v>
      </c>
      <c r="AO411" s="4">
        <v>1.1499999999999999</v>
      </c>
      <c r="AP411" s="4">
        <v>0.37</v>
      </c>
      <c r="AQ411" s="2"/>
      <c r="AR411" s="2"/>
      <c r="AS411" s="2"/>
      <c r="AT411" s="2"/>
      <c r="AU411" s="2"/>
      <c r="AV411" s="2"/>
      <c r="AW411" s="2"/>
      <c r="AX411" s="2"/>
      <c r="AY411" s="2">
        <v>97.9</v>
      </c>
      <c r="AZ411" s="4">
        <v>2.5000000000000001E-2</v>
      </c>
      <c r="BA411" s="4">
        <v>0.08</v>
      </c>
      <c r="BB411" s="2"/>
      <c r="BC411" s="2"/>
      <c r="BD411" s="2"/>
      <c r="BE411" s="2"/>
      <c r="BF411" s="2"/>
      <c r="BG411" s="4">
        <v>8.1000000000000003E-2</v>
      </c>
      <c r="BH411" s="2"/>
      <c r="BI411" s="4">
        <v>2.83</v>
      </c>
      <c r="BJ411" s="4">
        <v>1.26</v>
      </c>
      <c r="BK411" s="4">
        <v>0.4</v>
      </c>
      <c r="BL411" s="2"/>
      <c r="BM411" s="2"/>
      <c r="BN411" s="2"/>
      <c r="BO411" s="2"/>
      <c r="BP411" s="2"/>
      <c r="BQ411" s="2"/>
      <c r="BR411" s="2"/>
      <c r="BS411" s="2"/>
      <c r="BT411" s="2">
        <v>0</v>
      </c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>
        <v>28.5</v>
      </c>
      <c r="CP411" s="19">
        <v>4.0000000000000001E-3</v>
      </c>
      <c r="CQ411" s="4">
        <v>2.0160000000000001E-2</v>
      </c>
      <c r="CR411" s="2"/>
      <c r="CS411" s="2"/>
      <c r="CT411" s="2"/>
      <c r="CU411" s="2"/>
      <c r="CV411" s="2"/>
      <c r="CW411" s="19">
        <v>1.4999999999999999E-2</v>
      </c>
      <c r="CX411" s="2"/>
      <c r="CY411" s="4">
        <v>3.03912</v>
      </c>
      <c r="CZ411" s="4">
        <v>1.3708800000000001</v>
      </c>
      <c r="DA411" s="4">
        <v>0.61487999999999987</v>
      </c>
      <c r="DB411" s="4"/>
      <c r="DC411" s="4"/>
      <c r="DD411" s="2"/>
      <c r="DE411" s="2"/>
      <c r="DF411" s="2"/>
      <c r="DG411" s="2"/>
      <c r="DH411" s="2"/>
      <c r="DI411" s="2"/>
      <c r="DJ411" s="2" t="s">
        <v>81</v>
      </c>
      <c r="DK411" s="2"/>
      <c r="DL411" s="2">
        <f t="shared" si="4367"/>
        <v>7.6345284059569765E-2</v>
      </c>
      <c r="DM411" s="2">
        <f t="shared" si="4368"/>
        <v>0</v>
      </c>
      <c r="DN411" s="2" t="s">
        <v>512</v>
      </c>
      <c r="DO411" s="2" t="s">
        <v>3</v>
      </c>
      <c r="DP411" s="2">
        <f t="shared" si="4369"/>
        <v>4.4302000000000001E-2</v>
      </c>
      <c r="DQ411" s="2">
        <f t="shared" ref="DQ411:DR411" si="6840">K411*$I411+AF411*$AD411+BA411*$AY411</f>
        <v>13.802000000000001</v>
      </c>
      <c r="DR411" s="2">
        <f t="shared" si="6840"/>
        <v>0</v>
      </c>
      <c r="DS411" s="2">
        <f t="shared" ref="DS411:DX411" si="6841">(M411*$I411+AH411*$AD411+BC411*$AY411)/100</f>
        <v>0</v>
      </c>
      <c r="DT411" s="2">
        <f t="shared" si="6841"/>
        <v>0</v>
      </c>
      <c r="DU411" s="2">
        <f t="shared" si="6841"/>
        <v>0</v>
      </c>
      <c r="DV411" s="2">
        <f t="shared" si="6841"/>
        <v>0</v>
      </c>
      <c r="DW411" s="2">
        <f t="shared" si="6841"/>
        <v>0.13841400000000001</v>
      </c>
      <c r="DX411" s="2">
        <f t="shared" si="6841"/>
        <v>0</v>
      </c>
      <c r="DY411" s="2">
        <f t="shared" ref="DY411:EC411" si="6842">S411*$I411+AN411*$AD411+BI411*$AY411</f>
        <v>500.755</v>
      </c>
      <c r="DZ411" s="2">
        <f t="shared" si="6842"/>
        <v>223.59300000000002</v>
      </c>
      <c r="EA411" s="2">
        <f t="shared" si="6842"/>
        <v>73.64500000000001</v>
      </c>
      <c r="EB411" s="2">
        <f t="shared" si="6842"/>
        <v>0</v>
      </c>
      <c r="EC411" s="2">
        <f t="shared" si="6842"/>
        <v>0</v>
      </c>
      <c r="ED411" s="2">
        <f t="shared" ref="ED411:EE411" si="6843">(X411*$I411+AS411*$AD411+BN411*$AY411)/100</f>
        <v>0</v>
      </c>
      <c r="EE411" s="2">
        <f t="shared" si="6843"/>
        <v>0</v>
      </c>
      <c r="EF411" s="2"/>
      <c r="EG411" s="2">
        <f t="shared" si="4374"/>
        <v>0</v>
      </c>
      <c r="EH411" s="2">
        <f t="shared" si="4375"/>
        <v>0</v>
      </c>
      <c r="EI411" s="39">
        <f t="shared" si="4376"/>
        <v>289.09784003200002</v>
      </c>
      <c r="EJ411" s="39">
        <f t="shared" ref="EJ411:EK411" si="6844">EJ$1*DQ411/1000000</f>
        <v>564.5062379421222</v>
      </c>
      <c r="EK411" s="39">
        <f t="shared" si="6844"/>
        <v>0</v>
      </c>
      <c r="EL411" s="39">
        <f t="shared" ref="EL411:EQ411" si="6845">EL$1*DS411</f>
        <v>0</v>
      </c>
      <c r="EM411" s="39">
        <f t="shared" si="6845"/>
        <v>0</v>
      </c>
      <c r="EN411" s="39">
        <f t="shared" si="6845"/>
        <v>0</v>
      </c>
      <c r="EO411" s="39">
        <f t="shared" si="6845"/>
        <v>0</v>
      </c>
      <c r="EP411" s="39">
        <f t="shared" si="6845"/>
        <v>1815.161196</v>
      </c>
      <c r="EQ411" s="39">
        <f t="shared" si="6845"/>
        <v>0</v>
      </c>
      <c r="ER411" s="39">
        <f t="shared" ref="ER411:EV411" si="6846">ER$1*DY411/1000000</f>
        <v>14212.103160771701</v>
      </c>
      <c r="ES411" s="39">
        <f t="shared" si="6846"/>
        <v>7451.3984884244383</v>
      </c>
      <c r="ET411" s="39">
        <f t="shared" si="6846"/>
        <v>5269.5247106109337</v>
      </c>
      <c r="EU411" s="39">
        <f t="shared" si="6846"/>
        <v>0</v>
      </c>
      <c r="EV411" s="39">
        <f t="shared" si="6846"/>
        <v>0</v>
      </c>
      <c r="EW411" s="39">
        <f t="shared" ref="EW411:EX411" si="6847">EW$1*ED411</f>
        <v>0</v>
      </c>
      <c r="EX411" s="39">
        <f t="shared" si="6847"/>
        <v>0</v>
      </c>
      <c r="EY411" s="2"/>
      <c r="EZ411" s="39">
        <f t="shared" si="4381"/>
        <v>0</v>
      </c>
      <c r="FA411" s="39">
        <f t="shared" si="4382"/>
        <v>0</v>
      </c>
      <c r="FB411" s="2">
        <f t="shared" si="4383"/>
        <v>1.14E-3</v>
      </c>
      <c r="FC411" s="2">
        <f t="shared" ref="FC411:FD411" si="6848">BV411*$BT411+CQ411*$CO411</f>
        <v>0.57456000000000007</v>
      </c>
      <c r="FD411" s="2">
        <f t="shared" si="6848"/>
        <v>0</v>
      </c>
      <c r="FE411" s="2">
        <f t="shared" ref="FE411:FJ411" si="6849">(BX411*$BT411+CS411*$CO411)/100</f>
        <v>0</v>
      </c>
      <c r="FF411" s="2">
        <f t="shared" si="6849"/>
        <v>0</v>
      </c>
      <c r="FG411" s="2">
        <f t="shared" si="6849"/>
        <v>0</v>
      </c>
      <c r="FH411" s="2">
        <f t="shared" si="6849"/>
        <v>0</v>
      </c>
      <c r="FI411" s="2">
        <f t="shared" si="6849"/>
        <v>4.2750000000000002E-3</v>
      </c>
      <c r="FJ411" s="2">
        <f t="shared" si="6849"/>
        <v>0</v>
      </c>
      <c r="FK411" s="2">
        <f t="shared" ref="FK411:FO411" si="6850">CD411*$BT411+CY411*$CO411</f>
        <v>86.614919999999998</v>
      </c>
      <c r="FL411" s="2">
        <f t="shared" si="6850"/>
        <v>39.070080000000004</v>
      </c>
      <c r="FM411" s="2">
        <f t="shared" si="6850"/>
        <v>17.524079999999998</v>
      </c>
      <c r="FN411" s="2">
        <f t="shared" si="6850"/>
        <v>0</v>
      </c>
      <c r="FO411" s="2">
        <f t="shared" si="6850"/>
        <v>0</v>
      </c>
      <c r="FP411" s="2">
        <f t="shared" ref="FP411:FQ411" si="6851">(CI411*$BT411+DD411*$CO411)/100</f>
        <v>0</v>
      </c>
      <c r="FQ411" s="2">
        <f t="shared" si="6851"/>
        <v>0</v>
      </c>
      <c r="FR411" s="2"/>
      <c r="FS411" s="2">
        <f t="shared" si="4388"/>
        <v>0</v>
      </c>
      <c r="FT411" s="2">
        <f t="shared" si="4389"/>
        <v>0</v>
      </c>
      <c r="FU411" s="39">
        <f t="shared" si="4390"/>
        <v>7.4392022399999993</v>
      </c>
      <c r="FV411" s="39">
        <f t="shared" ref="FV411:FW411" si="6852">FV$1*FC411/1000000</f>
        <v>23.499688745980709</v>
      </c>
      <c r="FW411" s="39">
        <f t="shared" si="6852"/>
        <v>0</v>
      </c>
      <c r="FX411" s="39">
        <f t="shared" ref="FX411:GC411" si="6853">FX$1*FE411</f>
        <v>0</v>
      </c>
      <c r="FY411" s="39">
        <f t="shared" si="6853"/>
        <v>0</v>
      </c>
      <c r="FZ411" s="39">
        <f t="shared" si="6853"/>
        <v>0</v>
      </c>
      <c r="GA411" s="39">
        <f t="shared" si="6853"/>
        <v>0</v>
      </c>
      <c r="GB411" s="39">
        <f t="shared" si="6853"/>
        <v>56.062350000000002</v>
      </c>
      <c r="GC411" s="39">
        <f t="shared" si="6853"/>
        <v>0</v>
      </c>
      <c r="GD411" s="39">
        <f t="shared" ref="GD411:GH411" si="6854">GD$1*FK411/1000000</f>
        <v>2458.2484015176847</v>
      </c>
      <c r="GE411" s="39">
        <f t="shared" si="6854"/>
        <v>1302.0386821350485</v>
      </c>
      <c r="GF411" s="39">
        <f t="shared" si="6854"/>
        <v>1253.9014541479098</v>
      </c>
      <c r="GG411" s="39">
        <f t="shared" si="6854"/>
        <v>0</v>
      </c>
      <c r="GH411" s="39">
        <f t="shared" si="6854"/>
        <v>0</v>
      </c>
      <c r="GI411" s="39">
        <f t="shared" ref="GI411:GJ411" si="6855">GI$1*FP411</f>
        <v>0</v>
      </c>
      <c r="GJ411" s="39">
        <f t="shared" si="6855"/>
        <v>0</v>
      </c>
      <c r="GK411" s="2"/>
      <c r="GL411" s="39">
        <f t="shared" si="4395"/>
        <v>0</v>
      </c>
      <c r="GM411" s="39">
        <f t="shared" si="4396"/>
        <v>0</v>
      </c>
      <c r="GN411" s="2" t="s">
        <v>3</v>
      </c>
      <c r="GO411" s="2">
        <f t="shared" si="4397"/>
        <v>181.3</v>
      </c>
      <c r="GP411" s="4">
        <f t="shared" si="4398"/>
        <v>7.6345284059569765E-2</v>
      </c>
      <c r="GQ411" s="15">
        <f t="shared" si="4399"/>
        <v>138.41399999999999</v>
      </c>
      <c r="GR411" s="15">
        <f t="shared" si="4400"/>
        <v>29601.791633781198</v>
      </c>
      <c r="GS411" s="15">
        <f t="shared" si="4401"/>
        <v>163.27518827237284</v>
      </c>
      <c r="GT411" s="2">
        <f t="shared" si="4402"/>
        <v>1.7549999999999999</v>
      </c>
      <c r="GU411" s="2">
        <f t="shared" si="4403"/>
        <v>57.360000000000007</v>
      </c>
      <c r="GV411" s="2">
        <f t="shared" si="4404"/>
        <v>79.299000000000007</v>
      </c>
      <c r="GW411" s="2">
        <f t="shared" si="4405"/>
        <v>28.5</v>
      </c>
      <c r="GX411" s="2">
        <f t="shared" ref="GX411:GX413" si="6856">(BT411*CB411+CO411*CW411)/GW411</f>
        <v>1.4999999999999999E-2</v>
      </c>
      <c r="GY411" s="15">
        <f t="shared" ref="GY411:GY413" si="6857">1000*GW411*GX411/100</f>
        <v>4.2750000000000004</v>
      </c>
      <c r="GZ411" s="15">
        <f t="shared" ref="GZ411:GZ413" si="6858">SUM(FU411:GM411)</f>
        <v>5101.1897787866237</v>
      </c>
      <c r="HA411" s="15">
        <f t="shared" ref="HA411:HA413" si="6859">GZ411/GW411</f>
        <v>178.9891150451447</v>
      </c>
      <c r="HB411" s="2">
        <f t="shared" si="4406"/>
        <v>0</v>
      </c>
      <c r="HC411" s="2">
        <f t="shared" si="4407"/>
        <v>4.2750000000000004</v>
      </c>
      <c r="HD411" s="2" t="s">
        <v>3</v>
      </c>
      <c r="HE411" s="2" t="s">
        <v>89</v>
      </c>
      <c r="HF411" s="2" t="s">
        <v>90</v>
      </c>
      <c r="HG411" s="2" t="s">
        <v>91</v>
      </c>
      <c r="HH411" s="2" t="s">
        <v>92</v>
      </c>
      <c r="HI411" s="2" t="s">
        <v>81</v>
      </c>
      <c r="HJ411" s="2" t="s">
        <v>3</v>
      </c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 t="s">
        <v>3</v>
      </c>
    </row>
    <row r="412" spans="1:268" ht="15.75" customHeight="1" x14ac:dyDescent="0.2">
      <c r="A412" s="16" t="s">
        <v>788</v>
      </c>
      <c r="B412" s="2"/>
      <c r="C412" s="2"/>
      <c r="D412" s="2"/>
      <c r="E412" s="2"/>
      <c r="F412" s="2" t="s">
        <v>789</v>
      </c>
      <c r="G412" s="2"/>
      <c r="H412" s="2"/>
      <c r="I412" s="2">
        <v>8.94</v>
      </c>
      <c r="J412" s="2">
        <v>3.5000000000000003E-2</v>
      </c>
      <c r="K412" s="4">
        <v>8.9414739999999993E-2</v>
      </c>
      <c r="L412" s="2"/>
      <c r="M412" s="2"/>
      <c r="N412" s="2"/>
      <c r="O412" s="2"/>
      <c r="P412" s="2"/>
      <c r="Q412" s="2">
        <v>8.2000000000000003E-2</v>
      </c>
      <c r="R412" s="2"/>
      <c r="S412" s="4">
        <v>2.5079153999999999</v>
      </c>
      <c r="T412" s="4">
        <v>2.2111462</v>
      </c>
      <c r="U412" s="4">
        <v>0.45153944000000001</v>
      </c>
      <c r="V412" s="2"/>
      <c r="W412" s="2"/>
      <c r="X412" s="2"/>
      <c r="Y412" s="2"/>
      <c r="Z412" s="2"/>
      <c r="AA412" s="2"/>
      <c r="AB412" s="2"/>
      <c r="AC412" s="2"/>
      <c r="AD412" s="2">
        <v>6.95</v>
      </c>
      <c r="AE412" s="2">
        <v>1.4999999999999999E-2</v>
      </c>
      <c r="AF412" s="4">
        <v>3.722781E-2</v>
      </c>
      <c r="AG412" s="2"/>
      <c r="AH412" s="2"/>
      <c r="AI412" s="2"/>
      <c r="AJ412" s="2"/>
      <c r="AK412" s="2"/>
      <c r="AL412" s="2">
        <v>5.6000000000000001E-2</v>
      </c>
      <c r="AM412" s="2"/>
      <c r="AN412" s="4">
        <v>1.0441700999999999</v>
      </c>
      <c r="AO412" s="4">
        <v>0.92061029999999999</v>
      </c>
      <c r="AP412" s="4">
        <v>0.18799836</v>
      </c>
      <c r="AQ412" s="2"/>
      <c r="AR412" s="2"/>
      <c r="AS412" s="2"/>
      <c r="AT412" s="2"/>
      <c r="AU412" s="2"/>
      <c r="AV412" s="2"/>
      <c r="AW412" s="2"/>
      <c r="AX412" s="2"/>
      <c r="AY412" s="2">
        <v>0</v>
      </c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>
        <v>0</v>
      </c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4">
        <v>4.5578099999999999</v>
      </c>
      <c r="CP412" s="4">
        <v>2.9148595329822911E-2</v>
      </c>
      <c r="CQ412" s="4">
        <v>6.7996000000000001E-2</v>
      </c>
      <c r="CR412" s="2"/>
      <c r="CS412" s="2"/>
      <c r="CT412" s="2"/>
      <c r="CU412" s="2"/>
      <c r="CV412" s="2"/>
      <c r="CW412" s="4">
        <v>0.11240231217618901</v>
      </c>
      <c r="CX412" s="2"/>
      <c r="CY412" s="4">
        <v>1.90716</v>
      </c>
      <c r="CZ412" s="4">
        <v>1.6814800000000001</v>
      </c>
      <c r="DA412" s="4">
        <v>0.34337600000000001</v>
      </c>
      <c r="DB412" s="4"/>
      <c r="DC412" s="4"/>
      <c r="DD412" s="2"/>
      <c r="DE412" s="2"/>
      <c r="DF412" s="2"/>
      <c r="DG412" s="2"/>
      <c r="DH412" s="2"/>
      <c r="DI412" s="2"/>
      <c r="DJ412" s="2" t="s">
        <v>81</v>
      </c>
      <c r="DK412" s="2"/>
      <c r="DL412" s="2">
        <f t="shared" si="4367"/>
        <v>7.0628067967275013E-2</v>
      </c>
      <c r="DM412" s="2">
        <f t="shared" si="4368"/>
        <v>0</v>
      </c>
      <c r="DN412" s="2" t="s">
        <v>150</v>
      </c>
      <c r="DO412" s="2" t="s">
        <v>3</v>
      </c>
      <c r="DP412" s="2">
        <f t="shared" si="4369"/>
        <v>4.1714999999999999E-3</v>
      </c>
      <c r="DQ412" s="2">
        <f t="shared" ref="DQ412:DR412" si="6860">K412*$I412+AF412*$AD412+BA412*$AY412</f>
        <v>1.0581010550999999</v>
      </c>
      <c r="DR412" s="2">
        <f t="shared" si="6860"/>
        <v>0</v>
      </c>
      <c r="DS412" s="2">
        <f t="shared" ref="DS412:DX412" si="6861">(M412*$I412+AH412*$AD412+BC412*$AY412)/100</f>
        <v>0</v>
      </c>
      <c r="DT412" s="2">
        <f t="shared" si="6861"/>
        <v>0</v>
      </c>
      <c r="DU412" s="2">
        <f t="shared" si="6861"/>
        <v>0</v>
      </c>
      <c r="DV412" s="2">
        <f t="shared" si="6861"/>
        <v>0</v>
      </c>
      <c r="DW412" s="2">
        <f t="shared" si="6861"/>
        <v>1.12228E-2</v>
      </c>
      <c r="DX412" s="2">
        <f t="shared" si="6861"/>
        <v>0</v>
      </c>
      <c r="DY412" s="2">
        <f t="shared" ref="DY412:EC412" si="6862">S412*$I412+AN412*$AD412+BI412*$AY412</f>
        <v>29.677745870999996</v>
      </c>
      <c r="DZ412" s="2">
        <f t="shared" si="6862"/>
        <v>26.165888613</v>
      </c>
      <c r="EA412" s="2">
        <f t="shared" si="6862"/>
        <v>5.3433511956000004</v>
      </c>
      <c r="EB412" s="2">
        <f t="shared" si="6862"/>
        <v>0</v>
      </c>
      <c r="EC412" s="2">
        <f t="shared" si="6862"/>
        <v>0</v>
      </c>
      <c r="ED412" s="2">
        <f t="shared" ref="ED412:EE412" si="6863">(X412*$I412+AS412*$AD412+BN412*$AY412)/100</f>
        <v>0</v>
      </c>
      <c r="EE412" s="2">
        <f t="shared" si="6863"/>
        <v>0</v>
      </c>
      <c r="EF412" s="2"/>
      <c r="EG412" s="2">
        <f t="shared" si="4374"/>
        <v>0</v>
      </c>
      <c r="EH412" s="2">
        <f t="shared" si="4375"/>
        <v>0</v>
      </c>
      <c r="EI412" s="39">
        <f t="shared" si="4376"/>
        <v>27.221607144</v>
      </c>
      <c r="EJ412" s="39">
        <f t="shared" ref="EJ412:EK412" si="6864">EJ$1*DQ412/1000000</f>
        <v>43.276673379009637</v>
      </c>
      <c r="EK412" s="39">
        <f t="shared" si="6864"/>
        <v>0</v>
      </c>
      <c r="EL412" s="39">
        <f t="shared" ref="EL412:EQ412" si="6865">EL$1*DS412</f>
        <v>0</v>
      </c>
      <c r="EM412" s="39">
        <f t="shared" si="6865"/>
        <v>0</v>
      </c>
      <c r="EN412" s="39">
        <f t="shared" si="6865"/>
        <v>0</v>
      </c>
      <c r="EO412" s="39">
        <f t="shared" si="6865"/>
        <v>0</v>
      </c>
      <c r="EP412" s="39">
        <f t="shared" si="6865"/>
        <v>147.1757992</v>
      </c>
      <c r="EQ412" s="39">
        <f t="shared" si="6865"/>
        <v>0</v>
      </c>
      <c r="ER412" s="39">
        <f t="shared" ref="ER412:EV412" si="6866">ER$1*DY412/1000000</f>
        <v>842.2945070899309</v>
      </c>
      <c r="ES412" s="39">
        <f t="shared" si="6866"/>
        <v>871.99716833349169</v>
      </c>
      <c r="ET412" s="39">
        <f t="shared" si="6866"/>
        <v>382.33310017905728</v>
      </c>
      <c r="EU412" s="39">
        <f t="shared" si="6866"/>
        <v>0</v>
      </c>
      <c r="EV412" s="39">
        <f t="shared" si="6866"/>
        <v>0</v>
      </c>
      <c r="EW412" s="39">
        <f t="shared" ref="EW412:EX412" si="6867">EW$1*ED412</f>
        <v>0</v>
      </c>
      <c r="EX412" s="39">
        <f t="shared" si="6867"/>
        <v>0</v>
      </c>
      <c r="EY412" s="2"/>
      <c r="EZ412" s="39">
        <f t="shared" si="4381"/>
        <v>0</v>
      </c>
      <c r="FA412" s="39">
        <f t="shared" si="4382"/>
        <v>0</v>
      </c>
      <c r="FB412" s="2">
        <f t="shared" si="4383"/>
        <v>1.3285375928022017E-3</v>
      </c>
      <c r="FC412" s="2">
        <f t="shared" ref="FC412:FD412" si="6868">BV412*$BT412+CQ412*$CO412</f>
        <v>0.30991284876000003</v>
      </c>
      <c r="FD412" s="2">
        <f t="shared" si="6868"/>
        <v>0</v>
      </c>
      <c r="FE412" s="2">
        <f t="shared" ref="FE412:FJ412" si="6869">(BX412*$BT412+CS412*$CO412)/100</f>
        <v>0</v>
      </c>
      <c r="FF412" s="2">
        <f t="shared" si="6869"/>
        <v>0</v>
      </c>
      <c r="FG412" s="2">
        <f t="shared" si="6869"/>
        <v>0</v>
      </c>
      <c r="FH412" s="2">
        <f t="shared" si="6869"/>
        <v>0</v>
      </c>
      <c r="FI412" s="2">
        <f t="shared" si="6869"/>
        <v>5.1230838245975609E-3</v>
      </c>
      <c r="FJ412" s="2">
        <f t="shared" si="6869"/>
        <v>0</v>
      </c>
      <c r="FK412" s="2">
        <f t="shared" ref="FK412:FO412" si="6870">CD412*$BT412+CY412*$CO412</f>
        <v>8.6924729196000001</v>
      </c>
      <c r="FL412" s="2">
        <f t="shared" si="6870"/>
        <v>7.6638663588</v>
      </c>
      <c r="FM412" s="2">
        <f t="shared" si="6870"/>
        <v>1.5650425665600001</v>
      </c>
      <c r="FN412" s="2">
        <f t="shared" si="6870"/>
        <v>0</v>
      </c>
      <c r="FO412" s="2">
        <f t="shared" si="6870"/>
        <v>0</v>
      </c>
      <c r="FP412" s="2">
        <f t="shared" ref="FP412:FQ412" si="6871">(CI412*$BT412+DD412*$CO412)/100</f>
        <v>0</v>
      </c>
      <c r="FQ412" s="2">
        <f t="shared" si="6871"/>
        <v>0</v>
      </c>
      <c r="FR412" s="2"/>
      <c r="FS412" s="2">
        <f t="shared" si="4388"/>
        <v>0</v>
      </c>
      <c r="FT412" s="2">
        <f t="shared" si="4389"/>
        <v>0</v>
      </c>
      <c r="FU412" s="39">
        <f t="shared" si="4390"/>
        <v>8.6695261721915315</v>
      </c>
      <c r="FV412" s="39">
        <f t="shared" ref="FV412:FW412" si="6872">FV$1*FC412/1000000</f>
        <v>12.675535164717685</v>
      </c>
      <c r="FW412" s="39">
        <f t="shared" si="6872"/>
        <v>0</v>
      </c>
      <c r="FX412" s="39">
        <f t="shared" ref="FX412:GC412" si="6873">FX$1*FE412</f>
        <v>0</v>
      </c>
      <c r="FY412" s="39">
        <f t="shared" si="6873"/>
        <v>0</v>
      </c>
      <c r="FZ412" s="39">
        <f t="shared" si="6873"/>
        <v>0</v>
      </c>
      <c r="GA412" s="39">
        <f t="shared" si="6873"/>
        <v>0</v>
      </c>
      <c r="GB412" s="39">
        <f t="shared" si="6873"/>
        <v>67.184121275772412</v>
      </c>
      <c r="GC412" s="39">
        <f t="shared" si="6873"/>
        <v>0</v>
      </c>
      <c r="GD412" s="39">
        <f t="shared" ref="GD412:GH412" si="6874">GD$1*FK412/1000000</f>
        <v>246.70412048920048</v>
      </c>
      <c r="GE412" s="39">
        <f t="shared" si="6874"/>
        <v>255.40389100485802</v>
      </c>
      <c r="GF412" s="39">
        <f t="shared" si="6874"/>
        <v>111.98357631401828</v>
      </c>
      <c r="GG412" s="39">
        <f t="shared" si="6874"/>
        <v>0</v>
      </c>
      <c r="GH412" s="39">
        <f t="shared" si="6874"/>
        <v>0</v>
      </c>
      <c r="GI412" s="39">
        <f t="shared" ref="GI412:GJ412" si="6875">GI$1*FP412</f>
        <v>0</v>
      </c>
      <c r="GJ412" s="39">
        <f t="shared" si="6875"/>
        <v>0</v>
      </c>
      <c r="GK412" s="2"/>
      <c r="GL412" s="39">
        <f t="shared" si="4395"/>
        <v>0</v>
      </c>
      <c r="GM412" s="39">
        <f t="shared" si="4396"/>
        <v>0</v>
      </c>
      <c r="GN412" s="2" t="s">
        <v>3</v>
      </c>
      <c r="GO412" s="2">
        <f t="shared" si="4397"/>
        <v>15.89</v>
      </c>
      <c r="GP412" s="4">
        <f t="shared" si="4398"/>
        <v>7.0628067967275013E-2</v>
      </c>
      <c r="GQ412" s="15">
        <f t="shared" si="4399"/>
        <v>11.222799999999999</v>
      </c>
      <c r="GR412" s="15">
        <f t="shared" si="4400"/>
        <v>2314.2988553254891</v>
      </c>
      <c r="GS412" s="15">
        <f t="shared" si="4401"/>
        <v>145.6449877486148</v>
      </c>
      <c r="GT412" s="2">
        <f t="shared" si="4402"/>
        <v>7.3307999999999991</v>
      </c>
      <c r="GU412" s="2">
        <f t="shared" si="4403"/>
        <v>3.8919999999999999</v>
      </c>
      <c r="GV412" s="2">
        <f t="shared" si="4404"/>
        <v>0</v>
      </c>
      <c r="GW412" s="4">
        <f t="shared" si="4405"/>
        <v>4.5578099999999999</v>
      </c>
      <c r="GX412" s="4">
        <f t="shared" si="6856"/>
        <v>0.11240231217618903</v>
      </c>
      <c r="GY412" s="15">
        <f t="shared" si="6857"/>
        <v>5.1230838245975612</v>
      </c>
      <c r="GZ412" s="15">
        <f t="shared" si="6858"/>
        <v>702.62077042075839</v>
      </c>
      <c r="HA412" s="15">
        <f t="shared" si="6859"/>
        <v>154.15753847149364</v>
      </c>
      <c r="HB412" s="2">
        <f t="shared" si="4406"/>
        <v>0</v>
      </c>
      <c r="HC412" s="2">
        <f t="shared" si="4407"/>
        <v>5.1230838245975612</v>
      </c>
      <c r="HD412" s="2" t="s">
        <v>3</v>
      </c>
      <c r="HE412" s="2" t="s">
        <v>89</v>
      </c>
      <c r="HF412" s="2" t="s">
        <v>90</v>
      </c>
      <c r="HG412" s="2" t="s">
        <v>91</v>
      </c>
      <c r="HH412" s="2" t="s">
        <v>226</v>
      </c>
      <c r="HI412" s="2" t="s">
        <v>81</v>
      </c>
      <c r="HJ412" s="2" t="s">
        <v>3</v>
      </c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 t="s">
        <v>3</v>
      </c>
    </row>
    <row r="413" spans="1:268" ht="15.75" customHeight="1" x14ac:dyDescent="0.2">
      <c r="A413" s="16" t="s">
        <v>792</v>
      </c>
      <c r="B413" s="2"/>
      <c r="C413" s="2"/>
      <c r="D413" s="2"/>
      <c r="E413" s="2"/>
      <c r="F413" s="2" t="s">
        <v>129</v>
      </c>
      <c r="G413" s="2"/>
      <c r="H413" s="2"/>
      <c r="I413" s="2">
        <v>41.219512195121951</v>
      </c>
      <c r="J413" s="4">
        <v>4.1922045008979877E-2</v>
      </c>
      <c r="K413" s="4">
        <v>0.11830024688183685</v>
      </c>
      <c r="L413" s="2"/>
      <c r="M413" s="2"/>
      <c r="N413" s="2"/>
      <c r="O413" s="2"/>
      <c r="P413" s="2"/>
      <c r="Q413" s="4">
        <v>0.14966186100017109</v>
      </c>
      <c r="R413" s="2"/>
      <c r="S413" s="4">
        <v>2.9807424278466153</v>
      </c>
      <c r="T413" s="4">
        <v>1.3451946547541811</v>
      </c>
      <c r="U413" s="4">
        <v>0.41246986798309898</v>
      </c>
      <c r="V413" s="4">
        <v>0.71239310651893939</v>
      </c>
      <c r="W413" s="4">
        <v>0.16511935921815282</v>
      </c>
      <c r="X413" s="2"/>
      <c r="Y413" s="2"/>
      <c r="Z413" s="2"/>
      <c r="AA413" s="2"/>
      <c r="AB413" s="2"/>
      <c r="AC413" s="2"/>
      <c r="AD413" s="2">
        <v>448.17073170731715</v>
      </c>
      <c r="AE413" s="4">
        <v>4.7858752859494494E-2</v>
      </c>
      <c r="AF413" s="4">
        <v>0.13637585901501129</v>
      </c>
      <c r="AG413" s="2"/>
      <c r="AH413" s="2"/>
      <c r="AI413" s="2"/>
      <c r="AJ413" s="2"/>
      <c r="AK413" s="2"/>
      <c r="AL413" s="4">
        <v>0.15804702543942561</v>
      </c>
      <c r="AM413" s="2"/>
      <c r="AN413" s="4">
        <v>3.0244988103390766</v>
      </c>
      <c r="AO413" s="4">
        <v>1.3588634576408731</v>
      </c>
      <c r="AP413" s="4">
        <v>0.38528676780752713</v>
      </c>
      <c r="AQ413" s="4">
        <v>0.68211025831433703</v>
      </c>
      <c r="AR413" s="4">
        <v>0.15242641278390434</v>
      </c>
      <c r="AS413" s="2"/>
      <c r="AT413" s="2"/>
      <c r="AU413" s="2"/>
      <c r="AV413" s="2"/>
      <c r="AW413" s="2"/>
      <c r="AX413" s="2"/>
      <c r="AY413" s="2">
        <v>174.8780487804878</v>
      </c>
      <c r="AZ413" s="4">
        <v>4.6050533759498698E-2</v>
      </c>
      <c r="BA413" s="4">
        <v>0.1344426792077984</v>
      </c>
      <c r="BB413" s="2"/>
      <c r="BC413" s="2"/>
      <c r="BD413" s="2"/>
      <c r="BE413" s="2"/>
      <c r="BF413" s="2"/>
      <c r="BG413" s="4">
        <v>0.14536417897999226</v>
      </c>
      <c r="BH413" s="2"/>
      <c r="BI413" s="4">
        <v>2.9999942299113873</v>
      </c>
      <c r="BJ413" s="4">
        <v>1.3460010755739806</v>
      </c>
      <c r="BK413" s="4">
        <v>0.39759064686851359</v>
      </c>
      <c r="BL413" s="4">
        <v>0.69063700184573018</v>
      </c>
      <c r="BM413" s="4">
        <v>0.15356300629004638</v>
      </c>
      <c r="BN413" s="2"/>
      <c r="BO413" s="2"/>
      <c r="BP413" s="2"/>
      <c r="BQ413" s="2"/>
      <c r="BR413" s="2"/>
      <c r="BS413" s="2"/>
      <c r="BT413" s="2">
        <v>18.780487804878049</v>
      </c>
      <c r="BU413" s="4">
        <v>3.974572461373875E-2</v>
      </c>
      <c r="BV413" s="4">
        <v>8.5354036883116893E-2</v>
      </c>
      <c r="BW413" s="2"/>
      <c r="BX413" s="2"/>
      <c r="BY413" s="2"/>
      <c r="BZ413" s="2"/>
      <c r="CA413" s="2"/>
      <c r="CB413" s="4">
        <v>0.14658796805375993</v>
      </c>
      <c r="CC413" s="2"/>
      <c r="CD413" s="4">
        <v>2.4069101681818181</v>
      </c>
      <c r="CE413" s="4">
        <v>1.0970836370129871</v>
      </c>
      <c r="CF413" s="4">
        <v>0.35463405246753255</v>
      </c>
      <c r="CG413" s="4">
        <v>0.60876095642857142</v>
      </c>
      <c r="CH413" s="4">
        <v>0.14019707064935064</v>
      </c>
      <c r="CI413" s="2"/>
      <c r="CJ413" s="2"/>
      <c r="CK413" s="2"/>
      <c r="CL413" s="2"/>
      <c r="CM413" s="2"/>
      <c r="CN413" s="2"/>
      <c r="CO413" s="2">
        <v>264.75609756097566</v>
      </c>
      <c r="CP413" s="4">
        <v>3.4326876001730081E-2</v>
      </c>
      <c r="CQ413" s="4">
        <v>8.3690077088564338E-2</v>
      </c>
      <c r="CR413" s="2"/>
      <c r="CS413" s="2"/>
      <c r="CT413" s="2"/>
      <c r="CU413" s="2"/>
      <c r="CV413" s="2"/>
      <c r="CW413" s="4">
        <v>0.13893424180897254</v>
      </c>
      <c r="CX413" s="2"/>
      <c r="CY413" s="4">
        <v>2.4052624669237512</v>
      </c>
      <c r="CZ413" s="4">
        <v>1.1512607897369789</v>
      </c>
      <c r="DA413" s="4">
        <v>0.35214145811532527</v>
      </c>
      <c r="DB413" s="4">
        <v>0.56599523489674441</v>
      </c>
      <c r="DC413" s="4">
        <v>0.13766484105959487</v>
      </c>
      <c r="DD413" s="2"/>
      <c r="DE413" s="2"/>
      <c r="DF413" s="2"/>
      <c r="DG413" s="2"/>
      <c r="DH413" s="2"/>
      <c r="DI413" s="2"/>
      <c r="DJ413" s="2" t="s">
        <v>81</v>
      </c>
      <c r="DK413" s="2"/>
      <c r="DL413" s="2">
        <f t="shared" si="4367"/>
        <v>0.15418776577294949</v>
      </c>
      <c r="DM413" s="2">
        <f t="shared" si="4368"/>
        <v>0</v>
      </c>
      <c r="DN413" s="2" t="s">
        <v>95</v>
      </c>
      <c r="DO413" s="2" t="s">
        <v>3</v>
      </c>
      <c r="DP413" s="2">
        <f t="shared" si="4369"/>
        <v>0.31230126022292515</v>
      </c>
      <c r="DQ413" s="2">
        <f t="shared" ref="DQ413:DR413" si="6876">K413*$I413+AF413*$AD413+BA413*$AY413</f>
        <v>89.507020403684194</v>
      </c>
      <c r="DR413" s="2">
        <f t="shared" si="6876"/>
        <v>0</v>
      </c>
      <c r="DS413" s="2">
        <f t="shared" ref="DS413:DX413" si="6877">(M413*$I413+AH413*$AD413+BC413*$AY413)/100</f>
        <v>0</v>
      </c>
      <c r="DT413" s="2">
        <f t="shared" si="6877"/>
        <v>0</v>
      </c>
      <c r="DU413" s="2">
        <f t="shared" si="6877"/>
        <v>0</v>
      </c>
      <c r="DV413" s="2">
        <f t="shared" si="6877"/>
        <v>0</v>
      </c>
      <c r="DW413" s="2">
        <f t="shared" si="6877"/>
        <v>1.024220439225922</v>
      </c>
      <c r="DX413" s="2">
        <f t="shared" si="6877"/>
        <v>0</v>
      </c>
      <c r="DY413" s="2">
        <f t="shared" ref="DY413:EC413" si="6878">S413*$I413+AN413*$AD413+BI413*$AY413</f>
        <v>2002.9897310123408</v>
      </c>
      <c r="DZ413" s="2">
        <f t="shared" si="6878"/>
        <v>899.83713933051354</v>
      </c>
      <c r="EA413" s="2">
        <f t="shared" si="6878"/>
        <v>259.20593593663398</v>
      </c>
      <c r="EB413" s="2">
        <f t="shared" si="6878"/>
        <v>455.84360121406922</v>
      </c>
      <c r="EC413" s="2">
        <f t="shared" si="6878"/>
        <v>101.97399529469642</v>
      </c>
      <c r="ED413" s="2">
        <f t="shared" ref="ED413:EE413" si="6879">(X413*$I413+AS413*$AD413+BN413*$AY413)/100</f>
        <v>0</v>
      </c>
      <c r="EE413" s="2">
        <f t="shared" si="6879"/>
        <v>0</v>
      </c>
      <c r="EF413" s="2"/>
      <c r="EG413" s="2">
        <f t="shared" si="4374"/>
        <v>0</v>
      </c>
      <c r="EH413" s="2">
        <f t="shared" si="4375"/>
        <v>0</v>
      </c>
      <c r="EI413" s="39">
        <f t="shared" si="4376"/>
        <v>2037.9581005308839</v>
      </c>
      <c r="EJ413" s="39">
        <f t="shared" ref="EJ413:EK413" si="6880">EJ$1*DQ413/1000000</f>
        <v>3660.8659149030964</v>
      </c>
      <c r="EK413" s="39">
        <f t="shared" si="6880"/>
        <v>0</v>
      </c>
      <c r="EL413" s="39">
        <f t="shared" ref="EL413:EQ413" si="6881">EL$1*DS413</f>
        <v>0</v>
      </c>
      <c r="EM413" s="39">
        <f t="shared" si="6881"/>
        <v>0</v>
      </c>
      <c r="EN413" s="39">
        <f t="shared" si="6881"/>
        <v>0</v>
      </c>
      <c r="EO413" s="39">
        <f t="shared" si="6881"/>
        <v>0</v>
      </c>
      <c r="EP413" s="39">
        <f t="shared" si="6881"/>
        <v>13431.626840008741</v>
      </c>
      <c r="EQ413" s="39">
        <f t="shared" si="6881"/>
        <v>0</v>
      </c>
      <c r="ER413" s="39">
        <f t="shared" ref="ER413:EV413" si="6882">ER$1*DY413/1000000</f>
        <v>56847.55356833931</v>
      </c>
      <c r="ES413" s="39">
        <f t="shared" si="6882"/>
        <v>29987.723675766054</v>
      </c>
      <c r="ET413" s="39">
        <f t="shared" si="6882"/>
        <v>18546.976502887192</v>
      </c>
      <c r="EU413" s="39">
        <f t="shared" si="6882"/>
        <v>3582.4030409238148</v>
      </c>
      <c r="EV413" s="39">
        <f t="shared" si="6882"/>
        <v>4240.5115400248233</v>
      </c>
      <c r="EW413" s="39">
        <f t="shared" ref="EW413:EX413" si="6883">EW$1*ED413</f>
        <v>0</v>
      </c>
      <c r="EX413" s="39">
        <f t="shared" si="6883"/>
        <v>0</v>
      </c>
      <c r="EY413" s="2"/>
      <c r="EZ413" s="39">
        <f t="shared" si="4381"/>
        <v>0</v>
      </c>
      <c r="FA413" s="39">
        <f t="shared" si="4382"/>
        <v>0</v>
      </c>
      <c r="FB413" s="2">
        <f t="shared" si="4383"/>
        <v>9.8346938280819265E-2</v>
      </c>
      <c r="FC413" s="2">
        <f t="shared" ref="FC413:FD413" si="6884">BV413*$BT413+CQ413*$CO413</f>
        <v>23.760448663326002</v>
      </c>
      <c r="FD413" s="2">
        <f t="shared" si="6884"/>
        <v>0</v>
      </c>
      <c r="FE413" s="2">
        <f t="shared" ref="FE413:FJ413" si="6885">(BX413*$BT413+CS413*$CO413)/100</f>
        <v>0</v>
      </c>
      <c r="FF413" s="2">
        <f t="shared" si="6885"/>
        <v>0</v>
      </c>
      <c r="FG413" s="2">
        <f t="shared" si="6885"/>
        <v>0</v>
      </c>
      <c r="FH413" s="2">
        <f t="shared" si="6885"/>
        <v>0</v>
      </c>
      <c r="FI413" s="2">
        <f t="shared" si="6885"/>
        <v>0.39536681225312009</v>
      </c>
      <c r="FJ413" s="2">
        <f t="shared" si="6885"/>
        <v>0</v>
      </c>
      <c r="FK413" s="2">
        <f t="shared" ref="FK413:FO413" si="6886">CD413*$BT413+CY413*$CO413</f>
        <v>682.01085141359329</v>
      </c>
      <c r="FL413" s="2">
        <f t="shared" si="6886"/>
        <v>325.40707983158313</v>
      </c>
      <c r="FM413" s="2">
        <f t="shared" si="6886"/>
        <v>99.891798737606265</v>
      </c>
      <c r="FN413" s="2">
        <f t="shared" si="6886"/>
        <v>161.2835173476625</v>
      </c>
      <c r="FO413" s="2">
        <f t="shared" si="6886"/>
        <v>39.080575465900061</v>
      </c>
      <c r="FP413" s="2">
        <f t="shared" ref="FP413:FQ413" si="6887">(CI413*$BT413+DD413*$CO413)/100</f>
        <v>0</v>
      </c>
      <c r="FQ413" s="2">
        <f t="shared" si="6887"/>
        <v>0</v>
      </c>
      <c r="FR413" s="2"/>
      <c r="FS413" s="2">
        <f t="shared" si="4388"/>
        <v>0</v>
      </c>
      <c r="FT413" s="2">
        <f t="shared" si="4389"/>
        <v>0</v>
      </c>
      <c r="FU413" s="39">
        <f t="shared" si="4390"/>
        <v>641.77435399632668</v>
      </c>
      <c r="FV413" s="39">
        <f t="shared" ref="FV413:FW413" si="6888">FV$1*FC413/1000000</f>
        <v>971.80999034568083</v>
      </c>
      <c r="FW413" s="39">
        <f t="shared" si="6888"/>
        <v>0</v>
      </c>
      <c r="FX413" s="39">
        <f t="shared" ref="FX413:GC413" si="6889">FX$1*FE413</f>
        <v>0</v>
      </c>
      <c r="FY413" s="39">
        <f t="shared" si="6889"/>
        <v>0</v>
      </c>
      <c r="FZ413" s="39">
        <f t="shared" si="6889"/>
        <v>0</v>
      </c>
      <c r="GA413" s="39">
        <f t="shared" si="6889"/>
        <v>0</v>
      </c>
      <c r="GB413" s="39">
        <f t="shared" si="6889"/>
        <v>5184.8403758874165</v>
      </c>
      <c r="GC413" s="39">
        <f t="shared" si="6889"/>
        <v>0</v>
      </c>
      <c r="GD413" s="39">
        <f t="shared" ref="GD413:GH413" si="6890">GD$1*FK413/1000000</f>
        <v>19356.389006711324</v>
      </c>
      <c r="GE413" s="39">
        <f t="shared" si="6890"/>
        <v>10844.426358516004</v>
      </c>
      <c r="GF413" s="39">
        <f t="shared" si="6890"/>
        <v>7147.5633353953453</v>
      </c>
      <c r="GG413" s="39">
        <f t="shared" si="6890"/>
        <v>1267.5017516058581</v>
      </c>
      <c r="GH413" s="39">
        <f t="shared" si="6890"/>
        <v>1625.1362004110792</v>
      </c>
      <c r="GI413" s="39">
        <f t="shared" ref="GI413:GJ413" si="6891">GI$1*FP413</f>
        <v>0</v>
      </c>
      <c r="GJ413" s="39">
        <f t="shared" si="6891"/>
        <v>0</v>
      </c>
      <c r="GK413" s="2"/>
      <c r="GL413" s="39">
        <f t="shared" si="4395"/>
        <v>0</v>
      </c>
      <c r="GM413" s="39">
        <f t="shared" si="4396"/>
        <v>0</v>
      </c>
      <c r="GN413" s="2" t="s">
        <v>3</v>
      </c>
      <c r="GO413" s="15">
        <f t="shared" si="4397"/>
        <v>664.26829268292693</v>
      </c>
      <c r="GP413" s="4">
        <f t="shared" si="4398"/>
        <v>0.15418776577294949</v>
      </c>
      <c r="GQ413" s="15">
        <f t="shared" si="4399"/>
        <v>1024.2204392259218</v>
      </c>
      <c r="GR413" s="15">
        <f t="shared" si="4400"/>
        <v>132335.61918338391</v>
      </c>
      <c r="GS413" s="15">
        <f t="shared" si="4401"/>
        <v>199.22013535960124</v>
      </c>
      <c r="GT413" s="2">
        <f t="shared" si="4402"/>
        <v>61.689889046411992</v>
      </c>
      <c r="GU413" s="2">
        <f t="shared" si="4403"/>
        <v>708.32051035352356</v>
      </c>
      <c r="GV413" s="2">
        <f t="shared" si="4404"/>
        <v>254.21003982598648</v>
      </c>
      <c r="GW413" s="15">
        <f t="shared" si="4405"/>
        <v>283.53658536585374</v>
      </c>
      <c r="GX413" s="2">
        <f t="shared" si="6856"/>
        <v>0.1394411983000251</v>
      </c>
      <c r="GY413" s="15">
        <f t="shared" si="6857"/>
        <v>395.36681225312009</v>
      </c>
      <c r="GZ413" s="15">
        <f t="shared" si="6858"/>
        <v>47039.441372869034</v>
      </c>
      <c r="HA413" s="15">
        <f t="shared" si="6859"/>
        <v>165.90254591721546</v>
      </c>
      <c r="HB413" s="2">
        <f t="shared" si="4406"/>
        <v>27.529935463754914</v>
      </c>
      <c r="HC413" s="2">
        <f t="shared" si="4407"/>
        <v>367.83687678936519</v>
      </c>
      <c r="HD413" s="2" t="s">
        <v>3</v>
      </c>
      <c r="HE413" s="2" t="s">
        <v>89</v>
      </c>
      <c r="HF413" s="2" t="s">
        <v>90</v>
      </c>
      <c r="HG413" s="2" t="s">
        <v>91</v>
      </c>
      <c r="HH413" s="2" t="s">
        <v>92</v>
      </c>
      <c r="HI413" s="2" t="s">
        <v>81</v>
      </c>
      <c r="HJ413" s="2" t="s">
        <v>3</v>
      </c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 t="s">
        <v>3</v>
      </c>
    </row>
    <row r="414" spans="1:268" ht="15.75" customHeight="1" x14ac:dyDescent="0.2">
      <c r="A414" s="16" t="s">
        <v>793</v>
      </c>
      <c r="B414" s="2"/>
      <c r="C414" s="2"/>
      <c r="D414" s="2"/>
      <c r="E414" s="2"/>
      <c r="F414" s="2" t="s">
        <v>671</v>
      </c>
      <c r="G414" s="2"/>
      <c r="H414" s="2"/>
      <c r="I414" s="2">
        <v>27.2</v>
      </c>
      <c r="J414" s="4">
        <v>1.5542233663308669E-2</v>
      </c>
      <c r="K414" s="4">
        <v>3.5934696000000002E-2</v>
      </c>
      <c r="L414" s="2"/>
      <c r="M414" s="2"/>
      <c r="N414" s="2"/>
      <c r="O414" s="2"/>
      <c r="P414" s="2"/>
      <c r="Q414" s="4">
        <v>0.11240231217618901</v>
      </c>
      <c r="R414" s="2"/>
      <c r="S414" s="4">
        <v>1.9450644500000001</v>
      </c>
      <c r="T414" s="4">
        <v>0.97660031000000003</v>
      </c>
      <c r="U414" s="4">
        <v>0.33240054400000002</v>
      </c>
      <c r="V414" s="2"/>
      <c r="W414" s="2"/>
      <c r="X414" s="2"/>
      <c r="Y414" s="2"/>
      <c r="Z414" s="2"/>
      <c r="AA414" s="2"/>
      <c r="AB414" s="2"/>
      <c r="AC414" s="2"/>
      <c r="AD414" s="2">
        <v>9.4</v>
      </c>
      <c r="AE414" s="4">
        <v>1.5542233663308669E-2</v>
      </c>
      <c r="AF414" s="4">
        <v>4.0959000000000002E-2</v>
      </c>
      <c r="AG414" s="2"/>
      <c r="AH414" s="2"/>
      <c r="AI414" s="2"/>
      <c r="AJ414" s="2"/>
      <c r="AK414" s="2"/>
      <c r="AL414" s="4">
        <v>0.11240231217618901</v>
      </c>
      <c r="AM414" s="2"/>
      <c r="AN414" s="4">
        <v>2.2170187499999998</v>
      </c>
      <c r="AO414" s="4">
        <v>1.11314625</v>
      </c>
      <c r="AP414" s="4">
        <v>0.37887599999999999</v>
      </c>
      <c r="AQ414" s="2"/>
      <c r="AR414" s="2"/>
      <c r="AS414" s="2"/>
      <c r="AT414" s="2"/>
      <c r="AU414" s="2"/>
      <c r="AV414" s="2"/>
      <c r="AW414" s="2"/>
      <c r="AX414" s="2"/>
      <c r="AY414" s="15">
        <v>5</v>
      </c>
      <c r="AZ414" s="4">
        <v>1.5542233663308669E-2</v>
      </c>
      <c r="BA414" s="4">
        <v>3.2221080000000006E-2</v>
      </c>
      <c r="BB414" s="2"/>
      <c r="BC414" s="2"/>
      <c r="BD414" s="2"/>
      <c r="BE414" s="2"/>
      <c r="BF414" s="2"/>
      <c r="BG414" s="4">
        <v>0.11240231217618901</v>
      </c>
      <c r="BH414" s="2"/>
      <c r="BI414" s="4">
        <v>1.7440547500000001</v>
      </c>
      <c r="BJ414" s="4">
        <v>0.87567505000000012</v>
      </c>
      <c r="BK414" s="4">
        <v>0.29804912</v>
      </c>
      <c r="BL414" s="2"/>
      <c r="BM414" s="2"/>
      <c r="BN414" s="2"/>
      <c r="BO414" s="2"/>
      <c r="BP414" s="2"/>
      <c r="BQ414" s="2"/>
      <c r="BR414" s="2"/>
      <c r="BS414" s="2"/>
      <c r="BT414" s="2">
        <v>0</v>
      </c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>
        <v>0</v>
      </c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>
        <f t="shared" si="4367"/>
        <v>0.11240231217618901</v>
      </c>
      <c r="DM414" s="2">
        <f t="shared" si="4368"/>
        <v>0</v>
      </c>
      <c r="DN414" s="2" t="s">
        <v>95</v>
      </c>
      <c r="DO414" s="2" t="s">
        <v>3</v>
      </c>
      <c r="DP414" s="2">
        <f t="shared" si="4369"/>
        <v>6.4655692039364068E-3</v>
      </c>
      <c r="DQ414" s="2">
        <f t="shared" ref="DQ414:DR414" si="6892">K414*$I414+AF414*$AD414+BA414*$AY414</f>
        <v>1.5235437312000002</v>
      </c>
      <c r="DR414" s="2">
        <f t="shared" si="6892"/>
        <v>0</v>
      </c>
      <c r="DS414" s="2">
        <f t="shared" ref="DS414:DX414" si="6893">(M414*$I414+AH414*$AD414+BC414*$AY414)/100</f>
        <v>0</v>
      </c>
      <c r="DT414" s="2">
        <f t="shared" si="6893"/>
        <v>0</v>
      </c>
      <c r="DU414" s="2">
        <f t="shared" si="6893"/>
        <v>0</v>
      </c>
      <c r="DV414" s="2">
        <f t="shared" si="6893"/>
        <v>0</v>
      </c>
      <c r="DW414" s="2">
        <f t="shared" si="6893"/>
        <v>4.6759361865294634E-2</v>
      </c>
      <c r="DX414" s="2">
        <f t="shared" si="6893"/>
        <v>0</v>
      </c>
      <c r="DY414" s="2">
        <f t="shared" ref="DY414:EC414" si="6894">S414*$I414+AN414*$AD414+BI414*$AY414</f>
        <v>82.466003040000004</v>
      </c>
      <c r="DZ414" s="2">
        <f t="shared" si="6894"/>
        <v>41.405478432000002</v>
      </c>
      <c r="EA414" s="2">
        <f t="shared" si="6894"/>
        <v>14.0929747968</v>
      </c>
      <c r="EB414" s="2">
        <f t="shared" si="6894"/>
        <v>0</v>
      </c>
      <c r="EC414" s="2">
        <f t="shared" si="6894"/>
        <v>0</v>
      </c>
      <c r="ED414" s="2">
        <f t="shared" ref="ED414:EE414" si="6895">(X414*$I414+AS414*$AD414+BN414*$AY414)/100</f>
        <v>0</v>
      </c>
      <c r="EE414" s="2">
        <f t="shared" si="6895"/>
        <v>0</v>
      </c>
      <c r="EF414" s="2"/>
      <c r="EG414" s="2">
        <f t="shared" si="4374"/>
        <v>0</v>
      </c>
      <c r="EH414" s="2">
        <f t="shared" si="4375"/>
        <v>0</v>
      </c>
      <c r="EI414" s="39">
        <f t="shared" si="4376"/>
        <v>42.191821846314681</v>
      </c>
      <c r="EJ414" s="39">
        <f t="shared" ref="EJ414:EK414" si="6896">EJ$1*DQ414/1000000</f>
        <v>62.313428491524114</v>
      </c>
      <c r="EK414" s="39">
        <f t="shared" si="6896"/>
        <v>0</v>
      </c>
      <c r="EL414" s="39">
        <f t="shared" ref="EL414:EQ414" si="6897">EL$1*DS414</f>
        <v>0</v>
      </c>
      <c r="EM414" s="39">
        <f t="shared" si="6897"/>
        <v>0</v>
      </c>
      <c r="EN414" s="39">
        <f t="shared" si="6897"/>
        <v>0</v>
      </c>
      <c r="EO414" s="39">
        <f t="shared" si="6897"/>
        <v>0</v>
      </c>
      <c r="EP414" s="39">
        <f t="shared" si="6897"/>
        <v>613.20227150147377</v>
      </c>
      <c r="EQ414" s="39">
        <f t="shared" si="6897"/>
        <v>0</v>
      </c>
      <c r="ER414" s="39">
        <f t="shared" ref="ER414:EV414" si="6898">ER$1*DY414/1000000</f>
        <v>2340.4965351539036</v>
      </c>
      <c r="ES414" s="39">
        <f t="shared" si="6898"/>
        <v>1379.8675244783847</v>
      </c>
      <c r="ET414" s="39">
        <f t="shared" si="6898"/>
        <v>1008.3953959909661</v>
      </c>
      <c r="EU414" s="39">
        <f t="shared" si="6898"/>
        <v>0</v>
      </c>
      <c r="EV414" s="39">
        <f t="shared" si="6898"/>
        <v>0</v>
      </c>
      <c r="EW414" s="39">
        <f t="shared" ref="EW414:EX414" si="6899">EW$1*ED414</f>
        <v>0</v>
      </c>
      <c r="EX414" s="39">
        <f t="shared" si="6899"/>
        <v>0</v>
      </c>
      <c r="EY414" s="2"/>
      <c r="EZ414" s="39">
        <f t="shared" si="4381"/>
        <v>0</v>
      </c>
      <c r="FA414" s="39">
        <f t="shared" si="4382"/>
        <v>0</v>
      </c>
      <c r="FB414" s="2">
        <f t="shared" si="4383"/>
        <v>0</v>
      </c>
      <c r="FC414" s="2">
        <f t="shared" ref="FC414:FD414" si="6900">BV414*$BT414+CQ414*$CO414</f>
        <v>0</v>
      </c>
      <c r="FD414" s="2">
        <f t="shared" si="6900"/>
        <v>0</v>
      </c>
      <c r="FE414" s="2">
        <f t="shared" ref="FE414:FJ414" si="6901">(BX414*$BT414+CS414*$CO414)/100</f>
        <v>0</v>
      </c>
      <c r="FF414" s="2">
        <f t="shared" si="6901"/>
        <v>0</v>
      </c>
      <c r="FG414" s="2">
        <f t="shared" si="6901"/>
        <v>0</v>
      </c>
      <c r="FH414" s="2">
        <f t="shared" si="6901"/>
        <v>0</v>
      </c>
      <c r="FI414" s="2">
        <f t="shared" si="6901"/>
        <v>0</v>
      </c>
      <c r="FJ414" s="2">
        <f t="shared" si="6901"/>
        <v>0</v>
      </c>
      <c r="FK414" s="2">
        <f t="shared" ref="FK414:FO414" si="6902">CD414*$BT414+CY414*$CO414</f>
        <v>0</v>
      </c>
      <c r="FL414" s="2">
        <f t="shared" si="6902"/>
        <v>0</v>
      </c>
      <c r="FM414" s="2">
        <f t="shared" si="6902"/>
        <v>0</v>
      </c>
      <c r="FN414" s="2">
        <f t="shared" si="6902"/>
        <v>0</v>
      </c>
      <c r="FO414" s="2">
        <f t="shared" si="6902"/>
        <v>0</v>
      </c>
      <c r="FP414" s="2">
        <f t="shared" ref="FP414:FQ414" si="6903">(CI414*$BT414+DD414*$CO414)/100</f>
        <v>0</v>
      </c>
      <c r="FQ414" s="2">
        <f t="shared" si="6903"/>
        <v>0</v>
      </c>
      <c r="FR414" s="2"/>
      <c r="FS414" s="2">
        <f t="shared" si="4388"/>
        <v>0</v>
      </c>
      <c r="FT414" s="2">
        <f t="shared" si="4389"/>
        <v>0</v>
      </c>
      <c r="FU414" s="39">
        <f t="shared" si="4390"/>
        <v>0</v>
      </c>
      <c r="FV414" s="39">
        <f t="shared" ref="FV414:FW414" si="6904">FV$1*FC414/1000000</f>
        <v>0</v>
      </c>
      <c r="FW414" s="39">
        <f t="shared" si="6904"/>
        <v>0</v>
      </c>
      <c r="FX414" s="39">
        <f t="shared" ref="FX414:GC414" si="6905">FX$1*FE414</f>
        <v>0</v>
      </c>
      <c r="FY414" s="39">
        <f t="shared" si="6905"/>
        <v>0</v>
      </c>
      <c r="FZ414" s="39">
        <f t="shared" si="6905"/>
        <v>0</v>
      </c>
      <c r="GA414" s="39">
        <f t="shared" si="6905"/>
        <v>0</v>
      </c>
      <c r="GB414" s="39">
        <f t="shared" si="6905"/>
        <v>0</v>
      </c>
      <c r="GC414" s="39">
        <f t="shared" si="6905"/>
        <v>0</v>
      </c>
      <c r="GD414" s="39">
        <f t="shared" ref="GD414:GH414" si="6906">GD$1*FK414/1000000</f>
        <v>0</v>
      </c>
      <c r="GE414" s="39">
        <f t="shared" si="6906"/>
        <v>0</v>
      </c>
      <c r="GF414" s="39">
        <f t="shared" si="6906"/>
        <v>0</v>
      </c>
      <c r="GG414" s="39">
        <f t="shared" si="6906"/>
        <v>0</v>
      </c>
      <c r="GH414" s="39">
        <f t="shared" si="6906"/>
        <v>0</v>
      </c>
      <c r="GI414" s="39">
        <f t="shared" ref="GI414:GJ414" si="6907">GI$1*FP414</f>
        <v>0</v>
      </c>
      <c r="GJ414" s="39">
        <f t="shared" si="6907"/>
        <v>0</v>
      </c>
      <c r="GK414" s="2"/>
      <c r="GL414" s="39">
        <f t="shared" si="4395"/>
        <v>0</v>
      </c>
      <c r="GM414" s="39">
        <f t="shared" si="4396"/>
        <v>0</v>
      </c>
      <c r="GN414" s="2" t="s">
        <v>3</v>
      </c>
      <c r="GO414" s="15">
        <f t="shared" si="4397"/>
        <v>41.6</v>
      </c>
      <c r="GP414" s="4">
        <f t="shared" si="4398"/>
        <v>0.11240231217618901</v>
      </c>
      <c r="GQ414" s="15">
        <f t="shared" si="4399"/>
        <v>46.759361865294629</v>
      </c>
      <c r="GR414" s="15">
        <f t="shared" si="4400"/>
        <v>5446.4669774625663</v>
      </c>
      <c r="GS414" s="15">
        <f t="shared" si="4401"/>
        <v>130.92468695823476</v>
      </c>
      <c r="GT414" s="2">
        <f t="shared" si="4402"/>
        <v>30.573428911923411</v>
      </c>
      <c r="GU414" s="2">
        <f t="shared" si="4403"/>
        <v>10.565817344561767</v>
      </c>
      <c r="GV414" s="2">
        <f t="shared" si="4404"/>
        <v>5.6201156088094502</v>
      </c>
      <c r="GW414" s="2">
        <f t="shared" si="4405"/>
        <v>0</v>
      </c>
      <c r="GX414" s="2"/>
      <c r="GY414" s="2"/>
      <c r="GZ414" s="2"/>
      <c r="HA414" s="2"/>
      <c r="HB414" s="2">
        <f t="shared" si="4406"/>
        <v>0</v>
      </c>
      <c r="HC414" s="2">
        <f t="shared" si="4407"/>
        <v>0</v>
      </c>
      <c r="HD414" s="2" t="s">
        <v>3</v>
      </c>
      <c r="HE414" s="2" t="s">
        <v>89</v>
      </c>
      <c r="HF414" s="2" t="s">
        <v>90</v>
      </c>
      <c r="HG414" s="2" t="s">
        <v>91</v>
      </c>
      <c r="HH414" s="2" t="s">
        <v>92</v>
      </c>
      <c r="HI414" s="2" t="s">
        <v>81</v>
      </c>
      <c r="HJ414" s="2" t="s">
        <v>3</v>
      </c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 t="s">
        <v>3</v>
      </c>
    </row>
    <row r="415" spans="1:268" ht="15.75" customHeight="1" x14ac:dyDescent="0.2">
      <c r="A415" s="16" t="s">
        <v>799</v>
      </c>
      <c r="B415" s="2"/>
      <c r="C415" s="2"/>
      <c r="D415" s="2"/>
      <c r="E415" s="2"/>
      <c r="F415" s="2" t="s">
        <v>94</v>
      </c>
      <c r="G415" s="2"/>
      <c r="H415" s="2"/>
      <c r="I415" s="2">
        <v>84.3</v>
      </c>
      <c r="J415" s="4">
        <v>5.6619217081850533E-2</v>
      </c>
      <c r="K415" s="4">
        <v>0.17425822064056937</v>
      </c>
      <c r="L415" s="2"/>
      <c r="M415" s="2"/>
      <c r="N415" s="2"/>
      <c r="O415" s="2"/>
      <c r="P415" s="2"/>
      <c r="Q415" s="4">
        <v>0.10510083036773428</v>
      </c>
      <c r="R415" s="2"/>
      <c r="S415" s="4">
        <v>2.6258794306049822</v>
      </c>
      <c r="T415" s="4">
        <v>2.1737101779359431</v>
      </c>
      <c r="U415" s="4">
        <v>0.39030861209964413</v>
      </c>
      <c r="V415" s="4">
        <v>0.582597153024911</v>
      </c>
      <c r="W415" s="4">
        <v>0.1655417793594306</v>
      </c>
      <c r="X415" s="2"/>
      <c r="Y415" s="2"/>
      <c r="Z415" s="2"/>
      <c r="AA415" s="2"/>
      <c r="AB415" s="2"/>
      <c r="AC415" s="2"/>
      <c r="AD415" s="2">
        <v>30</v>
      </c>
      <c r="AE415" s="4">
        <v>4.2799999999999991E-2</v>
      </c>
      <c r="AF415" s="4">
        <v>0.1350733333333333</v>
      </c>
      <c r="AG415" s="2"/>
      <c r="AH415" s="2"/>
      <c r="AI415" s="2"/>
      <c r="AJ415" s="2"/>
      <c r="AK415" s="2"/>
      <c r="AL415" s="4">
        <v>8.5466666666666663E-2</v>
      </c>
      <c r="AM415" s="2"/>
      <c r="AN415" s="4">
        <v>2.6803599999999999</v>
      </c>
      <c r="AO415" s="4">
        <v>2.4053333333333331</v>
      </c>
      <c r="AP415" s="4">
        <v>0.46384666666666663</v>
      </c>
      <c r="AQ415" s="4">
        <v>0.6744066666666666</v>
      </c>
      <c r="AR415" s="4">
        <v>0.19972666666666669</v>
      </c>
      <c r="AS415" s="2"/>
      <c r="AT415" s="2"/>
      <c r="AU415" s="2"/>
      <c r="AV415" s="2"/>
      <c r="AW415" s="2"/>
      <c r="AX415" s="2"/>
      <c r="AY415" s="2">
        <v>11.600000000000001</v>
      </c>
      <c r="AZ415" s="4">
        <v>6.0344827586206892E-2</v>
      </c>
      <c r="BA415" s="4">
        <v>0.1709896551724138</v>
      </c>
      <c r="BB415" s="2"/>
      <c r="BC415" s="2"/>
      <c r="BD415" s="2"/>
      <c r="BE415" s="2"/>
      <c r="BF415" s="2"/>
      <c r="BG415" s="4">
        <v>0.11724137931034483</v>
      </c>
      <c r="BH415" s="2"/>
      <c r="BI415" s="4">
        <v>2.5390772413793101</v>
      </c>
      <c r="BJ415" s="4">
        <v>2.0909958620689655</v>
      </c>
      <c r="BK415" s="4">
        <v>0.37359655172413792</v>
      </c>
      <c r="BL415" s="4">
        <v>0.55869724137931032</v>
      </c>
      <c r="BM415" s="4">
        <v>0.15827931034482759</v>
      </c>
      <c r="BN415" s="2"/>
      <c r="BO415" s="2"/>
      <c r="BP415" s="2"/>
      <c r="BQ415" s="2"/>
      <c r="BR415" s="2"/>
      <c r="BS415" s="2"/>
      <c r="BT415" s="2">
        <v>2.8</v>
      </c>
      <c r="BU415" s="4">
        <v>0.02</v>
      </c>
      <c r="BV415" s="4">
        <v>5.28E-2</v>
      </c>
      <c r="BW415" s="2"/>
      <c r="BX415" s="2"/>
      <c r="BY415" s="2"/>
      <c r="BZ415" s="2"/>
      <c r="CA415" s="2"/>
      <c r="CB415" s="4">
        <v>0.04</v>
      </c>
      <c r="CC415" s="2"/>
      <c r="CD415" s="4">
        <v>2.0116800000000001</v>
      </c>
      <c r="CE415" s="4">
        <v>2.0169600000000001</v>
      </c>
      <c r="CF415" s="4">
        <v>0.4224</v>
      </c>
      <c r="CG415" s="4">
        <v>0.59664000000000006</v>
      </c>
      <c r="CH415" s="4">
        <v>0.18480000000000002</v>
      </c>
      <c r="CI415" s="2"/>
      <c r="CJ415" s="2"/>
      <c r="CK415" s="2"/>
      <c r="CL415" s="2"/>
      <c r="CM415" s="2"/>
      <c r="CN415" s="2"/>
      <c r="CO415" s="2">
        <v>19.5</v>
      </c>
      <c r="CP415" s="4">
        <v>0.02</v>
      </c>
      <c r="CQ415" s="4">
        <v>4.8300000000000003E-2</v>
      </c>
      <c r="CR415" s="2"/>
      <c r="CS415" s="2"/>
      <c r="CT415" s="2"/>
      <c r="CU415" s="2"/>
      <c r="CV415" s="2"/>
      <c r="CW415" s="4">
        <v>0.05</v>
      </c>
      <c r="CX415" s="2"/>
      <c r="CY415" s="4">
        <v>1.8402299999999998</v>
      </c>
      <c r="CZ415" s="4">
        <v>1.8450600000000001</v>
      </c>
      <c r="DA415" s="4">
        <v>0.38640000000000002</v>
      </c>
      <c r="DB415" s="4">
        <v>0.54579</v>
      </c>
      <c r="DC415" s="4">
        <v>0.16905000000000001</v>
      </c>
      <c r="DD415" s="2"/>
      <c r="DE415" s="2"/>
      <c r="DF415" s="2"/>
      <c r="DG415" s="2"/>
      <c r="DH415" s="2"/>
      <c r="DI415" s="2"/>
      <c r="DJ415" s="2" t="s">
        <v>81</v>
      </c>
      <c r="DK415" s="2"/>
      <c r="DL415" s="2">
        <f t="shared" si="4367"/>
        <v>0.10154090548054009</v>
      </c>
      <c r="DM415" s="2">
        <f t="shared" si="4368"/>
        <v>0</v>
      </c>
      <c r="DN415" s="2" t="s">
        <v>95</v>
      </c>
      <c r="DO415" s="2" t="s">
        <v>3</v>
      </c>
      <c r="DP415" s="2">
        <f t="shared" si="4369"/>
        <v>6.7569999999999991E-2</v>
      </c>
      <c r="DQ415" s="2">
        <f t="shared" ref="DQ415:DR415" si="6908">K415*$I415+AF415*$AD415+BA415*$AY415</f>
        <v>20.725647999999996</v>
      </c>
      <c r="DR415" s="2">
        <f t="shared" si="6908"/>
        <v>0</v>
      </c>
      <c r="DS415" s="2">
        <f t="shared" ref="DS415:DX415" si="6909">(M415*$I415+AH415*$AD415+BC415*$AY415)/100</f>
        <v>0</v>
      </c>
      <c r="DT415" s="2">
        <f t="shared" si="6909"/>
        <v>0</v>
      </c>
      <c r="DU415" s="2">
        <f t="shared" si="6909"/>
        <v>0</v>
      </c>
      <c r="DV415" s="2">
        <f t="shared" si="6909"/>
        <v>0</v>
      </c>
      <c r="DW415" s="2">
        <f t="shared" si="6909"/>
        <v>0.12783999999999998</v>
      </c>
      <c r="DX415" s="2">
        <f t="shared" si="6909"/>
        <v>0</v>
      </c>
      <c r="DY415" s="2">
        <f t="shared" ref="DY415:EC415" si="6910">S415*$I415+AN415*$AD415+BI415*$AY415</f>
        <v>331.22573199999999</v>
      </c>
      <c r="DZ415" s="2">
        <f t="shared" si="6910"/>
        <v>279.65931999999998</v>
      </c>
      <c r="EA415" s="2">
        <f t="shared" si="6910"/>
        <v>51.152135999999999</v>
      </c>
      <c r="EB415" s="2">
        <f t="shared" si="6910"/>
        <v>75.82602799999998</v>
      </c>
      <c r="EC415" s="2">
        <f t="shared" si="6910"/>
        <v>21.783011999999999</v>
      </c>
      <c r="ED415" s="2">
        <f t="shared" ref="ED415:EE415" si="6911">(X415*$I415+AS415*$AD415+BN415*$AY415)/100</f>
        <v>0</v>
      </c>
      <c r="EE415" s="2">
        <f t="shared" si="6911"/>
        <v>0</v>
      </c>
      <c r="EF415" s="2"/>
      <c r="EG415" s="2">
        <f t="shared" si="4374"/>
        <v>0</v>
      </c>
      <c r="EH415" s="2">
        <f t="shared" si="4375"/>
        <v>0</v>
      </c>
      <c r="EI415" s="39">
        <f t="shared" si="4376"/>
        <v>440.93587311999994</v>
      </c>
      <c r="EJ415" s="39">
        <f t="shared" ref="EJ415:EK415" si="6912">EJ$1*DQ415/1000000</f>
        <v>847.68566739549817</v>
      </c>
      <c r="EK415" s="39">
        <f t="shared" si="6912"/>
        <v>0</v>
      </c>
      <c r="EL415" s="39">
        <f t="shared" ref="EL415:EQ415" si="6913">EL$1*DS415</f>
        <v>0</v>
      </c>
      <c r="EM415" s="39">
        <f t="shared" si="6913"/>
        <v>0</v>
      </c>
      <c r="EN415" s="39">
        <f t="shared" si="6913"/>
        <v>0</v>
      </c>
      <c r="EO415" s="39">
        <f t="shared" si="6913"/>
        <v>0</v>
      </c>
      <c r="EP415" s="39">
        <f t="shared" si="6913"/>
        <v>1676.4937599999998</v>
      </c>
      <c r="EQ415" s="39">
        <f t="shared" si="6913"/>
        <v>0</v>
      </c>
      <c r="ER415" s="39">
        <f t="shared" ref="ER415:EV415" si="6914">ER$1*DY415/1000000</f>
        <v>9400.6335886533743</v>
      </c>
      <c r="ES415" s="39">
        <f t="shared" si="6914"/>
        <v>9319.8491648745967</v>
      </c>
      <c r="ET415" s="39">
        <f t="shared" si="6914"/>
        <v>3660.0915833054664</v>
      </c>
      <c r="EU415" s="39">
        <f t="shared" si="6914"/>
        <v>595.90480718585184</v>
      </c>
      <c r="EV415" s="39">
        <f t="shared" si="6914"/>
        <v>905.83009418778124</v>
      </c>
      <c r="EW415" s="39">
        <f t="shared" ref="EW415:EX415" si="6915">EW$1*ED415</f>
        <v>0</v>
      </c>
      <c r="EX415" s="39">
        <f t="shared" si="6915"/>
        <v>0</v>
      </c>
      <c r="EY415" s="2"/>
      <c r="EZ415" s="39">
        <f t="shared" si="4381"/>
        <v>0</v>
      </c>
      <c r="FA415" s="39">
        <f t="shared" si="4382"/>
        <v>0</v>
      </c>
      <c r="FB415" s="2">
        <f t="shared" si="4383"/>
        <v>4.4600000000000004E-3</v>
      </c>
      <c r="FC415" s="2">
        <f t="shared" ref="FC415:FD415" si="6916">BV415*$BT415+CQ415*$CO415</f>
        <v>1.08969</v>
      </c>
      <c r="FD415" s="2">
        <f t="shared" si="6916"/>
        <v>0</v>
      </c>
      <c r="FE415" s="2">
        <f t="shared" ref="FE415:FJ415" si="6917">(BX415*$BT415+CS415*$CO415)/100</f>
        <v>0</v>
      </c>
      <c r="FF415" s="2">
        <f t="shared" si="6917"/>
        <v>0</v>
      </c>
      <c r="FG415" s="2">
        <f t="shared" si="6917"/>
        <v>0</v>
      </c>
      <c r="FH415" s="2">
        <f t="shared" si="6917"/>
        <v>0</v>
      </c>
      <c r="FI415" s="2">
        <f t="shared" si="6917"/>
        <v>1.0870000000000001E-2</v>
      </c>
      <c r="FJ415" s="2">
        <f t="shared" si="6917"/>
        <v>0</v>
      </c>
      <c r="FK415" s="2">
        <f t="shared" ref="FK415:FO415" si="6918">CD415*$BT415+CY415*$CO415</f>
        <v>41.517189000000002</v>
      </c>
      <c r="FL415" s="2">
        <f t="shared" si="6918"/>
        <v>41.626158000000004</v>
      </c>
      <c r="FM415" s="2">
        <f t="shared" si="6918"/>
        <v>8.7175200000000004</v>
      </c>
      <c r="FN415" s="2">
        <f t="shared" si="6918"/>
        <v>12.313497000000002</v>
      </c>
      <c r="FO415" s="2">
        <f t="shared" si="6918"/>
        <v>3.8139150000000002</v>
      </c>
      <c r="FP415" s="2">
        <f t="shared" ref="FP415:FQ415" si="6919">(CI415*$BT415+DD415*$CO415)/100</f>
        <v>0</v>
      </c>
      <c r="FQ415" s="2">
        <f t="shared" si="6919"/>
        <v>0</v>
      </c>
      <c r="FR415" s="2"/>
      <c r="FS415" s="2">
        <f t="shared" si="4388"/>
        <v>0</v>
      </c>
      <c r="FT415" s="2">
        <f t="shared" si="4389"/>
        <v>0</v>
      </c>
      <c r="FU415" s="39">
        <f t="shared" si="4390"/>
        <v>29.104247360000002</v>
      </c>
      <c r="FV415" s="39">
        <f t="shared" ref="FV415:FW415" si="6920">FV$1*FC415/1000000</f>
        <v>44.568671382636651</v>
      </c>
      <c r="FW415" s="39">
        <f t="shared" si="6920"/>
        <v>0</v>
      </c>
      <c r="FX415" s="39">
        <f t="shared" ref="FX415:GC415" si="6921">FX$1*FE415</f>
        <v>0</v>
      </c>
      <c r="FY415" s="39">
        <f t="shared" si="6921"/>
        <v>0</v>
      </c>
      <c r="FZ415" s="39">
        <f t="shared" si="6921"/>
        <v>0</v>
      </c>
      <c r="GA415" s="39">
        <f t="shared" si="6921"/>
        <v>0</v>
      </c>
      <c r="GB415" s="39">
        <f t="shared" si="6921"/>
        <v>142.54918000000001</v>
      </c>
      <c r="GC415" s="39">
        <f t="shared" si="6921"/>
        <v>0</v>
      </c>
      <c r="GD415" s="39">
        <f t="shared" ref="GD415:GH415" si="6922">GD$1*FK415/1000000</f>
        <v>1178.3138920495176</v>
      </c>
      <c r="GE415" s="39">
        <f t="shared" si="6922"/>
        <v>1387.2218307376208</v>
      </c>
      <c r="GF415" s="39">
        <f t="shared" si="6922"/>
        <v>623.76518508038589</v>
      </c>
      <c r="GG415" s="39">
        <f t="shared" si="6922"/>
        <v>96.769832854340834</v>
      </c>
      <c r="GH415" s="39">
        <f t="shared" si="6922"/>
        <v>158.5987733778135</v>
      </c>
      <c r="GI415" s="39">
        <f t="shared" ref="GI415:GJ415" si="6923">GI$1*FP415</f>
        <v>0</v>
      </c>
      <c r="GJ415" s="39">
        <f t="shared" si="6923"/>
        <v>0</v>
      </c>
      <c r="GK415" s="2"/>
      <c r="GL415" s="39">
        <f t="shared" si="4395"/>
        <v>0</v>
      </c>
      <c r="GM415" s="39">
        <f t="shared" si="4396"/>
        <v>0</v>
      </c>
      <c r="GN415" s="2" t="s">
        <v>3</v>
      </c>
      <c r="GO415" s="2">
        <f t="shared" si="4397"/>
        <v>125.9</v>
      </c>
      <c r="GP415" s="4">
        <f t="shared" si="4398"/>
        <v>0.10154090548054009</v>
      </c>
      <c r="GQ415" s="15">
        <f t="shared" si="4399"/>
        <v>127.83999999999997</v>
      </c>
      <c r="GR415" s="15">
        <f t="shared" si="4400"/>
        <v>26847.424538722571</v>
      </c>
      <c r="GS415" s="15">
        <f t="shared" si="4401"/>
        <v>213.24403922734368</v>
      </c>
      <c r="GT415" s="2">
        <f t="shared" si="4402"/>
        <v>88.6</v>
      </c>
      <c r="GU415" s="2">
        <f t="shared" si="4403"/>
        <v>25.64</v>
      </c>
      <c r="GV415" s="2">
        <f t="shared" si="4404"/>
        <v>13.6</v>
      </c>
      <c r="GW415" s="2">
        <f t="shared" si="4405"/>
        <v>22.3</v>
      </c>
      <c r="GX415" s="19">
        <f>(BT415*CB415+CO415*CW415)/GW415</f>
        <v>4.8744394618834085E-2</v>
      </c>
      <c r="GY415" s="15">
        <f>1000*GW415*GX415/100</f>
        <v>10.87</v>
      </c>
      <c r="GZ415" s="15">
        <f>SUM(FU415:GM415)</f>
        <v>3660.8916128423152</v>
      </c>
      <c r="HA415" s="15">
        <f>GZ415/GW415</f>
        <v>164.16554317678543</v>
      </c>
      <c r="HB415" s="2">
        <f t="shared" si="4406"/>
        <v>1.1199999999999999</v>
      </c>
      <c r="HC415" s="2">
        <f t="shared" si="4407"/>
        <v>9.7500000000000018</v>
      </c>
      <c r="HD415" s="2" t="s">
        <v>3</v>
      </c>
      <c r="HE415" s="2" t="s">
        <v>89</v>
      </c>
      <c r="HF415" s="2" t="s">
        <v>90</v>
      </c>
      <c r="HG415" s="2" t="s">
        <v>91</v>
      </c>
      <c r="HH415" s="2" t="s">
        <v>226</v>
      </c>
      <c r="HI415" s="2" t="s">
        <v>81</v>
      </c>
      <c r="HJ415" s="2" t="s">
        <v>3</v>
      </c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 t="s">
        <v>3</v>
      </c>
    </row>
    <row r="416" spans="1:268" ht="15.75" customHeight="1" x14ac:dyDescent="0.2">
      <c r="A416" s="16" t="s">
        <v>800</v>
      </c>
      <c r="B416" s="2"/>
      <c r="C416" s="2"/>
      <c r="D416" s="2"/>
      <c r="E416" s="2"/>
      <c r="F416" s="2" t="s">
        <v>801</v>
      </c>
      <c r="G416" s="2"/>
      <c r="H416" s="2"/>
      <c r="I416" s="2">
        <v>158.05847953216374</v>
      </c>
      <c r="J416" s="4">
        <v>4.0597956748293522E-2</v>
      </c>
      <c r="K416" s="4">
        <v>0.14943690360130235</v>
      </c>
      <c r="L416" s="2"/>
      <c r="M416" s="2"/>
      <c r="N416" s="2"/>
      <c r="O416" s="2"/>
      <c r="P416" s="2"/>
      <c r="Q416" s="4">
        <v>0.1477916834409066</v>
      </c>
      <c r="R416" s="2"/>
      <c r="S416" s="4">
        <v>2.7918750695093979</v>
      </c>
      <c r="T416" s="4">
        <v>1.4293515323464554</v>
      </c>
      <c r="U416" s="4">
        <v>0.3598952825193133</v>
      </c>
      <c r="V416" s="2"/>
      <c r="W416" s="2"/>
      <c r="X416" s="2"/>
      <c r="Y416" s="2"/>
      <c r="Z416" s="2"/>
      <c r="AA416" s="2"/>
      <c r="AB416" s="2"/>
      <c r="AC416" s="2"/>
      <c r="AD416" s="2">
        <v>191.12280701754383</v>
      </c>
      <c r="AE416" s="4">
        <v>4.3611616243099526E-2</v>
      </c>
      <c r="AF416" s="4">
        <v>0.14836226488980137</v>
      </c>
      <c r="AG416" s="2"/>
      <c r="AH416" s="2"/>
      <c r="AI416" s="2"/>
      <c r="AJ416" s="2"/>
      <c r="AK416" s="2"/>
      <c r="AL416" s="4">
        <v>0.15204825645479994</v>
      </c>
      <c r="AM416" s="2"/>
      <c r="AN416" s="4">
        <v>1.5520134426094139</v>
      </c>
      <c r="AO416" s="4">
        <v>0.81297937432676814</v>
      </c>
      <c r="AP416" s="4">
        <v>0.12185858504972867</v>
      </c>
      <c r="AQ416" s="4"/>
      <c r="AR416" s="4"/>
      <c r="AS416" s="2"/>
      <c r="AT416" s="2"/>
      <c r="AU416" s="2"/>
      <c r="AV416" s="2"/>
      <c r="AW416" s="2"/>
      <c r="AX416" s="2"/>
      <c r="AY416" s="2">
        <v>33.89473684210526</v>
      </c>
      <c r="AZ416" s="4">
        <v>9.242958399360128E-2</v>
      </c>
      <c r="BA416" s="4">
        <v>6.3006893782608694E-2</v>
      </c>
      <c r="BB416" s="2"/>
      <c r="BC416" s="2"/>
      <c r="BD416" s="2"/>
      <c r="BE416" s="2"/>
      <c r="BF416" s="2"/>
      <c r="BG416" s="4">
        <v>0.19547316805783027</v>
      </c>
      <c r="BH416" s="2"/>
      <c r="BI416" s="4">
        <v>0.56653257434782611</v>
      </c>
      <c r="BJ416" s="4">
        <v>0.29925627198260873</v>
      </c>
      <c r="BK416" s="4">
        <v>3.3880862092000003E-2</v>
      </c>
      <c r="BL416" s="2"/>
      <c r="BM416" s="2"/>
      <c r="BN416" s="2"/>
      <c r="BO416" s="2"/>
      <c r="BP416" s="2"/>
      <c r="BQ416" s="2"/>
      <c r="BR416" s="2"/>
      <c r="BS416" s="2"/>
      <c r="BT416" s="2">
        <v>0</v>
      </c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>
        <v>0</v>
      </c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 t="s">
        <v>81</v>
      </c>
      <c r="DK416" s="2"/>
      <c r="DL416" s="2">
        <f t="shared" si="4367"/>
        <v>0.15413423533050072</v>
      </c>
      <c r="DM416" s="2">
        <f t="shared" si="4368"/>
        <v>0</v>
      </c>
      <c r="DN416" s="2" t="s">
        <v>302</v>
      </c>
      <c r="DO416" s="2" t="s">
        <v>3</v>
      </c>
      <c r="DP416" s="2">
        <f t="shared" si="4369"/>
        <v>0.17884902256589291</v>
      </c>
      <c r="DQ416" s="2">
        <f t="shared" ref="DQ416:DR416" si="6924">K416*$I416+AF416*$AD416+BA416*$AY416</f>
        <v>54.110784374435596</v>
      </c>
      <c r="DR416" s="2">
        <f t="shared" si="6924"/>
        <v>0</v>
      </c>
      <c r="DS416" s="2">
        <f t="shared" ref="DS416:DX416" si="6925">(M416*$I416+AH416*$AD416+BC416*$AY416)/100</f>
        <v>0</v>
      </c>
      <c r="DT416" s="2">
        <f t="shared" si="6925"/>
        <v>0</v>
      </c>
      <c r="DU416" s="2">
        <f t="shared" si="6925"/>
        <v>0</v>
      </c>
      <c r="DV416" s="2">
        <f t="shared" si="6925"/>
        <v>0</v>
      </c>
      <c r="DW416" s="2">
        <f t="shared" si="6925"/>
        <v>0.59045129938946073</v>
      </c>
      <c r="DX416" s="2">
        <f t="shared" si="6925"/>
        <v>0</v>
      </c>
      <c r="DY416" s="2">
        <f t="shared" ref="DY416:EC416" si="6926">S416*$I416+AN416*$AD416+BI416*$AY416</f>
        <v>757.10716673088223</v>
      </c>
      <c r="DZ416" s="2">
        <f t="shared" si="6926"/>
        <v>391.44324257554757</v>
      </c>
      <c r="EA416" s="2">
        <f t="shared" si="6926"/>
        <v>81.322838884283414</v>
      </c>
      <c r="EB416" s="2">
        <f t="shared" si="6926"/>
        <v>0</v>
      </c>
      <c r="EC416" s="2">
        <f t="shared" si="6926"/>
        <v>0</v>
      </c>
      <c r="ED416" s="2">
        <f t="shared" ref="ED416:EE416" si="6927">(X416*$I416+AS416*$AD416+BN416*$AY416)/100</f>
        <v>0</v>
      </c>
      <c r="EE416" s="2">
        <f t="shared" si="6927"/>
        <v>0</v>
      </c>
      <c r="EF416" s="2"/>
      <c r="EG416" s="2">
        <f t="shared" si="4374"/>
        <v>0</v>
      </c>
      <c r="EH416" s="2">
        <f t="shared" si="4375"/>
        <v>0</v>
      </c>
      <c r="EI416" s="39">
        <f t="shared" si="4376"/>
        <v>1167.1000432403519</v>
      </c>
      <c r="EJ416" s="39">
        <f t="shared" ref="EJ416:EK416" si="6928">EJ$1*DQ416/1000000</f>
        <v>2213.1484798804527</v>
      </c>
      <c r="EK416" s="39">
        <f t="shared" si="6928"/>
        <v>0</v>
      </c>
      <c r="EL416" s="39">
        <f t="shared" ref="EL416:EQ416" si="6929">EL$1*DS416</f>
        <v>0</v>
      </c>
      <c r="EM416" s="39">
        <f t="shared" si="6929"/>
        <v>0</v>
      </c>
      <c r="EN416" s="39">
        <f t="shared" si="6929"/>
        <v>0</v>
      </c>
      <c r="EO416" s="39">
        <f t="shared" si="6929"/>
        <v>0</v>
      </c>
      <c r="EP416" s="39">
        <f t="shared" si="6929"/>
        <v>7743.1783401933881</v>
      </c>
      <c r="EQ416" s="39">
        <f t="shared" si="6929"/>
        <v>0</v>
      </c>
      <c r="ER416" s="39">
        <f t="shared" ref="ER416:EV416" si="6930">ER$1*DY416/1000000</f>
        <v>21487.723851661751</v>
      </c>
      <c r="ES416" s="39">
        <f t="shared" si="6930"/>
        <v>13045.129257317516</v>
      </c>
      <c r="ET416" s="39">
        <f t="shared" si="6930"/>
        <v>5818.8975359870064</v>
      </c>
      <c r="EU416" s="39">
        <f t="shared" si="6930"/>
        <v>0</v>
      </c>
      <c r="EV416" s="39">
        <f t="shared" si="6930"/>
        <v>0</v>
      </c>
      <c r="EW416" s="39">
        <f t="shared" ref="EW416:EX416" si="6931">EW$1*ED416</f>
        <v>0</v>
      </c>
      <c r="EX416" s="39">
        <f t="shared" si="6931"/>
        <v>0</v>
      </c>
      <c r="EY416" s="2"/>
      <c r="EZ416" s="39">
        <f t="shared" si="4381"/>
        <v>0</v>
      </c>
      <c r="FA416" s="39">
        <f t="shared" si="4382"/>
        <v>0</v>
      </c>
      <c r="FB416" s="2">
        <f t="shared" si="4383"/>
        <v>0</v>
      </c>
      <c r="FC416" s="2">
        <f t="shared" ref="FC416:FD416" si="6932">BV416*$BT416+CQ416*$CO416</f>
        <v>0</v>
      </c>
      <c r="FD416" s="2">
        <f t="shared" si="6932"/>
        <v>0</v>
      </c>
      <c r="FE416" s="2">
        <f t="shared" ref="FE416:FJ416" si="6933">(BX416*$BT416+CS416*$CO416)/100</f>
        <v>0</v>
      </c>
      <c r="FF416" s="2">
        <f t="shared" si="6933"/>
        <v>0</v>
      </c>
      <c r="FG416" s="2">
        <f t="shared" si="6933"/>
        <v>0</v>
      </c>
      <c r="FH416" s="2">
        <f t="shared" si="6933"/>
        <v>0</v>
      </c>
      <c r="FI416" s="2">
        <f t="shared" si="6933"/>
        <v>0</v>
      </c>
      <c r="FJ416" s="2">
        <f t="shared" si="6933"/>
        <v>0</v>
      </c>
      <c r="FK416" s="2">
        <f t="shared" ref="FK416:FO416" si="6934">CD416*$BT416+CY416*$CO416</f>
        <v>0</v>
      </c>
      <c r="FL416" s="2">
        <f t="shared" si="6934"/>
        <v>0</v>
      </c>
      <c r="FM416" s="2">
        <f t="shared" si="6934"/>
        <v>0</v>
      </c>
      <c r="FN416" s="2">
        <f t="shared" si="6934"/>
        <v>0</v>
      </c>
      <c r="FO416" s="2">
        <f t="shared" si="6934"/>
        <v>0</v>
      </c>
      <c r="FP416" s="2">
        <f t="shared" ref="FP416:FQ416" si="6935">(CI416*$BT416+DD416*$CO416)/100</f>
        <v>0</v>
      </c>
      <c r="FQ416" s="2">
        <f t="shared" si="6935"/>
        <v>0</v>
      </c>
      <c r="FR416" s="2"/>
      <c r="FS416" s="2">
        <f t="shared" si="4388"/>
        <v>0</v>
      </c>
      <c r="FT416" s="2">
        <f t="shared" si="4389"/>
        <v>0</v>
      </c>
      <c r="FU416" s="39">
        <f t="shared" si="4390"/>
        <v>0</v>
      </c>
      <c r="FV416" s="39">
        <f t="shared" ref="FV416:FW416" si="6936">FV$1*FC416/1000000</f>
        <v>0</v>
      </c>
      <c r="FW416" s="39">
        <f t="shared" si="6936"/>
        <v>0</v>
      </c>
      <c r="FX416" s="39">
        <f t="shared" ref="FX416:GC416" si="6937">FX$1*FE416</f>
        <v>0</v>
      </c>
      <c r="FY416" s="39">
        <f t="shared" si="6937"/>
        <v>0</v>
      </c>
      <c r="FZ416" s="39">
        <f t="shared" si="6937"/>
        <v>0</v>
      </c>
      <c r="GA416" s="39">
        <f t="shared" si="6937"/>
        <v>0</v>
      </c>
      <c r="GB416" s="39">
        <f t="shared" si="6937"/>
        <v>0</v>
      </c>
      <c r="GC416" s="39">
        <f t="shared" si="6937"/>
        <v>0</v>
      </c>
      <c r="GD416" s="39">
        <f t="shared" ref="GD416:GH416" si="6938">GD$1*FK416/1000000</f>
        <v>0</v>
      </c>
      <c r="GE416" s="39">
        <f t="shared" si="6938"/>
        <v>0</v>
      </c>
      <c r="GF416" s="39">
        <f t="shared" si="6938"/>
        <v>0</v>
      </c>
      <c r="GG416" s="39">
        <f t="shared" si="6938"/>
        <v>0</v>
      </c>
      <c r="GH416" s="39">
        <f t="shared" si="6938"/>
        <v>0</v>
      </c>
      <c r="GI416" s="39">
        <f t="shared" ref="GI416:GJ416" si="6939">GI$1*FP416</f>
        <v>0</v>
      </c>
      <c r="GJ416" s="39">
        <f t="shared" si="6939"/>
        <v>0</v>
      </c>
      <c r="GK416" s="2"/>
      <c r="GL416" s="39">
        <f t="shared" si="4395"/>
        <v>0</v>
      </c>
      <c r="GM416" s="39">
        <f t="shared" si="4396"/>
        <v>0</v>
      </c>
      <c r="GN416" s="2" t="s">
        <v>3</v>
      </c>
      <c r="GO416" s="15">
        <f t="shared" si="4397"/>
        <v>383.07602339181284</v>
      </c>
      <c r="GP416" s="4">
        <f t="shared" si="4398"/>
        <v>0.15413423533050072</v>
      </c>
      <c r="GQ416" s="15">
        <f t="shared" si="4399"/>
        <v>590.45129938946081</v>
      </c>
      <c r="GR416" s="15">
        <f t="shared" si="4400"/>
        <v>51475.177508280467</v>
      </c>
      <c r="GS416" s="15">
        <f t="shared" si="4401"/>
        <v>134.37326892064789</v>
      </c>
      <c r="GT416" s="2">
        <f t="shared" si="4402"/>
        <v>233.5972877216856</v>
      </c>
      <c r="GU416" s="2">
        <f t="shared" si="4403"/>
        <v>290.59889575764743</v>
      </c>
      <c r="GV416" s="2">
        <f t="shared" si="4404"/>
        <v>66.255115910127728</v>
      </c>
      <c r="GW416" s="2">
        <f t="shared" si="4405"/>
        <v>0</v>
      </c>
      <c r="GX416" s="2"/>
      <c r="GY416" s="2"/>
      <c r="GZ416" s="2"/>
      <c r="HA416" s="2"/>
      <c r="HB416" s="2">
        <f t="shared" si="4406"/>
        <v>0</v>
      </c>
      <c r="HC416" s="2">
        <f t="shared" si="4407"/>
        <v>0</v>
      </c>
      <c r="HD416" s="2" t="s">
        <v>3</v>
      </c>
      <c r="HE416" s="2" t="s">
        <v>89</v>
      </c>
      <c r="HF416" s="2" t="s">
        <v>90</v>
      </c>
      <c r="HG416" s="2" t="s">
        <v>91</v>
      </c>
      <c r="HH416" s="2" t="s">
        <v>92</v>
      </c>
      <c r="HI416" s="2" t="s">
        <v>81</v>
      </c>
      <c r="HJ416" s="2" t="s">
        <v>3</v>
      </c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 t="s">
        <v>3</v>
      </c>
    </row>
    <row r="417" spans="1:268" ht="15.75" customHeight="1" x14ac:dyDescent="0.2">
      <c r="A417" s="16" t="s">
        <v>818</v>
      </c>
      <c r="B417" s="2"/>
      <c r="C417" s="2"/>
      <c r="D417" s="2"/>
      <c r="E417" s="2"/>
      <c r="F417" s="2" t="s">
        <v>454</v>
      </c>
      <c r="G417" s="2"/>
      <c r="H417" s="2"/>
      <c r="I417" s="2">
        <v>0</v>
      </c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>
        <v>14.51</v>
      </c>
      <c r="AE417" s="4">
        <v>2.9148595329822911E-2</v>
      </c>
      <c r="AF417" s="4">
        <v>5.2186929999999999E-2</v>
      </c>
      <c r="AG417" s="2"/>
      <c r="AH417" s="2"/>
      <c r="AI417" s="2"/>
      <c r="AJ417" s="2"/>
      <c r="AK417" s="2"/>
      <c r="AL417" s="4">
        <v>0.11240231217618901</v>
      </c>
      <c r="AM417" s="2"/>
      <c r="AN417" s="4">
        <v>1.4637452999999998</v>
      </c>
      <c r="AO417" s="4">
        <v>1.2905359000000001</v>
      </c>
      <c r="AP417" s="4">
        <v>0.26354107999999998</v>
      </c>
      <c r="AQ417" s="4"/>
      <c r="AR417" s="4"/>
      <c r="AS417" s="2"/>
      <c r="AT417" s="2"/>
      <c r="AU417" s="2"/>
      <c r="AV417" s="2"/>
      <c r="AW417" s="2"/>
      <c r="AX417" s="2"/>
      <c r="AY417" s="2">
        <v>2.96</v>
      </c>
      <c r="AZ417" s="4">
        <v>2.9148595329822911E-2</v>
      </c>
      <c r="BA417" s="4">
        <v>5.2186929999999999E-2</v>
      </c>
      <c r="BB417" s="2"/>
      <c r="BC417" s="2"/>
      <c r="BD417" s="2"/>
      <c r="BE417" s="2"/>
      <c r="BF417" s="2"/>
      <c r="BG417" s="4">
        <v>0.11240231217618901</v>
      </c>
      <c r="BH417" s="2"/>
      <c r="BI417" s="4">
        <v>1.4637452999999998</v>
      </c>
      <c r="BJ417" s="4">
        <v>1.2905359000000001</v>
      </c>
      <c r="BK417" s="4">
        <v>0.26354107999999998</v>
      </c>
      <c r="BL417" s="2"/>
      <c r="BM417" s="2"/>
      <c r="BN417" s="2"/>
      <c r="BO417" s="2"/>
      <c r="BP417" s="2"/>
      <c r="BQ417" s="2"/>
      <c r="BR417" s="2"/>
      <c r="BS417" s="2"/>
      <c r="BT417" s="2">
        <v>0</v>
      </c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>
        <v>0</v>
      </c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>
        <f t="shared" si="4367"/>
        <v>0.11240231217618901</v>
      </c>
      <c r="DM417" s="2">
        <f t="shared" si="4368"/>
        <v>0</v>
      </c>
      <c r="DN417" s="2" t="s">
        <v>122</v>
      </c>
      <c r="DO417" s="2" t="s">
        <v>3</v>
      </c>
      <c r="DP417" s="2">
        <f t="shared" si="4369"/>
        <v>5.0922596041200622E-3</v>
      </c>
      <c r="DQ417" s="2">
        <f t="shared" ref="DQ417:DR417" si="6940">K417*$I417+AF417*$AD417+BA417*$AY417</f>
        <v>0.91170566710000001</v>
      </c>
      <c r="DR417" s="2">
        <f t="shared" si="6940"/>
        <v>0</v>
      </c>
      <c r="DS417" s="2">
        <f t="shared" ref="DS417:DX417" si="6941">(M417*$I417+AH417*$AD417+BC417*$AY417)/100</f>
        <v>0</v>
      </c>
      <c r="DT417" s="2">
        <f t="shared" si="6941"/>
        <v>0</v>
      </c>
      <c r="DU417" s="2">
        <f t="shared" si="6941"/>
        <v>0</v>
      </c>
      <c r="DV417" s="2">
        <f t="shared" si="6941"/>
        <v>0</v>
      </c>
      <c r="DW417" s="2">
        <f t="shared" si="6941"/>
        <v>1.9636683937180221E-2</v>
      </c>
      <c r="DX417" s="2">
        <f t="shared" si="6941"/>
        <v>0</v>
      </c>
      <c r="DY417" s="2">
        <f t="shared" ref="DY417:EC417" si="6942">S417*$I417+AN417*$AD417+BI417*$AY417</f>
        <v>25.571630390999996</v>
      </c>
      <c r="DZ417" s="2">
        <f t="shared" si="6942"/>
        <v>22.545662173</v>
      </c>
      <c r="EA417" s="2">
        <f t="shared" si="6942"/>
        <v>4.6040626675999992</v>
      </c>
      <c r="EB417" s="2">
        <f t="shared" si="6942"/>
        <v>0</v>
      </c>
      <c r="EC417" s="2">
        <f t="shared" si="6942"/>
        <v>0</v>
      </c>
      <c r="ED417" s="2">
        <f t="shared" ref="ED417:EE417" si="6943">(X417*$I417+AS417*$AD417+BN417*$AY417)/100</f>
        <v>0</v>
      </c>
      <c r="EE417" s="2">
        <f t="shared" si="6943"/>
        <v>0</v>
      </c>
      <c r="EF417" s="2"/>
      <c r="EG417" s="2">
        <f t="shared" si="4374"/>
        <v>0</v>
      </c>
      <c r="EH417" s="2">
        <f t="shared" si="4375"/>
        <v>0</v>
      </c>
      <c r="EI417" s="39">
        <f t="shared" si="4376"/>
        <v>33.230130748799546</v>
      </c>
      <c r="EJ417" s="39">
        <f t="shared" ref="EJ417:EK417" si="6944">EJ$1*DQ417/1000000</f>
        <v>37.289054937337617</v>
      </c>
      <c r="EK417" s="39">
        <f t="shared" si="6944"/>
        <v>0</v>
      </c>
      <c r="EL417" s="39">
        <f t="shared" ref="EL417:EQ417" si="6945">EL$1*DS417</f>
        <v>0</v>
      </c>
      <c r="EM417" s="39">
        <f t="shared" si="6945"/>
        <v>0</v>
      </c>
      <c r="EN417" s="39">
        <f t="shared" si="6945"/>
        <v>0</v>
      </c>
      <c r="EO417" s="39">
        <f t="shared" si="6945"/>
        <v>0</v>
      </c>
      <c r="EP417" s="39">
        <f t="shared" si="6945"/>
        <v>257.51547315218141</v>
      </c>
      <c r="EQ417" s="39">
        <f t="shared" si="6945"/>
        <v>0</v>
      </c>
      <c r="ER417" s="39">
        <f t="shared" ref="ER417:EV417" si="6946">ER$1*DY417/1000000</f>
        <v>725.75740453119147</v>
      </c>
      <c r="ES417" s="39">
        <f t="shared" si="6946"/>
        <v>751.35050308560744</v>
      </c>
      <c r="ET417" s="39">
        <f t="shared" si="6946"/>
        <v>329.43474772380318</v>
      </c>
      <c r="EU417" s="39">
        <f t="shared" si="6946"/>
        <v>0</v>
      </c>
      <c r="EV417" s="39">
        <f t="shared" si="6946"/>
        <v>0</v>
      </c>
      <c r="EW417" s="39">
        <f t="shared" ref="EW417:EX417" si="6947">EW$1*ED417</f>
        <v>0</v>
      </c>
      <c r="EX417" s="39">
        <f t="shared" si="6947"/>
        <v>0</v>
      </c>
      <c r="EY417" s="2"/>
      <c r="EZ417" s="39">
        <f t="shared" si="4381"/>
        <v>0</v>
      </c>
      <c r="FA417" s="39">
        <f t="shared" si="4382"/>
        <v>0</v>
      </c>
      <c r="FB417" s="2">
        <f t="shared" si="4383"/>
        <v>0</v>
      </c>
      <c r="FC417" s="2">
        <f t="shared" ref="FC417:FD417" si="6948">BV417*$BT417+CQ417*$CO417</f>
        <v>0</v>
      </c>
      <c r="FD417" s="2">
        <f t="shared" si="6948"/>
        <v>0</v>
      </c>
      <c r="FE417" s="2">
        <f t="shared" ref="FE417:FJ417" si="6949">(BX417*$BT417+CS417*$CO417)/100</f>
        <v>0</v>
      </c>
      <c r="FF417" s="2">
        <f t="shared" si="6949"/>
        <v>0</v>
      </c>
      <c r="FG417" s="2">
        <f t="shared" si="6949"/>
        <v>0</v>
      </c>
      <c r="FH417" s="2">
        <f t="shared" si="6949"/>
        <v>0</v>
      </c>
      <c r="FI417" s="2">
        <f t="shared" si="6949"/>
        <v>0</v>
      </c>
      <c r="FJ417" s="2">
        <f t="shared" si="6949"/>
        <v>0</v>
      </c>
      <c r="FK417" s="2">
        <f t="shared" ref="FK417:FO417" si="6950">CD417*$BT417+CY417*$CO417</f>
        <v>0</v>
      </c>
      <c r="FL417" s="2">
        <f t="shared" si="6950"/>
        <v>0</v>
      </c>
      <c r="FM417" s="2">
        <f t="shared" si="6950"/>
        <v>0</v>
      </c>
      <c r="FN417" s="2">
        <f t="shared" si="6950"/>
        <v>0</v>
      </c>
      <c r="FO417" s="2">
        <f t="shared" si="6950"/>
        <v>0</v>
      </c>
      <c r="FP417" s="2">
        <f t="shared" ref="FP417:FQ417" si="6951">(CI417*$BT417+DD417*$CO417)/100</f>
        <v>0</v>
      </c>
      <c r="FQ417" s="2">
        <f t="shared" si="6951"/>
        <v>0</v>
      </c>
      <c r="FR417" s="2"/>
      <c r="FS417" s="2">
        <f t="shared" si="4388"/>
        <v>0</v>
      </c>
      <c r="FT417" s="2">
        <f t="shared" si="4389"/>
        <v>0</v>
      </c>
      <c r="FU417" s="39">
        <f t="shared" si="4390"/>
        <v>0</v>
      </c>
      <c r="FV417" s="39">
        <f t="shared" ref="FV417:FW417" si="6952">FV$1*FC417/1000000</f>
        <v>0</v>
      </c>
      <c r="FW417" s="39">
        <f t="shared" si="6952"/>
        <v>0</v>
      </c>
      <c r="FX417" s="39">
        <f t="shared" ref="FX417:GC417" si="6953">FX$1*FE417</f>
        <v>0</v>
      </c>
      <c r="FY417" s="39">
        <f t="shared" si="6953"/>
        <v>0</v>
      </c>
      <c r="FZ417" s="39">
        <f t="shared" si="6953"/>
        <v>0</v>
      </c>
      <c r="GA417" s="39">
        <f t="shared" si="6953"/>
        <v>0</v>
      </c>
      <c r="GB417" s="39">
        <f t="shared" si="6953"/>
        <v>0</v>
      </c>
      <c r="GC417" s="39">
        <f t="shared" si="6953"/>
        <v>0</v>
      </c>
      <c r="GD417" s="39">
        <f t="shared" ref="GD417:GH417" si="6954">GD$1*FK417/1000000</f>
        <v>0</v>
      </c>
      <c r="GE417" s="39">
        <f t="shared" si="6954"/>
        <v>0</v>
      </c>
      <c r="GF417" s="39">
        <f t="shared" si="6954"/>
        <v>0</v>
      </c>
      <c r="GG417" s="39">
        <f t="shared" si="6954"/>
        <v>0</v>
      </c>
      <c r="GH417" s="39">
        <f t="shared" si="6954"/>
        <v>0</v>
      </c>
      <c r="GI417" s="39">
        <f t="shared" ref="GI417:GJ417" si="6955">GI$1*FP417</f>
        <v>0</v>
      </c>
      <c r="GJ417" s="39">
        <f t="shared" si="6955"/>
        <v>0</v>
      </c>
      <c r="GK417" s="2"/>
      <c r="GL417" s="39">
        <f t="shared" si="4395"/>
        <v>0</v>
      </c>
      <c r="GM417" s="39">
        <f t="shared" si="4396"/>
        <v>0</v>
      </c>
      <c r="GN417" s="2" t="s">
        <v>3</v>
      </c>
      <c r="GO417" s="2">
        <f t="shared" si="4397"/>
        <v>17.47</v>
      </c>
      <c r="GP417" s="4">
        <f t="shared" si="4398"/>
        <v>0.11240231217618901</v>
      </c>
      <c r="GQ417" s="15">
        <f t="shared" si="4399"/>
        <v>19.636683937180223</v>
      </c>
      <c r="GR417" s="15">
        <f t="shared" si="4400"/>
        <v>2134.5773141789205</v>
      </c>
      <c r="GS417" s="15">
        <f t="shared" si="4401"/>
        <v>122.18530705088268</v>
      </c>
      <c r="GT417" s="2">
        <f t="shared" si="4402"/>
        <v>0</v>
      </c>
      <c r="GU417" s="2">
        <f t="shared" si="4403"/>
        <v>16.309575496765024</v>
      </c>
      <c r="GV417" s="2">
        <f t="shared" si="4404"/>
        <v>3.3271084404151945</v>
      </c>
      <c r="GW417" s="2">
        <f t="shared" si="4405"/>
        <v>0</v>
      </c>
      <c r="GX417" s="2"/>
      <c r="GY417" s="2"/>
      <c r="GZ417" s="2"/>
      <c r="HA417" s="2"/>
      <c r="HB417" s="2">
        <f t="shared" si="4406"/>
        <v>0</v>
      </c>
      <c r="HC417" s="2">
        <f t="shared" si="4407"/>
        <v>0</v>
      </c>
      <c r="HD417" s="2" t="s">
        <v>3</v>
      </c>
      <c r="HE417" s="2" t="s">
        <v>89</v>
      </c>
      <c r="HF417" s="2" t="s">
        <v>90</v>
      </c>
      <c r="HG417" s="2" t="s">
        <v>91</v>
      </c>
      <c r="HH417" s="2" t="s">
        <v>226</v>
      </c>
      <c r="HI417" s="2" t="s">
        <v>81</v>
      </c>
      <c r="HJ417" s="2" t="s">
        <v>3</v>
      </c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 t="s">
        <v>3</v>
      </c>
    </row>
    <row r="418" spans="1:268" ht="15.75" customHeight="1" x14ac:dyDescent="0.2">
      <c r="A418" s="16" t="s">
        <v>837</v>
      </c>
      <c r="B418" s="2"/>
      <c r="C418" s="2"/>
      <c r="D418" s="2"/>
      <c r="E418" s="2"/>
      <c r="F418" s="2" t="s">
        <v>838</v>
      </c>
      <c r="G418" s="2"/>
      <c r="H418" s="2"/>
      <c r="I418" s="2">
        <v>105.4</v>
      </c>
      <c r="J418" s="4">
        <v>3.3529411764705877E-2</v>
      </c>
      <c r="K418" s="4">
        <v>0.10157647058823531</v>
      </c>
      <c r="L418" s="2"/>
      <c r="M418" s="2"/>
      <c r="N418" s="2"/>
      <c r="O418" s="2"/>
      <c r="P418" s="2"/>
      <c r="Q418" s="4">
        <v>0.13176470588235295</v>
      </c>
      <c r="R418" s="2"/>
      <c r="S418" s="4">
        <v>2.4494876470588234</v>
      </c>
      <c r="T418" s="4">
        <v>2.4063635294117645</v>
      </c>
      <c r="U418" s="4">
        <v>0.45139588235294115</v>
      </c>
      <c r="V418" s="2"/>
      <c r="W418" s="2"/>
      <c r="X418" s="2"/>
      <c r="Y418" s="2"/>
      <c r="Z418" s="2"/>
      <c r="AA418" s="2"/>
      <c r="AB418" s="2"/>
      <c r="AC418" s="2"/>
      <c r="AD418" s="2">
        <v>158.19999999999999</v>
      </c>
      <c r="AE418" s="4">
        <v>3.7054361567635904E-2</v>
      </c>
      <c r="AF418" s="4">
        <v>0.11504788874841972</v>
      </c>
      <c r="AG418" s="2"/>
      <c r="AH418" s="2"/>
      <c r="AI418" s="2"/>
      <c r="AJ418" s="2"/>
      <c r="AK418" s="2"/>
      <c r="AL418" s="4">
        <v>0.13352718078381798</v>
      </c>
      <c r="AM418" s="2"/>
      <c r="AN418" s="4">
        <v>2.2530583059418459</v>
      </c>
      <c r="AO418" s="4">
        <v>2.0524148672566374</v>
      </c>
      <c r="AP418" s="4">
        <v>0.37078108723135278</v>
      </c>
      <c r="AQ418" s="4"/>
      <c r="AR418" s="4"/>
      <c r="AS418" s="2"/>
      <c r="AT418" s="2"/>
      <c r="AU418" s="2"/>
      <c r="AV418" s="2"/>
      <c r="AW418" s="2"/>
      <c r="AX418" s="2"/>
      <c r="AY418" s="2">
        <v>215.8</v>
      </c>
      <c r="AZ418" s="4">
        <v>4.2845227062094524E-2</v>
      </c>
      <c r="BA418" s="4">
        <v>0.14017957367933273</v>
      </c>
      <c r="BB418" s="2"/>
      <c r="BC418" s="2"/>
      <c r="BD418" s="2"/>
      <c r="BE418" s="2"/>
      <c r="BF418" s="2"/>
      <c r="BG418" s="4">
        <v>0.13642261353104726</v>
      </c>
      <c r="BH418" s="2"/>
      <c r="BI418" s="4">
        <v>2.0018118906394808</v>
      </c>
      <c r="BJ418" s="4">
        <v>1.5408547729379054</v>
      </c>
      <c r="BK418" s="4">
        <v>0.25143550509731233</v>
      </c>
      <c r="BL418" s="2"/>
      <c r="BM418" s="2"/>
      <c r="BN418" s="2"/>
      <c r="BO418" s="2"/>
      <c r="BP418" s="2"/>
      <c r="BQ418" s="2"/>
      <c r="BR418" s="2"/>
      <c r="BS418" s="2"/>
      <c r="BT418" s="2">
        <v>15.8</v>
      </c>
      <c r="BU418" s="4">
        <v>0.03</v>
      </c>
      <c r="BV418" s="4">
        <v>6.2859999999999999E-2</v>
      </c>
      <c r="BW418" s="2"/>
      <c r="BX418" s="2"/>
      <c r="BY418" s="2"/>
      <c r="BZ418" s="2"/>
      <c r="CA418" s="2"/>
      <c r="CB418" s="4">
        <v>0.13</v>
      </c>
      <c r="CC418" s="2"/>
      <c r="CD418" s="4">
        <v>1.9621300000000002</v>
      </c>
      <c r="CE418" s="4">
        <v>2.0654000000000003</v>
      </c>
      <c r="CF418" s="4">
        <v>0.39961000000000002</v>
      </c>
      <c r="CG418" s="2"/>
      <c r="CH418" s="2"/>
      <c r="CI418" s="2"/>
      <c r="CJ418" s="2"/>
      <c r="CK418" s="2"/>
      <c r="CL418" s="2"/>
      <c r="CM418" s="2"/>
      <c r="CN418" s="2"/>
      <c r="CO418" s="2">
        <v>31.8</v>
      </c>
      <c r="CP418" s="4">
        <v>0.03</v>
      </c>
      <c r="CQ418" s="4">
        <v>5.9779999999999993E-2</v>
      </c>
      <c r="CR418" s="2"/>
      <c r="CS418" s="2"/>
      <c r="CT418" s="2"/>
      <c r="CU418" s="2"/>
      <c r="CV418" s="2"/>
      <c r="CW418" s="4">
        <v>0.13</v>
      </c>
      <c r="CX418" s="2"/>
      <c r="CY418" s="4">
        <v>1.8659899999999998</v>
      </c>
      <c r="CZ418" s="4">
        <v>1.9641999999999999</v>
      </c>
      <c r="DA418" s="4">
        <v>0.38002999999999992</v>
      </c>
      <c r="DB418" s="2"/>
      <c r="DC418" s="2"/>
      <c r="DD418" s="2"/>
      <c r="DE418" s="2"/>
      <c r="DF418" s="2"/>
      <c r="DG418" s="2"/>
      <c r="DH418" s="2"/>
      <c r="DI418" s="2"/>
      <c r="DJ418" s="2" t="s">
        <v>81</v>
      </c>
      <c r="DK418" s="2"/>
      <c r="DL418" s="2">
        <f t="shared" si="4367"/>
        <v>0.13444305381727156</v>
      </c>
      <c r="DM418" s="2">
        <f t="shared" si="4368"/>
        <v>0</v>
      </c>
      <c r="DN418" s="2" t="s">
        <v>95</v>
      </c>
      <c r="DO418" s="2" t="s">
        <v>3</v>
      </c>
      <c r="DP418" s="2">
        <f t="shared" si="4369"/>
        <v>0.18642</v>
      </c>
      <c r="DQ418" s="2">
        <f t="shared" ref="DQ418:DR418" si="6956">K418*$I418+AF418*$AD418+BA418*$AY418</f>
        <v>59.157488000000008</v>
      </c>
      <c r="DR418" s="2">
        <f t="shared" si="6956"/>
        <v>0</v>
      </c>
      <c r="DS418" s="2">
        <f t="shared" ref="DS418:DX418" si="6957">(M418*$I418+AH418*$AD418+BC418*$AY418)/100</f>
        <v>0</v>
      </c>
      <c r="DT418" s="2">
        <f t="shared" si="6957"/>
        <v>0</v>
      </c>
      <c r="DU418" s="2">
        <f t="shared" si="6957"/>
        <v>0</v>
      </c>
      <c r="DV418" s="2">
        <f t="shared" si="6957"/>
        <v>0</v>
      </c>
      <c r="DW418" s="2">
        <f t="shared" si="6957"/>
        <v>0.64451999999999998</v>
      </c>
      <c r="DX418" s="2">
        <f t="shared" si="6957"/>
        <v>0</v>
      </c>
      <c r="DY418" s="2">
        <f t="shared" ref="DY418:EC418" si="6958">S418*$I418+AN418*$AD418+BI418*$AY418</f>
        <v>1046.6008280000001</v>
      </c>
      <c r="DZ418" s="2">
        <f t="shared" si="6958"/>
        <v>910.83920799999987</v>
      </c>
      <c r="EA418" s="2">
        <f t="shared" si="6958"/>
        <v>160.49447600000002</v>
      </c>
      <c r="EB418" s="2">
        <f t="shared" si="6958"/>
        <v>0</v>
      </c>
      <c r="EC418" s="2">
        <f t="shared" si="6958"/>
        <v>0</v>
      </c>
      <c r="ED418" s="2">
        <f t="shared" ref="ED418:EE418" si="6959">(X418*$I418+AS418*$AD418+BN418*$AY418)/100</f>
        <v>0</v>
      </c>
      <c r="EE418" s="2">
        <f t="shared" si="6959"/>
        <v>0</v>
      </c>
      <c r="EF418" s="2"/>
      <c r="EG418" s="2">
        <f t="shared" si="4374"/>
        <v>0</v>
      </c>
      <c r="EH418" s="2">
        <f t="shared" si="4375"/>
        <v>0</v>
      </c>
      <c r="EI418" s="39">
        <f t="shared" si="4376"/>
        <v>1216.5053347200001</v>
      </c>
      <c r="EJ418" s="39">
        <f t="shared" ref="EJ418:EK418" si="6960">EJ$1*DQ418/1000000</f>
        <v>2419.5602809003217</v>
      </c>
      <c r="EK418" s="39">
        <f t="shared" si="6960"/>
        <v>0</v>
      </c>
      <c r="EL418" s="39">
        <f t="shared" ref="EL418:EQ418" si="6961">EL$1*DS418</f>
        <v>0</v>
      </c>
      <c r="EM418" s="39">
        <f t="shared" si="6961"/>
        <v>0</v>
      </c>
      <c r="EN418" s="39">
        <f t="shared" si="6961"/>
        <v>0</v>
      </c>
      <c r="EO418" s="39">
        <f t="shared" si="6961"/>
        <v>0</v>
      </c>
      <c r="EP418" s="39">
        <f t="shared" si="6961"/>
        <v>8452.235279999999</v>
      </c>
      <c r="EQ418" s="39">
        <f t="shared" si="6961"/>
        <v>0</v>
      </c>
      <c r="ER418" s="39">
        <f t="shared" ref="ER418:EV418" si="6962">ER$1*DY418/1000000</f>
        <v>29703.944914549193</v>
      </c>
      <c r="ES418" s="39">
        <f t="shared" si="6962"/>
        <v>30354.375573872665</v>
      </c>
      <c r="ET418" s="39">
        <f t="shared" si="6962"/>
        <v>11483.870014237946</v>
      </c>
      <c r="EU418" s="39">
        <f t="shared" si="6962"/>
        <v>0</v>
      </c>
      <c r="EV418" s="39">
        <f t="shared" si="6962"/>
        <v>0</v>
      </c>
      <c r="EW418" s="39">
        <f t="shared" ref="EW418:EX418" si="6963">EW$1*ED418</f>
        <v>0</v>
      </c>
      <c r="EX418" s="39">
        <f t="shared" si="6963"/>
        <v>0</v>
      </c>
      <c r="EY418" s="2"/>
      <c r="EZ418" s="39">
        <f t="shared" si="4381"/>
        <v>0</v>
      </c>
      <c r="FA418" s="39">
        <f t="shared" si="4382"/>
        <v>0</v>
      </c>
      <c r="FB418" s="2">
        <f t="shared" si="4383"/>
        <v>1.4279999999999999E-2</v>
      </c>
      <c r="FC418" s="2">
        <f t="shared" ref="FC418:FD418" si="6964">BV418*$BT418+CQ418*$CO418</f>
        <v>2.8941919999999999</v>
      </c>
      <c r="FD418" s="2">
        <f t="shared" si="6964"/>
        <v>0</v>
      </c>
      <c r="FE418" s="2">
        <f t="shared" ref="FE418:FJ418" si="6965">(BX418*$BT418+CS418*$CO418)/100</f>
        <v>0</v>
      </c>
      <c r="FF418" s="2">
        <f t="shared" si="6965"/>
        <v>0</v>
      </c>
      <c r="FG418" s="2">
        <f t="shared" si="6965"/>
        <v>0</v>
      </c>
      <c r="FH418" s="2">
        <f t="shared" si="6965"/>
        <v>0</v>
      </c>
      <c r="FI418" s="2">
        <f t="shared" si="6965"/>
        <v>6.1880000000000004E-2</v>
      </c>
      <c r="FJ418" s="2">
        <f t="shared" si="6965"/>
        <v>0</v>
      </c>
      <c r="FK418" s="2">
        <f t="shared" ref="FK418:FO418" si="6966">CD418*$BT418+CY418*$CO418</f>
        <v>90.340136000000001</v>
      </c>
      <c r="FL418" s="2">
        <f t="shared" si="6966"/>
        <v>95.094880000000003</v>
      </c>
      <c r="FM418" s="2">
        <f t="shared" si="6966"/>
        <v>18.398792</v>
      </c>
      <c r="FN418" s="2">
        <f t="shared" si="6966"/>
        <v>0</v>
      </c>
      <c r="FO418" s="2">
        <f t="shared" si="6966"/>
        <v>0</v>
      </c>
      <c r="FP418" s="2">
        <f t="shared" ref="FP418:FQ418" si="6967">(CI418*$BT418+DD418*$CO418)/100</f>
        <v>0</v>
      </c>
      <c r="FQ418" s="2">
        <f t="shared" si="6967"/>
        <v>0</v>
      </c>
      <c r="FR418" s="2"/>
      <c r="FS418" s="2">
        <f t="shared" si="4388"/>
        <v>0</v>
      </c>
      <c r="FT418" s="2">
        <f t="shared" si="4389"/>
        <v>0</v>
      </c>
      <c r="FU418" s="39">
        <f t="shared" si="4390"/>
        <v>93.185796479999993</v>
      </c>
      <c r="FV418" s="39">
        <f t="shared" ref="FV418:FW418" si="6968">FV$1*FC418/1000000</f>
        <v>118.37338340836011</v>
      </c>
      <c r="FW418" s="39">
        <f t="shared" si="6968"/>
        <v>0</v>
      </c>
      <c r="FX418" s="39">
        <f t="shared" ref="FX418:GC418" si="6969">FX$1*FE418</f>
        <v>0</v>
      </c>
      <c r="FY418" s="39">
        <f t="shared" si="6969"/>
        <v>0</v>
      </c>
      <c r="FZ418" s="39">
        <f t="shared" si="6969"/>
        <v>0</v>
      </c>
      <c r="GA418" s="39">
        <f t="shared" si="6969"/>
        <v>0</v>
      </c>
      <c r="GB418" s="39">
        <f t="shared" si="6969"/>
        <v>811.49432000000002</v>
      </c>
      <c r="GC418" s="39">
        <f t="shared" si="6969"/>
        <v>0</v>
      </c>
      <c r="GD418" s="39">
        <f t="shared" ref="GD418:GH418" si="6970">GD$1*FK418/1000000</f>
        <v>2563.9750624360122</v>
      </c>
      <c r="GE418" s="39">
        <f t="shared" si="6970"/>
        <v>3169.105674546624</v>
      </c>
      <c r="GF418" s="39">
        <f t="shared" si="6970"/>
        <v>1316.4897696977494</v>
      </c>
      <c r="GG418" s="39">
        <f t="shared" si="6970"/>
        <v>0</v>
      </c>
      <c r="GH418" s="39">
        <f t="shared" si="6970"/>
        <v>0</v>
      </c>
      <c r="GI418" s="39">
        <f t="shared" ref="GI418:GJ418" si="6971">GI$1*FP418</f>
        <v>0</v>
      </c>
      <c r="GJ418" s="39">
        <f t="shared" si="6971"/>
        <v>0</v>
      </c>
      <c r="GK418" s="2"/>
      <c r="GL418" s="39">
        <f t="shared" si="4395"/>
        <v>0</v>
      </c>
      <c r="GM418" s="39">
        <f t="shared" si="4396"/>
        <v>0</v>
      </c>
      <c r="GN418" s="2" t="s">
        <v>3</v>
      </c>
      <c r="GO418" s="2">
        <f t="shared" si="4397"/>
        <v>479.40000000000003</v>
      </c>
      <c r="GP418" s="4">
        <f t="shared" si="4398"/>
        <v>0.13444305381727156</v>
      </c>
      <c r="GQ418" s="15">
        <f t="shared" si="4399"/>
        <v>644.52</v>
      </c>
      <c r="GR418" s="15">
        <f t="shared" si="4400"/>
        <v>83630.491398280137</v>
      </c>
      <c r="GS418" s="15">
        <f t="shared" si="4401"/>
        <v>174.44825072649172</v>
      </c>
      <c r="GT418" s="2">
        <f t="shared" si="4402"/>
        <v>138.88000000000002</v>
      </c>
      <c r="GU418" s="2">
        <f t="shared" si="4403"/>
        <v>211.24000000000004</v>
      </c>
      <c r="GV418" s="2">
        <f t="shared" si="4404"/>
        <v>294.39999999999998</v>
      </c>
      <c r="GW418" s="2">
        <f t="shared" si="4405"/>
        <v>47.6</v>
      </c>
      <c r="GX418" s="2">
        <f t="shared" ref="GX418:GX420" si="6972">(BT418*CB418+CO418*CW418)/GW418</f>
        <v>0.13</v>
      </c>
      <c r="GY418" s="15">
        <f t="shared" ref="GY418:GY420" si="6973">1000*GW418*GX418/100</f>
        <v>61.88</v>
      </c>
      <c r="GZ418" s="15">
        <f t="shared" ref="GZ418:GZ420" si="6974">SUM(FU418:GM418)</f>
        <v>8072.6240065687462</v>
      </c>
      <c r="HA418" s="15">
        <f t="shared" ref="HA418:HA420" si="6975">GZ418/GW418</f>
        <v>169.59294131446944</v>
      </c>
      <c r="HB418" s="2">
        <f t="shared" si="4406"/>
        <v>20.540000000000006</v>
      </c>
      <c r="HC418" s="2">
        <f t="shared" si="4407"/>
        <v>41.34</v>
      </c>
      <c r="HD418" s="2" t="s">
        <v>3</v>
      </c>
      <c r="HE418" s="2" t="s">
        <v>89</v>
      </c>
      <c r="HF418" s="2" t="s">
        <v>90</v>
      </c>
      <c r="HG418" s="2" t="s">
        <v>91</v>
      </c>
      <c r="HH418" s="2" t="s">
        <v>226</v>
      </c>
      <c r="HI418" s="2" t="s">
        <v>81</v>
      </c>
      <c r="HJ418" s="2" t="s">
        <v>3</v>
      </c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 t="s">
        <v>3</v>
      </c>
    </row>
    <row r="419" spans="1:268" ht="15.75" customHeight="1" x14ac:dyDescent="0.2">
      <c r="A419" s="16" t="s">
        <v>855</v>
      </c>
      <c r="B419" s="2"/>
      <c r="C419" s="2"/>
      <c r="D419" s="2"/>
      <c r="E419" s="2"/>
      <c r="F419" s="2" t="s">
        <v>145</v>
      </c>
      <c r="G419" s="2"/>
      <c r="H419" s="2"/>
      <c r="I419" s="2">
        <v>21.2</v>
      </c>
      <c r="J419" s="4">
        <v>2.9148595329822911E-2</v>
      </c>
      <c r="K419" s="4">
        <v>5.6096699999999999E-2</v>
      </c>
      <c r="L419" s="2"/>
      <c r="M419" s="2"/>
      <c r="N419" s="2"/>
      <c r="O419" s="2"/>
      <c r="P419" s="2"/>
      <c r="Q419" s="4">
        <v>0.11240231217618901</v>
      </c>
      <c r="R419" s="2"/>
      <c r="S419" s="4">
        <v>1.9977501000000002</v>
      </c>
      <c r="T419" s="4">
        <v>1.7613503000000001</v>
      </c>
      <c r="U419" s="4">
        <v>0.35968636000000004</v>
      </c>
      <c r="V419" s="2"/>
      <c r="W419" s="2"/>
      <c r="X419" s="2"/>
      <c r="Y419" s="2"/>
      <c r="Z419" s="2"/>
      <c r="AA419" s="2"/>
      <c r="AB419" s="2"/>
      <c r="AC419" s="2"/>
      <c r="AD419" s="2">
        <v>0</v>
      </c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>
        <v>0</v>
      </c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>
        <v>11.9</v>
      </c>
      <c r="BU419" s="4">
        <v>2.9148595329822911E-2</v>
      </c>
      <c r="BV419" s="4">
        <v>7.0715840000000002E-2</v>
      </c>
      <c r="BW419" s="2"/>
      <c r="BX419" s="2"/>
      <c r="BY419" s="2"/>
      <c r="BZ419" s="2"/>
      <c r="CA419" s="2"/>
      <c r="CB419" s="4">
        <v>0.11240231217618901</v>
      </c>
      <c r="CC419" s="2"/>
      <c r="CD419" s="4">
        <v>1.9834464000000001</v>
      </c>
      <c r="CE419" s="4">
        <v>1.7487392000000002</v>
      </c>
      <c r="CF419" s="4">
        <v>0.35711104000000005</v>
      </c>
      <c r="CG419" s="2"/>
      <c r="CH419" s="2"/>
      <c r="CI419" s="2"/>
      <c r="CJ419" s="2"/>
      <c r="CK419" s="2"/>
      <c r="CL419" s="2"/>
      <c r="CM419" s="2"/>
      <c r="CN419" s="2"/>
      <c r="CO419" s="2">
        <v>0</v>
      </c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>
        <f t="shared" si="4367"/>
        <v>0.11240231217618901</v>
      </c>
      <c r="DM419" s="2">
        <f t="shared" si="4368"/>
        <v>0</v>
      </c>
      <c r="DN419" s="2" t="s">
        <v>95</v>
      </c>
      <c r="DO419" s="2" t="s">
        <v>3</v>
      </c>
      <c r="DP419" s="2">
        <f t="shared" si="4369"/>
        <v>6.1795022099224569E-3</v>
      </c>
      <c r="DQ419" s="2">
        <f t="shared" ref="DQ419:DR419" si="6976">K419*$I419+AF419*$AD419+BA419*$AY419</f>
        <v>1.1892500399999999</v>
      </c>
      <c r="DR419" s="2">
        <f t="shared" si="6976"/>
        <v>0</v>
      </c>
      <c r="DS419" s="2">
        <f t="shared" ref="DS419:DX419" si="6977">(M419*$I419+AH419*$AD419+BC419*$AY419)/100</f>
        <v>0</v>
      </c>
      <c r="DT419" s="2">
        <f t="shared" si="6977"/>
        <v>0</v>
      </c>
      <c r="DU419" s="2">
        <f t="shared" si="6977"/>
        <v>0</v>
      </c>
      <c r="DV419" s="2">
        <f t="shared" si="6977"/>
        <v>0</v>
      </c>
      <c r="DW419" s="2">
        <f t="shared" si="6977"/>
        <v>2.3829290181352068E-2</v>
      </c>
      <c r="DX419" s="2">
        <f t="shared" si="6977"/>
        <v>0</v>
      </c>
      <c r="DY419" s="2">
        <f t="shared" ref="DY419:EC419" si="6978">S419*$I419+AN419*$AD419+BI419*$AY419</f>
        <v>42.352302120000004</v>
      </c>
      <c r="DZ419" s="2">
        <f t="shared" si="6978"/>
        <v>37.340626360000002</v>
      </c>
      <c r="EA419" s="2">
        <f t="shared" si="6978"/>
        <v>7.6253508320000005</v>
      </c>
      <c r="EB419" s="2">
        <f t="shared" si="6978"/>
        <v>0</v>
      </c>
      <c r="EC419" s="2">
        <f t="shared" si="6978"/>
        <v>0</v>
      </c>
      <c r="ED419" s="2">
        <f t="shared" ref="ED419:EE419" si="6979">(X419*$I419+AS419*$AD419+BN419*$AY419)/100</f>
        <v>0</v>
      </c>
      <c r="EE419" s="2">
        <f t="shared" si="6979"/>
        <v>0</v>
      </c>
      <c r="EF419" s="2"/>
      <c r="EG419" s="2">
        <f t="shared" si="4374"/>
        <v>0</v>
      </c>
      <c r="EH419" s="2">
        <f t="shared" si="4375"/>
        <v>0</v>
      </c>
      <c r="EI419" s="39">
        <f t="shared" si="4376"/>
        <v>40.325058493105345</v>
      </c>
      <c r="EJ419" s="39">
        <f t="shared" ref="EJ419:EK419" si="6980">EJ$1*DQ419/1000000</f>
        <v>48.64070903151125</v>
      </c>
      <c r="EK419" s="39">
        <f t="shared" si="6980"/>
        <v>0</v>
      </c>
      <c r="EL419" s="39">
        <f t="shared" ref="EL419:EQ419" si="6981">EL$1*DS419</f>
        <v>0</v>
      </c>
      <c r="EM419" s="39">
        <f t="shared" si="6981"/>
        <v>0</v>
      </c>
      <c r="EN419" s="39">
        <f t="shared" si="6981"/>
        <v>0</v>
      </c>
      <c r="EO419" s="39">
        <f t="shared" si="6981"/>
        <v>0</v>
      </c>
      <c r="EP419" s="39">
        <f t="shared" si="6981"/>
        <v>312.49731143825102</v>
      </c>
      <c r="EQ419" s="39">
        <f t="shared" si="6981"/>
        <v>0</v>
      </c>
      <c r="ER419" s="39">
        <f t="shared" ref="ER419:EV419" si="6982">ER$1*DY419/1000000</f>
        <v>1202.0155302006174</v>
      </c>
      <c r="ES419" s="39">
        <f t="shared" si="6982"/>
        <v>1244.4033883696079</v>
      </c>
      <c r="ET419" s="39">
        <f t="shared" si="6982"/>
        <v>545.6171449019165</v>
      </c>
      <c r="EU419" s="39">
        <f t="shared" si="6982"/>
        <v>0</v>
      </c>
      <c r="EV419" s="39">
        <f t="shared" si="6982"/>
        <v>0</v>
      </c>
      <c r="EW419" s="39">
        <f t="shared" ref="EW419:EX419" si="6983">EW$1*ED419</f>
        <v>0</v>
      </c>
      <c r="EX419" s="39">
        <f t="shared" si="6983"/>
        <v>0</v>
      </c>
      <c r="EY419" s="2"/>
      <c r="EZ419" s="39">
        <f t="shared" si="4381"/>
        <v>0</v>
      </c>
      <c r="FA419" s="39">
        <f t="shared" si="4382"/>
        <v>0</v>
      </c>
      <c r="FB419" s="2">
        <f t="shared" si="4383"/>
        <v>3.4686828442489267E-3</v>
      </c>
      <c r="FC419" s="2">
        <f t="shared" ref="FC419:FD419" si="6984">BV419*$BT419+CQ419*$CO419</f>
        <v>0.84151849600000006</v>
      </c>
      <c r="FD419" s="2">
        <f t="shared" si="6984"/>
        <v>0</v>
      </c>
      <c r="FE419" s="2">
        <f t="shared" ref="FE419:FJ419" si="6985">(BX419*$BT419+CS419*$CO419)/100</f>
        <v>0</v>
      </c>
      <c r="FF419" s="2">
        <f t="shared" si="6985"/>
        <v>0</v>
      </c>
      <c r="FG419" s="2">
        <f t="shared" si="6985"/>
        <v>0</v>
      </c>
      <c r="FH419" s="2">
        <f t="shared" si="6985"/>
        <v>0</v>
      </c>
      <c r="FI419" s="2">
        <f t="shared" si="6985"/>
        <v>1.3375875148966493E-2</v>
      </c>
      <c r="FJ419" s="2">
        <f t="shared" si="6985"/>
        <v>0</v>
      </c>
      <c r="FK419" s="2">
        <f t="shared" ref="FK419:FO419" si="6986">CD419*$BT419+CY419*$CO419</f>
        <v>23.603012160000002</v>
      </c>
      <c r="FL419" s="2">
        <f t="shared" si="6986"/>
        <v>20.809996480000002</v>
      </c>
      <c r="FM419" s="2">
        <f t="shared" si="6986"/>
        <v>4.2496213760000003</v>
      </c>
      <c r="FN419" s="2">
        <f t="shared" si="6986"/>
        <v>0</v>
      </c>
      <c r="FO419" s="2">
        <f t="shared" si="6986"/>
        <v>0</v>
      </c>
      <c r="FP419" s="2">
        <f t="shared" ref="FP419:FQ419" si="6987">(CI419*$BT419+DD419*$CO419)/100</f>
        <v>0</v>
      </c>
      <c r="FQ419" s="2">
        <f t="shared" si="6987"/>
        <v>0</v>
      </c>
      <c r="FR419" s="2"/>
      <c r="FS419" s="2">
        <f t="shared" si="4388"/>
        <v>0</v>
      </c>
      <c r="FT419" s="2">
        <f t="shared" si="4389"/>
        <v>0</v>
      </c>
      <c r="FU419" s="39">
        <f t="shared" si="4390"/>
        <v>22.635292267356302</v>
      </c>
      <c r="FV419" s="39">
        <f t="shared" ref="FV419:FW419" si="6988">FV$1*FC419/1000000</f>
        <v>34.418377071125406</v>
      </c>
      <c r="FW419" s="39">
        <f t="shared" si="6988"/>
        <v>0</v>
      </c>
      <c r="FX419" s="39">
        <f t="shared" ref="FX419:GC419" si="6989">FX$1*FE419</f>
        <v>0</v>
      </c>
      <c r="FY419" s="39">
        <f t="shared" si="6989"/>
        <v>0</v>
      </c>
      <c r="FZ419" s="39">
        <f t="shared" si="6989"/>
        <v>0</v>
      </c>
      <c r="GA419" s="39">
        <f t="shared" si="6989"/>
        <v>0</v>
      </c>
      <c r="GB419" s="39">
        <f t="shared" si="6989"/>
        <v>175.41122670354659</v>
      </c>
      <c r="GC419" s="39">
        <f t="shared" si="6989"/>
        <v>0</v>
      </c>
      <c r="GD419" s="39">
        <f t="shared" ref="GD419:GH419" si="6990">GD$1*FK419/1000000</f>
        <v>669.88536055130544</v>
      </c>
      <c r="GE419" s="39">
        <f t="shared" si="6990"/>
        <v>693.50818815969149</v>
      </c>
      <c r="GF419" s="39">
        <f t="shared" si="6990"/>
        <v>304.07339061134411</v>
      </c>
      <c r="GG419" s="39">
        <f t="shared" si="6990"/>
        <v>0</v>
      </c>
      <c r="GH419" s="39">
        <f t="shared" si="6990"/>
        <v>0</v>
      </c>
      <c r="GI419" s="39">
        <f t="shared" ref="GI419:GJ419" si="6991">GI$1*FP419</f>
        <v>0</v>
      </c>
      <c r="GJ419" s="39">
        <f t="shared" si="6991"/>
        <v>0</v>
      </c>
      <c r="GK419" s="2"/>
      <c r="GL419" s="39">
        <f t="shared" si="4395"/>
        <v>0</v>
      </c>
      <c r="GM419" s="39">
        <f t="shared" si="4396"/>
        <v>0</v>
      </c>
      <c r="GN419" s="2" t="s">
        <v>3</v>
      </c>
      <c r="GO419" s="2">
        <f t="shared" si="4397"/>
        <v>21.2</v>
      </c>
      <c r="GP419" s="4">
        <f t="shared" si="4398"/>
        <v>0.11240231217618901</v>
      </c>
      <c r="GQ419" s="15">
        <f t="shared" si="4399"/>
        <v>23.829290181352071</v>
      </c>
      <c r="GR419" s="15">
        <f t="shared" si="4400"/>
        <v>3393.4991424350096</v>
      </c>
      <c r="GS419" s="15">
        <f t="shared" si="4401"/>
        <v>160.07071426580234</v>
      </c>
      <c r="GT419" s="2">
        <f t="shared" si="4402"/>
        <v>23.829290181352071</v>
      </c>
      <c r="GU419" s="2">
        <f t="shared" si="4403"/>
        <v>0</v>
      </c>
      <c r="GV419" s="2">
        <f t="shared" si="4404"/>
        <v>0</v>
      </c>
      <c r="GW419" s="2">
        <f t="shared" si="4405"/>
        <v>11.9</v>
      </c>
      <c r="GX419" s="4">
        <f t="shared" si="6972"/>
        <v>0.112402312176189</v>
      </c>
      <c r="GY419" s="15">
        <f t="shared" si="6973"/>
        <v>13.375875148966491</v>
      </c>
      <c r="GZ419" s="15">
        <f t="shared" si="6974"/>
        <v>1899.9318353643694</v>
      </c>
      <c r="HA419" s="15">
        <f t="shared" si="6975"/>
        <v>159.65813742557725</v>
      </c>
      <c r="HB419" s="2">
        <f t="shared" si="4406"/>
        <v>13.375875148966493</v>
      </c>
      <c r="HC419" s="2">
        <f t="shared" si="4407"/>
        <v>0</v>
      </c>
      <c r="HD419" s="2" t="s">
        <v>3</v>
      </c>
      <c r="HE419" s="2" t="s">
        <v>89</v>
      </c>
      <c r="HF419" s="2" t="s">
        <v>90</v>
      </c>
      <c r="HG419" s="2" t="s">
        <v>91</v>
      </c>
      <c r="HH419" s="2" t="s">
        <v>226</v>
      </c>
      <c r="HI419" s="2" t="s">
        <v>81</v>
      </c>
      <c r="HJ419" s="2" t="s">
        <v>3</v>
      </c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 t="s">
        <v>3</v>
      </c>
    </row>
    <row r="420" spans="1:268" ht="15.75" customHeight="1" x14ac:dyDescent="0.2">
      <c r="A420" s="16" t="s">
        <v>878</v>
      </c>
      <c r="B420" s="2"/>
      <c r="C420" s="2"/>
      <c r="D420" s="2"/>
      <c r="E420" s="2"/>
      <c r="F420" s="2" t="s">
        <v>511</v>
      </c>
      <c r="G420" s="2"/>
      <c r="H420" s="2"/>
      <c r="I420" s="2">
        <v>0</v>
      </c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>
        <v>49.6</v>
      </c>
      <c r="AE420" s="4">
        <v>2.7E-2</v>
      </c>
      <c r="AF420" s="4">
        <v>0.16</v>
      </c>
      <c r="AG420" s="2"/>
      <c r="AH420" s="2"/>
      <c r="AI420" s="2"/>
      <c r="AJ420" s="2"/>
      <c r="AK420" s="2"/>
      <c r="AL420" s="4">
        <v>0.08</v>
      </c>
      <c r="AM420" s="2"/>
      <c r="AN420" s="4">
        <v>2.2000000000000002</v>
      </c>
      <c r="AO420" s="4">
        <v>1.51</v>
      </c>
      <c r="AP420" s="4">
        <v>0.3</v>
      </c>
      <c r="AQ420" s="4"/>
      <c r="AR420" s="4"/>
      <c r="AS420" s="2"/>
      <c r="AT420" s="2"/>
      <c r="AU420" s="2"/>
      <c r="AV420" s="2"/>
      <c r="AW420" s="2"/>
      <c r="AX420" s="2"/>
      <c r="AY420" s="2">
        <v>71.900000000000006</v>
      </c>
      <c r="AZ420" s="4">
        <v>9.5000000000000001E-2</v>
      </c>
      <c r="BA420" s="4">
        <v>0.16</v>
      </c>
      <c r="BB420" s="2"/>
      <c r="BC420" s="2"/>
      <c r="BD420" s="2"/>
      <c r="BE420" s="2"/>
      <c r="BF420" s="2"/>
      <c r="BG420" s="4">
        <v>0.128</v>
      </c>
      <c r="BH420" s="2"/>
      <c r="BI420" s="4">
        <v>1.9699999999999998</v>
      </c>
      <c r="BJ420" s="4">
        <v>1.38</v>
      </c>
      <c r="BK420" s="4">
        <v>0.25</v>
      </c>
      <c r="BL420" s="2"/>
      <c r="BM420" s="2"/>
      <c r="BN420" s="2"/>
      <c r="BO420" s="2"/>
      <c r="BP420" s="2"/>
      <c r="BQ420" s="2"/>
      <c r="BR420" s="2"/>
      <c r="BS420" s="2"/>
      <c r="BT420" s="2">
        <v>0</v>
      </c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>
        <v>44.1</v>
      </c>
      <c r="CP420" s="4">
        <v>2.7E-2</v>
      </c>
      <c r="CQ420" s="4">
        <v>0.12692000000000001</v>
      </c>
      <c r="CR420" s="2"/>
      <c r="CS420" s="2"/>
      <c r="CT420" s="2"/>
      <c r="CU420" s="2"/>
      <c r="CV420" s="2"/>
      <c r="CW420" s="4">
        <v>0.08</v>
      </c>
      <c r="CX420" s="2"/>
      <c r="CY420" s="4">
        <v>1.76352</v>
      </c>
      <c r="CZ420" s="4">
        <v>1.2090799999999999</v>
      </c>
      <c r="DA420" s="4">
        <v>0.24047999999999997</v>
      </c>
      <c r="DB420" s="2"/>
      <c r="DC420" s="2"/>
      <c r="DD420" s="2"/>
      <c r="DE420" s="2"/>
      <c r="DF420" s="2"/>
      <c r="DG420" s="2"/>
      <c r="DH420" s="2"/>
      <c r="DI420" s="2"/>
      <c r="DJ420" s="2" t="s">
        <v>81</v>
      </c>
      <c r="DK420" s="2"/>
      <c r="DL420" s="2">
        <f t="shared" si="4367"/>
        <v>0.10840493827160494</v>
      </c>
      <c r="DM420" s="2">
        <f t="shared" si="4368"/>
        <v>0</v>
      </c>
      <c r="DN420" s="2" t="s">
        <v>512</v>
      </c>
      <c r="DO420" s="2" t="s">
        <v>3</v>
      </c>
      <c r="DP420" s="2">
        <f t="shared" si="4369"/>
        <v>8.1697000000000006E-2</v>
      </c>
      <c r="DQ420" s="2">
        <f t="shared" ref="DQ420:DR420" si="6992">K420*$I420+AF420*$AD420+BA420*$AY420</f>
        <v>19.440000000000001</v>
      </c>
      <c r="DR420" s="2">
        <f t="shared" si="6992"/>
        <v>0</v>
      </c>
      <c r="DS420" s="2">
        <f t="shared" ref="DS420:DX420" si="6993">(M420*$I420+AH420*$AD420+BC420*$AY420)/100</f>
        <v>0</v>
      </c>
      <c r="DT420" s="2">
        <f t="shared" si="6993"/>
        <v>0</v>
      </c>
      <c r="DU420" s="2">
        <f t="shared" si="6993"/>
        <v>0</v>
      </c>
      <c r="DV420" s="2">
        <f t="shared" si="6993"/>
        <v>0</v>
      </c>
      <c r="DW420" s="2">
        <f t="shared" si="6993"/>
        <v>0.131712</v>
      </c>
      <c r="DX420" s="2">
        <f t="shared" si="6993"/>
        <v>0</v>
      </c>
      <c r="DY420" s="2">
        <f t="shared" ref="DY420:EC420" si="6994">S420*$I420+AN420*$AD420+BI420*$AY420</f>
        <v>250.76300000000003</v>
      </c>
      <c r="DZ420" s="2">
        <f t="shared" si="6994"/>
        <v>174.11799999999999</v>
      </c>
      <c r="EA420" s="2">
        <f t="shared" si="6994"/>
        <v>32.855000000000004</v>
      </c>
      <c r="EB420" s="2">
        <f t="shared" si="6994"/>
        <v>0</v>
      </c>
      <c r="EC420" s="2">
        <f t="shared" si="6994"/>
        <v>0</v>
      </c>
      <c r="ED420" s="2">
        <f t="shared" ref="ED420:EE420" si="6995">(X420*$I420+AS420*$AD420+BN420*$AY420)/100</f>
        <v>0</v>
      </c>
      <c r="EE420" s="2">
        <f t="shared" si="6995"/>
        <v>0</v>
      </c>
      <c r="EF420" s="2"/>
      <c r="EG420" s="2">
        <f t="shared" si="4374"/>
        <v>0</v>
      </c>
      <c r="EH420" s="2">
        <f t="shared" si="4375"/>
        <v>0</v>
      </c>
      <c r="EI420" s="39">
        <f t="shared" si="4376"/>
        <v>533.12325035200001</v>
      </c>
      <c r="EJ420" s="39">
        <f t="shared" ref="EJ420:EK420" si="6996">EJ$1*DQ420/1000000</f>
        <v>795.10225080385851</v>
      </c>
      <c r="EK420" s="39">
        <f t="shared" si="6996"/>
        <v>0</v>
      </c>
      <c r="EL420" s="39">
        <f t="shared" ref="EL420:EQ420" si="6997">EL$1*DS420</f>
        <v>0</v>
      </c>
      <c r="EM420" s="39">
        <f t="shared" si="6997"/>
        <v>0</v>
      </c>
      <c r="EN420" s="39">
        <f t="shared" si="6997"/>
        <v>0</v>
      </c>
      <c r="EO420" s="39">
        <f t="shared" si="6997"/>
        <v>0</v>
      </c>
      <c r="EP420" s="39">
        <f t="shared" si="6997"/>
        <v>1727.271168</v>
      </c>
      <c r="EQ420" s="39">
        <f t="shared" si="6997"/>
        <v>0</v>
      </c>
      <c r="ER420" s="39">
        <f t="shared" ref="ER420:EV420" si="6998">ER$1*DY420/1000000</f>
        <v>7116.9925909967842</v>
      </c>
      <c r="ES420" s="39">
        <f t="shared" si="6998"/>
        <v>5802.6083196141481</v>
      </c>
      <c r="ET420" s="39">
        <f t="shared" si="6998"/>
        <v>2350.8756109324763</v>
      </c>
      <c r="EU420" s="39">
        <f t="shared" si="6998"/>
        <v>0</v>
      </c>
      <c r="EV420" s="39">
        <f t="shared" si="6998"/>
        <v>0</v>
      </c>
      <c r="EW420" s="39">
        <f t="shared" ref="EW420:EX420" si="6999">EW$1*ED420</f>
        <v>0</v>
      </c>
      <c r="EX420" s="39">
        <f t="shared" si="6999"/>
        <v>0</v>
      </c>
      <c r="EY420" s="2"/>
      <c r="EZ420" s="39">
        <f t="shared" si="4381"/>
        <v>0</v>
      </c>
      <c r="FA420" s="39">
        <f t="shared" si="4382"/>
        <v>0</v>
      </c>
      <c r="FB420" s="2">
        <f t="shared" si="4383"/>
        <v>1.1907000000000001E-2</v>
      </c>
      <c r="FC420" s="2">
        <f t="shared" ref="FC420:FD420" si="7000">BV420*$BT420+CQ420*$CO420</f>
        <v>5.5971720000000005</v>
      </c>
      <c r="FD420" s="2">
        <f t="shared" si="7000"/>
        <v>0</v>
      </c>
      <c r="FE420" s="2">
        <f t="shared" ref="FE420:FJ420" si="7001">(BX420*$BT420+CS420*$CO420)/100</f>
        <v>0</v>
      </c>
      <c r="FF420" s="2">
        <f t="shared" si="7001"/>
        <v>0</v>
      </c>
      <c r="FG420" s="2">
        <f t="shared" si="7001"/>
        <v>0</v>
      </c>
      <c r="FH420" s="2">
        <f t="shared" si="7001"/>
        <v>0</v>
      </c>
      <c r="FI420" s="2">
        <f t="shared" si="7001"/>
        <v>3.5279999999999999E-2</v>
      </c>
      <c r="FJ420" s="2">
        <f t="shared" si="7001"/>
        <v>0</v>
      </c>
      <c r="FK420" s="2">
        <f t="shared" ref="FK420:FO420" si="7002">CD420*$BT420+CY420*$CO420</f>
        <v>77.771231999999998</v>
      </c>
      <c r="FL420" s="2">
        <f t="shared" si="7002"/>
        <v>53.320428</v>
      </c>
      <c r="FM420" s="2">
        <f t="shared" si="7002"/>
        <v>10.605167999999999</v>
      </c>
      <c r="FN420" s="2">
        <f t="shared" si="7002"/>
        <v>0</v>
      </c>
      <c r="FO420" s="2">
        <f t="shared" si="7002"/>
        <v>0</v>
      </c>
      <c r="FP420" s="2">
        <f t="shared" ref="FP420:FQ420" si="7003">(CI420*$BT420+DD420*$CO420)/100</f>
        <v>0</v>
      </c>
      <c r="FQ420" s="2">
        <f t="shared" si="7003"/>
        <v>0</v>
      </c>
      <c r="FR420" s="2"/>
      <c r="FS420" s="2">
        <f t="shared" si="4388"/>
        <v>0</v>
      </c>
      <c r="FT420" s="2">
        <f t="shared" si="4389"/>
        <v>0</v>
      </c>
      <c r="FU420" s="39">
        <f t="shared" si="4390"/>
        <v>77.700509711999999</v>
      </c>
      <c r="FV420" s="39">
        <f t="shared" ref="FV420:FW420" si="7004">FV$1*FC420/1000000</f>
        <v>228.92613453376208</v>
      </c>
      <c r="FW420" s="39">
        <f t="shared" si="7004"/>
        <v>0</v>
      </c>
      <c r="FX420" s="39">
        <f t="shared" ref="FX420:GC420" si="7005">FX$1*FE420</f>
        <v>0</v>
      </c>
      <c r="FY420" s="39">
        <f t="shared" si="7005"/>
        <v>0</v>
      </c>
      <c r="FZ420" s="39">
        <f t="shared" si="7005"/>
        <v>0</v>
      </c>
      <c r="GA420" s="39">
        <f t="shared" si="7005"/>
        <v>0</v>
      </c>
      <c r="GB420" s="39">
        <f t="shared" si="7005"/>
        <v>462.66192000000001</v>
      </c>
      <c r="GC420" s="39">
        <f t="shared" si="7005"/>
        <v>0</v>
      </c>
      <c r="GD420" s="39">
        <f t="shared" ref="GD420:GH420" si="7006">GD$1*FK420/1000000</f>
        <v>2207.2525928334403</v>
      </c>
      <c r="GE420" s="39">
        <f t="shared" si="7006"/>
        <v>1776.9418389723473</v>
      </c>
      <c r="GF420" s="39">
        <f t="shared" si="7006"/>
        <v>758.832165607717</v>
      </c>
      <c r="GG420" s="39">
        <f t="shared" si="7006"/>
        <v>0</v>
      </c>
      <c r="GH420" s="39">
        <f t="shared" si="7006"/>
        <v>0</v>
      </c>
      <c r="GI420" s="39">
        <f t="shared" ref="GI420:GJ420" si="7007">GI$1*FP420</f>
        <v>0</v>
      </c>
      <c r="GJ420" s="39">
        <f t="shared" si="7007"/>
        <v>0</v>
      </c>
      <c r="GK420" s="2"/>
      <c r="GL420" s="39">
        <f t="shared" si="4395"/>
        <v>0</v>
      </c>
      <c r="GM420" s="39">
        <f t="shared" si="4396"/>
        <v>0</v>
      </c>
      <c r="GN420" s="2" t="s">
        <v>3</v>
      </c>
      <c r="GO420" s="2">
        <f t="shared" si="4397"/>
        <v>121.5</v>
      </c>
      <c r="GP420" s="4">
        <f t="shared" si="4398"/>
        <v>0.10840493827160494</v>
      </c>
      <c r="GQ420" s="15">
        <f t="shared" si="4399"/>
        <v>131.71200000000002</v>
      </c>
      <c r="GR420" s="15">
        <f t="shared" si="4400"/>
        <v>18325.973190699267</v>
      </c>
      <c r="GS420" s="15">
        <f t="shared" si="4401"/>
        <v>150.83105506748367</v>
      </c>
      <c r="GT420" s="2">
        <f t="shared" si="4402"/>
        <v>0</v>
      </c>
      <c r="GU420" s="2">
        <f t="shared" si="4403"/>
        <v>39.680000000000007</v>
      </c>
      <c r="GV420" s="2">
        <f t="shared" si="4404"/>
        <v>92.032000000000011</v>
      </c>
      <c r="GW420" s="2">
        <f t="shared" si="4405"/>
        <v>44.1</v>
      </c>
      <c r="GX420" s="2">
        <f t="shared" si="6972"/>
        <v>0.08</v>
      </c>
      <c r="GY420" s="15">
        <f t="shared" si="6973"/>
        <v>35.28</v>
      </c>
      <c r="GZ420" s="15">
        <f t="shared" si="6974"/>
        <v>5512.3151616592659</v>
      </c>
      <c r="HA420" s="15">
        <f t="shared" si="6975"/>
        <v>124.99580865440512</v>
      </c>
      <c r="HB420" s="2">
        <f t="shared" si="4406"/>
        <v>0</v>
      </c>
      <c r="HC420" s="2">
        <f t="shared" si="4407"/>
        <v>35.28</v>
      </c>
      <c r="HD420" s="2" t="s">
        <v>3</v>
      </c>
      <c r="HE420" s="2" t="s">
        <v>89</v>
      </c>
      <c r="HF420" s="2" t="s">
        <v>90</v>
      </c>
      <c r="HG420" s="2" t="s">
        <v>91</v>
      </c>
      <c r="HH420" s="2" t="s">
        <v>226</v>
      </c>
      <c r="HI420" s="2" t="s">
        <v>81</v>
      </c>
      <c r="HJ420" s="2" t="s">
        <v>3</v>
      </c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 t="s">
        <v>3</v>
      </c>
    </row>
    <row r="421" spans="1:268" ht="15.75" customHeight="1" x14ac:dyDescent="0.2">
      <c r="A421" s="16" t="s">
        <v>984</v>
      </c>
      <c r="B421" s="2"/>
      <c r="C421" s="2"/>
      <c r="D421" s="2"/>
      <c r="E421" s="2"/>
      <c r="F421" s="2" t="s">
        <v>129</v>
      </c>
      <c r="G421" s="2"/>
      <c r="H421" s="2"/>
      <c r="I421" s="15">
        <v>21.341463414634148</v>
      </c>
      <c r="J421" s="4">
        <v>1.5542233663308669E-2</v>
      </c>
      <c r="K421" s="4">
        <v>1.536E-2</v>
      </c>
      <c r="L421" s="2"/>
      <c r="M421" s="2"/>
      <c r="N421" s="2"/>
      <c r="O421" s="2"/>
      <c r="P421" s="2"/>
      <c r="Q421" s="4">
        <v>0.11240231217618901</v>
      </c>
      <c r="R421" s="2"/>
      <c r="S421" s="4">
        <v>2.9145599999999998</v>
      </c>
      <c r="T421" s="4">
        <v>1.33728</v>
      </c>
      <c r="U421" s="4">
        <v>0.53279999999999994</v>
      </c>
      <c r="V421" s="2"/>
      <c r="W421" s="2"/>
      <c r="X421" s="2"/>
      <c r="Y421" s="2"/>
      <c r="Z421" s="2"/>
      <c r="AA421" s="2"/>
      <c r="AB421" s="2"/>
      <c r="AC421" s="2"/>
      <c r="AD421" s="15">
        <v>147.6829268292683</v>
      </c>
      <c r="AE421" s="4">
        <v>1.5542233663308669E-2</v>
      </c>
      <c r="AF421" s="4">
        <v>1.4719999999999999E-2</v>
      </c>
      <c r="AG421" s="2"/>
      <c r="AH421" s="2"/>
      <c r="AI421" s="2"/>
      <c r="AJ421" s="2"/>
      <c r="AK421" s="2"/>
      <c r="AL421" s="4">
        <v>0.11240231217618901</v>
      </c>
      <c r="AM421" s="2"/>
      <c r="AN421" s="4">
        <v>2.7931199999999996</v>
      </c>
      <c r="AO421" s="4">
        <v>1.28156</v>
      </c>
      <c r="AP421" s="4">
        <v>0.51059999999999994</v>
      </c>
      <c r="AQ421" s="4"/>
      <c r="AR421" s="4"/>
      <c r="AS421" s="2"/>
      <c r="AT421" s="2"/>
      <c r="AU421" s="2"/>
      <c r="AV421" s="2"/>
      <c r="AW421" s="2"/>
      <c r="AX421" s="2"/>
      <c r="AY421" s="15">
        <v>21.09756097560976</v>
      </c>
      <c r="AZ421" s="4">
        <v>1.5542233663308669E-2</v>
      </c>
      <c r="BA421" s="4">
        <v>1.5103999999999999E-2</v>
      </c>
      <c r="BB421" s="2"/>
      <c r="BC421" s="2"/>
      <c r="BD421" s="2"/>
      <c r="BE421" s="2"/>
      <c r="BF421" s="2"/>
      <c r="BG421" s="4">
        <v>0.11240231217618901</v>
      </c>
      <c r="BH421" s="2"/>
      <c r="BI421" s="4">
        <v>2.8659839999999996</v>
      </c>
      <c r="BJ421" s="4">
        <v>1.3149919999999999</v>
      </c>
      <c r="BK421" s="4">
        <v>0.52391999999999994</v>
      </c>
      <c r="BL421" s="2"/>
      <c r="BM421" s="2"/>
      <c r="BN421" s="2"/>
      <c r="BO421" s="2"/>
      <c r="BP421" s="2"/>
      <c r="BQ421" s="2"/>
      <c r="BR421" s="2"/>
      <c r="BS421" s="2"/>
      <c r="BT421" s="2">
        <v>0</v>
      </c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>
        <v>0</v>
      </c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>
        <f t="shared" si="4367"/>
        <v>0.11240231217618901</v>
      </c>
      <c r="DM421" s="2">
        <f t="shared" si="4368"/>
        <v>0</v>
      </c>
      <c r="DN421" s="2" t="s">
        <v>95</v>
      </c>
      <c r="DO421" s="2" t="s">
        <v>3</v>
      </c>
      <c r="DP421" s="2">
        <f t="shared" si="4369"/>
        <v>2.9549197903778312E-2</v>
      </c>
      <c r="DQ421" s="2">
        <f t="shared" ref="DQ421:DR421" si="7008">K421*$I421+AF421*$AD421+BA421*$AY421</f>
        <v>2.8203551219512195</v>
      </c>
      <c r="DR421" s="2">
        <f t="shared" si="7008"/>
        <v>0</v>
      </c>
      <c r="DS421" s="2">
        <f t="shared" ref="DS421:DX421" si="7009">(M421*$I421+AH421*$AD421+BC421*$AY421)/100</f>
        <v>0</v>
      </c>
      <c r="DT421" s="2">
        <f t="shared" si="7009"/>
        <v>0</v>
      </c>
      <c r="DU421" s="2">
        <f t="shared" si="7009"/>
        <v>0</v>
      </c>
      <c r="DV421" s="2">
        <f t="shared" si="7009"/>
        <v>0</v>
      </c>
      <c r="DW421" s="2">
        <f t="shared" si="7009"/>
        <v>0.2137014691252179</v>
      </c>
      <c r="DX421" s="2">
        <f t="shared" si="7009"/>
        <v>0</v>
      </c>
      <c r="DY421" s="2">
        <f t="shared" ref="DY421:EC421" si="7010">S421*$I421+AN421*$AD421+BI421*$AY421</f>
        <v>535.16238439024391</v>
      </c>
      <c r="DZ421" s="2">
        <f t="shared" si="7010"/>
        <v>245.54716780487806</v>
      </c>
      <c r="EA421" s="2">
        <f t="shared" si="7010"/>
        <v>97.831068292682914</v>
      </c>
      <c r="EB421" s="2">
        <f t="shared" si="7010"/>
        <v>0</v>
      </c>
      <c r="EC421" s="2">
        <f t="shared" si="7010"/>
        <v>0</v>
      </c>
      <c r="ED421" s="2">
        <f t="shared" ref="ED421:EE421" si="7011">(X421*$I421+AS421*$AD421+BN421*$AY421)/100</f>
        <v>0</v>
      </c>
      <c r="EE421" s="2">
        <f t="shared" si="7011"/>
        <v>0</v>
      </c>
      <c r="EF421" s="2"/>
      <c r="EG421" s="2">
        <f t="shared" si="4374"/>
        <v>0</v>
      </c>
      <c r="EH421" s="2">
        <f t="shared" si="4375"/>
        <v>0</v>
      </c>
      <c r="EI421" s="39">
        <f t="shared" si="4376"/>
        <v>192.82671862806222</v>
      </c>
      <c r="EJ421" s="39">
        <f t="shared" ref="EJ421:EK421" si="7012">EJ$1*DQ421/1000000</f>
        <v>115.35343135440357</v>
      </c>
      <c r="EK421" s="39">
        <f t="shared" si="7012"/>
        <v>0</v>
      </c>
      <c r="EL421" s="39">
        <f t="shared" ref="EL421:EQ421" si="7013">EL$1*DS421</f>
        <v>0</v>
      </c>
      <c r="EM421" s="39">
        <f t="shared" si="7013"/>
        <v>0</v>
      </c>
      <c r="EN421" s="39">
        <f t="shared" si="7013"/>
        <v>0</v>
      </c>
      <c r="EO421" s="39">
        <f t="shared" si="7013"/>
        <v>0</v>
      </c>
      <c r="EP421" s="39">
        <f t="shared" si="7013"/>
        <v>2802.4810661081074</v>
      </c>
      <c r="EQ421" s="39">
        <f t="shared" si="7013"/>
        <v>0</v>
      </c>
      <c r="ER421" s="39">
        <f t="shared" ref="ER421:EV421" si="7014">ER$1*DY421/1000000</f>
        <v>15188.631196330951</v>
      </c>
      <c r="ES421" s="39">
        <f t="shared" si="7014"/>
        <v>8183.0370137623722</v>
      </c>
      <c r="ET421" s="39">
        <f t="shared" si="7014"/>
        <v>7000.1117772253147</v>
      </c>
      <c r="EU421" s="39">
        <f t="shared" si="7014"/>
        <v>0</v>
      </c>
      <c r="EV421" s="39">
        <f t="shared" si="7014"/>
        <v>0</v>
      </c>
      <c r="EW421" s="39">
        <f t="shared" ref="EW421:EX421" si="7015">EW$1*ED421</f>
        <v>0</v>
      </c>
      <c r="EX421" s="39">
        <f t="shared" si="7015"/>
        <v>0</v>
      </c>
      <c r="EY421" s="2"/>
      <c r="EZ421" s="39">
        <f t="shared" si="4381"/>
        <v>0</v>
      </c>
      <c r="FA421" s="39">
        <f t="shared" si="4382"/>
        <v>0</v>
      </c>
      <c r="FB421" s="2">
        <f t="shared" si="4383"/>
        <v>0</v>
      </c>
      <c r="FC421" s="2">
        <f t="shared" ref="FC421:FD421" si="7016">BV421*$BT421+CQ421*$CO421</f>
        <v>0</v>
      </c>
      <c r="FD421" s="2">
        <f t="shared" si="7016"/>
        <v>0</v>
      </c>
      <c r="FE421" s="2">
        <f t="shared" ref="FE421:FJ421" si="7017">(BX421*$BT421+CS421*$CO421)/100</f>
        <v>0</v>
      </c>
      <c r="FF421" s="2">
        <f t="shared" si="7017"/>
        <v>0</v>
      </c>
      <c r="FG421" s="2">
        <f t="shared" si="7017"/>
        <v>0</v>
      </c>
      <c r="FH421" s="2">
        <f t="shared" si="7017"/>
        <v>0</v>
      </c>
      <c r="FI421" s="2">
        <f t="shared" si="7017"/>
        <v>0</v>
      </c>
      <c r="FJ421" s="2">
        <f t="shared" si="7017"/>
        <v>0</v>
      </c>
      <c r="FK421" s="2">
        <f t="shared" ref="FK421:FO421" si="7018">CD421*$BT421+CY421*$CO421</f>
        <v>0</v>
      </c>
      <c r="FL421" s="2">
        <f t="shared" si="7018"/>
        <v>0</v>
      </c>
      <c r="FM421" s="2">
        <f t="shared" si="7018"/>
        <v>0</v>
      </c>
      <c r="FN421" s="2">
        <f t="shared" si="7018"/>
        <v>0</v>
      </c>
      <c r="FO421" s="2">
        <f t="shared" si="7018"/>
        <v>0</v>
      </c>
      <c r="FP421" s="2">
        <f t="shared" ref="FP421:FQ421" si="7019">(CI421*$BT421+DD421*$CO421)/100</f>
        <v>0</v>
      </c>
      <c r="FQ421" s="2">
        <f t="shared" si="7019"/>
        <v>0</v>
      </c>
      <c r="FR421" s="2"/>
      <c r="FS421" s="2">
        <f t="shared" si="4388"/>
        <v>0</v>
      </c>
      <c r="FT421" s="2">
        <f t="shared" si="4389"/>
        <v>0</v>
      </c>
      <c r="FU421" s="39">
        <f t="shared" si="4390"/>
        <v>0</v>
      </c>
      <c r="FV421" s="39">
        <f t="shared" ref="FV421:FW421" si="7020">FV$1*FC421/1000000</f>
        <v>0</v>
      </c>
      <c r="FW421" s="39">
        <f t="shared" si="7020"/>
        <v>0</v>
      </c>
      <c r="FX421" s="39">
        <f t="shared" ref="FX421:GC421" si="7021">FX$1*FE421</f>
        <v>0</v>
      </c>
      <c r="FY421" s="39">
        <f t="shared" si="7021"/>
        <v>0</v>
      </c>
      <c r="FZ421" s="39">
        <f t="shared" si="7021"/>
        <v>0</v>
      </c>
      <c r="GA421" s="39">
        <f t="shared" si="7021"/>
        <v>0</v>
      </c>
      <c r="GB421" s="39">
        <f t="shared" si="7021"/>
        <v>0</v>
      </c>
      <c r="GC421" s="39">
        <f t="shared" si="7021"/>
        <v>0</v>
      </c>
      <c r="GD421" s="39">
        <f t="shared" ref="GD421:GH421" si="7022">GD$1*FK421/1000000</f>
        <v>0</v>
      </c>
      <c r="GE421" s="39">
        <f t="shared" si="7022"/>
        <v>0</v>
      </c>
      <c r="GF421" s="39">
        <f t="shared" si="7022"/>
        <v>0</v>
      </c>
      <c r="GG421" s="39">
        <f t="shared" si="7022"/>
        <v>0</v>
      </c>
      <c r="GH421" s="39">
        <f t="shared" si="7022"/>
        <v>0</v>
      </c>
      <c r="GI421" s="39">
        <f t="shared" ref="GI421:GJ421" si="7023">GI$1*FP421</f>
        <v>0</v>
      </c>
      <c r="GJ421" s="39">
        <f t="shared" si="7023"/>
        <v>0</v>
      </c>
      <c r="GK421" s="2"/>
      <c r="GL421" s="39">
        <f t="shared" si="4395"/>
        <v>0</v>
      </c>
      <c r="GM421" s="39">
        <f t="shared" si="4396"/>
        <v>0</v>
      </c>
      <c r="GN421" s="2" t="s">
        <v>3</v>
      </c>
      <c r="GO421" s="15">
        <f t="shared" si="4397"/>
        <v>190.1219512195122</v>
      </c>
      <c r="GP421" s="4">
        <f t="shared" si="4398"/>
        <v>0.11240231217618901</v>
      </c>
      <c r="GQ421" s="15">
        <f t="shared" si="4399"/>
        <v>213.70146912521793</v>
      </c>
      <c r="GR421" s="15">
        <f t="shared" si="4400"/>
        <v>33482.441203409209</v>
      </c>
      <c r="GS421" s="15">
        <f t="shared" si="4401"/>
        <v>176.11033859394195</v>
      </c>
      <c r="GT421" s="2">
        <f t="shared" si="4402"/>
        <v>23.988298330284241</v>
      </c>
      <c r="GU421" s="2">
        <f t="shared" si="4403"/>
        <v>165.99902444556693</v>
      </c>
      <c r="GV421" s="2">
        <f t="shared" si="4404"/>
        <v>23.714146349366711</v>
      </c>
      <c r="GW421" s="2">
        <f t="shared" si="4405"/>
        <v>0</v>
      </c>
      <c r="GX421" s="2"/>
      <c r="GY421" s="2"/>
      <c r="GZ421" s="2"/>
      <c r="HA421" s="2"/>
      <c r="HB421" s="2">
        <f t="shared" si="4406"/>
        <v>0</v>
      </c>
      <c r="HC421" s="2">
        <f t="shared" si="4407"/>
        <v>0</v>
      </c>
      <c r="HD421" s="2" t="s">
        <v>3</v>
      </c>
      <c r="HE421" s="2" t="s">
        <v>89</v>
      </c>
      <c r="HF421" s="2" t="s">
        <v>90</v>
      </c>
      <c r="HG421" s="2" t="s">
        <v>91</v>
      </c>
      <c r="HH421" s="2" t="s">
        <v>92</v>
      </c>
      <c r="HI421" s="2" t="s">
        <v>81</v>
      </c>
      <c r="HJ421" s="2" t="s">
        <v>3</v>
      </c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 t="s">
        <v>3</v>
      </c>
    </row>
    <row r="422" spans="1:268" ht="15.75" customHeight="1" x14ac:dyDescent="0.2">
      <c r="A422" s="16" t="s">
        <v>1063</v>
      </c>
      <c r="B422" s="2"/>
      <c r="C422" s="2"/>
      <c r="D422" s="2"/>
      <c r="E422" s="2"/>
      <c r="F422" s="2" t="s">
        <v>1064</v>
      </c>
      <c r="G422" s="2"/>
      <c r="H422" s="2"/>
      <c r="I422" s="2">
        <v>4.3499999999999996</v>
      </c>
      <c r="J422" s="4">
        <v>7.7000000000000002E-3</v>
      </c>
      <c r="K422" s="4">
        <v>3.328735632183908E-2</v>
      </c>
      <c r="L422" s="2"/>
      <c r="M422" s="2"/>
      <c r="N422" s="2"/>
      <c r="O422" s="2"/>
      <c r="P422" s="2"/>
      <c r="Q422" s="4">
        <v>0.12306206896551723</v>
      </c>
      <c r="R422" s="2"/>
      <c r="S422" s="4">
        <v>3.1031954022988506</v>
      </c>
      <c r="T422" s="4">
        <v>1.416666666666667</v>
      </c>
      <c r="U422" s="4">
        <v>0.60804597701149432</v>
      </c>
      <c r="V422" s="4">
        <v>2.8122534505747129E-2</v>
      </c>
      <c r="W422" s="19">
        <v>4.8881757011494257E-3</v>
      </c>
      <c r="X422" s="2"/>
      <c r="Y422" s="2"/>
      <c r="Z422" s="2"/>
      <c r="AA422" s="2"/>
      <c r="AB422" s="2"/>
      <c r="AC422" s="2"/>
      <c r="AD422" s="2">
        <v>5.5699999999999994</v>
      </c>
      <c r="AE422" s="4">
        <v>2.6854937163375222E-2</v>
      </c>
      <c r="AF422" s="4">
        <v>7.7307001795332148E-2</v>
      </c>
      <c r="AG422" s="2"/>
      <c r="AH422" s="2"/>
      <c r="AI422" s="2"/>
      <c r="AJ422" s="2"/>
      <c r="AK422" s="2"/>
      <c r="AL422" s="4">
        <v>0.13902800718132854</v>
      </c>
      <c r="AM422" s="2"/>
      <c r="AN422" s="4">
        <v>3.5112028725314182</v>
      </c>
      <c r="AO422" s="4">
        <v>1.5075942549371635</v>
      </c>
      <c r="AP422" s="4">
        <v>0.58725314183123878</v>
      </c>
      <c r="AQ422" s="4">
        <v>0.11587212560143627</v>
      </c>
      <c r="AR422" s="19">
        <v>2.0140549874326751E-2</v>
      </c>
      <c r="AS422" s="2"/>
      <c r="AT422" s="2"/>
      <c r="AU422" s="2"/>
      <c r="AV422" s="2"/>
      <c r="AW422" s="2"/>
      <c r="AX422" s="2"/>
      <c r="AY422" s="2">
        <v>5.4399999999999995</v>
      </c>
      <c r="AZ422" s="4">
        <v>4.8637867647058838E-2</v>
      </c>
      <c r="BA422" s="4">
        <v>0.13887867647058827</v>
      </c>
      <c r="BB422" s="2"/>
      <c r="BC422" s="2"/>
      <c r="BD422" s="2"/>
      <c r="BE422" s="2"/>
      <c r="BF422" s="2"/>
      <c r="BG422" s="4">
        <v>0.16053970588235295</v>
      </c>
      <c r="BH422" s="2"/>
      <c r="BI422" s="4">
        <v>4.0003492647058829</v>
      </c>
      <c r="BJ422" s="4">
        <v>1.6913602941176473</v>
      </c>
      <c r="BK422" s="4">
        <v>0.56391544117647063</v>
      </c>
      <c r="BL422" s="4">
        <v>0.22305620091911768</v>
      </c>
      <c r="BM422" s="19">
        <v>3.877096856617647E-2</v>
      </c>
      <c r="BN422" s="2"/>
      <c r="BO422" s="2"/>
      <c r="BP422" s="2"/>
      <c r="BQ422" s="2"/>
      <c r="BR422" s="2"/>
      <c r="BS422" s="2"/>
      <c r="BT422" s="2">
        <v>0</v>
      </c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>
        <v>0</v>
      </c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 t="s">
        <v>81</v>
      </c>
      <c r="DK422" s="2"/>
      <c r="DL422" s="2">
        <f t="shared" si="4367"/>
        <v>0.14212513020833331</v>
      </c>
      <c r="DM422" s="2">
        <f t="shared" si="4368"/>
        <v>0</v>
      </c>
      <c r="DN422" s="2" t="s">
        <v>225</v>
      </c>
      <c r="DO422" s="2" t="s">
        <v>3</v>
      </c>
      <c r="DP422" s="2">
        <f t="shared" si="4369"/>
        <v>4.4766700000000003E-3</v>
      </c>
      <c r="DQ422" s="2">
        <f t="shared" ref="DQ422:DR422" si="7024">K422*$I422+AF422*$AD422+BA422*$AY422</f>
        <v>1.3309000000000002</v>
      </c>
      <c r="DR422" s="2">
        <f t="shared" si="7024"/>
        <v>0</v>
      </c>
      <c r="DS422" s="2">
        <f t="shared" ref="DS422:DX422" si="7025">(M422*$I422+AH422*$AD422+BC422*$AY422)/100</f>
        <v>0</v>
      </c>
      <c r="DT422" s="2">
        <f t="shared" si="7025"/>
        <v>0</v>
      </c>
      <c r="DU422" s="2">
        <f t="shared" si="7025"/>
        <v>0</v>
      </c>
      <c r="DV422" s="2">
        <f t="shared" si="7025"/>
        <v>0</v>
      </c>
      <c r="DW422" s="2">
        <f t="shared" si="7025"/>
        <v>2.1830419999999996E-2</v>
      </c>
      <c r="DX422" s="2">
        <f t="shared" si="7025"/>
        <v>0</v>
      </c>
      <c r="DY422" s="2">
        <f t="shared" ref="DY422:EC422" si="7026">S422*$I422+AN422*$AD422+BI422*$AY422</f>
        <v>54.81819999999999</v>
      </c>
      <c r="DZ422" s="2">
        <f t="shared" si="7026"/>
        <v>23.7608</v>
      </c>
      <c r="EA422" s="2">
        <f t="shared" si="7026"/>
        <v>8.9836999999999989</v>
      </c>
      <c r="EB422" s="2">
        <f t="shared" si="7026"/>
        <v>1.9811664976999999</v>
      </c>
      <c r="EC422" s="2">
        <f t="shared" si="7026"/>
        <v>0.34436049609999997</v>
      </c>
      <c r="ED422" s="2">
        <f t="shared" ref="ED422:EE422" si="7027">(X422*$I422+AS422*$AD422+BN422*$AY422)/100</f>
        <v>0</v>
      </c>
      <c r="EE422" s="2">
        <f t="shared" si="7027"/>
        <v>0</v>
      </c>
      <c r="EF422" s="2"/>
      <c r="EG422" s="2">
        <f t="shared" si="4374"/>
        <v>0</v>
      </c>
      <c r="EH422" s="2">
        <f t="shared" si="4375"/>
        <v>0</v>
      </c>
      <c r="EI422" s="39">
        <f t="shared" si="4376"/>
        <v>29.213029378720002</v>
      </c>
      <c r="EJ422" s="39">
        <f t="shared" ref="EJ422:EK422" si="7028">EJ$1*DQ422/1000000</f>
        <v>54.434237942122188</v>
      </c>
      <c r="EK422" s="39">
        <f t="shared" si="7028"/>
        <v>0</v>
      </c>
      <c r="EL422" s="39">
        <f t="shared" ref="EL422:EQ422" si="7029">EL$1*DS422</f>
        <v>0</v>
      </c>
      <c r="EM422" s="39">
        <f t="shared" si="7029"/>
        <v>0</v>
      </c>
      <c r="EN422" s="39">
        <f t="shared" si="7029"/>
        <v>0</v>
      </c>
      <c r="EO422" s="39">
        <f t="shared" si="7029"/>
        <v>0</v>
      </c>
      <c r="EP422" s="39">
        <f t="shared" si="7029"/>
        <v>286.28412787999997</v>
      </c>
      <c r="EQ422" s="39">
        <f t="shared" si="7029"/>
        <v>0</v>
      </c>
      <c r="ER422" s="39">
        <f t="shared" ref="ER422:EV422" si="7030">ER$1*DY422/1000000</f>
        <v>1555.8145470096456</v>
      </c>
      <c r="ES422" s="39">
        <f t="shared" si="7030"/>
        <v>791.84585028938909</v>
      </c>
      <c r="ET422" s="39">
        <f t="shared" si="7030"/>
        <v>642.81117717041798</v>
      </c>
      <c r="EU422" s="39">
        <f t="shared" si="7030"/>
        <v>15.569675360220479</v>
      </c>
      <c r="EV422" s="39">
        <f t="shared" si="7030"/>
        <v>14.319971022226589</v>
      </c>
      <c r="EW422" s="39">
        <f t="shared" ref="EW422:EX422" si="7031">EW$1*ED422</f>
        <v>0</v>
      </c>
      <c r="EX422" s="39">
        <f t="shared" si="7031"/>
        <v>0</v>
      </c>
      <c r="EY422" s="2"/>
      <c r="EZ422" s="39">
        <f t="shared" si="4381"/>
        <v>0</v>
      </c>
      <c r="FA422" s="39">
        <f t="shared" si="4382"/>
        <v>0</v>
      </c>
      <c r="FB422" s="2">
        <f t="shared" si="4383"/>
        <v>0</v>
      </c>
      <c r="FC422" s="2">
        <f t="shared" ref="FC422:FD422" si="7032">BV422*$BT422+CQ422*$CO422</f>
        <v>0</v>
      </c>
      <c r="FD422" s="2">
        <f t="shared" si="7032"/>
        <v>0</v>
      </c>
      <c r="FE422" s="2">
        <f t="shared" ref="FE422:FJ422" si="7033">(BX422*$BT422+CS422*$CO422)/100</f>
        <v>0</v>
      </c>
      <c r="FF422" s="2">
        <f t="shared" si="7033"/>
        <v>0</v>
      </c>
      <c r="FG422" s="2">
        <f t="shared" si="7033"/>
        <v>0</v>
      </c>
      <c r="FH422" s="2">
        <f t="shared" si="7033"/>
        <v>0</v>
      </c>
      <c r="FI422" s="2">
        <f t="shared" si="7033"/>
        <v>0</v>
      </c>
      <c r="FJ422" s="2">
        <f t="shared" si="7033"/>
        <v>0</v>
      </c>
      <c r="FK422" s="2">
        <f t="shared" ref="FK422:FO422" si="7034">CD422*$BT422+CY422*$CO422</f>
        <v>0</v>
      </c>
      <c r="FL422" s="2">
        <f t="shared" si="7034"/>
        <v>0</v>
      </c>
      <c r="FM422" s="2">
        <f t="shared" si="7034"/>
        <v>0</v>
      </c>
      <c r="FN422" s="2">
        <f t="shared" si="7034"/>
        <v>0</v>
      </c>
      <c r="FO422" s="2">
        <f t="shared" si="7034"/>
        <v>0</v>
      </c>
      <c r="FP422" s="2">
        <f t="shared" ref="FP422:FQ422" si="7035">(CI422*$BT422+DD422*$CO422)/100</f>
        <v>0</v>
      </c>
      <c r="FQ422" s="2">
        <f t="shared" si="7035"/>
        <v>0</v>
      </c>
      <c r="FR422" s="2"/>
      <c r="FS422" s="2">
        <f t="shared" si="4388"/>
        <v>0</v>
      </c>
      <c r="FT422" s="2">
        <f t="shared" si="4389"/>
        <v>0</v>
      </c>
      <c r="FU422" s="39">
        <f t="shared" si="4390"/>
        <v>0</v>
      </c>
      <c r="FV422" s="39">
        <f t="shared" ref="FV422:FW422" si="7036">FV$1*FC422/1000000</f>
        <v>0</v>
      </c>
      <c r="FW422" s="39">
        <f t="shared" si="7036"/>
        <v>0</v>
      </c>
      <c r="FX422" s="39">
        <f t="shared" ref="FX422:GC422" si="7037">FX$1*FE422</f>
        <v>0</v>
      </c>
      <c r="FY422" s="39">
        <f t="shared" si="7037"/>
        <v>0</v>
      </c>
      <c r="FZ422" s="39">
        <f t="shared" si="7037"/>
        <v>0</v>
      </c>
      <c r="GA422" s="39">
        <f t="shared" si="7037"/>
        <v>0</v>
      </c>
      <c r="GB422" s="39">
        <f t="shared" si="7037"/>
        <v>0</v>
      </c>
      <c r="GC422" s="39">
        <f t="shared" si="7037"/>
        <v>0</v>
      </c>
      <c r="GD422" s="39">
        <f t="shared" ref="GD422:GH422" si="7038">GD$1*FK422/1000000</f>
        <v>0</v>
      </c>
      <c r="GE422" s="39">
        <f t="shared" si="7038"/>
        <v>0</v>
      </c>
      <c r="GF422" s="39">
        <f t="shared" si="7038"/>
        <v>0</v>
      </c>
      <c r="GG422" s="39">
        <f t="shared" si="7038"/>
        <v>0</v>
      </c>
      <c r="GH422" s="39">
        <f t="shared" si="7038"/>
        <v>0</v>
      </c>
      <c r="GI422" s="39">
        <f t="shared" ref="GI422:GJ422" si="7039">GI$1*FP422</f>
        <v>0</v>
      </c>
      <c r="GJ422" s="39">
        <f t="shared" si="7039"/>
        <v>0</v>
      </c>
      <c r="GK422" s="2"/>
      <c r="GL422" s="39">
        <f t="shared" si="4395"/>
        <v>0</v>
      </c>
      <c r="GM422" s="39">
        <f t="shared" si="4396"/>
        <v>0</v>
      </c>
      <c r="GN422" s="2" t="s">
        <v>3</v>
      </c>
      <c r="GO422" s="2">
        <f t="shared" si="4397"/>
        <v>15.359999999999998</v>
      </c>
      <c r="GP422" s="4">
        <f t="shared" si="4398"/>
        <v>0.14212513020833331</v>
      </c>
      <c r="GQ422" s="15">
        <f t="shared" si="4399"/>
        <v>21.830419999999993</v>
      </c>
      <c r="GR422" s="15">
        <f t="shared" si="4400"/>
        <v>3390.2926160527418</v>
      </c>
      <c r="GS422" s="15">
        <f t="shared" si="4401"/>
        <v>220.72217552426707</v>
      </c>
      <c r="GT422" s="2">
        <f t="shared" si="4402"/>
        <v>5.3531999999999993</v>
      </c>
      <c r="GU422" s="2">
        <f t="shared" si="4403"/>
        <v>7.7438599999999989</v>
      </c>
      <c r="GV422" s="2">
        <f t="shared" si="4404"/>
        <v>8.7333599999999993</v>
      </c>
      <c r="GW422" s="2">
        <f t="shared" si="4405"/>
        <v>0</v>
      </c>
      <c r="GX422" s="2"/>
      <c r="GY422" s="2"/>
      <c r="GZ422" s="2"/>
      <c r="HA422" s="2"/>
      <c r="HB422" s="2">
        <f t="shared" si="4406"/>
        <v>0</v>
      </c>
      <c r="HC422" s="2">
        <f t="shared" si="4407"/>
        <v>0</v>
      </c>
      <c r="HD422" s="2" t="s">
        <v>3</v>
      </c>
      <c r="HE422" s="2" t="s">
        <v>89</v>
      </c>
      <c r="HF422" s="2" t="s">
        <v>90</v>
      </c>
      <c r="HG422" s="2" t="s">
        <v>91</v>
      </c>
      <c r="HH422" s="2" t="s">
        <v>92</v>
      </c>
      <c r="HI422" s="2" t="s">
        <v>81</v>
      </c>
      <c r="HJ422" s="2" t="s">
        <v>3</v>
      </c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 t="s">
        <v>3</v>
      </c>
    </row>
    <row r="423" spans="1:268" ht="15.75" customHeight="1" x14ac:dyDescent="0.2">
      <c r="A423" s="16" t="s">
        <v>1065</v>
      </c>
      <c r="B423" s="2"/>
      <c r="C423" s="2"/>
      <c r="D423" s="2"/>
      <c r="E423" s="2"/>
      <c r="F423" s="2" t="s">
        <v>511</v>
      </c>
      <c r="G423" s="2"/>
      <c r="H423" s="2"/>
      <c r="I423" s="2">
        <v>0</v>
      </c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>
        <v>0</v>
      </c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>
        <v>7.6499999999999995</v>
      </c>
      <c r="AZ423" s="4">
        <v>0.03</v>
      </c>
      <c r="BA423" s="4">
        <v>0.12</v>
      </c>
      <c r="BB423" s="2"/>
      <c r="BC423" s="2"/>
      <c r="BD423" s="2"/>
      <c r="BE423" s="2"/>
      <c r="BF423" s="2"/>
      <c r="BG423" s="4">
        <v>0.05</v>
      </c>
      <c r="BH423" s="2"/>
      <c r="BI423" s="4">
        <v>2.9</v>
      </c>
      <c r="BJ423" s="4">
        <v>1.41</v>
      </c>
      <c r="BK423" s="4">
        <v>0.33000000000000007</v>
      </c>
      <c r="BL423" s="4"/>
      <c r="BM423" s="4"/>
      <c r="BN423" s="2"/>
      <c r="BO423" s="2"/>
      <c r="BP423" s="2"/>
      <c r="BQ423" s="2"/>
      <c r="BR423" s="2"/>
      <c r="BS423" s="2"/>
      <c r="BT423" s="2">
        <v>0</v>
      </c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>
        <v>0</v>
      </c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 t="s">
        <v>81</v>
      </c>
      <c r="DK423" s="2"/>
      <c r="DL423" s="2">
        <f t="shared" si="4367"/>
        <v>0.05</v>
      </c>
      <c r="DM423" s="2">
        <f t="shared" si="4368"/>
        <v>0</v>
      </c>
      <c r="DN423" s="2" t="s">
        <v>512</v>
      </c>
      <c r="DO423" s="2" t="s">
        <v>3</v>
      </c>
      <c r="DP423" s="2">
        <f t="shared" si="4369"/>
        <v>2.2949999999999997E-3</v>
      </c>
      <c r="DQ423" s="2">
        <f t="shared" ref="DQ423:DR423" si="7040">K423*$I423+AF423*$AD423+BA423*$AY423</f>
        <v>0.91799999999999993</v>
      </c>
      <c r="DR423" s="2">
        <f t="shared" si="7040"/>
        <v>0</v>
      </c>
      <c r="DS423" s="2">
        <f t="shared" ref="DS423:DX423" si="7041">(M423*$I423+AH423*$AD423+BC423*$AY423)/100</f>
        <v>0</v>
      </c>
      <c r="DT423" s="2">
        <f t="shared" si="7041"/>
        <v>0</v>
      </c>
      <c r="DU423" s="2">
        <f t="shared" si="7041"/>
        <v>0</v>
      </c>
      <c r="DV423" s="2">
        <f t="shared" si="7041"/>
        <v>0</v>
      </c>
      <c r="DW423" s="2">
        <f t="shared" si="7041"/>
        <v>3.8250000000000003E-3</v>
      </c>
      <c r="DX423" s="2">
        <f t="shared" si="7041"/>
        <v>0</v>
      </c>
      <c r="DY423" s="2">
        <f t="shared" ref="DY423:EC423" si="7042">S423*$I423+AN423*$AD423+BI423*$AY423</f>
        <v>22.184999999999999</v>
      </c>
      <c r="DZ423" s="2">
        <f t="shared" si="7042"/>
        <v>10.786499999999998</v>
      </c>
      <c r="EA423" s="2">
        <f t="shared" si="7042"/>
        <v>2.5245000000000002</v>
      </c>
      <c r="EB423" s="2">
        <f t="shared" si="7042"/>
        <v>0</v>
      </c>
      <c r="EC423" s="2">
        <f t="shared" si="7042"/>
        <v>0</v>
      </c>
      <c r="ED423" s="2">
        <f t="shared" ref="ED423:EE423" si="7043">(X423*$I423+AS423*$AD423+BN423*$AY423)/100</f>
        <v>0</v>
      </c>
      <c r="EE423" s="2">
        <f t="shared" si="7043"/>
        <v>0</v>
      </c>
      <c r="EF423" s="2"/>
      <c r="EG423" s="2">
        <f t="shared" si="4374"/>
        <v>0</v>
      </c>
      <c r="EH423" s="2">
        <f t="shared" si="4375"/>
        <v>0</v>
      </c>
      <c r="EI423" s="39">
        <f t="shared" si="4376"/>
        <v>14.976288719999998</v>
      </c>
      <c r="EJ423" s="39">
        <f t="shared" ref="EJ423:EK423" si="7044">EJ$1*DQ423/1000000</f>
        <v>37.546495176848865</v>
      </c>
      <c r="EK423" s="39">
        <f t="shared" si="7044"/>
        <v>0</v>
      </c>
      <c r="EL423" s="39">
        <f t="shared" ref="EL423:EQ423" si="7045">EL$1*DS423</f>
        <v>0</v>
      </c>
      <c r="EM423" s="39">
        <f t="shared" si="7045"/>
        <v>0</v>
      </c>
      <c r="EN423" s="39">
        <f t="shared" si="7045"/>
        <v>0</v>
      </c>
      <c r="EO423" s="39">
        <f t="shared" si="7045"/>
        <v>0</v>
      </c>
      <c r="EP423" s="39">
        <f t="shared" si="7045"/>
        <v>50.161050000000003</v>
      </c>
      <c r="EQ423" s="39">
        <f t="shared" si="7045"/>
        <v>0</v>
      </c>
      <c r="ER423" s="39">
        <f t="shared" ref="ER423:EV423" si="7046">ER$1*DY423/1000000</f>
        <v>629.64026045016067</v>
      </c>
      <c r="ES423" s="39">
        <f t="shared" si="7046"/>
        <v>359.46791623794212</v>
      </c>
      <c r="ET423" s="39">
        <f t="shared" si="7046"/>
        <v>180.63568649517688</v>
      </c>
      <c r="EU423" s="39">
        <f t="shared" si="7046"/>
        <v>0</v>
      </c>
      <c r="EV423" s="39">
        <f t="shared" si="7046"/>
        <v>0</v>
      </c>
      <c r="EW423" s="39">
        <f t="shared" ref="EW423:EX423" si="7047">EW$1*ED423</f>
        <v>0</v>
      </c>
      <c r="EX423" s="39">
        <f t="shared" si="7047"/>
        <v>0</v>
      </c>
      <c r="EY423" s="2"/>
      <c r="EZ423" s="39">
        <f t="shared" si="4381"/>
        <v>0</v>
      </c>
      <c r="FA423" s="39">
        <f t="shared" si="4382"/>
        <v>0</v>
      </c>
      <c r="FB423" s="2">
        <f t="shared" si="4383"/>
        <v>0</v>
      </c>
      <c r="FC423" s="2">
        <f t="shared" ref="FC423:FD423" si="7048">BV423*$BT423+CQ423*$CO423</f>
        <v>0</v>
      </c>
      <c r="FD423" s="2">
        <f t="shared" si="7048"/>
        <v>0</v>
      </c>
      <c r="FE423" s="2">
        <f t="shared" ref="FE423:FJ423" si="7049">(BX423*$BT423+CS423*$CO423)/100</f>
        <v>0</v>
      </c>
      <c r="FF423" s="2">
        <f t="shared" si="7049"/>
        <v>0</v>
      </c>
      <c r="FG423" s="2">
        <f t="shared" si="7049"/>
        <v>0</v>
      </c>
      <c r="FH423" s="2">
        <f t="shared" si="7049"/>
        <v>0</v>
      </c>
      <c r="FI423" s="2">
        <f t="shared" si="7049"/>
        <v>0</v>
      </c>
      <c r="FJ423" s="2">
        <f t="shared" si="7049"/>
        <v>0</v>
      </c>
      <c r="FK423" s="2">
        <f t="shared" ref="FK423:FO423" si="7050">CD423*$BT423+CY423*$CO423</f>
        <v>0</v>
      </c>
      <c r="FL423" s="2">
        <f t="shared" si="7050"/>
        <v>0</v>
      </c>
      <c r="FM423" s="2">
        <f t="shared" si="7050"/>
        <v>0</v>
      </c>
      <c r="FN423" s="2">
        <f t="shared" si="7050"/>
        <v>0</v>
      </c>
      <c r="FO423" s="2">
        <f t="shared" si="7050"/>
        <v>0</v>
      </c>
      <c r="FP423" s="2">
        <f t="shared" ref="FP423:FQ423" si="7051">(CI423*$BT423+DD423*$CO423)/100</f>
        <v>0</v>
      </c>
      <c r="FQ423" s="2">
        <f t="shared" si="7051"/>
        <v>0</v>
      </c>
      <c r="FR423" s="2"/>
      <c r="FS423" s="2">
        <f t="shared" si="4388"/>
        <v>0</v>
      </c>
      <c r="FT423" s="2">
        <f t="shared" si="4389"/>
        <v>0</v>
      </c>
      <c r="FU423" s="39">
        <f t="shared" si="4390"/>
        <v>0</v>
      </c>
      <c r="FV423" s="39">
        <f t="shared" ref="FV423:FW423" si="7052">FV$1*FC423/1000000</f>
        <v>0</v>
      </c>
      <c r="FW423" s="39">
        <f t="shared" si="7052"/>
        <v>0</v>
      </c>
      <c r="FX423" s="39">
        <f t="shared" ref="FX423:GC423" si="7053">FX$1*FE423</f>
        <v>0</v>
      </c>
      <c r="FY423" s="39">
        <f t="shared" si="7053"/>
        <v>0</v>
      </c>
      <c r="FZ423" s="39">
        <f t="shared" si="7053"/>
        <v>0</v>
      </c>
      <c r="GA423" s="39">
        <f t="shared" si="7053"/>
        <v>0</v>
      </c>
      <c r="GB423" s="39">
        <f t="shared" si="7053"/>
        <v>0</v>
      </c>
      <c r="GC423" s="39">
        <f t="shared" si="7053"/>
        <v>0</v>
      </c>
      <c r="GD423" s="39">
        <f t="shared" ref="GD423:GH423" si="7054">GD$1*FK423/1000000</f>
        <v>0</v>
      </c>
      <c r="GE423" s="39">
        <f t="shared" si="7054"/>
        <v>0</v>
      </c>
      <c r="GF423" s="39">
        <f t="shared" si="7054"/>
        <v>0</v>
      </c>
      <c r="GG423" s="39">
        <f t="shared" si="7054"/>
        <v>0</v>
      </c>
      <c r="GH423" s="39">
        <f t="shared" si="7054"/>
        <v>0</v>
      </c>
      <c r="GI423" s="39">
        <f t="shared" ref="GI423:GJ423" si="7055">GI$1*FP423</f>
        <v>0</v>
      </c>
      <c r="GJ423" s="39">
        <f t="shared" si="7055"/>
        <v>0</v>
      </c>
      <c r="GK423" s="2"/>
      <c r="GL423" s="39">
        <f t="shared" si="4395"/>
        <v>0</v>
      </c>
      <c r="GM423" s="39">
        <f t="shared" si="4396"/>
        <v>0</v>
      </c>
      <c r="GN423" s="2" t="s">
        <v>3</v>
      </c>
      <c r="GO423" s="2">
        <f t="shared" si="4397"/>
        <v>7.6499999999999995</v>
      </c>
      <c r="GP423" s="4">
        <f t="shared" si="4398"/>
        <v>0.05</v>
      </c>
      <c r="GQ423" s="15">
        <f t="shared" si="4399"/>
        <v>3.8250000000000002</v>
      </c>
      <c r="GR423" s="15">
        <f t="shared" si="4400"/>
        <v>1272.4276970801286</v>
      </c>
      <c r="GS423" s="15">
        <f t="shared" si="4401"/>
        <v>166.33041791897108</v>
      </c>
      <c r="GT423" s="2">
        <f t="shared" si="4402"/>
        <v>0</v>
      </c>
      <c r="GU423" s="2">
        <f t="shared" si="4403"/>
        <v>0</v>
      </c>
      <c r="GV423" s="2">
        <f t="shared" si="4404"/>
        <v>3.8250000000000002</v>
      </c>
      <c r="GW423" s="2">
        <f t="shared" si="4405"/>
        <v>0</v>
      </c>
      <c r="GX423" s="2"/>
      <c r="GY423" s="2"/>
      <c r="GZ423" s="2"/>
      <c r="HA423" s="2"/>
      <c r="HB423" s="2">
        <f t="shared" si="4406"/>
        <v>0</v>
      </c>
      <c r="HC423" s="2">
        <f t="shared" si="4407"/>
        <v>0</v>
      </c>
      <c r="HD423" s="2" t="s">
        <v>3</v>
      </c>
      <c r="HE423" s="2" t="s">
        <v>89</v>
      </c>
      <c r="HF423" s="2" t="s">
        <v>90</v>
      </c>
      <c r="HG423" s="2" t="s">
        <v>91</v>
      </c>
      <c r="HH423" s="2" t="s">
        <v>92</v>
      </c>
      <c r="HI423" s="2" t="s">
        <v>81</v>
      </c>
      <c r="HJ423" s="2" t="s">
        <v>3</v>
      </c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 t="s">
        <v>3</v>
      </c>
    </row>
    <row r="424" spans="1:268" ht="15.75" customHeight="1" x14ac:dyDescent="0.2">
      <c r="A424" s="16" t="s">
        <v>1075</v>
      </c>
      <c r="B424" s="2"/>
      <c r="C424" s="2"/>
      <c r="D424" s="2"/>
      <c r="E424" s="2"/>
      <c r="F424" s="2" t="s">
        <v>1076</v>
      </c>
      <c r="G424" s="2"/>
      <c r="H424" s="2"/>
      <c r="I424" s="2">
        <v>0</v>
      </c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>
        <v>12.2</v>
      </c>
      <c r="AE424" s="4">
        <v>1.9E-2</v>
      </c>
      <c r="AF424" s="4">
        <v>0.09</v>
      </c>
      <c r="AG424" s="2"/>
      <c r="AH424" s="2"/>
      <c r="AI424" s="2"/>
      <c r="AJ424" s="2"/>
      <c r="AK424" s="2"/>
      <c r="AL424" s="4">
        <v>8.3000000000000004E-2</v>
      </c>
      <c r="AM424" s="2"/>
      <c r="AN424" s="4">
        <v>1.9099999999999997</v>
      </c>
      <c r="AO424" s="4">
        <v>0.85</v>
      </c>
      <c r="AP424" s="4">
        <v>0.22</v>
      </c>
      <c r="AQ424" s="2"/>
      <c r="AR424" s="2"/>
      <c r="AS424" s="2"/>
      <c r="AT424" s="2"/>
      <c r="AU424" s="2"/>
      <c r="AV424" s="2"/>
      <c r="AW424" s="2"/>
      <c r="AX424" s="2"/>
      <c r="AY424" s="2">
        <v>0</v>
      </c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>
        <v>0</v>
      </c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>
        <v>5.0999999999999996</v>
      </c>
      <c r="CP424" s="4">
        <v>1.9E-2</v>
      </c>
      <c r="CQ424" s="4">
        <v>9.0770000000000003E-2</v>
      </c>
      <c r="CR424" s="2"/>
      <c r="CS424" s="2"/>
      <c r="CT424" s="2"/>
      <c r="CU424" s="2"/>
      <c r="CV424" s="2"/>
      <c r="CW424" s="4">
        <v>8.3000000000000004E-2</v>
      </c>
      <c r="CX424" s="2"/>
      <c r="CY424" s="4">
        <v>1.9468600000000003</v>
      </c>
      <c r="CZ424" s="4">
        <v>0.86701000000000017</v>
      </c>
      <c r="DA424" s="4">
        <v>0.22536</v>
      </c>
      <c r="DB424" s="2"/>
      <c r="DC424" s="2"/>
      <c r="DD424" s="2"/>
      <c r="DE424" s="2"/>
      <c r="DF424" s="2"/>
      <c r="DG424" s="2"/>
      <c r="DH424" s="2"/>
      <c r="DI424" s="2"/>
      <c r="DJ424" s="2" t="s">
        <v>81</v>
      </c>
      <c r="DK424" s="2"/>
      <c r="DL424" s="2">
        <f t="shared" si="4367"/>
        <v>8.3000000000000004E-2</v>
      </c>
      <c r="DM424" s="2">
        <f t="shared" si="4368"/>
        <v>0</v>
      </c>
      <c r="DN424" s="2" t="s">
        <v>512</v>
      </c>
      <c r="DO424" s="2" t="s">
        <v>3</v>
      </c>
      <c r="DP424" s="2">
        <f t="shared" si="4369"/>
        <v>2.3179999999999997E-3</v>
      </c>
      <c r="DQ424" s="2">
        <f t="shared" ref="DQ424:DR424" si="7056">K424*$I424+AF424*$AD424+BA424*$AY424</f>
        <v>1.0979999999999999</v>
      </c>
      <c r="DR424" s="2">
        <f t="shared" si="7056"/>
        <v>0</v>
      </c>
      <c r="DS424" s="2">
        <f t="shared" ref="DS424:DX424" si="7057">(M424*$I424+AH424*$AD424+BC424*$AY424)/100</f>
        <v>0</v>
      </c>
      <c r="DT424" s="2">
        <f t="shared" si="7057"/>
        <v>0</v>
      </c>
      <c r="DU424" s="2">
        <f t="shared" si="7057"/>
        <v>0</v>
      </c>
      <c r="DV424" s="2">
        <f t="shared" si="7057"/>
        <v>0</v>
      </c>
      <c r="DW424" s="2">
        <f t="shared" si="7057"/>
        <v>1.0126E-2</v>
      </c>
      <c r="DX424" s="2">
        <f t="shared" si="7057"/>
        <v>0</v>
      </c>
      <c r="DY424" s="2">
        <f t="shared" ref="DY424:EC424" si="7058">S424*$I424+AN424*$AD424+BI424*$AY424</f>
        <v>23.301999999999996</v>
      </c>
      <c r="DZ424" s="2">
        <f t="shared" si="7058"/>
        <v>10.37</v>
      </c>
      <c r="EA424" s="2">
        <f t="shared" si="7058"/>
        <v>2.6839999999999997</v>
      </c>
      <c r="EB424" s="2">
        <f t="shared" si="7058"/>
        <v>0</v>
      </c>
      <c r="EC424" s="2">
        <f t="shared" si="7058"/>
        <v>0</v>
      </c>
      <c r="ED424" s="2">
        <f t="shared" ref="ED424:EE424" si="7059">(X424*$I424+AS424*$AD424+BN424*$AY424)/100</f>
        <v>0</v>
      </c>
      <c r="EE424" s="2">
        <f t="shared" si="7059"/>
        <v>0</v>
      </c>
      <c r="EF424" s="2"/>
      <c r="EG424" s="2">
        <f t="shared" si="4374"/>
        <v>0</v>
      </c>
      <c r="EH424" s="2">
        <f t="shared" si="4375"/>
        <v>0</v>
      </c>
      <c r="EI424" s="39">
        <f t="shared" si="4376"/>
        <v>15.126377887999999</v>
      </c>
      <c r="EJ424" s="39">
        <f t="shared" ref="EJ424:EK424" si="7060">EJ$1*DQ424/1000000</f>
        <v>44.90855305466237</v>
      </c>
      <c r="EK424" s="39">
        <f t="shared" si="7060"/>
        <v>0</v>
      </c>
      <c r="EL424" s="39">
        <f t="shared" ref="EL424:EQ424" si="7061">EL$1*DS424</f>
        <v>0</v>
      </c>
      <c r="EM424" s="39">
        <f t="shared" si="7061"/>
        <v>0</v>
      </c>
      <c r="EN424" s="39">
        <f t="shared" si="7061"/>
        <v>0</v>
      </c>
      <c r="EO424" s="39">
        <f t="shared" si="7061"/>
        <v>0</v>
      </c>
      <c r="EP424" s="39">
        <f t="shared" si="7061"/>
        <v>132.79236399999999</v>
      </c>
      <c r="EQ424" s="39">
        <f t="shared" si="7061"/>
        <v>0</v>
      </c>
      <c r="ER424" s="39">
        <f t="shared" ref="ER424:EV424" si="7062">ER$1*DY424/1000000</f>
        <v>661.3422289389066</v>
      </c>
      <c r="ES424" s="39">
        <f t="shared" si="7062"/>
        <v>345.58775241157554</v>
      </c>
      <c r="ET424" s="39">
        <f t="shared" si="7062"/>
        <v>192.04839871382634</v>
      </c>
      <c r="EU424" s="39">
        <f t="shared" si="7062"/>
        <v>0</v>
      </c>
      <c r="EV424" s="39">
        <f t="shared" si="7062"/>
        <v>0</v>
      </c>
      <c r="EW424" s="39">
        <f t="shared" ref="EW424:EX424" si="7063">EW$1*ED424</f>
        <v>0</v>
      </c>
      <c r="EX424" s="39">
        <f t="shared" si="7063"/>
        <v>0</v>
      </c>
      <c r="EY424" s="2"/>
      <c r="EZ424" s="39">
        <f t="shared" si="4381"/>
        <v>0</v>
      </c>
      <c r="FA424" s="39">
        <f t="shared" si="4382"/>
        <v>0</v>
      </c>
      <c r="FB424" s="2">
        <f t="shared" si="4383"/>
        <v>9.6899999999999981E-4</v>
      </c>
      <c r="FC424" s="2">
        <f t="shared" ref="FC424:FD424" si="7064">BV424*$BT424+CQ424*$CO424</f>
        <v>0.46292699999999998</v>
      </c>
      <c r="FD424" s="2">
        <f t="shared" si="7064"/>
        <v>0</v>
      </c>
      <c r="FE424" s="2">
        <f t="shared" ref="FE424:FJ424" si="7065">(BX424*$BT424+CS424*$CO424)/100</f>
        <v>0</v>
      </c>
      <c r="FF424" s="2">
        <f t="shared" si="7065"/>
        <v>0</v>
      </c>
      <c r="FG424" s="2">
        <f t="shared" si="7065"/>
        <v>0</v>
      </c>
      <c r="FH424" s="2">
        <f t="shared" si="7065"/>
        <v>0</v>
      </c>
      <c r="FI424" s="2">
        <f t="shared" si="7065"/>
        <v>4.2329999999999998E-3</v>
      </c>
      <c r="FJ424" s="2">
        <f t="shared" si="7065"/>
        <v>0</v>
      </c>
      <c r="FK424" s="2">
        <f t="shared" ref="FK424:FO424" si="7066">CD424*$BT424+CY424*$CO424</f>
        <v>9.9289860000000001</v>
      </c>
      <c r="FL424" s="2">
        <f t="shared" si="7066"/>
        <v>4.4217510000000004</v>
      </c>
      <c r="FM424" s="2">
        <f t="shared" si="7066"/>
        <v>1.1493359999999999</v>
      </c>
      <c r="FN424" s="2">
        <f t="shared" si="7066"/>
        <v>0</v>
      </c>
      <c r="FO424" s="2">
        <f t="shared" si="7066"/>
        <v>0</v>
      </c>
      <c r="FP424" s="2">
        <f t="shared" ref="FP424:FQ424" si="7067">(CI424*$BT424+DD424*$CO424)/100</f>
        <v>0</v>
      </c>
      <c r="FQ424" s="2">
        <f t="shared" si="7067"/>
        <v>0</v>
      </c>
      <c r="FR424" s="2"/>
      <c r="FS424" s="2">
        <f t="shared" si="4388"/>
        <v>0</v>
      </c>
      <c r="FT424" s="2">
        <f t="shared" si="4389"/>
        <v>0</v>
      </c>
      <c r="FU424" s="39">
        <f t="shared" si="4390"/>
        <v>6.3233219039999984</v>
      </c>
      <c r="FV424" s="39">
        <f t="shared" ref="FV424:FW424" si="7068">FV$1*FC424/1000000</f>
        <v>18.933863151125397</v>
      </c>
      <c r="FW424" s="39">
        <f t="shared" si="7068"/>
        <v>0</v>
      </c>
      <c r="FX424" s="39">
        <f t="shared" ref="FX424:GC424" si="7069">FX$1*FE424</f>
        <v>0</v>
      </c>
      <c r="FY424" s="39">
        <f t="shared" si="7069"/>
        <v>0</v>
      </c>
      <c r="FZ424" s="39">
        <f t="shared" si="7069"/>
        <v>0</v>
      </c>
      <c r="GA424" s="39">
        <f t="shared" si="7069"/>
        <v>0</v>
      </c>
      <c r="GB424" s="39">
        <f t="shared" si="7069"/>
        <v>55.511561999999998</v>
      </c>
      <c r="GC424" s="39">
        <f t="shared" si="7069"/>
        <v>0</v>
      </c>
      <c r="GD424" s="39">
        <f t="shared" ref="GD424:GH424" si="7070">GD$1*FK424/1000000</f>
        <v>281.79803159999994</v>
      </c>
      <c r="GE424" s="39">
        <f t="shared" si="7070"/>
        <v>147.35805109099681</v>
      </c>
      <c r="GF424" s="39">
        <f t="shared" si="7070"/>
        <v>82.238501633440521</v>
      </c>
      <c r="GG424" s="39">
        <f t="shared" si="7070"/>
        <v>0</v>
      </c>
      <c r="GH424" s="39">
        <f t="shared" si="7070"/>
        <v>0</v>
      </c>
      <c r="GI424" s="39">
        <f t="shared" ref="GI424:GJ424" si="7071">GI$1*FP424</f>
        <v>0</v>
      </c>
      <c r="GJ424" s="39">
        <f t="shared" si="7071"/>
        <v>0</v>
      </c>
      <c r="GK424" s="2"/>
      <c r="GL424" s="39">
        <f t="shared" si="4395"/>
        <v>0</v>
      </c>
      <c r="GM424" s="39">
        <f t="shared" si="4396"/>
        <v>0</v>
      </c>
      <c r="GN424" s="2" t="s">
        <v>3</v>
      </c>
      <c r="GO424" s="2">
        <f t="shared" si="4397"/>
        <v>12.2</v>
      </c>
      <c r="GP424" s="4">
        <f t="shared" si="4398"/>
        <v>8.3000000000000004E-2</v>
      </c>
      <c r="GQ424" s="15">
        <f t="shared" si="4399"/>
        <v>10.125999999999999</v>
      </c>
      <c r="GR424" s="15">
        <f t="shared" si="4400"/>
        <v>1391.8056750069709</v>
      </c>
      <c r="GS424" s="15">
        <f t="shared" si="4401"/>
        <v>114.08243237762058</v>
      </c>
      <c r="GT424" s="2">
        <f t="shared" si="4402"/>
        <v>0</v>
      </c>
      <c r="GU424" s="2">
        <f t="shared" si="4403"/>
        <v>10.125999999999999</v>
      </c>
      <c r="GV424" s="2">
        <f t="shared" si="4404"/>
        <v>0</v>
      </c>
      <c r="GW424" s="2">
        <f t="shared" si="4405"/>
        <v>5.0999999999999996</v>
      </c>
      <c r="GX424" s="2">
        <f t="shared" ref="GX424:GX428" si="7072">(BT424*CB424+CO424*CW424)/GW424</f>
        <v>8.3000000000000004E-2</v>
      </c>
      <c r="GY424" s="15">
        <f t="shared" ref="GY424:GY428" si="7073">1000*GW424*GX424/100</f>
        <v>4.2330000000000005</v>
      </c>
      <c r="GZ424" s="15">
        <f t="shared" ref="GZ424:GZ428" si="7074">SUM(FU424:GM424)</f>
        <v>592.16333137956269</v>
      </c>
      <c r="HA424" s="15">
        <f t="shared" ref="HA424:HA428" si="7075">GZ424/GW424</f>
        <v>116.11045713324759</v>
      </c>
      <c r="HB424" s="2">
        <f t="shared" si="4406"/>
        <v>0</v>
      </c>
      <c r="HC424" s="2">
        <f t="shared" si="4407"/>
        <v>4.2330000000000005</v>
      </c>
      <c r="HD424" s="2" t="s">
        <v>3</v>
      </c>
      <c r="HE424" s="2" t="s">
        <v>89</v>
      </c>
      <c r="HF424" s="2" t="s">
        <v>90</v>
      </c>
      <c r="HG424" s="2" t="s">
        <v>91</v>
      </c>
      <c r="HH424" s="2" t="s">
        <v>92</v>
      </c>
      <c r="HI424" s="2" t="s">
        <v>81</v>
      </c>
      <c r="HJ424" s="2" t="s">
        <v>3</v>
      </c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 t="s">
        <v>3</v>
      </c>
    </row>
    <row r="425" spans="1:268" ht="15.75" customHeight="1" x14ac:dyDescent="0.2">
      <c r="A425" s="16" t="s">
        <v>1080</v>
      </c>
      <c r="B425" s="2"/>
      <c r="C425" s="2"/>
      <c r="D425" s="2"/>
      <c r="E425" s="2"/>
      <c r="F425" s="2" t="s">
        <v>454</v>
      </c>
      <c r="G425" s="2"/>
      <c r="H425" s="2"/>
      <c r="I425" s="2">
        <v>371.9</v>
      </c>
      <c r="J425" s="4">
        <v>2.5586188436830835E-2</v>
      </c>
      <c r="K425" s="4">
        <v>8.3063179871520343E-2</v>
      </c>
      <c r="L425" s="2"/>
      <c r="M425" s="2"/>
      <c r="N425" s="2"/>
      <c r="O425" s="2"/>
      <c r="P425" s="2"/>
      <c r="Q425" s="4">
        <v>0.12904978586723767</v>
      </c>
      <c r="R425" s="4">
        <v>5.7877408993576011E-2</v>
      </c>
      <c r="S425" s="4">
        <v>2.7849919245182013</v>
      </c>
      <c r="T425" s="4">
        <v>1.6236448019271947</v>
      </c>
      <c r="U425" s="4">
        <v>0.45124615899357601</v>
      </c>
      <c r="V425" s="2"/>
      <c r="W425" s="2"/>
      <c r="X425" s="15">
        <v>12.026949315958646</v>
      </c>
      <c r="Y425" s="2"/>
      <c r="Z425" s="2"/>
      <c r="AA425" s="2"/>
      <c r="AB425" s="2"/>
      <c r="AC425" s="2"/>
      <c r="AD425" s="2">
        <v>123.50000000000003</v>
      </c>
      <c r="AE425" s="4">
        <v>4.109223300970874E-2</v>
      </c>
      <c r="AF425" s="4">
        <v>0.12646404530744337</v>
      </c>
      <c r="AG425" s="2"/>
      <c r="AH425" s="2"/>
      <c r="AI425" s="2"/>
      <c r="AJ425" s="2"/>
      <c r="AK425" s="2"/>
      <c r="AL425" s="4">
        <v>0.14800161812297732</v>
      </c>
      <c r="AM425" s="4">
        <v>4.5817152103559869E-2</v>
      </c>
      <c r="AN425" s="4">
        <v>3.0783247006472494</v>
      </c>
      <c r="AO425" s="4">
        <v>1.680931148867314</v>
      </c>
      <c r="AP425" s="4">
        <v>0.42573352750809057</v>
      </c>
      <c r="AQ425" s="2"/>
      <c r="AR425" s="2"/>
      <c r="AS425" s="15">
        <v>9.5208229900589387</v>
      </c>
      <c r="AT425" s="2"/>
      <c r="AU425" s="2"/>
      <c r="AV425" s="2"/>
      <c r="AW425" s="2"/>
      <c r="AX425" s="2"/>
      <c r="AY425" s="2">
        <v>15.399999999999999</v>
      </c>
      <c r="AZ425" s="4">
        <v>7.5454545454545455E-2</v>
      </c>
      <c r="BA425" s="4">
        <v>0.21530181818181823</v>
      </c>
      <c r="BB425" s="2"/>
      <c r="BC425" s="2"/>
      <c r="BD425" s="2"/>
      <c r="BE425" s="2"/>
      <c r="BF425" s="2"/>
      <c r="BG425" s="4">
        <v>0.19000000000000003</v>
      </c>
      <c r="BH425" s="4">
        <v>1.9090909090909096E-2</v>
      </c>
      <c r="BI425" s="4">
        <v>3.415570909090909</v>
      </c>
      <c r="BJ425" s="4">
        <v>1.618996363636364</v>
      </c>
      <c r="BK425" s="4">
        <v>0.31432363636363636</v>
      </c>
      <c r="BL425" s="4"/>
      <c r="BM425" s="4"/>
      <c r="BN425" s="15">
        <v>3.967098735491466</v>
      </c>
      <c r="BO425" s="2"/>
      <c r="BP425" s="2"/>
      <c r="BQ425" s="2"/>
      <c r="BR425" s="2"/>
      <c r="BS425" s="2"/>
      <c r="BT425" s="2">
        <v>107.95987932715748</v>
      </c>
      <c r="BU425" s="4">
        <v>1.7454454391786139E-2</v>
      </c>
      <c r="BV425" s="4">
        <v>4.8746351968947589E-2</v>
      </c>
      <c r="BW425" s="2"/>
      <c r="BX425" s="2"/>
      <c r="BY425" s="2"/>
      <c r="BZ425" s="2"/>
      <c r="CA425" s="2"/>
      <c r="CB425" s="4">
        <v>0.11911099981218305</v>
      </c>
      <c r="CC425" s="4">
        <v>6.4202091028610783E-2</v>
      </c>
      <c r="CD425" s="4">
        <v>2.1234864702936207</v>
      </c>
      <c r="CE425" s="4">
        <v>1.2858628122456648</v>
      </c>
      <c r="CF425" s="4">
        <v>0.37481125148688416</v>
      </c>
      <c r="CG425" s="2"/>
      <c r="CH425" s="2"/>
      <c r="CI425" s="15">
        <v>13.34122083566956</v>
      </c>
      <c r="CJ425" s="2"/>
      <c r="CK425" s="2"/>
      <c r="CL425" s="2"/>
      <c r="CM425" s="2"/>
      <c r="CN425" s="2"/>
      <c r="CO425" s="2">
        <v>115.73261214041931</v>
      </c>
      <c r="CP425" s="4">
        <v>9.0759796764585648E-2</v>
      </c>
      <c r="CQ425" s="4">
        <v>0.21977825147462479</v>
      </c>
      <c r="CR425" s="2"/>
      <c r="CS425" s="2"/>
      <c r="CT425" s="2"/>
      <c r="CU425" s="2"/>
      <c r="CV425" s="2"/>
      <c r="CW425" s="4">
        <v>0.2087064182678269</v>
      </c>
      <c r="CX425" s="4">
        <v>7.1868247386556094E-3</v>
      </c>
      <c r="CY425" s="4">
        <v>3.0399090912807343</v>
      </c>
      <c r="CZ425" s="4">
        <v>1.3485233580564153</v>
      </c>
      <c r="DA425" s="4">
        <v>0.22040386497693165</v>
      </c>
      <c r="DB425" s="2"/>
      <c r="DC425" s="2"/>
      <c r="DD425" s="2"/>
      <c r="DE425" s="2"/>
      <c r="DF425" s="2"/>
      <c r="DG425" s="2"/>
      <c r="DH425" s="2"/>
      <c r="DI425" s="2"/>
      <c r="DJ425" s="2" t="s">
        <v>81</v>
      </c>
      <c r="DK425" s="2" t="s">
        <v>81</v>
      </c>
      <c r="DL425" s="2">
        <f t="shared" si="4367"/>
        <v>0.13546948943268089</v>
      </c>
      <c r="DM425" s="2">
        <f t="shared" si="4368"/>
        <v>5.3792143088293984E-2</v>
      </c>
      <c r="DN425" s="2" t="s">
        <v>95</v>
      </c>
      <c r="DO425" s="2" t="s">
        <v>3</v>
      </c>
      <c r="DP425" s="2">
        <f t="shared" si="4369"/>
        <v>0.15752394256356417</v>
      </c>
      <c r="DQ425" s="2">
        <f t="shared" ref="DQ425:DR425" si="7076">K425*$I425+AF425*$AD425+BA425*$AY425</f>
        <v>49.825154189687673</v>
      </c>
      <c r="DR425" s="2">
        <f t="shared" si="7076"/>
        <v>0</v>
      </c>
      <c r="DS425" s="2">
        <f t="shared" ref="DS425:DX425" si="7077">(M425*$I425+AH425*$AD425+BC425*$AY425)/100</f>
        <v>0</v>
      </c>
      <c r="DT425" s="2">
        <f t="shared" si="7077"/>
        <v>0</v>
      </c>
      <c r="DU425" s="2">
        <f t="shared" si="7077"/>
        <v>0</v>
      </c>
      <c r="DV425" s="2">
        <f t="shared" si="7077"/>
        <v>0</v>
      </c>
      <c r="DW425" s="2">
        <f t="shared" si="7077"/>
        <v>0.69197815202213386</v>
      </c>
      <c r="DX425" s="2">
        <f t="shared" si="7077"/>
        <v>0.27477026689500567</v>
      </c>
      <c r="DY425" s="2">
        <f t="shared" ref="DY425:EC425" si="7078">S425*$I425+AN425*$AD425+BI425*$AY425</f>
        <v>1468.5113892582544</v>
      </c>
      <c r="DZ425" s="2">
        <f t="shared" si="7078"/>
        <v>836.36104272183707</v>
      </c>
      <c r="EA425" s="2">
        <f t="shared" si="7078"/>
        <v>225.23712117696013</v>
      </c>
      <c r="EB425" s="2">
        <f t="shared" si="7078"/>
        <v>0</v>
      </c>
      <c r="EC425" s="2">
        <f t="shared" si="7078"/>
        <v>0</v>
      </c>
      <c r="ED425" s="2">
        <f t="shared" ref="ED425:EE425" si="7079">(X425*$I425+AS425*$AD425+BN425*$AY425)/100</f>
        <v>57.097374104038678</v>
      </c>
      <c r="EE425" s="2">
        <f t="shared" si="7079"/>
        <v>0</v>
      </c>
      <c r="EF425" s="2"/>
      <c r="EG425" s="2">
        <f t="shared" si="4374"/>
        <v>0</v>
      </c>
      <c r="EH425" s="2">
        <f t="shared" si="4375"/>
        <v>0</v>
      </c>
      <c r="EI425" s="39">
        <f t="shared" si="4376"/>
        <v>1027.9407599758754</v>
      </c>
      <c r="EJ425" s="39">
        <f t="shared" ref="EJ425:EK425" si="7080">EJ$1*DQ425/1000000</f>
        <v>2037.864827308126</v>
      </c>
      <c r="EK425" s="39">
        <f t="shared" si="7080"/>
        <v>0</v>
      </c>
      <c r="EL425" s="39">
        <f t="shared" ref="EL425:EQ425" si="7081">EL$1*DS425</f>
        <v>0</v>
      </c>
      <c r="EM425" s="39">
        <f t="shared" si="7081"/>
        <v>0</v>
      </c>
      <c r="EN425" s="39">
        <f t="shared" si="7081"/>
        <v>0</v>
      </c>
      <c r="EO425" s="39">
        <f t="shared" si="7081"/>
        <v>0</v>
      </c>
      <c r="EP425" s="39">
        <f t="shared" si="7081"/>
        <v>9074.6014856182628</v>
      </c>
      <c r="EQ425" s="39">
        <f t="shared" si="7081"/>
        <v>19953.685991268267</v>
      </c>
      <c r="ER425" s="39">
        <f t="shared" ref="ER425:EV425" si="7082">ER$1*DY425/1000000</f>
        <v>41678.33642580999</v>
      </c>
      <c r="ES425" s="39">
        <f t="shared" si="7082"/>
        <v>27872.33683306089</v>
      </c>
      <c r="ET425" s="39">
        <f t="shared" si="7082"/>
        <v>16116.404043572009</v>
      </c>
      <c r="EU425" s="39">
        <f t="shared" si="7082"/>
        <v>0</v>
      </c>
      <c r="EV425" s="39">
        <f t="shared" si="7082"/>
        <v>0</v>
      </c>
      <c r="EW425" s="39">
        <f t="shared" ref="EW425:EX425" si="7083">EW$1*ED425</f>
        <v>15930.167375026791</v>
      </c>
      <c r="EX425" s="39">
        <f t="shared" si="7083"/>
        <v>0</v>
      </c>
      <c r="EY425" s="2"/>
      <c r="EZ425" s="39">
        <f t="shared" si="4381"/>
        <v>0</v>
      </c>
      <c r="FA425" s="39">
        <f t="shared" si="4382"/>
        <v>0</v>
      </c>
      <c r="FB425" s="2">
        <f t="shared" si="4383"/>
        <v>0.12388249146757679</v>
      </c>
      <c r="FC425" s="2">
        <f t="shared" ref="FC425:FD425" si="7084">BV425*$BT425+CQ425*$CO425</f>
        <v>30.698161411019015</v>
      </c>
      <c r="FD425" s="2">
        <f t="shared" si="7084"/>
        <v>0</v>
      </c>
      <c r="FE425" s="2">
        <f t="shared" ref="FE425:FJ425" si="7085">(BX425*$BT425+CS425*$CO425)/100</f>
        <v>0</v>
      </c>
      <c r="FF425" s="2">
        <f t="shared" si="7085"/>
        <v>0</v>
      </c>
      <c r="FG425" s="2">
        <f t="shared" si="7085"/>
        <v>0</v>
      </c>
      <c r="FH425" s="2">
        <f t="shared" si="7085"/>
        <v>0</v>
      </c>
      <c r="FI425" s="2">
        <f t="shared" si="7085"/>
        <v>0.37013348122866896</v>
      </c>
      <c r="FJ425" s="2">
        <f t="shared" si="7085"/>
        <v>7.7630000000000005E-2</v>
      </c>
      <c r="FK425" s="2">
        <f t="shared" ref="FK425:FO425" si="7086">CD425*$BT425+CY425*$CO425</f>
        <v>581.06796288907867</v>
      </c>
      <c r="FL425" s="2">
        <f t="shared" si="7086"/>
        <v>294.88972480156025</v>
      </c>
      <c r="FM425" s="2">
        <f t="shared" si="7086"/>
        <v>65.972492500609462</v>
      </c>
      <c r="FN425" s="2">
        <f t="shared" si="7086"/>
        <v>0</v>
      </c>
      <c r="FO425" s="2">
        <f t="shared" si="7086"/>
        <v>0</v>
      </c>
      <c r="FP425" s="2">
        <f t="shared" ref="FP425:FQ425" si="7087">(CI425*$BT425+DD425*$CO425)/100</f>
        <v>14.403165914958446</v>
      </c>
      <c r="FQ425" s="2">
        <f t="shared" si="7087"/>
        <v>0</v>
      </c>
      <c r="FR425" s="2"/>
      <c r="FS425" s="2">
        <f t="shared" si="4388"/>
        <v>0</v>
      </c>
      <c r="FT425" s="2">
        <f t="shared" si="4389"/>
        <v>0</v>
      </c>
      <c r="FU425" s="39">
        <f t="shared" si="4390"/>
        <v>808.40956844068262</v>
      </c>
      <c r="FV425" s="39">
        <f t="shared" ref="FV425:FW425" si="7088">FV$1*FC425/1000000</f>
        <v>1255.5646725021281</v>
      </c>
      <c r="FW425" s="39">
        <f t="shared" si="7088"/>
        <v>0</v>
      </c>
      <c r="FX425" s="39">
        <f t="shared" ref="FX425:GC425" si="7089">FX$1*FE425</f>
        <v>0</v>
      </c>
      <c r="FY425" s="39">
        <f t="shared" si="7089"/>
        <v>0</v>
      </c>
      <c r="FZ425" s="39">
        <f t="shared" si="7089"/>
        <v>0</v>
      </c>
      <c r="GA425" s="39">
        <f t="shared" si="7089"/>
        <v>0</v>
      </c>
      <c r="GB425" s="39">
        <f t="shared" si="7089"/>
        <v>4853.9304728327643</v>
      </c>
      <c r="GC425" s="39">
        <f t="shared" si="7089"/>
        <v>5637.4536481199993</v>
      </c>
      <c r="GD425" s="39">
        <f t="shared" ref="GD425:GH425" si="7090">GD$1*FK425/1000000</f>
        <v>16491.493508799809</v>
      </c>
      <c r="GE425" s="39">
        <f t="shared" si="7090"/>
        <v>9827.4134236682039</v>
      </c>
      <c r="GF425" s="39">
        <f t="shared" si="7090"/>
        <v>4720.533362109526</v>
      </c>
      <c r="GG425" s="39">
        <f t="shared" si="7090"/>
        <v>0</v>
      </c>
      <c r="GH425" s="39">
        <f t="shared" si="7090"/>
        <v>0</v>
      </c>
      <c r="GI425" s="39">
        <f t="shared" ref="GI425:GJ425" si="7091">GI$1*FP425</f>
        <v>4018.4832902734065</v>
      </c>
      <c r="GJ425" s="39">
        <f t="shared" si="7091"/>
        <v>0</v>
      </c>
      <c r="GK425" s="2"/>
      <c r="GL425" s="39">
        <f t="shared" si="4395"/>
        <v>0</v>
      </c>
      <c r="GM425" s="39">
        <f t="shared" si="4396"/>
        <v>0</v>
      </c>
      <c r="GN425" s="2" t="s">
        <v>3</v>
      </c>
      <c r="GO425" s="2">
        <f t="shared" si="4397"/>
        <v>510.79999999999995</v>
      </c>
      <c r="GP425" s="4">
        <f t="shared" si="4398"/>
        <v>0.13546948943268089</v>
      </c>
      <c r="GQ425" s="15">
        <f t="shared" si="4399"/>
        <v>691.97815202213383</v>
      </c>
      <c r="GR425" s="15">
        <f t="shared" si="4400"/>
        <v>133691.33774164022</v>
      </c>
      <c r="GS425" s="15">
        <f t="shared" si="4401"/>
        <v>261.72932212537245</v>
      </c>
      <c r="GT425" s="2">
        <f t="shared" si="4402"/>
        <v>479.93615364025686</v>
      </c>
      <c r="GU425" s="2">
        <f t="shared" si="4403"/>
        <v>182.78199838187703</v>
      </c>
      <c r="GV425" s="2">
        <f t="shared" si="4404"/>
        <v>29.26</v>
      </c>
      <c r="GW425" s="15">
        <f t="shared" si="4405"/>
        <v>223.69249146757679</v>
      </c>
      <c r="GX425" s="2">
        <f t="shared" si="7072"/>
        <v>0.1654653130287648</v>
      </c>
      <c r="GY425" s="15">
        <f t="shared" si="7073"/>
        <v>370.13348122866887</v>
      </c>
      <c r="GZ425" s="15">
        <f t="shared" si="7074"/>
        <v>47613.281946746523</v>
      </c>
      <c r="HA425" s="15">
        <f t="shared" si="7075"/>
        <v>212.85149820796667</v>
      </c>
      <c r="HB425" s="2">
        <f t="shared" si="4406"/>
        <v>128.59209166260359</v>
      </c>
      <c r="HC425" s="2">
        <f t="shared" si="4407"/>
        <v>241.54138956606533</v>
      </c>
      <c r="HD425" s="2" t="s">
        <v>3</v>
      </c>
      <c r="HE425" s="2" t="s">
        <v>89</v>
      </c>
      <c r="HF425" s="2" t="s">
        <v>90</v>
      </c>
      <c r="HG425" s="2" t="s">
        <v>91</v>
      </c>
      <c r="HH425" s="2" t="s">
        <v>92</v>
      </c>
      <c r="HI425" s="2" t="s">
        <v>81</v>
      </c>
      <c r="HJ425" s="2" t="s">
        <v>3</v>
      </c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 t="s">
        <v>3</v>
      </c>
    </row>
    <row r="426" spans="1:268" ht="15.75" customHeight="1" x14ac:dyDescent="0.2">
      <c r="A426" s="16" t="s">
        <v>1114</v>
      </c>
      <c r="B426" s="2"/>
      <c r="C426" s="2"/>
      <c r="D426" s="2"/>
      <c r="E426" s="2"/>
      <c r="F426" s="2" t="s">
        <v>1115</v>
      </c>
      <c r="G426" s="2"/>
      <c r="H426" s="2"/>
      <c r="I426" s="2">
        <v>5.85</v>
      </c>
      <c r="J426" s="19">
        <v>4.0000000000000001E-3</v>
      </c>
      <c r="K426" s="4">
        <v>0.02</v>
      </c>
      <c r="L426" s="2"/>
      <c r="M426" s="2"/>
      <c r="N426" s="2"/>
      <c r="O426" s="2"/>
      <c r="P426" s="2"/>
      <c r="Q426" s="4">
        <v>1.4999999999999999E-2</v>
      </c>
      <c r="R426" s="2"/>
      <c r="S426" s="4">
        <v>3.3700000000000006</v>
      </c>
      <c r="T426" s="4">
        <v>1.52</v>
      </c>
      <c r="U426" s="4">
        <v>0.68</v>
      </c>
      <c r="V426" s="2"/>
      <c r="W426" s="2"/>
      <c r="X426" s="2"/>
      <c r="Y426" s="2"/>
      <c r="Z426" s="2"/>
      <c r="AA426" s="2"/>
      <c r="AB426" s="2"/>
      <c r="AC426" s="2"/>
      <c r="AD426" s="2">
        <v>54.150000000000006</v>
      </c>
      <c r="AE426" s="4">
        <v>2.5310249307479219E-2</v>
      </c>
      <c r="AF426" s="4">
        <v>7.3240997229916893E-2</v>
      </c>
      <c r="AG426" s="2"/>
      <c r="AH426" s="2"/>
      <c r="AI426" s="2"/>
      <c r="AJ426" s="2"/>
      <c r="AK426" s="2"/>
      <c r="AL426" s="4">
        <v>7.5918744228993543E-2</v>
      </c>
      <c r="AM426" s="2"/>
      <c r="AN426" s="4">
        <v>2.8239796860572479</v>
      </c>
      <c r="AO426" s="4">
        <v>1.2989566020313943</v>
      </c>
      <c r="AP426" s="4">
        <v>0.40706371191135732</v>
      </c>
      <c r="AQ426" s="2"/>
      <c r="AR426" s="2"/>
      <c r="AS426" s="2"/>
      <c r="AT426" s="2"/>
      <c r="AU426" s="2"/>
      <c r="AV426" s="2"/>
      <c r="AW426" s="2"/>
      <c r="AX426" s="2"/>
      <c r="AY426" s="2">
        <v>48.95</v>
      </c>
      <c r="AZ426" s="4">
        <v>2.5000000000000001E-2</v>
      </c>
      <c r="BA426" s="4">
        <v>0.08</v>
      </c>
      <c r="BB426" s="2"/>
      <c r="BC426" s="2"/>
      <c r="BD426" s="2"/>
      <c r="BE426" s="2"/>
      <c r="BF426" s="2"/>
      <c r="BG426" s="4">
        <v>8.1000000000000003E-2</v>
      </c>
      <c r="BH426" s="2"/>
      <c r="BI426" s="4">
        <v>2.83</v>
      </c>
      <c r="BJ426" s="4">
        <v>1.26</v>
      </c>
      <c r="BK426" s="4">
        <v>0.4</v>
      </c>
      <c r="BL426" s="4"/>
      <c r="BM426" s="4"/>
      <c r="BN426" s="2"/>
      <c r="BO426" s="2"/>
      <c r="BP426" s="2"/>
      <c r="BQ426" s="2"/>
      <c r="BR426" s="2"/>
      <c r="BS426" s="2"/>
      <c r="BT426" s="2">
        <v>0</v>
      </c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>
        <v>26.6</v>
      </c>
      <c r="CP426" s="4">
        <v>2.1999999999999995E-2</v>
      </c>
      <c r="CQ426" s="4">
        <v>4.9609999999999994E-2</v>
      </c>
      <c r="CR426" s="2"/>
      <c r="CS426" s="2"/>
      <c r="CT426" s="2"/>
      <c r="CU426" s="2"/>
      <c r="CV426" s="2"/>
      <c r="CW426" s="4">
        <v>6.7923497267759564E-2</v>
      </c>
      <c r="CX426" s="2"/>
      <c r="CY426" s="4">
        <v>2.7465899999999994</v>
      </c>
      <c r="CZ426" s="4">
        <v>1.3169199999999999</v>
      </c>
      <c r="DA426" s="4">
        <v>0.39687999999999996</v>
      </c>
      <c r="DB426" s="2"/>
      <c r="DC426" s="2"/>
      <c r="DD426" s="2"/>
      <c r="DE426" s="2"/>
      <c r="DF426" s="2"/>
      <c r="DG426" s="2"/>
      <c r="DH426" s="2"/>
      <c r="DI426" s="2"/>
      <c r="DJ426" s="2" t="s">
        <v>81</v>
      </c>
      <c r="DK426" s="2"/>
      <c r="DL426" s="2">
        <f t="shared" si="4367"/>
        <v>7.4930702156952717E-2</v>
      </c>
      <c r="DM426" s="2">
        <f t="shared" si="4368"/>
        <v>0</v>
      </c>
      <c r="DN426" s="2" t="s">
        <v>512</v>
      </c>
      <c r="DO426" s="2" t="s">
        <v>3</v>
      </c>
      <c r="DP426" s="2">
        <f t="shared" si="4369"/>
        <v>2.6177000000000002E-2</v>
      </c>
      <c r="DQ426" s="2">
        <f t="shared" ref="DQ426:DR426" si="7092">K426*$I426+AF426*$AD426+BA426*$AY426</f>
        <v>7.9990000000000006</v>
      </c>
      <c r="DR426" s="2">
        <f t="shared" si="7092"/>
        <v>0</v>
      </c>
      <c r="DS426" s="2">
        <f t="shared" ref="DS426:DX426" si="7093">(M426*$I426+AH426*$AD426+BC426*$AY426)/100</f>
        <v>0</v>
      </c>
      <c r="DT426" s="2">
        <f t="shared" si="7093"/>
        <v>0</v>
      </c>
      <c r="DU426" s="2">
        <f t="shared" si="7093"/>
        <v>0</v>
      </c>
      <c r="DV426" s="2">
        <f t="shared" si="7093"/>
        <v>0</v>
      </c>
      <c r="DW426" s="2">
        <f t="shared" si="7093"/>
        <v>8.1637000000000001E-2</v>
      </c>
      <c r="DX426" s="2">
        <f t="shared" si="7093"/>
        <v>0</v>
      </c>
      <c r="DY426" s="2">
        <f t="shared" ref="DY426:EC426" si="7094">S426*$I426+AN426*$AD426+BI426*$AY426</f>
        <v>311.16149999999999</v>
      </c>
      <c r="DZ426" s="2">
        <f t="shared" si="7094"/>
        <v>140.90750000000003</v>
      </c>
      <c r="EA426" s="2">
        <f t="shared" si="7094"/>
        <v>45.600500000000004</v>
      </c>
      <c r="EB426" s="2">
        <f t="shared" si="7094"/>
        <v>0</v>
      </c>
      <c r="EC426" s="2">
        <f t="shared" si="7094"/>
        <v>0</v>
      </c>
      <c r="ED426" s="2">
        <f t="shared" ref="ED426:EE426" si="7095">(X426*$I426+AS426*$AD426+BN426*$AY426)/100</f>
        <v>0</v>
      </c>
      <c r="EE426" s="2">
        <f t="shared" si="7095"/>
        <v>0</v>
      </c>
      <c r="EF426" s="2"/>
      <c r="EG426" s="2">
        <f t="shared" si="4374"/>
        <v>0</v>
      </c>
      <c r="EH426" s="2">
        <f t="shared" si="4375"/>
        <v>0</v>
      </c>
      <c r="EI426" s="39">
        <f t="shared" si="4376"/>
        <v>170.82105003200002</v>
      </c>
      <c r="EJ426" s="39">
        <f t="shared" ref="EJ426:EK426" si="7096">EJ$1*DQ426/1000000</f>
        <v>327.16167202572348</v>
      </c>
      <c r="EK426" s="39">
        <f t="shared" si="7096"/>
        <v>0</v>
      </c>
      <c r="EL426" s="39">
        <f t="shared" ref="EL426:EQ426" si="7097">EL$1*DS426</f>
        <v>0</v>
      </c>
      <c r="EM426" s="39">
        <f t="shared" si="7097"/>
        <v>0</v>
      </c>
      <c r="EN426" s="39">
        <f t="shared" si="7097"/>
        <v>0</v>
      </c>
      <c r="EO426" s="39">
        <f t="shared" si="7097"/>
        <v>0</v>
      </c>
      <c r="EP426" s="39">
        <f t="shared" si="7097"/>
        <v>1070.587618</v>
      </c>
      <c r="EQ426" s="39">
        <f t="shared" si="7097"/>
        <v>0</v>
      </c>
      <c r="ER426" s="39">
        <f t="shared" ref="ER426:EV426" si="7098">ER$1*DY426/1000000</f>
        <v>8831.1835881028928</v>
      </c>
      <c r="ES426" s="39">
        <f t="shared" si="7098"/>
        <v>4695.8443802250813</v>
      </c>
      <c r="ET426" s="39">
        <f t="shared" si="7098"/>
        <v>3262.8550691318337</v>
      </c>
      <c r="EU426" s="39">
        <f t="shared" si="7098"/>
        <v>0</v>
      </c>
      <c r="EV426" s="39">
        <f t="shared" si="7098"/>
        <v>0</v>
      </c>
      <c r="EW426" s="39">
        <f t="shared" ref="EW426:EX426" si="7099">EW$1*ED426</f>
        <v>0</v>
      </c>
      <c r="EX426" s="39">
        <f t="shared" si="7099"/>
        <v>0</v>
      </c>
      <c r="EY426" s="2"/>
      <c r="EZ426" s="39">
        <f t="shared" si="4381"/>
        <v>0</v>
      </c>
      <c r="FA426" s="39">
        <f t="shared" si="4382"/>
        <v>0</v>
      </c>
      <c r="FB426" s="2">
        <f t="shared" si="4383"/>
        <v>5.8519999999999996E-3</v>
      </c>
      <c r="FC426" s="2">
        <f t="shared" ref="FC426:FD426" si="7100">BV426*$BT426+CQ426*$CO426</f>
        <v>1.319626</v>
      </c>
      <c r="FD426" s="2">
        <f t="shared" si="7100"/>
        <v>0</v>
      </c>
      <c r="FE426" s="2">
        <f t="shared" ref="FE426:FJ426" si="7101">(BX426*$BT426+CS426*$CO426)/100</f>
        <v>0</v>
      </c>
      <c r="FF426" s="2">
        <f t="shared" si="7101"/>
        <v>0</v>
      </c>
      <c r="FG426" s="2">
        <f t="shared" si="7101"/>
        <v>0</v>
      </c>
      <c r="FH426" s="2">
        <f t="shared" si="7101"/>
        <v>0</v>
      </c>
      <c r="FI426" s="2">
        <f t="shared" si="7101"/>
        <v>1.8067650273224045E-2</v>
      </c>
      <c r="FJ426" s="2">
        <f t="shared" si="7101"/>
        <v>0</v>
      </c>
      <c r="FK426" s="2">
        <f t="shared" ref="FK426:FO426" si="7102">CD426*$BT426+CY426*$CO426</f>
        <v>73.059293999999994</v>
      </c>
      <c r="FL426" s="2">
        <f t="shared" si="7102"/>
        <v>35.030071999999997</v>
      </c>
      <c r="FM426" s="2">
        <f t="shared" si="7102"/>
        <v>10.557008</v>
      </c>
      <c r="FN426" s="2">
        <f t="shared" si="7102"/>
        <v>0</v>
      </c>
      <c r="FO426" s="2">
        <f t="shared" si="7102"/>
        <v>0</v>
      </c>
      <c r="FP426" s="2">
        <f t="shared" ref="FP426:FQ426" si="7103">(CI426*$BT426+DD426*$CO426)/100</f>
        <v>0</v>
      </c>
      <c r="FQ426" s="2">
        <f t="shared" si="7103"/>
        <v>0</v>
      </c>
      <c r="FR426" s="2"/>
      <c r="FS426" s="2">
        <f t="shared" si="4388"/>
        <v>0</v>
      </c>
      <c r="FT426" s="2">
        <f t="shared" si="4389"/>
        <v>0</v>
      </c>
      <c r="FU426" s="39">
        <f t="shared" si="4390"/>
        <v>38.187904831999994</v>
      </c>
      <c r="FV426" s="39">
        <f t="shared" ref="FV426:FW426" si="7104">FV$1*FC426/1000000</f>
        <v>53.973127717041798</v>
      </c>
      <c r="FW426" s="39">
        <f t="shared" si="7104"/>
        <v>0</v>
      </c>
      <c r="FX426" s="39">
        <f t="shared" ref="FX426:GC426" si="7105">FX$1*FE426</f>
        <v>0</v>
      </c>
      <c r="FY426" s="39">
        <f t="shared" si="7105"/>
        <v>0</v>
      </c>
      <c r="FZ426" s="39">
        <f t="shared" si="7105"/>
        <v>0</v>
      </c>
      <c r="GA426" s="39">
        <f t="shared" si="7105"/>
        <v>0</v>
      </c>
      <c r="GB426" s="39">
        <f t="shared" si="7105"/>
        <v>236.93916568306014</v>
      </c>
      <c r="GC426" s="39">
        <f t="shared" si="7105"/>
        <v>0</v>
      </c>
      <c r="GD426" s="39">
        <f t="shared" ref="GD426:GH426" si="7106">GD$1*FK426/1000000</f>
        <v>2073.521429004501</v>
      </c>
      <c r="GE426" s="39">
        <f t="shared" si="7106"/>
        <v>1167.4024926996785</v>
      </c>
      <c r="GF426" s="39">
        <f t="shared" si="7106"/>
        <v>755.38617049517688</v>
      </c>
      <c r="GG426" s="39">
        <f t="shared" si="7106"/>
        <v>0</v>
      </c>
      <c r="GH426" s="39">
        <f t="shared" si="7106"/>
        <v>0</v>
      </c>
      <c r="GI426" s="39">
        <f t="shared" ref="GI426:GJ426" si="7107">GI$1*FP426</f>
        <v>0</v>
      </c>
      <c r="GJ426" s="39">
        <f t="shared" si="7107"/>
        <v>0</v>
      </c>
      <c r="GK426" s="2"/>
      <c r="GL426" s="39">
        <f t="shared" si="4395"/>
        <v>0</v>
      </c>
      <c r="GM426" s="39">
        <f t="shared" si="4396"/>
        <v>0</v>
      </c>
      <c r="GN426" s="2" t="s">
        <v>3</v>
      </c>
      <c r="GO426" s="15">
        <f t="shared" si="4397"/>
        <v>108.95000000000002</v>
      </c>
      <c r="GP426" s="4">
        <f t="shared" si="4398"/>
        <v>7.4930702156952717E-2</v>
      </c>
      <c r="GQ426" s="15">
        <f t="shared" si="4399"/>
        <v>81.637</v>
      </c>
      <c r="GR426" s="15">
        <f t="shared" si="4400"/>
        <v>18358.453377517533</v>
      </c>
      <c r="GS426" s="15">
        <f t="shared" si="4401"/>
        <v>168.50347294646656</v>
      </c>
      <c r="GT426" s="2">
        <f t="shared" si="4402"/>
        <v>0.87749999999999995</v>
      </c>
      <c r="GU426" s="2">
        <f t="shared" si="4403"/>
        <v>41.110000000000007</v>
      </c>
      <c r="GV426" s="2">
        <f t="shared" si="4404"/>
        <v>39.649500000000003</v>
      </c>
      <c r="GW426" s="2">
        <f t="shared" si="4405"/>
        <v>26.6</v>
      </c>
      <c r="GX426" s="19">
        <f t="shared" si="7072"/>
        <v>6.7923497267759564E-2</v>
      </c>
      <c r="GY426" s="15">
        <f t="shared" si="7073"/>
        <v>18.067650273224043</v>
      </c>
      <c r="GZ426" s="15">
        <f t="shared" si="7074"/>
        <v>4325.4102904314586</v>
      </c>
      <c r="HA426" s="15">
        <f t="shared" si="7075"/>
        <v>162.60940941471648</v>
      </c>
      <c r="HB426" s="2">
        <f t="shared" si="4406"/>
        <v>0</v>
      </c>
      <c r="HC426" s="2">
        <f t="shared" si="4407"/>
        <v>18.067650273224043</v>
      </c>
      <c r="HD426" s="2" t="s">
        <v>3</v>
      </c>
      <c r="HE426" s="2" t="s">
        <v>89</v>
      </c>
      <c r="HF426" s="2" t="s">
        <v>90</v>
      </c>
      <c r="HG426" s="2" t="s">
        <v>91</v>
      </c>
      <c r="HH426" s="2" t="s">
        <v>92</v>
      </c>
      <c r="HI426" s="2" t="s">
        <v>81</v>
      </c>
      <c r="HJ426" s="2" t="s">
        <v>3</v>
      </c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 t="s">
        <v>3</v>
      </c>
    </row>
    <row r="427" spans="1:268" ht="15.75" customHeight="1" x14ac:dyDescent="0.2">
      <c r="A427" s="16" t="s">
        <v>1155</v>
      </c>
      <c r="B427" s="2"/>
      <c r="C427" s="2"/>
      <c r="D427" s="2"/>
      <c r="E427" s="2"/>
      <c r="F427" s="2" t="s">
        <v>145</v>
      </c>
      <c r="G427" s="2"/>
      <c r="H427" s="2"/>
      <c r="I427" s="2">
        <v>30.2</v>
      </c>
      <c r="J427" s="4">
        <v>1.5542233663308669E-2</v>
      </c>
      <c r="K427" s="4">
        <v>3.2985647999999999E-2</v>
      </c>
      <c r="L427" s="2"/>
      <c r="M427" s="2"/>
      <c r="N427" s="2"/>
      <c r="O427" s="2"/>
      <c r="P427" s="2"/>
      <c r="Q427" s="4">
        <v>0.11240231217618901</v>
      </c>
      <c r="R427" s="2"/>
      <c r="S427" s="4">
        <v>1.7854391000000001</v>
      </c>
      <c r="T427" s="4">
        <v>0.89645378000000009</v>
      </c>
      <c r="U427" s="4">
        <v>0.305121472</v>
      </c>
      <c r="V427" s="2"/>
      <c r="W427" s="2"/>
      <c r="X427" s="2"/>
      <c r="Y427" s="2"/>
      <c r="Z427" s="2"/>
      <c r="AA427" s="2"/>
      <c r="AB427" s="2"/>
      <c r="AC427" s="2"/>
      <c r="AD427" s="2">
        <v>0</v>
      </c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>
        <v>0</v>
      </c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>
        <v>20.7</v>
      </c>
      <c r="BU427" s="4">
        <v>1.5542233663308669E-2</v>
      </c>
      <c r="BV427" s="4">
        <v>2.6869104000000001E-2</v>
      </c>
      <c r="BW427" s="2"/>
      <c r="BX427" s="2"/>
      <c r="BY427" s="2"/>
      <c r="BZ427" s="2"/>
      <c r="CA427" s="2"/>
      <c r="CB427" s="4">
        <v>0.11240231217618901</v>
      </c>
      <c r="CC427" s="2"/>
      <c r="CD427" s="4">
        <v>1.4543642999999999</v>
      </c>
      <c r="CE427" s="4">
        <v>0.73022394000000002</v>
      </c>
      <c r="CF427" s="4">
        <v>0.248542656</v>
      </c>
      <c r="CG427" s="2"/>
      <c r="CH427" s="2"/>
      <c r="CI427" s="2"/>
      <c r="CJ427" s="2"/>
      <c r="CK427" s="2"/>
      <c r="CL427" s="2"/>
      <c r="CM427" s="2"/>
      <c r="CN427" s="2"/>
      <c r="CO427" s="2">
        <v>0</v>
      </c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>
        <f t="shared" si="4367"/>
        <v>0.11240231217618903</v>
      </c>
      <c r="DM427" s="2">
        <f t="shared" si="4368"/>
        <v>0</v>
      </c>
      <c r="DN427" s="2" t="s">
        <v>95</v>
      </c>
      <c r="DO427" s="2" t="s">
        <v>3</v>
      </c>
      <c r="DP427" s="2">
        <f t="shared" si="4369"/>
        <v>4.6937545663192186E-3</v>
      </c>
      <c r="DQ427" s="2">
        <f t="shared" ref="DQ427:DR427" si="7108">K427*$I427+AF427*$AD427+BA427*$AY427</f>
        <v>0.99616656959999994</v>
      </c>
      <c r="DR427" s="2">
        <f t="shared" si="7108"/>
        <v>0</v>
      </c>
      <c r="DS427" s="2">
        <f t="shared" ref="DS427:DX427" si="7109">(M427*$I427+AH427*$AD427+BC427*$AY427)/100</f>
        <v>0</v>
      </c>
      <c r="DT427" s="2">
        <f t="shared" si="7109"/>
        <v>0</v>
      </c>
      <c r="DU427" s="2">
        <f t="shared" si="7109"/>
        <v>0</v>
      </c>
      <c r="DV427" s="2">
        <f t="shared" si="7109"/>
        <v>0</v>
      </c>
      <c r="DW427" s="2">
        <f t="shared" si="7109"/>
        <v>3.394549827720908E-2</v>
      </c>
      <c r="DX427" s="2">
        <f t="shared" si="7109"/>
        <v>0</v>
      </c>
      <c r="DY427" s="2">
        <f t="shared" ref="DY427:EC427" si="7110">S427*$I427+AN427*$AD427+BI427*$AY427</f>
        <v>53.920260820000003</v>
      </c>
      <c r="DZ427" s="2">
        <f t="shared" si="7110"/>
        <v>27.072904156000003</v>
      </c>
      <c r="EA427" s="2">
        <f t="shared" si="7110"/>
        <v>9.2146684543999999</v>
      </c>
      <c r="EB427" s="2">
        <f t="shared" si="7110"/>
        <v>0</v>
      </c>
      <c r="EC427" s="2">
        <f t="shared" si="7110"/>
        <v>0</v>
      </c>
      <c r="ED427" s="2">
        <f t="shared" ref="ED427:EE427" si="7111">(X427*$I427+AS427*$AD427+BN427*$AY427)/100</f>
        <v>0</v>
      </c>
      <c r="EE427" s="2">
        <f t="shared" si="7111"/>
        <v>0</v>
      </c>
      <c r="EF427" s="2"/>
      <c r="EG427" s="2">
        <f t="shared" si="4374"/>
        <v>0</v>
      </c>
      <c r="EH427" s="2">
        <f t="shared" si="4375"/>
        <v>0</v>
      </c>
      <c r="EI427" s="39">
        <f t="shared" si="4376"/>
        <v>30.629639898045752</v>
      </c>
      <c r="EJ427" s="39">
        <f t="shared" ref="EJ427:EK427" si="7112">EJ$1*DQ427/1000000</f>
        <v>40.743533007434074</v>
      </c>
      <c r="EK427" s="39">
        <f t="shared" si="7112"/>
        <v>0</v>
      </c>
      <c r="EL427" s="39">
        <f t="shared" ref="EL427:EQ427" si="7113">EL$1*DS427</f>
        <v>0</v>
      </c>
      <c r="EM427" s="39">
        <f t="shared" si="7113"/>
        <v>0</v>
      </c>
      <c r="EN427" s="39">
        <f t="shared" si="7113"/>
        <v>0</v>
      </c>
      <c r="EO427" s="39">
        <f t="shared" si="7113"/>
        <v>0</v>
      </c>
      <c r="EP427" s="39">
        <f t="shared" si="7113"/>
        <v>445.16126440731989</v>
      </c>
      <c r="EQ427" s="39">
        <f t="shared" si="7113"/>
        <v>0</v>
      </c>
      <c r="ER427" s="39">
        <f t="shared" ref="ER427:EV427" si="7114">ER$1*DY427/1000000</f>
        <v>1530.3298204302635</v>
      </c>
      <c r="ES427" s="39">
        <f t="shared" si="7114"/>
        <v>902.22411750492245</v>
      </c>
      <c r="ET427" s="39">
        <f t="shared" si="7114"/>
        <v>659.33767561338652</v>
      </c>
      <c r="EU427" s="39">
        <f t="shared" si="7114"/>
        <v>0</v>
      </c>
      <c r="EV427" s="39">
        <f t="shared" si="7114"/>
        <v>0</v>
      </c>
      <c r="EW427" s="39">
        <f t="shared" ref="EW427:EX427" si="7115">EW$1*ED427</f>
        <v>0</v>
      </c>
      <c r="EX427" s="39">
        <f t="shared" si="7115"/>
        <v>0</v>
      </c>
      <c r="EY427" s="2"/>
      <c r="EZ427" s="39">
        <f t="shared" si="4381"/>
        <v>0</v>
      </c>
      <c r="FA427" s="39">
        <f t="shared" si="4382"/>
        <v>0</v>
      </c>
      <c r="FB427" s="2">
        <f t="shared" si="4383"/>
        <v>3.2172423683048943E-3</v>
      </c>
      <c r="FC427" s="2">
        <f t="shared" ref="FC427:FD427" si="7116">BV427*$BT427+CQ427*$CO427</f>
        <v>0.55619045280000001</v>
      </c>
      <c r="FD427" s="2">
        <f t="shared" si="7116"/>
        <v>0</v>
      </c>
      <c r="FE427" s="2">
        <f t="shared" ref="FE427:FJ427" si="7117">(BX427*$BT427+CS427*$CO427)/100</f>
        <v>0</v>
      </c>
      <c r="FF427" s="2">
        <f t="shared" si="7117"/>
        <v>0</v>
      </c>
      <c r="FG427" s="2">
        <f t="shared" si="7117"/>
        <v>0</v>
      </c>
      <c r="FH427" s="2">
        <f t="shared" si="7117"/>
        <v>0</v>
      </c>
      <c r="FI427" s="2">
        <f t="shared" si="7117"/>
        <v>2.3267278620471125E-2</v>
      </c>
      <c r="FJ427" s="2">
        <f t="shared" si="7117"/>
        <v>0</v>
      </c>
      <c r="FK427" s="2">
        <f t="shared" ref="FK427:FO427" si="7118">CD427*$BT427+CY427*$CO427</f>
        <v>30.105341009999997</v>
      </c>
      <c r="FL427" s="2">
        <f t="shared" si="7118"/>
        <v>15.115635557999999</v>
      </c>
      <c r="FM427" s="2">
        <f t="shared" si="7118"/>
        <v>5.1448329792000003</v>
      </c>
      <c r="FN427" s="2">
        <f t="shared" si="7118"/>
        <v>0</v>
      </c>
      <c r="FO427" s="2">
        <f t="shared" si="7118"/>
        <v>0</v>
      </c>
      <c r="FP427" s="2">
        <f t="shared" ref="FP427:FQ427" si="7119">(CI427*$BT427+DD427*$CO427)/100</f>
        <v>0</v>
      </c>
      <c r="FQ427" s="2">
        <f t="shared" si="7119"/>
        <v>0</v>
      </c>
      <c r="FR427" s="2"/>
      <c r="FS427" s="2">
        <f t="shared" si="4388"/>
        <v>0</v>
      </c>
      <c r="FT427" s="2">
        <f t="shared" si="4389"/>
        <v>0</v>
      </c>
      <c r="FU427" s="39">
        <f t="shared" si="4390"/>
        <v>20.994488274488312</v>
      </c>
      <c r="FV427" s="39">
        <f t="shared" ref="FV427:FW427" si="7120">FV$1*FC427/1000000</f>
        <v>22.748368358893892</v>
      </c>
      <c r="FW427" s="39">
        <f t="shared" si="7120"/>
        <v>0</v>
      </c>
      <c r="FX427" s="39">
        <f t="shared" ref="FX427:GC427" si="7121">FX$1*FE427</f>
        <v>0</v>
      </c>
      <c r="FY427" s="39">
        <f t="shared" si="7121"/>
        <v>0</v>
      </c>
      <c r="FZ427" s="39">
        <f t="shared" si="7121"/>
        <v>0</v>
      </c>
      <c r="GA427" s="39">
        <f t="shared" si="7121"/>
        <v>0</v>
      </c>
      <c r="GB427" s="39">
        <f t="shared" si="7121"/>
        <v>305.12709182885834</v>
      </c>
      <c r="GC427" s="39">
        <f t="shared" si="7121"/>
        <v>0</v>
      </c>
      <c r="GD427" s="39">
        <f t="shared" ref="GD427:GH427" si="7122">GD$1*FK427/1000000</f>
        <v>854.43023459442429</v>
      </c>
      <c r="GE427" s="39">
        <f t="shared" si="7122"/>
        <v>503.73949071954792</v>
      </c>
      <c r="GF427" s="39">
        <f t="shared" si="7122"/>
        <v>368.12851538951003</v>
      </c>
      <c r="GG427" s="39">
        <f t="shared" si="7122"/>
        <v>0</v>
      </c>
      <c r="GH427" s="39">
        <f t="shared" si="7122"/>
        <v>0</v>
      </c>
      <c r="GI427" s="39">
        <f t="shared" ref="GI427:GJ427" si="7123">GI$1*FP427</f>
        <v>0</v>
      </c>
      <c r="GJ427" s="39">
        <f t="shared" si="7123"/>
        <v>0</v>
      </c>
      <c r="GK427" s="2"/>
      <c r="GL427" s="39">
        <f t="shared" si="4395"/>
        <v>0</v>
      </c>
      <c r="GM427" s="39">
        <f t="shared" si="4396"/>
        <v>0</v>
      </c>
      <c r="GN427" s="2" t="s">
        <v>3</v>
      </c>
      <c r="GO427" s="2">
        <f t="shared" si="4397"/>
        <v>30.2</v>
      </c>
      <c r="GP427" s="4">
        <f t="shared" si="4398"/>
        <v>0.11240231217618903</v>
      </c>
      <c r="GQ427" s="15">
        <f t="shared" si="4399"/>
        <v>33.945498277209083</v>
      </c>
      <c r="GR427" s="15">
        <f t="shared" si="4400"/>
        <v>3608.4260508613725</v>
      </c>
      <c r="GS427" s="15">
        <f t="shared" si="4401"/>
        <v>119.484306319913</v>
      </c>
      <c r="GT427" s="2">
        <f t="shared" si="4402"/>
        <v>33.945498277209083</v>
      </c>
      <c r="GU427" s="2">
        <f t="shared" si="4403"/>
        <v>0</v>
      </c>
      <c r="GV427" s="2">
        <f t="shared" si="4404"/>
        <v>0</v>
      </c>
      <c r="GW427" s="2">
        <f t="shared" si="4405"/>
        <v>20.7</v>
      </c>
      <c r="GX427" s="4">
        <f t="shared" si="7072"/>
        <v>0.11240231217618901</v>
      </c>
      <c r="GY427" s="15">
        <f t="shared" si="7073"/>
        <v>23.267278620471124</v>
      </c>
      <c r="GZ427" s="15">
        <f t="shared" si="7074"/>
        <v>2075.1681891657227</v>
      </c>
      <c r="HA427" s="15">
        <f t="shared" si="7075"/>
        <v>100.2496709741895</v>
      </c>
      <c r="HB427" s="2">
        <f t="shared" si="4406"/>
        <v>23.267278620471124</v>
      </c>
      <c r="HC427" s="2">
        <f t="shared" si="4407"/>
        <v>0</v>
      </c>
      <c r="HD427" s="2" t="s">
        <v>3</v>
      </c>
      <c r="HE427" s="2" t="s">
        <v>89</v>
      </c>
      <c r="HF427" s="2" t="s">
        <v>90</v>
      </c>
      <c r="HG427" s="2" t="s">
        <v>91</v>
      </c>
      <c r="HH427" s="2" t="s">
        <v>92</v>
      </c>
      <c r="HI427" s="2" t="s">
        <v>81</v>
      </c>
      <c r="HJ427" s="2" t="s">
        <v>3</v>
      </c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 t="s">
        <v>3</v>
      </c>
    </row>
    <row r="428" spans="1:268" ht="15.75" customHeight="1" x14ac:dyDescent="0.2">
      <c r="A428" s="16" t="s">
        <v>1156</v>
      </c>
      <c r="B428" s="2"/>
      <c r="C428" s="2"/>
      <c r="D428" s="2"/>
      <c r="E428" s="2"/>
      <c r="F428" s="2" t="s">
        <v>1157</v>
      </c>
      <c r="G428" s="2"/>
      <c r="H428" s="2"/>
      <c r="I428" s="4">
        <v>2.5259659999999999</v>
      </c>
      <c r="J428" s="4">
        <v>2.9148595329822911E-2</v>
      </c>
      <c r="K428" s="4">
        <v>5.6096699999999999E-2</v>
      </c>
      <c r="L428" s="2"/>
      <c r="M428" s="2"/>
      <c r="N428" s="2"/>
      <c r="O428" s="2"/>
      <c r="P428" s="2"/>
      <c r="Q428" s="4">
        <v>0.11240231217618901</v>
      </c>
      <c r="R428" s="2"/>
      <c r="S428" s="4">
        <v>2.6700239999999997</v>
      </c>
      <c r="T428" s="4">
        <v>2.3540719999999999</v>
      </c>
      <c r="U428" s="4">
        <v>0.4807264</v>
      </c>
      <c r="V428" s="2"/>
      <c r="W428" s="2"/>
      <c r="X428" s="2"/>
      <c r="Y428" s="2"/>
      <c r="Z428" s="2"/>
      <c r="AA428" s="2"/>
      <c r="AB428" s="2"/>
      <c r="AC428" s="2"/>
      <c r="AD428" s="4">
        <v>1.525439</v>
      </c>
      <c r="AE428" s="4">
        <v>2.9148595329822911E-2</v>
      </c>
      <c r="AF428" s="4">
        <v>9.5874359999999992E-2</v>
      </c>
      <c r="AG428" s="2"/>
      <c r="AH428" s="2"/>
      <c r="AI428" s="2"/>
      <c r="AJ428" s="2"/>
      <c r="AK428" s="2"/>
      <c r="AL428" s="4">
        <v>0.11240231217618901</v>
      </c>
      <c r="AM428" s="2"/>
      <c r="AN428" s="4">
        <v>2.6890955999999999</v>
      </c>
      <c r="AO428" s="4">
        <v>2.3708868000000001</v>
      </c>
      <c r="AP428" s="4">
        <v>0.48416016000000001</v>
      </c>
      <c r="AQ428" s="2"/>
      <c r="AR428" s="2"/>
      <c r="AS428" s="2"/>
      <c r="AT428" s="2"/>
      <c r="AU428" s="2"/>
      <c r="AV428" s="2"/>
      <c r="AW428" s="2"/>
      <c r="AX428" s="2"/>
      <c r="AY428" s="2">
        <v>0</v>
      </c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4">
        <v>1.9098869999999999</v>
      </c>
      <c r="BU428" s="4">
        <v>2.9148595329822911E-2</v>
      </c>
      <c r="BV428" s="4">
        <v>7.7175460000000001E-2</v>
      </c>
      <c r="BW428" s="2"/>
      <c r="BX428" s="2"/>
      <c r="BY428" s="2"/>
      <c r="BZ428" s="2"/>
      <c r="CA428" s="2"/>
      <c r="CB428" s="4">
        <v>0.11240231217618901</v>
      </c>
      <c r="CC428" s="2"/>
      <c r="CD428" s="4">
        <v>2.1646266000000001</v>
      </c>
      <c r="CE428" s="4">
        <v>1.9084798000000001</v>
      </c>
      <c r="CF428" s="4">
        <v>0.38973176000000004</v>
      </c>
      <c r="CG428" s="2"/>
      <c r="CH428" s="2"/>
      <c r="CI428" s="2"/>
      <c r="CJ428" s="2"/>
      <c r="CK428" s="2"/>
      <c r="CL428" s="2"/>
      <c r="CM428" s="2"/>
      <c r="CN428" s="2"/>
      <c r="CO428" s="4">
        <v>0.97917799999999999</v>
      </c>
      <c r="CP428" s="4">
        <v>2.9148595329822911E-2</v>
      </c>
      <c r="CQ428" s="4">
        <v>4.5899999999999996E-2</v>
      </c>
      <c r="CR428" s="2"/>
      <c r="CS428" s="2"/>
      <c r="CT428" s="2"/>
      <c r="CU428" s="2"/>
      <c r="CV428" s="2"/>
      <c r="CW428" s="4">
        <v>0.11240231217618901</v>
      </c>
      <c r="CX428" s="2"/>
      <c r="CY428" s="4">
        <v>2.0196000000000001</v>
      </c>
      <c r="CZ428" s="4">
        <v>2.0655000000000001</v>
      </c>
      <c r="DA428" s="4">
        <v>0.45900000000000002</v>
      </c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>
        <f t="shared" si="4367"/>
        <v>0.112402312176189</v>
      </c>
      <c r="DM428" s="2">
        <f t="shared" si="4368"/>
        <v>0</v>
      </c>
      <c r="DN428" s="2" t="s">
        <v>150</v>
      </c>
      <c r="DO428" s="2" t="s">
        <v>3</v>
      </c>
      <c r="DP428" s="2">
        <f t="shared" si="4369"/>
        <v>1.1809276486222119E-3</v>
      </c>
      <c r="DQ428" s="2">
        <f t="shared" ref="DQ428:DR428" si="7124">K428*$I428+AF428*$AD428+BA428*$AY428</f>
        <v>0.28794884475624</v>
      </c>
      <c r="DR428" s="2">
        <f t="shared" si="7124"/>
        <v>0</v>
      </c>
      <c r="DS428" s="2">
        <f t="shared" ref="DS428:DX428" si="7125">(M428*$I428+AH428*$AD428+BC428*$AY428)/100</f>
        <v>0</v>
      </c>
      <c r="DT428" s="2">
        <f t="shared" si="7125"/>
        <v>0</v>
      </c>
      <c r="DU428" s="2">
        <f t="shared" si="7125"/>
        <v>0</v>
      </c>
      <c r="DV428" s="2">
        <f t="shared" si="7125"/>
        <v>0</v>
      </c>
      <c r="DW428" s="2">
        <f t="shared" si="7125"/>
        <v>4.55387289562173E-3</v>
      </c>
      <c r="DX428" s="2">
        <f t="shared" si="7125"/>
        <v>0</v>
      </c>
      <c r="DY428" s="2">
        <f t="shared" ref="DY428:EC428" si="7126">S428*$I428+AN428*$AD428+BI428*$AY428</f>
        <v>10.846441146152399</v>
      </c>
      <c r="DZ428" s="2">
        <f t="shared" si="7126"/>
        <v>9.5629490228572003</v>
      </c>
      <c r="EA428" s="2">
        <f t="shared" si="7126"/>
        <v>1.9528553320126401</v>
      </c>
      <c r="EB428" s="2">
        <f t="shared" si="7126"/>
        <v>0</v>
      </c>
      <c r="EC428" s="2">
        <f t="shared" si="7126"/>
        <v>0</v>
      </c>
      <c r="ED428" s="2">
        <f t="shared" ref="ED428:EE428" si="7127">(X428*$I428+AS428*$AD428+BN428*$AY428)/100</f>
        <v>0</v>
      </c>
      <c r="EE428" s="2">
        <f t="shared" si="7127"/>
        <v>0</v>
      </c>
      <c r="EF428" s="2"/>
      <c r="EG428" s="2">
        <f t="shared" si="4374"/>
        <v>0</v>
      </c>
      <c r="EH428" s="2">
        <f t="shared" si="4375"/>
        <v>0</v>
      </c>
      <c r="EI428" s="39">
        <f t="shared" si="4376"/>
        <v>7.7062803586914841</v>
      </c>
      <c r="EJ428" s="39">
        <f t="shared" ref="EJ428:EK428" si="7128">EJ$1*DQ428/1000000</f>
        <v>11.777200338583192</v>
      </c>
      <c r="EK428" s="39">
        <f t="shared" si="7128"/>
        <v>0</v>
      </c>
      <c r="EL428" s="39">
        <f t="shared" ref="EL428:EQ428" si="7129">EL$1*DS428</f>
        <v>0</v>
      </c>
      <c r="EM428" s="39">
        <f t="shared" si="7129"/>
        <v>0</v>
      </c>
      <c r="EN428" s="39">
        <f t="shared" si="7129"/>
        <v>0</v>
      </c>
      <c r="EO428" s="39">
        <f t="shared" si="7129"/>
        <v>0</v>
      </c>
      <c r="EP428" s="39">
        <f t="shared" si="7129"/>
        <v>59.719489153183368</v>
      </c>
      <c r="EQ428" s="39">
        <f t="shared" si="7129"/>
        <v>0</v>
      </c>
      <c r="ER428" s="39">
        <f t="shared" ref="ER428:EV428" si="7130">ER$1*DY428/1000000</f>
        <v>307.83664765475481</v>
      </c>
      <c r="ES428" s="39">
        <f t="shared" si="7130"/>
        <v>318.69219471896747</v>
      </c>
      <c r="ET428" s="39">
        <f t="shared" si="7130"/>
        <v>139.73276431921957</v>
      </c>
      <c r="EU428" s="39">
        <f t="shared" si="7130"/>
        <v>0</v>
      </c>
      <c r="EV428" s="39">
        <f t="shared" si="7130"/>
        <v>0</v>
      </c>
      <c r="EW428" s="39">
        <f t="shared" ref="EW428:EX428" si="7131">EW$1*ED428</f>
        <v>0</v>
      </c>
      <c r="EX428" s="39">
        <f t="shared" si="7131"/>
        <v>0</v>
      </c>
      <c r="EY428" s="2"/>
      <c r="EZ428" s="39">
        <f t="shared" si="4381"/>
        <v>0</v>
      </c>
      <c r="FA428" s="39">
        <f t="shared" si="4382"/>
        <v>0</v>
      </c>
      <c r="FB428" s="2">
        <f t="shared" si="4383"/>
        <v>8.4212186566554829E-4</v>
      </c>
      <c r="FC428" s="2">
        <f t="shared" ref="FC428:FD428" si="7132">BV428*$BT428+CQ428*$CO428</f>
        <v>0.19234067797301999</v>
      </c>
      <c r="FD428" s="2">
        <f t="shared" si="7132"/>
        <v>0</v>
      </c>
      <c r="FE428" s="2">
        <f t="shared" ref="FE428:FJ428" si="7133">(BX428*$BT428+CS428*$CO428)/100</f>
        <v>0</v>
      </c>
      <c r="FF428" s="2">
        <f t="shared" si="7133"/>
        <v>0</v>
      </c>
      <c r="FG428" s="2">
        <f t="shared" si="7133"/>
        <v>0</v>
      </c>
      <c r="FH428" s="2">
        <f t="shared" si="7133"/>
        <v>0</v>
      </c>
      <c r="FI428" s="2">
        <f t="shared" si="7133"/>
        <v>3.247375860273015E-3</v>
      </c>
      <c r="FJ428" s="2">
        <f t="shared" si="7133"/>
        <v>0</v>
      </c>
      <c r="FK428" s="2">
        <f t="shared" ref="FK428:FO428" si="7134">CD428*$BT428+CY428*$CO428</f>
        <v>6.1117400919942</v>
      </c>
      <c r="FL428" s="2">
        <f t="shared" si="7134"/>
        <v>5.6674729187826003</v>
      </c>
      <c r="FM428" s="2">
        <f t="shared" si="7134"/>
        <v>1.1937863239111199</v>
      </c>
      <c r="FN428" s="2">
        <f t="shared" si="7134"/>
        <v>0</v>
      </c>
      <c r="FO428" s="2">
        <f t="shared" si="7134"/>
        <v>0</v>
      </c>
      <c r="FP428" s="2">
        <f t="shared" ref="FP428:FQ428" si="7135">(CI428*$BT428+DD428*$CO428)/100</f>
        <v>0</v>
      </c>
      <c r="FQ428" s="2">
        <f t="shared" si="7135"/>
        <v>0</v>
      </c>
      <c r="FR428" s="2"/>
      <c r="FS428" s="2">
        <f t="shared" si="4388"/>
        <v>0</v>
      </c>
      <c r="FT428" s="2">
        <f t="shared" si="4389"/>
        <v>0</v>
      </c>
      <c r="FU428" s="39">
        <f t="shared" si="4390"/>
        <v>5.4953639205369527</v>
      </c>
      <c r="FV428" s="39">
        <f t="shared" ref="FV428:FW428" si="7136">FV$1*FC428/1000000</f>
        <v>7.8667955749736782</v>
      </c>
      <c r="FW428" s="39">
        <f t="shared" si="7136"/>
        <v>0</v>
      </c>
      <c r="FX428" s="39">
        <f t="shared" ref="FX428:GC428" si="7137">FX$1*FE428</f>
        <v>0</v>
      </c>
      <c r="FY428" s="39">
        <f t="shared" si="7137"/>
        <v>0</v>
      </c>
      <c r="FZ428" s="39">
        <f t="shared" si="7137"/>
        <v>0</v>
      </c>
      <c r="GA428" s="39">
        <f t="shared" si="7137"/>
        <v>0</v>
      </c>
      <c r="GB428" s="39">
        <f t="shared" si="7137"/>
        <v>42.586087031620316</v>
      </c>
      <c r="GC428" s="39">
        <f t="shared" si="7137"/>
        <v>0</v>
      </c>
      <c r="GD428" s="39">
        <f t="shared" ref="GD428:GH428" si="7138">GD$1*FK428/1000000</f>
        <v>173.45943760770416</v>
      </c>
      <c r="GE428" s="39">
        <f t="shared" si="7138"/>
        <v>188.87263528018812</v>
      </c>
      <c r="GF428" s="39">
        <f t="shared" si="7138"/>
        <v>85.419058090013351</v>
      </c>
      <c r="GG428" s="39">
        <f t="shared" si="7138"/>
        <v>0</v>
      </c>
      <c r="GH428" s="39">
        <f t="shared" si="7138"/>
        <v>0</v>
      </c>
      <c r="GI428" s="39">
        <f t="shared" ref="GI428:GJ428" si="7139">GI$1*FP428</f>
        <v>0</v>
      </c>
      <c r="GJ428" s="39">
        <f t="shared" si="7139"/>
        <v>0</v>
      </c>
      <c r="GK428" s="2"/>
      <c r="GL428" s="39">
        <f t="shared" si="4395"/>
        <v>0</v>
      </c>
      <c r="GM428" s="39">
        <f t="shared" si="4396"/>
        <v>0</v>
      </c>
      <c r="GN428" s="2" t="s">
        <v>3</v>
      </c>
      <c r="GO428" s="4">
        <f t="shared" si="4397"/>
        <v>4.0514049999999999</v>
      </c>
      <c r="GP428" s="4">
        <f t="shared" si="4398"/>
        <v>0.112402312176189</v>
      </c>
      <c r="GQ428" s="15">
        <f t="shared" si="4399"/>
        <v>4.5538728956217298</v>
      </c>
      <c r="GR428" s="15">
        <f t="shared" si="4400"/>
        <v>845.46457654339986</v>
      </c>
      <c r="GS428" s="15">
        <f t="shared" si="4401"/>
        <v>208.68429015203364</v>
      </c>
      <c r="GT428" s="2">
        <f t="shared" si="4402"/>
        <v>2.8392441887843942</v>
      </c>
      <c r="GU428" s="2">
        <f t="shared" si="4403"/>
        <v>1.714628706837336</v>
      </c>
      <c r="GV428" s="2">
        <f t="shared" si="4404"/>
        <v>0</v>
      </c>
      <c r="GW428" s="19">
        <f t="shared" si="4405"/>
        <v>2.889065</v>
      </c>
      <c r="GX428" s="4">
        <f t="shared" si="7072"/>
        <v>0.11240231217618901</v>
      </c>
      <c r="GY428" s="15">
        <f t="shared" si="7073"/>
        <v>3.2473758602730154</v>
      </c>
      <c r="GZ428" s="15">
        <f t="shared" si="7074"/>
        <v>503.69937750503652</v>
      </c>
      <c r="HA428" s="15">
        <f t="shared" si="7075"/>
        <v>174.34684837656354</v>
      </c>
      <c r="HB428" s="2">
        <f t="shared" si="4406"/>
        <v>2.1467571479524508</v>
      </c>
      <c r="HC428" s="2">
        <f t="shared" si="4407"/>
        <v>1.100618712320564</v>
      </c>
      <c r="HD428" s="2" t="s">
        <v>3</v>
      </c>
      <c r="HE428" s="2" t="s">
        <v>89</v>
      </c>
      <c r="HF428" s="2" t="s">
        <v>90</v>
      </c>
      <c r="HG428" s="2" t="s">
        <v>91</v>
      </c>
      <c r="HH428" s="2" t="s">
        <v>226</v>
      </c>
      <c r="HI428" s="2" t="s">
        <v>81</v>
      </c>
      <c r="HJ428" s="2" t="s">
        <v>3</v>
      </c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 t="s">
        <v>3</v>
      </c>
    </row>
    <row r="429" spans="1:268" ht="15.75" customHeight="1" x14ac:dyDescent="0.2">
      <c r="A429" s="16" t="s">
        <v>1168</v>
      </c>
      <c r="B429" s="2"/>
      <c r="C429" s="2"/>
      <c r="D429" s="2"/>
      <c r="E429" s="2"/>
      <c r="F429" s="2" t="s">
        <v>789</v>
      </c>
      <c r="G429" s="2"/>
      <c r="H429" s="2"/>
      <c r="I429" s="2">
        <v>294.75</v>
      </c>
      <c r="J429" s="4">
        <v>4.3032502120441053E-2</v>
      </c>
      <c r="K429" s="4">
        <v>0.12014079728583546</v>
      </c>
      <c r="L429" s="2"/>
      <c r="M429" s="2"/>
      <c r="N429" s="2"/>
      <c r="O429" s="2"/>
      <c r="P429" s="2"/>
      <c r="Q429" s="4">
        <v>8.6632111959287536E-2</v>
      </c>
      <c r="R429" s="2"/>
      <c r="S429" s="4">
        <v>2.0048532654792193</v>
      </c>
      <c r="T429" s="4">
        <v>1.2415368956743003</v>
      </c>
      <c r="U429" s="4">
        <v>0.28224088210347753</v>
      </c>
      <c r="V429" s="2"/>
      <c r="W429" s="2"/>
      <c r="X429" s="2"/>
      <c r="Y429" s="2"/>
      <c r="Z429" s="2"/>
      <c r="AA429" s="2"/>
      <c r="AB429" s="2"/>
      <c r="AC429" s="2"/>
      <c r="AD429" s="2">
        <v>141.86000000000001</v>
      </c>
      <c r="AE429" s="4">
        <v>4.6565007754123776E-2</v>
      </c>
      <c r="AF429" s="4">
        <v>0.14311292823910898</v>
      </c>
      <c r="AG429" s="2"/>
      <c r="AH429" s="2"/>
      <c r="AI429" s="2"/>
      <c r="AJ429" s="2"/>
      <c r="AK429" s="2"/>
      <c r="AL429" s="4">
        <v>0.1009392922599746</v>
      </c>
      <c r="AM429" s="2"/>
      <c r="AN429" s="4">
        <v>2.0430762723812204</v>
      </c>
      <c r="AO429" s="4">
        <v>1.2765289722261381</v>
      </c>
      <c r="AP429" s="4">
        <v>0.24998167207105595</v>
      </c>
      <c r="AQ429" s="2"/>
      <c r="AR429" s="2"/>
      <c r="AS429" s="2"/>
      <c r="AT429" s="2"/>
      <c r="AU429" s="2"/>
      <c r="AV429" s="2"/>
      <c r="AW429" s="2"/>
      <c r="AX429" s="2"/>
      <c r="AY429" s="2">
        <v>169.18</v>
      </c>
      <c r="AZ429" s="4">
        <v>4.0914954486345897E-2</v>
      </c>
      <c r="BA429" s="4">
        <v>0.12229223312448279</v>
      </c>
      <c r="BB429" s="2"/>
      <c r="BC429" s="2"/>
      <c r="BD429" s="2"/>
      <c r="BE429" s="2"/>
      <c r="BF429" s="2"/>
      <c r="BG429" s="4">
        <v>0.1023679985813926</v>
      </c>
      <c r="BH429" s="2"/>
      <c r="BI429" s="4">
        <v>2.0696607163967369</v>
      </c>
      <c r="BJ429" s="4">
        <v>1.3596607163967371</v>
      </c>
      <c r="BK429" s="4">
        <v>0.28424518264570281</v>
      </c>
      <c r="BL429" s="4"/>
      <c r="BM429" s="4"/>
      <c r="BN429" s="2"/>
      <c r="BO429" s="2"/>
      <c r="BP429" s="2"/>
      <c r="BQ429" s="2"/>
      <c r="BR429" s="2"/>
      <c r="BS429" s="2"/>
      <c r="BT429" s="2">
        <v>0</v>
      </c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>
        <v>0</v>
      </c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 t="s">
        <v>81</v>
      </c>
      <c r="DK429" s="2"/>
      <c r="DL429" s="2">
        <f t="shared" si="4367"/>
        <v>9.4377063008633355E-2</v>
      </c>
      <c r="DM429" s="2">
        <f t="shared" si="4368"/>
        <v>0</v>
      </c>
      <c r="DN429" s="2" t="s">
        <v>150</v>
      </c>
      <c r="DO429" s="2" t="s">
        <v>3</v>
      </c>
      <c r="DP429" s="2">
        <f t="shared" si="4369"/>
        <v>0.26211534000000003</v>
      </c>
      <c r="DQ429" s="2">
        <f t="shared" ref="DQ429:DR429" si="7140">K429*$I429+AF429*$AD429+BA429*$AY429</f>
        <v>76.402900000000017</v>
      </c>
      <c r="DR429" s="2">
        <f t="shared" si="7140"/>
        <v>0</v>
      </c>
      <c r="DS429" s="2">
        <f t="shared" ref="DS429:DX429" si="7141">(M429*$I429+AH429*$AD429+BC429*$AY429)/100</f>
        <v>0</v>
      </c>
      <c r="DT429" s="2">
        <f t="shared" si="7141"/>
        <v>0</v>
      </c>
      <c r="DU429" s="2">
        <f t="shared" si="7141"/>
        <v>0</v>
      </c>
      <c r="DV429" s="2">
        <f t="shared" si="7141"/>
        <v>0</v>
      </c>
      <c r="DW429" s="2">
        <f t="shared" si="7141"/>
        <v>0.57172680999999992</v>
      </c>
      <c r="DX429" s="2">
        <f t="shared" si="7141"/>
        <v>0</v>
      </c>
      <c r="DY429" s="2">
        <f t="shared" ref="DY429:EC429" si="7142">S429*$I429+AN429*$AD429+BI429*$AY429</f>
        <v>1230.9064999999996</v>
      </c>
      <c r="DZ429" s="2">
        <f t="shared" si="7142"/>
        <v>777.05880000000002</v>
      </c>
      <c r="EA429" s="2">
        <f t="shared" si="7142"/>
        <v>166.7415</v>
      </c>
      <c r="EB429" s="2">
        <f t="shared" si="7142"/>
        <v>0</v>
      </c>
      <c r="EC429" s="2">
        <f t="shared" si="7142"/>
        <v>0</v>
      </c>
      <c r="ED429" s="2">
        <f t="shared" ref="ED429:EE429" si="7143">(X429*$I429+AS429*$AD429+BN429*$AY429)/100</f>
        <v>0</v>
      </c>
      <c r="EE429" s="2">
        <f t="shared" si="7143"/>
        <v>0</v>
      </c>
      <c r="EF429" s="2"/>
      <c r="EG429" s="2">
        <f t="shared" si="4374"/>
        <v>0</v>
      </c>
      <c r="EH429" s="2">
        <f t="shared" si="4375"/>
        <v>0</v>
      </c>
      <c r="EI429" s="39">
        <f t="shared" si="4376"/>
        <v>1710.4640565494401</v>
      </c>
      <c r="EJ429" s="39">
        <f t="shared" ref="EJ429:EK429" si="7144">EJ$1*DQ429/1000000</f>
        <v>3124.9031768488749</v>
      </c>
      <c r="EK429" s="39">
        <f t="shared" si="7144"/>
        <v>0</v>
      </c>
      <c r="EL429" s="39">
        <f t="shared" ref="EL429:EQ429" si="7145">EL$1*DS429</f>
        <v>0</v>
      </c>
      <c r="EM429" s="39">
        <f t="shared" si="7145"/>
        <v>0</v>
      </c>
      <c r="EN429" s="39">
        <f t="shared" si="7145"/>
        <v>0</v>
      </c>
      <c r="EO429" s="39">
        <f t="shared" si="7145"/>
        <v>0</v>
      </c>
      <c r="EP429" s="39">
        <f t="shared" si="7145"/>
        <v>7497.6253863399988</v>
      </c>
      <c r="EQ429" s="39">
        <f t="shared" si="7145"/>
        <v>0</v>
      </c>
      <c r="ER429" s="39">
        <f t="shared" ref="ER429:EV429" si="7146">ER$1*DY429/1000000</f>
        <v>34934.788787459795</v>
      </c>
      <c r="ES429" s="39">
        <f t="shared" si="7146"/>
        <v>25896.046690803858</v>
      </c>
      <c r="ET429" s="39">
        <f t="shared" si="7146"/>
        <v>11930.863663987138</v>
      </c>
      <c r="EU429" s="39">
        <f t="shared" si="7146"/>
        <v>0</v>
      </c>
      <c r="EV429" s="39">
        <f t="shared" si="7146"/>
        <v>0</v>
      </c>
      <c r="EW429" s="39">
        <f t="shared" ref="EW429:EX429" si="7147">EW$1*ED429</f>
        <v>0</v>
      </c>
      <c r="EX429" s="39">
        <f t="shared" si="7147"/>
        <v>0</v>
      </c>
      <c r="EY429" s="2"/>
      <c r="EZ429" s="39">
        <f t="shared" si="4381"/>
        <v>0</v>
      </c>
      <c r="FA429" s="39">
        <f t="shared" si="4382"/>
        <v>0</v>
      </c>
      <c r="FB429" s="2">
        <f t="shared" si="4383"/>
        <v>0</v>
      </c>
      <c r="FC429" s="2">
        <f t="shared" ref="FC429:FD429" si="7148">BV429*$BT429+CQ429*$CO429</f>
        <v>0</v>
      </c>
      <c r="FD429" s="2">
        <f t="shared" si="7148"/>
        <v>0</v>
      </c>
      <c r="FE429" s="2">
        <f t="shared" ref="FE429:FJ429" si="7149">(BX429*$BT429+CS429*$CO429)/100</f>
        <v>0</v>
      </c>
      <c r="FF429" s="2">
        <f t="shared" si="7149"/>
        <v>0</v>
      </c>
      <c r="FG429" s="2">
        <f t="shared" si="7149"/>
        <v>0</v>
      </c>
      <c r="FH429" s="2">
        <f t="shared" si="7149"/>
        <v>0</v>
      </c>
      <c r="FI429" s="2">
        <f t="shared" si="7149"/>
        <v>0</v>
      </c>
      <c r="FJ429" s="2">
        <f t="shared" si="7149"/>
        <v>0</v>
      </c>
      <c r="FK429" s="2">
        <f t="shared" ref="FK429:FO429" si="7150">CD429*$BT429+CY429*$CO429</f>
        <v>0</v>
      </c>
      <c r="FL429" s="2">
        <f t="shared" si="7150"/>
        <v>0</v>
      </c>
      <c r="FM429" s="2">
        <f t="shared" si="7150"/>
        <v>0</v>
      </c>
      <c r="FN429" s="2">
        <f t="shared" si="7150"/>
        <v>0</v>
      </c>
      <c r="FO429" s="2">
        <f t="shared" si="7150"/>
        <v>0</v>
      </c>
      <c r="FP429" s="2">
        <f t="shared" ref="FP429:FQ429" si="7151">(CI429*$BT429+DD429*$CO429)/100</f>
        <v>0</v>
      </c>
      <c r="FQ429" s="2">
        <f t="shared" si="7151"/>
        <v>0</v>
      </c>
      <c r="FR429" s="2"/>
      <c r="FS429" s="2">
        <f t="shared" si="4388"/>
        <v>0</v>
      </c>
      <c r="FT429" s="2">
        <f t="shared" si="4389"/>
        <v>0</v>
      </c>
      <c r="FU429" s="39">
        <f t="shared" si="4390"/>
        <v>0</v>
      </c>
      <c r="FV429" s="39">
        <f t="shared" ref="FV429:FW429" si="7152">FV$1*FC429/1000000</f>
        <v>0</v>
      </c>
      <c r="FW429" s="39">
        <f t="shared" si="7152"/>
        <v>0</v>
      </c>
      <c r="FX429" s="39">
        <f t="shared" ref="FX429:GC429" si="7153">FX$1*FE429</f>
        <v>0</v>
      </c>
      <c r="FY429" s="39">
        <f t="shared" si="7153"/>
        <v>0</v>
      </c>
      <c r="FZ429" s="39">
        <f t="shared" si="7153"/>
        <v>0</v>
      </c>
      <c r="GA429" s="39">
        <f t="shared" si="7153"/>
        <v>0</v>
      </c>
      <c r="GB429" s="39">
        <f t="shared" si="7153"/>
        <v>0</v>
      </c>
      <c r="GC429" s="39">
        <f t="shared" si="7153"/>
        <v>0</v>
      </c>
      <c r="GD429" s="39">
        <f t="shared" ref="GD429:GH429" si="7154">GD$1*FK429/1000000</f>
        <v>0</v>
      </c>
      <c r="GE429" s="39">
        <f t="shared" si="7154"/>
        <v>0</v>
      </c>
      <c r="GF429" s="39">
        <f t="shared" si="7154"/>
        <v>0</v>
      </c>
      <c r="GG429" s="39">
        <f t="shared" si="7154"/>
        <v>0</v>
      </c>
      <c r="GH429" s="39">
        <f t="shared" si="7154"/>
        <v>0</v>
      </c>
      <c r="GI429" s="39">
        <f t="shared" ref="GI429:GJ429" si="7155">GI$1*FP429</f>
        <v>0</v>
      </c>
      <c r="GJ429" s="39">
        <f t="shared" si="7155"/>
        <v>0</v>
      </c>
      <c r="GK429" s="2"/>
      <c r="GL429" s="39">
        <f t="shared" si="4395"/>
        <v>0</v>
      </c>
      <c r="GM429" s="39">
        <f t="shared" si="4396"/>
        <v>0</v>
      </c>
      <c r="GN429" s="2" t="s">
        <v>3</v>
      </c>
      <c r="GO429" s="15">
        <f t="shared" si="4397"/>
        <v>605.79</v>
      </c>
      <c r="GP429" s="4">
        <f t="shared" si="4398"/>
        <v>9.4377063008633355E-2</v>
      </c>
      <c r="GQ429" s="15">
        <f t="shared" si="4399"/>
        <v>571.72681</v>
      </c>
      <c r="GR429" s="15">
        <f t="shared" si="4400"/>
        <v>85094.691761989117</v>
      </c>
      <c r="GS429" s="15">
        <f t="shared" si="4401"/>
        <v>140.46896079827849</v>
      </c>
      <c r="GT429" s="2">
        <f t="shared" si="4402"/>
        <v>255.34815000000003</v>
      </c>
      <c r="GU429" s="2">
        <f t="shared" si="4403"/>
        <v>143.19247999999999</v>
      </c>
      <c r="GV429" s="2">
        <f t="shared" si="4404"/>
        <v>173.18618000000004</v>
      </c>
      <c r="GW429" s="2">
        <f t="shared" si="4405"/>
        <v>0</v>
      </c>
      <c r="GX429" s="2"/>
      <c r="GY429" s="2"/>
      <c r="GZ429" s="2"/>
      <c r="HA429" s="2"/>
      <c r="HB429" s="2">
        <f t="shared" si="4406"/>
        <v>0</v>
      </c>
      <c r="HC429" s="2">
        <f t="shared" si="4407"/>
        <v>0</v>
      </c>
      <c r="HD429" s="2" t="s">
        <v>3</v>
      </c>
      <c r="HE429" s="2" t="s">
        <v>89</v>
      </c>
      <c r="HF429" s="2" t="s">
        <v>90</v>
      </c>
      <c r="HG429" s="2" t="s">
        <v>91</v>
      </c>
      <c r="HH429" s="2" t="s">
        <v>226</v>
      </c>
      <c r="HI429" s="2" t="s">
        <v>81</v>
      </c>
      <c r="HJ429" s="2" t="s">
        <v>3</v>
      </c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 t="s">
        <v>3</v>
      </c>
    </row>
    <row r="430" spans="1:268" ht="15.75" customHeight="1" x14ac:dyDescent="0.2">
      <c r="A430" s="16" t="s">
        <v>1239</v>
      </c>
      <c r="B430" s="2"/>
      <c r="C430" s="2"/>
      <c r="D430" s="2"/>
      <c r="E430" s="2"/>
      <c r="F430" s="2" t="s">
        <v>1240</v>
      </c>
      <c r="G430" s="2"/>
      <c r="H430" s="2"/>
      <c r="I430" s="2">
        <v>0</v>
      </c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>
        <v>61.099999999999994</v>
      </c>
      <c r="AE430" s="4">
        <v>8.7458246095301187E-2</v>
      </c>
      <c r="AF430" s="4">
        <v>0.28890223941080195</v>
      </c>
      <c r="AG430" s="2"/>
      <c r="AH430" s="2"/>
      <c r="AI430" s="2"/>
      <c r="AJ430" s="2"/>
      <c r="AK430" s="2"/>
      <c r="AL430" s="4">
        <v>0.18894714337318413</v>
      </c>
      <c r="AM430" s="2"/>
      <c r="AN430" s="4">
        <v>2.7475857590834698</v>
      </c>
      <c r="AO430" s="4">
        <v>1.5293176517184945</v>
      </c>
      <c r="AP430" s="4">
        <v>0.19084396783633389</v>
      </c>
      <c r="AQ430" s="2"/>
      <c r="AR430" s="2"/>
      <c r="AS430" s="2"/>
      <c r="AT430" s="2"/>
      <c r="AU430" s="2"/>
      <c r="AV430" s="2"/>
      <c r="AW430" s="2"/>
      <c r="AX430" s="2"/>
      <c r="AY430" s="2">
        <v>120.9</v>
      </c>
      <c r="AZ430" s="4">
        <v>5.5057684981245823E-2</v>
      </c>
      <c r="BA430" s="4">
        <v>0.18089215985111662</v>
      </c>
      <c r="BB430" s="2"/>
      <c r="BC430" s="2"/>
      <c r="BD430" s="2"/>
      <c r="BE430" s="2"/>
      <c r="BF430" s="2"/>
      <c r="BG430" s="4">
        <v>0.14641395292177414</v>
      </c>
      <c r="BH430" s="2"/>
      <c r="BI430" s="4">
        <v>2.7093271667493792</v>
      </c>
      <c r="BJ430" s="4">
        <v>1.9944255995037223</v>
      </c>
      <c r="BK430" s="4">
        <v>0.35366166300248142</v>
      </c>
      <c r="BL430" s="4"/>
      <c r="BM430" s="4"/>
      <c r="BN430" s="2"/>
      <c r="BO430" s="2"/>
      <c r="BP430" s="2"/>
      <c r="BQ430" s="2"/>
      <c r="BR430" s="2"/>
      <c r="BS430" s="2"/>
      <c r="BT430" s="2">
        <v>0</v>
      </c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>
        <v>0</v>
      </c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 t="s">
        <v>81</v>
      </c>
      <c r="DK430" s="2"/>
      <c r="DL430" s="2">
        <f t="shared" si="4367"/>
        <v>0.16069295257331892</v>
      </c>
      <c r="DM430" s="2">
        <f t="shared" si="4368"/>
        <v>0</v>
      </c>
      <c r="DN430" s="2" t="s">
        <v>211</v>
      </c>
      <c r="DO430" s="2" t="s">
        <v>3</v>
      </c>
      <c r="DP430" s="2">
        <f t="shared" si="4369"/>
        <v>0.12000172950655522</v>
      </c>
      <c r="DQ430" s="2">
        <f t="shared" ref="DQ430:DR430" si="7156">K430*$I430+AF430*$AD430+BA430*$AY430</f>
        <v>39.521788954000002</v>
      </c>
      <c r="DR430" s="2">
        <f t="shared" si="7156"/>
        <v>0</v>
      </c>
      <c r="DS430" s="2">
        <f t="shared" ref="DS430:DX430" si="7157">(M430*$I430+AH430*$AD430+BC430*$AY430)/100</f>
        <v>0</v>
      </c>
      <c r="DT430" s="2">
        <f t="shared" si="7157"/>
        <v>0</v>
      </c>
      <c r="DU430" s="2">
        <f t="shared" si="7157"/>
        <v>0</v>
      </c>
      <c r="DV430" s="2">
        <f t="shared" si="7157"/>
        <v>0</v>
      </c>
      <c r="DW430" s="2">
        <f t="shared" si="7157"/>
        <v>0.29246117368344043</v>
      </c>
      <c r="DX430" s="2">
        <f t="shared" si="7157"/>
        <v>0</v>
      </c>
      <c r="DY430" s="2">
        <f t="shared" ref="DY430:EC430" si="7158">S430*$I430+AN430*$AD430+BI430*$AY430</f>
        <v>495.43514433999997</v>
      </c>
      <c r="DZ430" s="2">
        <f t="shared" si="7158"/>
        <v>334.56736350000006</v>
      </c>
      <c r="EA430" s="2">
        <f t="shared" si="7158"/>
        <v>54.41826149180001</v>
      </c>
      <c r="EB430" s="2">
        <f t="shared" si="7158"/>
        <v>0</v>
      </c>
      <c r="EC430" s="2">
        <f t="shared" si="7158"/>
        <v>0</v>
      </c>
      <c r="ED430" s="2">
        <f t="shared" ref="ED430:EE430" si="7159">(X430*$I430+AS430*$AD430+BN430*$AY430)/100</f>
        <v>0</v>
      </c>
      <c r="EE430" s="2">
        <f t="shared" si="7159"/>
        <v>0</v>
      </c>
      <c r="EF430" s="2"/>
      <c r="EG430" s="2">
        <f t="shared" si="4374"/>
        <v>0</v>
      </c>
      <c r="EH430" s="2">
        <f t="shared" si="4375"/>
        <v>0</v>
      </c>
      <c r="EI430" s="39">
        <f t="shared" si="4376"/>
        <v>783.0852060956488</v>
      </c>
      <c r="EJ430" s="39">
        <f t="shared" ref="EJ430:EK430" si="7160">EJ$1*DQ430/1000000</f>
        <v>1616.4538761893245</v>
      </c>
      <c r="EK430" s="39">
        <f t="shared" si="7160"/>
        <v>0</v>
      </c>
      <c r="EL430" s="39">
        <f t="shared" ref="EL430:EQ430" si="7161">EL$1*DS430</f>
        <v>0</v>
      </c>
      <c r="EM430" s="39">
        <f t="shared" si="7161"/>
        <v>0</v>
      </c>
      <c r="EN430" s="39">
        <f t="shared" si="7161"/>
        <v>0</v>
      </c>
      <c r="EO430" s="39">
        <f t="shared" si="7161"/>
        <v>0</v>
      </c>
      <c r="EP430" s="39">
        <f t="shared" si="7161"/>
        <v>3835.3358316846379</v>
      </c>
      <c r="EQ430" s="39">
        <f t="shared" si="7161"/>
        <v>0</v>
      </c>
      <c r="ER430" s="39">
        <f t="shared" ref="ER430:EV430" si="7162">ER$1*DY430/1000000</f>
        <v>14061.118472769913</v>
      </c>
      <c r="ES430" s="39">
        <f t="shared" si="7162"/>
        <v>11149.699438980871</v>
      </c>
      <c r="ET430" s="39">
        <f t="shared" si="7162"/>
        <v>3893.7928391544237</v>
      </c>
      <c r="EU430" s="39">
        <f t="shared" si="7162"/>
        <v>0</v>
      </c>
      <c r="EV430" s="39">
        <f t="shared" si="7162"/>
        <v>0</v>
      </c>
      <c r="EW430" s="39">
        <f t="shared" ref="EW430:EX430" si="7163">EW$1*ED430</f>
        <v>0</v>
      </c>
      <c r="EX430" s="39">
        <f t="shared" si="7163"/>
        <v>0</v>
      </c>
      <c r="EY430" s="2"/>
      <c r="EZ430" s="39">
        <f t="shared" si="4381"/>
        <v>0</v>
      </c>
      <c r="FA430" s="39">
        <f t="shared" si="4382"/>
        <v>0</v>
      </c>
      <c r="FB430" s="2">
        <f t="shared" si="4383"/>
        <v>0</v>
      </c>
      <c r="FC430" s="2">
        <f t="shared" ref="FC430:FD430" si="7164">BV430*$BT430+CQ430*$CO430</f>
        <v>0</v>
      </c>
      <c r="FD430" s="2">
        <f t="shared" si="7164"/>
        <v>0</v>
      </c>
      <c r="FE430" s="2">
        <f t="shared" ref="FE430:FJ430" si="7165">(BX430*$BT430+CS430*$CO430)/100</f>
        <v>0</v>
      </c>
      <c r="FF430" s="2">
        <f t="shared" si="7165"/>
        <v>0</v>
      </c>
      <c r="FG430" s="2">
        <f t="shared" si="7165"/>
        <v>0</v>
      </c>
      <c r="FH430" s="2">
        <f t="shared" si="7165"/>
        <v>0</v>
      </c>
      <c r="FI430" s="2">
        <f t="shared" si="7165"/>
        <v>0</v>
      </c>
      <c r="FJ430" s="2">
        <f t="shared" si="7165"/>
        <v>0</v>
      </c>
      <c r="FK430" s="2">
        <f t="shared" ref="FK430:FO430" si="7166">CD430*$BT430+CY430*$CO430</f>
        <v>0</v>
      </c>
      <c r="FL430" s="2">
        <f t="shared" si="7166"/>
        <v>0</v>
      </c>
      <c r="FM430" s="2">
        <f t="shared" si="7166"/>
        <v>0</v>
      </c>
      <c r="FN430" s="2">
        <f t="shared" si="7166"/>
        <v>0</v>
      </c>
      <c r="FO430" s="2">
        <f t="shared" si="7166"/>
        <v>0</v>
      </c>
      <c r="FP430" s="2">
        <f t="shared" ref="FP430:FQ430" si="7167">(CI430*$BT430+DD430*$CO430)/100</f>
        <v>0</v>
      </c>
      <c r="FQ430" s="2">
        <f t="shared" si="7167"/>
        <v>0</v>
      </c>
      <c r="FR430" s="2"/>
      <c r="FS430" s="2">
        <f t="shared" si="4388"/>
        <v>0</v>
      </c>
      <c r="FT430" s="2">
        <f t="shared" si="4389"/>
        <v>0</v>
      </c>
      <c r="FU430" s="39">
        <f t="shared" si="4390"/>
        <v>0</v>
      </c>
      <c r="FV430" s="39">
        <f t="shared" ref="FV430:FW430" si="7168">FV$1*FC430/1000000</f>
        <v>0</v>
      </c>
      <c r="FW430" s="39">
        <f t="shared" si="7168"/>
        <v>0</v>
      </c>
      <c r="FX430" s="39">
        <f t="shared" ref="FX430:GC430" si="7169">FX$1*FE430</f>
        <v>0</v>
      </c>
      <c r="FY430" s="39">
        <f t="shared" si="7169"/>
        <v>0</v>
      </c>
      <c r="FZ430" s="39">
        <f t="shared" si="7169"/>
        <v>0</v>
      </c>
      <c r="GA430" s="39">
        <f t="shared" si="7169"/>
        <v>0</v>
      </c>
      <c r="GB430" s="39">
        <f t="shared" si="7169"/>
        <v>0</v>
      </c>
      <c r="GC430" s="39">
        <f t="shared" si="7169"/>
        <v>0</v>
      </c>
      <c r="GD430" s="39">
        <f t="shared" ref="GD430:GH430" si="7170">GD$1*FK430/1000000</f>
        <v>0</v>
      </c>
      <c r="GE430" s="39">
        <f t="shared" si="7170"/>
        <v>0</v>
      </c>
      <c r="GF430" s="39">
        <f t="shared" si="7170"/>
        <v>0</v>
      </c>
      <c r="GG430" s="39">
        <f t="shared" si="7170"/>
        <v>0</v>
      </c>
      <c r="GH430" s="39">
        <f t="shared" si="7170"/>
        <v>0</v>
      </c>
      <c r="GI430" s="39">
        <f t="shared" ref="GI430:GJ430" si="7171">GI$1*FP430</f>
        <v>0</v>
      </c>
      <c r="GJ430" s="39">
        <f t="shared" si="7171"/>
        <v>0</v>
      </c>
      <c r="GK430" s="2"/>
      <c r="GL430" s="39">
        <f t="shared" si="4395"/>
        <v>0</v>
      </c>
      <c r="GM430" s="39">
        <f t="shared" si="4396"/>
        <v>0</v>
      </c>
      <c r="GN430" s="2" t="s">
        <v>3</v>
      </c>
      <c r="GO430" s="2">
        <f t="shared" si="4397"/>
        <v>182</v>
      </c>
      <c r="GP430" s="4">
        <f t="shared" si="4398"/>
        <v>0.16069295257331892</v>
      </c>
      <c r="GQ430" s="15">
        <f t="shared" si="4399"/>
        <v>292.46117368344045</v>
      </c>
      <c r="GR430" s="15">
        <f t="shared" si="4400"/>
        <v>35339.485664874817</v>
      </c>
      <c r="GS430" s="15">
        <f t="shared" si="4401"/>
        <v>194.17299815865283</v>
      </c>
      <c r="GT430" s="2">
        <f t="shared" si="4402"/>
        <v>0</v>
      </c>
      <c r="GU430" s="2">
        <f t="shared" si="4403"/>
        <v>115.4467046010155</v>
      </c>
      <c r="GV430" s="2">
        <f t="shared" si="4404"/>
        <v>177.01446908242494</v>
      </c>
      <c r="GW430" s="2">
        <f t="shared" si="4405"/>
        <v>0</v>
      </c>
      <c r="GX430" s="2"/>
      <c r="GY430" s="2"/>
      <c r="GZ430" s="2"/>
      <c r="HA430" s="2"/>
      <c r="HB430" s="2">
        <f t="shared" si="4406"/>
        <v>0</v>
      </c>
      <c r="HC430" s="2">
        <f t="shared" si="4407"/>
        <v>0</v>
      </c>
      <c r="HD430" s="2" t="s">
        <v>3</v>
      </c>
      <c r="HE430" s="2" t="s">
        <v>89</v>
      </c>
      <c r="HF430" s="2" t="s">
        <v>90</v>
      </c>
      <c r="HG430" s="2" t="s">
        <v>91</v>
      </c>
      <c r="HH430" s="2" t="s">
        <v>226</v>
      </c>
      <c r="HI430" s="2" t="s">
        <v>81</v>
      </c>
      <c r="HJ430" s="2" t="s">
        <v>3</v>
      </c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 t="s">
        <v>3</v>
      </c>
    </row>
    <row r="431" spans="1:268" ht="15.75" customHeight="1" x14ac:dyDescent="0.2">
      <c r="A431" s="16" t="s">
        <v>1245</v>
      </c>
      <c r="B431" s="2"/>
      <c r="C431" s="2"/>
      <c r="D431" s="2"/>
      <c r="E431" s="2"/>
      <c r="F431" s="2" t="s">
        <v>483</v>
      </c>
      <c r="G431" s="2"/>
      <c r="H431" s="2"/>
      <c r="I431" s="2">
        <v>0</v>
      </c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>
        <v>0</v>
      </c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>
        <v>102.58000000000001</v>
      </c>
      <c r="AZ431" s="4">
        <v>5.881502879483657E-2</v>
      </c>
      <c r="BA431" s="4">
        <v>0.29610219536264376</v>
      </c>
      <c r="BB431" s="2"/>
      <c r="BC431" s="2"/>
      <c r="BD431" s="2"/>
      <c r="BE431" s="2"/>
      <c r="BF431" s="2"/>
      <c r="BG431" s="4">
        <v>0.15134633108190287</v>
      </c>
      <c r="BH431" s="2"/>
      <c r="BI431" s="4">
        <v>3.5279755133846753</v>
      </c>
      <c r="BJ431" s="4">
        <v>2.313827435143303</v>
      </c>
      <c r="BK431" s="4">
        <v>0.36416767315441601</v>
      </c>
      <c r="BL431" s="4"/>
      <c r="BM431" s="4"/>
      <c r="BN431" s="2"/>
      <c r="BO431" s="2"/>
      <c r="BP431" s="2"/>
      <c r="BQ431" s="2"/>
      <c r="BR431" s="2"/>
      <c r="BS431" s="2"/>
      <c r="BT431" s="2">
        <v>0</v>
      </c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>
        <v>0</v>
      </c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 t="s">
        <v>81</v>
      </c>
      <c r="DK431" s="2"/>
      <c r="DL431" s="2">
        <f t="shared" si="4367"/>
        <v>0.15134633108190287</v>
      </c>
      <c r="DM431" s="2">
        <f t="shared" si="4368"/>
        <v>0</v>
      </c>
      <c r="DN431" s="2" t="s">
        <v>1201</v>
      </c>
      <c r="DO431" s="2" t="s">
        <v>3</v>
      </c>
      <c r="DP431" s="2">
        <f t="shared" si="4369"/>
        <v>6.0332456537743356E-2</v>
      </c>
      <c r="DQ431" s="2">
        <f t="shared" ref="DQ431:DR431" si="7172">K431*$I431+AF431*$AD431+BA431*$AY431</f>
        <v>30.3741632003</v>
      </c>
      <c r="DR431" s="2">
        <f t="shared" si="7172"/>
        <v>0</v>
      </c>
      <c r="DS431" s="2">
        <f t="shared" ref="DS431:DX431" si="7173">(M431*$I431+AH431*$AD431+BC431*$AY431)/100</f>
        <v>0</v>
      </c>
      <c r="DT431" s="2">
        <f t="shared" si="7173"/>
        <v>0</v>
      </c>
      <c r="DU431" s="2">
        <f t="shared" si="7173"/>
        <v>0</v>
      </c>
      <c r="DV431" s="2">
        <f t="shared" si="7173"/>
        <v>0</v>
      </c>
      <c r="DW431" s="2">
        <f t="shared" si="7173"/>
        <v>0.155251066423816</v>
      </c>
      <c r="DX431" s="2">
        <f t="shared" si="7173"/>
        <v>0</v>
      </c>
      <c r="DY431" s="2">
        <f t="shared" ref="DY431:EC431" si="7174">S431*$I431+AN431*$AD431+BI431*$AY431</f>
        <v>361.89972816300002</v>
      </c>
      <c r="DZ431" s="2">
        <f t="shared" si="7174"/>
        <v>237.35241829700004</v>
      </c>
      <c r="EA431" s="2">
        <f t="shared" si="7174"/>
        <v>37.356319912179998</v>
      </c>
      <c r="EB431" s="2">
        <f t="shared" si="7174"/>
        <v>0</v>
      </c>
      <c r="EC431" s="2">
        <f t="shared" si="7174"/>
        <v>0</v>
      </c>
      <c r="ED431" s="2">
        <f t="shared" ref="ED431:EE431" si="7175">(X431*$I431+AS431*$AD431+BN431*$AY431)/100</f>
        <v>0</v>
      </c>
      <c r="EE431" s="2">
        <f t="shared" si="7175"/>
        <v>0</v>
      </c>
      <c r="EF431" s="2"/>
      <c r="EG431" s="2">
        <f t="shared" si="4374"/>
        <v>0</v>
      </c>
      <c r="EH431" s="2">
        <f t="shared" si="4375"/>
        <v>0</v>
      </c>
      <c r="EI431" s="39">
        <f t="shared" si="4376"/>
        <v>393.70644370200267</v>
      </c>
      <c r="EJ431" s="39">
        <f t="shared" ref="EJ431:EK431" si="7176">EJ$1*DQ431/1000000</f>
        <v>1242.3130415042315</v>
      </c>
      <c r="EK431" s="39">
        <f t="shared" si="7176"/>
        <v>0</v>
      </c>
      <c r="EL431" s="39">
        <f t="shared" ref="EL431:EQ431" si="7177">EL$1*DS431</f>
        <v>0</v>
      </c>
      <c r="EM431" s="39">
        <f t="shared" si="7177"/>
        <v>0</v>
      </c>
      <c r="EN431" s="39">
        <f t="shared" si="7177"/>
        <v>0</v>
      </c>
      <c r="EO431" s="39">
        <f t="shared" si="7177"/>
        <v>0</v>
      </c>
      <c r="EP431" s="39">
        <f t="shared" si="7177"/>
        <v>2035.962485081923</v>
      </c>
      <c r="EQ431" s="39">
        <f t="shared" si="7177"/>
        <v>0</v>
      </c>
      <c r="ER431" s="39">
        <f t="shared" ref="ER431:EV431" si="7178">ER$1*DY431/1000000</f>
        <v>10271.203024448667</v>
      </c>
      <c r="ES431" s="39">
        <f t="shared" si="7178"/>
        <v>7909.9410577350409</v>
      </c>
      <c r="ET431" s="39">
        <f t="shared" si="7178"/>
        <v>2672.9588006615486</v>
      </c>
      <c r="EU431" s="39">
        <f t="shared" si="7178"/>
        <v>0</v>
      </c>
      <c r="EV431" s="39">
        <f t="shared" si="7178"/>
        <v>0</v>
      </c>
      <c r="EW431" s="39">
        <f t="shared" ref="EW431:EX431" si="7179">EW$1*ED431</f>
        <v>0</v>
      </c>
      <c r="EX431" s="39">
        <f t="shared" si="7179"/>
        <v>0</v>
      </c>
      <c r="EY431" s="2"/>
      <c r="EZ431" s="39">
        <f t="shared" si="4381"/>
        <v>0</v>
      </c>
      <c r="FA431" s="39">
        <f t="shared" si="4382"/>
        <v>0</v>
      </c>
      <c r="FB431" s="2">
        <f t="shared" si="4383"/>
        <v>0</v>
      </c>
      <c r="FC431" s="2">
        <f t="shared" ref="FC431:FD431" si="7180">BV431*$BT431+CQ431*$CO431</f>
        <v>0</v>
      </c>
      <c r="FD431" s="2">
        <f t="shared" si="7180"/>
        <v>0</v>
      </c>
      <c r="FE431" s="2">
        <f t="shared" ref="FE431:FJ431" si="7181">(BX431*$BT431+CS431*$CO431)/100</f>
        <v>0</v>
      </c>
      <c r="FF431" s="2">
        <f t="shared" si="7181"/>
        <v>0</v>
      </c>
      <c r="FG431" s="2">
        <f t="shared" si="7181"/>
        <v>0</v>
      </c>
      <c r="FH431" s="2">
        <f t="shared" si="7181"/>
        <v>0</v>
      </c>
      <c r="FI431" s="2">
        <f t="shared" si="7181"/>
        <v>0</v>
      </c>
      <c r="FJ431" s="2">
        <f t="shared" si="7181"/>
        <v>0</v>
      </c>
      <c r="FK431" s="2">
        <f t="shared" ref="FK431:FO431" si="7182">CD431*$BT431+CY431*$CO431</f>
        <v>0</v>
      </c>
      <c r="FL431" s="2">
        <f t="shared" si="7182"/>
        <v>0</v>
      </c>
      <c r="FM431" s="2">
        <f t="shared" si="7182"/>
        <v>0</v>
      </c>
      <c r="FN431" s="2">
        <f t="shared" si="7182"/>
        <v>0</v>
      </c>
      <c r="FO431" s="2">
        <f t="shared" si="7182"/>
        <v>0</v>
      </c>
      <c r="FP431" s="2">
        <f t="shared" ref="FP431:FQ431" si="7183">(CI431*$BT431+DD431*$CO431)/100</f>
        <v>0</v>
      </c>
      <c r="FQ431" s="2">
        <f t="shared" si="7183"/>
        <v>0</v>
      </c>
      <c r="FR431" s="2"/>
      <c r="FS431" s="2">
        <f t="shared" si="4388"/>
        <v>0</v>
      </c>
      <c r="FT431" s="2">
        <f t="shared" si="4389"/>
        <v>0</v>
      </c>
      <c r="FU431" s="39">
        <f t="shared" si="4390"/>
        <v>0</v>
      </c>
      <c r="FV431" s="39">
        <f t="shared" ref="FV431:FW431" si="7184">FV$1*FC431/1000000</f>
        <v>0</v>
      </c>
      <c r="FW431" s="39">
        <f t="shared" si="7184"/>
        <v>0</v>
      </c>
      <c r="FX431" s="39">
        <f t="shared" ref="FX431:GC431" si="7185">FX$1*FE431</f>
        <v>0</v>
      </c>
      <c r="FY431" s="39">
        <f t="shared" si="7185"/>
        <v>0</v>
      </c>
      <c r="FZ431" s="39">
        <f t="shared" si="7185"/>
        <v>0</v>
      </c>
      <c r="GA431" s="39">
        <f t="shared" si="7185"/>
        <v>0</v>
      </c>
      <c r="GB431" s="39">
        <f t="shared" si="7185"/>
        <v>0</v>
      </c>
      <c r="GC431" s="39">
        <f t="shared" si="7185"/>
        <v>0</v>
      </c>
      <c r="GD431" s="39">
        <f t="shared" ref="GD431:GH431" si="7186">GD$1*FK431/1000000</f>
        <v>0</v>
      </c>
      <c r="GE431" s="39">
        <f t="shared" si="7186"/>
        <v>0</v>
      </c>
      <c r="GF431" s="39">
        <f t="shared" si="7186"/>
        <v>0</v>
      </c>
      <c r="GG431" s="39">
        <f t="shared" si="7186"/>
        <v>0</v>
      </c>
      <c r="GH431" s="39">
        <f t="shared" si="7186"/>
        <v>0</v>
      </c>
      <c r="GI431" s="39">
        <f t="shared" ref="GI431:GJ431" si="7187">GI$1*FP431</f>
        <v>0</v>
      </c>
      <c r="GJ431" s="39">
        <f t="shared" si="7187"/>
        <v>0</v>
      </c>
      <c r="GK431" s="2"/>
      <c r="GL431" s="39">
        <f t="shared" si="4395"/>
        <v>0</v>
      </c>
      <c r="GM431" s="39">
        <f t="shared" si="4396"/>
        <v>0</v>
      </c>
      <c r="GN431" s="2" t="s">
        <v>3</v>
      </c>
      <c r="GO431" s="15">
        <f t="shared" si="4397"/>
        <v>102.58000000000001</v>
      </c>
      <c r="GP431" s="4">
        <f t="shared" si="4398"/>
        <v>0.15134633108190287</v>
      </c>
      <c r="GQ431" s="15">
        <f t="shared" si="4399"/>
        <v>155.25106642381598</v>
      </c>
      <c r="GR431" s="15">
        <f t="shared" si="4400"/>
        <v>24526.084853133416</v>
      </c>
      <c r="GS431" s="15">
        <f t="shared" si="4401"/>
        <v>239.09226801650823</v>
      </c>
      <c r="GT431" s="2">
        <f t="shared" si="4402"/>
        <v>0</v>
      </c>
      <c r="GU431" s="2">
        <f t="shared" si="4403"/>
        <v>0</v>
      </c>
      <c r="GV431" s="2">
        <f t="shared" si="4404"/>
        <v>155.25106642381598</v>
      </c>
      <c r="GW431" s="2">
        <f t="shared" si="4405"/>
        <v>0</v>
      </c>
      <c r="GX431" s="2"/>
      <c r="GY431" s="2"/>
      <c r="GZ431" s="2"/>
      <c r="HA431" s="2"/>
      <c r="HB431" s="2">
        <f t="shared" si="4406"/>
        <v>0</v>
      </c>
      <c r="HC431" s="2">
        <f t="shared" si="4407"/>
        <v>0</v>
      </c>
      <c r="HD431" s="2" t="s">
        <v>3</v>
      </c>
      <c r="HE431" s="2" t="s">
        <v>89</v>
      </c>
      <c r="HF431" s="2" t="s">
        <v>90</v>
      </c>
      <c r="HG431" s="2" t="s">
        <v>91</v>
      </c>
      <c r="HH431" s="2" t="s">
        <v>226</v>
      </c>
      <c r="HI431" s="2" t="s">
        <v>81</v>
      </c>
      <c r="HJ431" s="2" t="s">
        <v>3</v>
      </c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 t="s">
        <v>3</v>
      </c>
    </row>
    <row r="432" spans="1:268" ht="15.75" customHeight="1" x14ac:dyDescent="0.2">
      <c r="A432" s="16" t="s">
        <v>1250</v>
      </c>
      <c r="B432" s="2"/>
      <c r="C432" s="2"/>
      <c r="D432" s="2"/>
      <c r="E432" s="2"/>
      <c r="F432" s="2" t="s">
        <v>145</v>
      </c>
      <c r="G432" s="2"/>
      <c r="H432" s="2"/>
      <c r="I432" s="2">
        <v>103</v>
      </c>
      <c r="J432" s="4">
        <v>5.8194174757281551E-2</v>
      </c>
      <c r="K432" s="4">
        <v>0.20959168932038835</v>
      </c>
      <c r="L432" s="2"/>
      <c r="M432" s="2"/>
      <c r="N432" s="2"/>
      <c r="O432" s="2"/>
      <c r="P432" s="2"/>
      <c r="Q432" s="4">
        <v>0.19229126213592229</v>
      </c>
      <c r="R432" s="2"/>
      <c r="S432" s="4">
        <v>2.7261865631067961</v>
      </c>
      <c r="T432" s="4">
        <v>2.2912988932038836</v>
      </c>
      <c r="U432" s="4">
        <v>0.33927236893203883</v>
      </c>
      <c r="V432" s="2"/>
      <c r="W432" s="2"/>
      <c r="X432" s="15">
        <v>8.9221948800320696</v>
      </c>
      <c r="Y432" s="2"/>
      <c r="Z432" s="2"/>
      <c r="AA432" s="2"/>
      <c r="AB432" s="2"/>
      <c r="AC432" s="2"/>
      <c r="AD432" s="2">
        <v>232.7</v>
      </c>
      <c r="AE432" s="4">
        <v>5.2509669101847872E-2</v>
      </c>
      <c r="AF432" s="4">
        <v>0.19100296519123336</v>
      </c>
      <c r="AG432" s="2"/>
      <c r="AH432" s="2"/>
      <c r="AI432" s="2"/>
      <c r="AJ432" s="2"/>
      <c r="AK432" s="2"/>
      <c r="AL432" s="4">
        <v>0.18376450365277183</v>
      </c>
      <c r="AM432" s="2"/>
      <c r="AN432" s="4">
        <v>2.6991925569402664</v>
      </c>
      <c r="AO432" s="4">
        <v>2.3906270777825527</v>
      </c>
      <c r="AP432" s="4">
        <v>0.36400335625268587</v>
      </c>
      <c r="AQ432" s="2"/>
      <c r="AR432" s="2"/>
      <c r="AS432" s="15">
        <v>10.51681683583355</v>
      </c>
      <c r="AT432" s="2"/>
      <c r="AU432" s="2"/>
      <c r="AV432" s="2"/>
      <c r="AW432" s="2"/>
      <c r="AX432" s="2"/>
      <c r="AY432" s="2">
        <v>313.89999999999998</v>
      </c>
      <c r="AZ432" s="4">
        <v>6.1672507167887858E-2</v>
      </c>
      <c r="BA432" s="4">
        <v>0.23878112774769036</v>
      </c>
      <c r="BB432" s="2"/>
      <c r="BC432" s="2"/>
      <c r="BD432" s="2"/>
      <c r="BE432" s="2"/>
      <c r="BF432" s="2"/>
      <c r="BG432" s="4">
        <v>0.19750876075183177</v>
      </c>
      <c r="BH432" s="2"/>
      <c r="BI432" s="4">
        <v>2.8097183816502067</v>
      </c>
      <c r="BJ432" s="4">
        <v>2.1932789614526915</v>
      </c>
      <c r="BK432" s="4">
        <v>0.31093895508123603</v>
      </c>
      <c r="BL432" s="4"/>
      <c r="BM432" s="4"/>
      <c r="BN432" s="15">
        <v>7.9464503619090516</v>
      </c>
      <c r="BO432" s="2"/>
      <c r="BP432" s="2"/>
      <c r="BQ432" s="2"/>
      <c r="BR432" s="2"/>
      <c r="BS432" s="2"/>
      <c r="BT432" s="2">
        <v>0</v>
      </c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>
        <v>0</v>
      </c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 t="s">
        <v>81</v>
      </c>
      <c r="DK432" s="2"/>
      <c r="DL432" s="2">
        <f t="shared" si="4367"/>
        <v>0.19175800492610839</v>
      </c>
      <c r="DM432" s="2">
        <f t="shared" si="4368"/>
        <v>0</v>
      </c>
      <c r="DN432" s="2" t="s">
        <v>95</v>
      </c>
      <c r="DO432" s="2" t="s">
        <v>3</v>
      </c>
      <c r="DP432" s="2">
        <f t="shared" si="4369"/>
        <v>0.37572000000000005</v>
      </c>
      <c r="DQ432" s="2">
        <f t="shared" ref="DQ432:DR432" si="7188">K432*$I432+AF432*$AD432+BA432*$AY432</f>
        <v>140.98773</v>
      </c>
      <c r="DR432" s="2">
        <f t="shared" si="7188"/>
        <v>0</v>
      </c>
      <c r="DS432" s="2">
        <f t="shared" ref="DS432:DX432" si="7189">(M432*$I432+AH432*$AD432+BC432*$AY432)/100</f>
        <v>0</v>
      </c>
      <c r="DT432" s="2">
        <f t="shared" si="7189"/>
        <v>0</v>
      </c>
      <c r="DU432" s="2">
        <f t="shared" si="7189"/>
        <v>0</v>
      </c>
      <c r="DV432" s="2">
        <f t="shared" si="7189"/>
        <v>0</v>
      </c>
      <c r="DW432" s="2">
        <f t="shared" si="7189"/>
        <v>1.24566</v>
      </c>
      <c r="DX432" s="2">
        <f t="shared" si="7189"/>
        <v>0</v>
      </c>
      <c r="DY432" s="2">
        <f t="shared" ref="DY432:EC432" si="7190">S432*$I432+AN432*$AD432+BI432*$AY432</f>
        <v>1790.8699239999999</v>
      </c>
      <c r="DZ432" s="2">
        <f t="shared" si="7190"/>
        <v>1480.7729729999996</v>
      </c>
      <c r="EA432" s="2">
        <f t="shared" si="7190"/>
        <v>217.25237299999998</v>
      </c>
      <c r="EB432" s="2">
        <f t="shared" si="7190"/>
        <v>0</v>
      </c>
      <c r="EC432" s="2">
        <f t="shared" si="7190"/>
        <v>0</v>
      </c>
      <c r="ED432" s="2">
        <f t="shared" ref="ED432:EE432" si="7191">(X432*$I432+AS432*$AD432+BN432*$AY432)/100</f>
        <v>58.60640118945021</v>
      </c>
      <c r="EE432" s="2">
        <f t="shared" si="7191"/>
        <v>0</v>
      </c>
      <c r="EF432" s="2"/>
      <c r="EG432" s="2">
        <f t="shared" si="4374"/>
        <v>0</v>
      </c>
      <c r="EH432" s="2">
        <f t="shared" si="4375"/>
        <v>0</v>
      </c>
      <c r="EI432" s="39">
        <f t="shared" si="4376"/>
        <v>2451.8044435200004</v>
      </c>
      <c r="EJ432" s="39">
        <f t="shared" ref="EJ432:EK432" si="7192">EJ$1*DQ432/1000000</f>
        <v>5766.4434906752404</v>
      </c>
      <c r="EK432" s="39">
        <f t="shared" si="7192"/>
        <v>0</v>
      </c>
      <c r="EL432" s="39">
        <f t="shared" ref="EL432:EQ432" si="7193">EL$1*DS432</f>
        <v>0</v>
      </c>
      <c r="EM432" s="39">
        <f t="shared" si="7193"/>
        <v>0</v>
      </c>
      <c r="EN432" s="39">
        <f t="shared" si="7193"/>
        <v>0</v>
      </c>
      <c r="EO432" s="39">
        <f t="shared" si="7193"/>
        <v>0</v>
      </c>
      <c r="EP432" s="39">
        <f t="shared" si="7193"/>
        <v>16335.58524</v>
      </c>
      <c r="EQ432" s="39">
        <f t="shared" si="7193"/>
        <v>0</v>
      </c>
      <c r="ER432" s="39">
        <f t="shared" ref="ER432:EV432" si="7194">ER$1*DY432/1000000</f>
        <v>50827.306981281014</v>
      </c>
      <c r="ES432" s="39">
        <f t="shared" si="7194"/>
        <v>49347.830623999675</v>
      </c>
      <c r="ET432" s="39">
        <f t="shared" si="7194"/>
        <v>15545.070920800645</v>
      </c>
      <c r="EU432" s="39">
        <f t="shared" si="7194"/>
        <v>0</v>
      </c>
      <c r="EV432" s="39">
        <f t="shared" si="7194"/>
        <v>0</v>
      </c>
      <c r="EW432" s="39">
        <f t="shared" ref="EW432:EX432" si="7195">EW$1*ED432</f>
        <v>16351.185931856609</v>
      </c>
      <c r="EX432" s="39">
        <f t="shared" si="7195"/>
        <v>0</v>
      </c>
      <c r="EY432" s="2"/>
      <c r="EZ432" s="39">
        <f t="shared" si="4381"/>
        <v>0</v>
      </c>
      <c r="FA432" s="39">
        <f t="shared" si="4382"/>
        <v>0</v>
      </c>
      <c r="FB432" s="2">
        <f t="shared" si="4383"/>
        <v>0</v>
      </c>
      <c r="FC432" s="2">
        <f t="shared" ref="FC432:FD432" si="7196">BV432*$BT432+CQ432*$CO432</f>
        <v>0</v>
      </c>
      <c r="FD432" s="2">
        <f t="shared" si="7196"/>
        <v>0</v>
      </c>
      <c r="FE432" s="2">
        <f t="shared" ref="FE432:FJ432" si="7197">(BX432*$BT432+CS432*$CO432)/100</f>
        <v>0</v>
      </c>
      <c r="FF432" s="2">
        <f t="shared" si="7197"/>
        <v>0</v>
      </c>
      <c r="FG432" s="2">
        <f t="shared" si="7197"/>
        <v>0</v>
      </c>
      <c r="FH432" s="2">
        <f t="shared" si="7197"/>
        <v>0</v>
      </c>
      <c r="FI432" s="2">
        <f t="shared" si="7197"/>
        <v>0</v>
      </c>
      <c r="FJ432" s="2">
        <f t="shared" si="7197"/>
        <v>0</v>
      </c>
      <c r="FK432" s="2">
        <f t="shared" ref="FK432:FO432" si="7198">CD432*$BT432+CY432*$CO432</f>
        <v>0</v>
      </c>
      <c r="FL432" s="2">
        <f t="shared" si="7198"/>
        <v>0</v>
      </c>
      <c r="FM432" s="2">
        <f t="shared" si="7198"/>
        <v>0</v>
      </c>
      <c r="FN432" s="2">
        <f t="shared" si="7198"/>
        <v>0</v>
      </c>
      <c r="FO432" s="2">
        <f t="shared" si="7198"/>
        <v>0</v>
      </c>
      <c r="FP432" s="2">
        <f t="shared" ref="FP432:FQ432" si="7199">(CI432*$BT432+DD432*$CO432)/100</f>
        <v>0</v>
      </c>
      <c r="FQ432" s="2">
        <f t="shared" si="7199"/>
        <v>0</v>
      </c>
      <c r="FR432" s="2"/>
      <c r="FS432" s="2">
        <f t="shared" si="4388"/>
        <v>0</v>
      </c>
      <c r="FT432" s="2">
        <f t="shared" si="4389"/>
        <v>0</v>
      </c>
      <c r="FU432" s="39">
        <f t="shared" si="4390"/>
        <v>0</v>
      </c>
      <c r="FV432" s="39">
        <f t="shared" ref="FV432:FW432" si="7200">FV$1*FC432/1000000</f>
        <v>0</v>
      </c>
      <c r="FW432" s="39">
        <f t="shared" si="7200"/>
        <v>0</v>
      </c>
      <c r="FX432" s="39">
        <f t="shared" ref="FX432:GC432" si="7201">FX$1*FE432</f>
        <v>0</v>
      </c>
      <c r="FY432" s="39">
        <f t="shared" si="7201"/>
        <v>0</v>
      </c>
      <c r="FZ432" s="39">
        <f t="shared" si="7201"/>
        <v>0</v>
      </c>
      <c r="GA432" s="39">
        <f t="shared" si="7201"/>
        <v>0</v>
      </c>
      <c r="GB432" s="39">
        <f t="shared" si="7201"/>
        <v>0</v>
      </c>
      <c r="GC432" s="39">
        <f t="shared" si="7201"/>
        <v>0</v>
      </c>
      <c r="GD432" s="39">
        <f t="shared" ref="GD432:GH432" si="7202">GD$1*FK432/1000000</f>
        <v>0</v>
      </c>
      <c r="GE432" s="39">
        <f t="shared" si="7202"/>
        <v>0</v>
      </c>
      <c r="GF432" s="39">
        <f t="shared" si="7202"/>
        <v>0</v>
      </c>
      <c r="GG432" s="39">
        <f t="shared" si="7202"/>
        <v>0</v>
      </c>
      <c r="GH432" s="39">
        <f t="shared" si="7202"/>
        <v>0</v>
      </c>
      <c r="GI432" s="39">
        <f t="shared" ref="GI432:GJ432" si="7203">GI$1*FP432</f>
        <v>0</v>
      </c>
      <c r="GJ432" s="39">
        <f t="shared" si="7203"/>
        <v>0</v>
      </c>
      <c r="GK432" s="2"/>
      <c r="GL432" s="39">
        <f t="shared" si="4395"/>
        <v>0</v>
      </c>
      <c r="GM432" s="39">
        <f t="shared" si="4396"/>
        <v>0</v>
      </c>
      <c r="GN432" s="2" t="s">
        <v>3</v>
      </c>
      <c r="GO432" s="2">
        <f t="shared" si="4397"/>
        <v>649.59999999999991</v>
      </c>
      <c r="GP432" s="4">
        <f t="shared" si="4398"/>
        <v>0.19175800492610839</v>
      </c>
      <c r="GQ432" s="15">
        <f t="shared" si="4399"/>
        <v>1245.6599999999999</v>
      </c>
      <c r="GR432" s="15">
        <f t="shared" si="4400"/>
        <v>156625.22763213317</v>
      </c>
      <c r="GS432" s="15">
        <f t="shared" si="4401"/>
        <v>241.11026421202772</v>
      </c>
      <c r="GT432" s="2">
        <f t="shared" si="4402"/>
        <v>198.05999999999997</v>
      </c>
      <c r="GU432" s="2">
        <f t="shared" si="4403"/>
        <v>427.62</v>
      </c>
      <c r="GV432" s="2">
        <f t="shared" si="4404"/>
        <v>619.9799999999999</v>
      </c>
      <c r="GW432" s="2">
        <f t="shared" si="4405"/>
        <v>0</v>
      </c>
      <c r="GX432" s="2"/>
      <c r="GY432" s="2"/>
      <c r="GZ432" s="2"/>
      <c r="HA432" s="2"/>
      <c r="HB432" s="2">
        <f t="shared" si="4406"/>
        <v>0</v>
      </c>
      <c r="HC432" s="2">
        <f t="shared" si="4407"/>
        <v>0</v>
      </c>
      <c r="HD432" s="2" t="s">
        <v>3</v>
      </c>
      <c r="HE432" s="2" t="s">
        <v>89</v>
      </c>
      <c r="HF432" s="2" t="s">
        <v>90</v>
      </c>
      <c r="HG432" s="2" t="s">
        <v>91</v>
      </c>
      <c r="HH432" s="2" t="s">
        <v>226</v>
      </c>
      <c r="HI432" s="2" t="s">
        <v>81</v>
      </c>
      <c r="HJ432" s="2" t="s">
        <v>3</v>
      </c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 t="s">
        <v>3</v>
      </c>
    </row>
    <row r="433" spans="1:268" ht="15.75" customHeight="1" x14ac:dyDescent="0.2">
      <c r="A433" s="16" t="s">
        <v>1251</v>
      </c>
      <c r="B433" s="2"/>
      <c r="C433" s="2"/>
      <c r="D433" s="2"/>
      <c r="E433" s="2"/>
      <c r="F433" s="2" t="s">
        <v>1252</v>
      </c>
      <c r="G433" s="2"/>
      <c r="H433" s="2"/>
      <c r="I433" s="2">
        <v>13.11</v>
      </c>
      <c r="J433" s="4">
        <v>0.01</v>
      </c>
      <c r="K433" s="4">
        <v>4.9499999999999995E-2</v>
      </c>
      <c r="L433" s="2"/>
      <c r="M433" s="2"/>
      <c r="N433" s="2"/>
      <c r="O433" s="2"/>
      <c r="P433" s="2"/>
      <c r="Q433" s="4">
        <v>0.04</v>
      </c>
      <c r="R433" s="2"/>
      <c r="S433" s="4">
        <v>2.5465</v>
      </c>
      <c r="T433" s="4">
        <v>1.5784999999999998</v>
      </c>
      <c r="U433" s="4">
        <v>0.47850000000000004</v>
      </c>
      <c r="V433" s="4">
        <v>0.63800000000000001</v>
      </c>
      <c r="W433" s="4">
        <v>0.20349999999999999</v>
      </c>
      <c r="X433" s="2"/>
      <c r="Y433" s="2"/>
      <c r="Z433" s="2"/>
      <c r="AA433" s="2"/>
      <c r="AB433" s="2"/>
      <c r="AC433" s="2"/>
      <c r="AD433" s="2">
        <v>155.06</v>
      </c>
      <c r="AE433" s="4">
        <v>4.3857861472978203E-2</v>
      </c>
      <c r="AF433" s="4">
        <v>0.12632297304269313</v>
      </c>
      <c r="AG433" s="2"/>
      <c r="AH433" s="2"/>
      <c r="AI433" s="2"/>
      <c r="AJ433" s="2"/>
      <c r="AK433" s="2"/>
      <c r="AL433" s="4">
        <v>8.8368373532826019E-2</v>
      </c>
      <c r="AM433" s="2"/>
      <c r="AN433" s="4">
        <v>2.2150174216432346</v>
      </c>
      <c r="AO433" s="4">
        <v>1.2995340423062036</v>
      </c>
      <c r="AP433" s="4">
        <v>0.30459298723074935</v>
      </c>
      <c r="AQ433" s="4">
        <v>0.44705007609957437</v>
      </c>
      <c r="AR433" s="4">
        <v>0.12693988520572683</v>
      </c>
      <c r="AS433" s="2"/>
      <c r="AT433" s="2"/>
      <c r="AU433" s="2"/>
      <c r="AV433" s="2"/>
      <c r="AW433" s="2"/>
      <c r="AX433" s="2"/>
      <c r="AY433" s="2">
        <v>185.09</v>
      </c>
      <c r="AZ433" s="4">
        <v>5.5253660381436059E-2</v>
      </c>
      <c r="BA433" s="4">
        <v>0.15902118915122371</v>
      </c>
      <c r="BB433" s="2"/>
      <c r="BC433" s="2"/>
      <c r="BD433" s="2"/>
      <c r="BE433" s="2"/>
      <c r="BF433" s="2"/>
      <c r="BG433" s="4">
        <v>9.6567075476795092E-2</v>
      </c>
      <c r="BH433" s="2"/>
      <c r="BI433" s="4">
        <v>2.3311177443405913</v>
      </c>
      <c r="BJ433" s="4">
        <v>1.3446340790966558</v>
      </c>
      <c r="BK433" s="4">
        <v>0.28560171646226157</v>
      </c>
      <c r="BL433" s="4">
        <v>0.43669055918742239</v>
      </c>
      <c r="BM433" s="4">
        <v>0.11791272732184342</v>
      </c>
      <c r="BN433" s="2"/>
      <c r="BO433" s="2"/>
      <c r="BP433" s="2"/>
      <c r="BQ433" s="2"/>
      <c r="BR433" s="2"/>
      <c r="BS433" s="2"/>
      <c r="BT433" s="2">
        <v>8.2899999999999991</v>
      </c>
      <c r="BU433" s="4">
        <v>0.01</v>
      </c>
      <c r="BV433" s="4">
        <v>3.2489999999999998E-2</v>
      </c>
      <c r="BW433" s="2"/>
      <c r="BX433" s="2"/>
      <c r="BY433" s="2"/>
      <c r="BZ433" s="2"/>
      <c r="CA433" s="2"/>
      <c r="CB433" s="4">
        <v>0.04</v>
      </c>
      <c r="CC433" s="2"/>
      <c r="CD433" s="4">
        <v>1.67143</v>
      </c>
      <c r="CE433" s="4">
        <v>1.0360699999999998</v>
      </c>
      <c r="CF433" s="4">
        <v>0.31406999999999996</v>
      </c>
      <c r="CG433" s="4">
        <v>0.41876000000000002</v>
      </c>
      <c r="CH433" s="4">
        <v>0.13356999999999999</v>
      </c>
      <c r="CI433" s="2"/>
      <c r="CJ433" s="2"/>
      <c r="CK433" s="2"/>
      <c r="CL433" s="2"/>
      <c r="CM433" s="2"/>
      <c r="CN433" s="2"/>
      <c r="CO433" s="2">
        <v>62.68</v>
      </c>
      <c r="CP433" s="4">
        <v>0.01</v>
      </c>
      <c r="CQ433" s="4">
        <v>3.49E-2</v>
      </c>
      <c r="CR433" s="2"/>
      <c r="CS433" s="2"/>
      <c r="CT433" s="2"/>
      <c r="CU433" s="2"/>
      <c r="CV433" s="2"/>
      <c r="CW433" s="4">
        <v>0.04</v>
      </c>
      <c r="CX433" s="2"/>
      <c r="CY433" s="4">
        <v>1.32969</v>
      </c>
      <c r="CZ433" s="4">
        <v>1.33318</v>
      </c>
      <c r="DA433" s="4">
        <v>0.2792</v>
      </c>
      <c r="DB433" s="4">
        <v>0.39437000000000005</v>
      </c>
      <c r="DC433" s="4">
        <v>0.12215000000000002</v>
      </c>
      <c r="DD433" s="2"/>
      <c r="DE433" s="2"/>
      <c r="DF433" s="2"/>
      <c r="DG433" s="2"/>
      <c r="DH433" s="2"/>
      <c r="DI433" s="2"/>
      <c r="DJ433" s="2" t="s">
        <v>81</v>
      </c>
      <c r="DK433" s="2"/>
      <c r="DL433" s="2">
        <f t="shared" si="4367"/>
        <v>9.0869048293041974E-2</v>
      </c>
      <c r="DM433" s="2">
        <f t="shared" si="4368"/>
        <v>0</v>
      </c>
      <c r="DN433" s="2" t="s">
        <v>95</v>
      </c>
      <c r="DO433" s="2" t="s">
        <v>3</v>
      </c>
      <c r="DP433" s="2">
        <f t="shared" si="4369"/>
        <v>0.17158599999999999</v>
      </c>
      <c r="DQ433" s="2">
        <f t="shared" ref="DQ433:DR433" si="7204">K433*$I433+AF433*$AD433+BA433*$AY433</f>
        <v>49.669817099999989</v>
      </c>
      <c r="DR433" s="2">
        <f t="shared" si="7204"/>
        <v>0</v>
      </c>
      <c r="DS433" s="2">
        <f t="shared" ref="DS433:DX433" si="7205">(M433*$I433+AH433*$AD433+BC433*$AY433)/100</f>
        <v>0</v>
      </c>
      <c r="DT433" s="2">
        <f t="shared" si="7205"/>
        <v>0</v>
      </c>
      <c r="DU433" s="2">
        <f t="shared" si="7205"/>
        <v>0</v>
      </c>
      <c r="DV433" s="2">
        <f t="shared" si="7205"/>
        <v>0</v>
      </c>
      <c r="DW433" s="2">
        <f t="shared" si="7205"/>
        <v>0.32100400000000007</v>
      </c>
      <c r="DX433" s="2">
        <f t="shared" si="7205"/>
        <v>0</v>
      </c>
      <c r="DY433" s="2">
        <f t="shared" ref="DY433:EC433" si="7206">S433*$I433+AN433*$AD433+BI433*$AY433</f>
        <v>808.31179969999994</v>
      </c>
      <c r="DZ433" s="2">
        <f t="shared" si="7206"/>
        <v>471.07820529999992</v>
      </c>
      <c r="EA433" s="2">
        <f t="shared" si="7206"/>
        <v>106.36534529999997</v>
      </c>
      <c r="EB433" s="2">
        <f t="shared" si="7206"/>
        <v>158.5108204</v>
      </c>
      <c r="EC433" s="2">
        <f t="shared" si="7206"/>
        <v>44.175650300000001</v>
      </c>
      <c r="ED433" s="2">
        <f t="shared" ref="ED433:EE433" si="7207">(X433*$I433+AS433*$AD433+BN433*$AY433)/100</f>
        <v>0</v>
      </c>
      <c r="EE433" s="2">
        <f t="shared" si="7207"/>
        <v>0</v>
      </c>
      <c r="EF433" s="2"/>
      <c r="EG433" s="2">
        <f t="shared" si="4374"/>
        <v>0</v>
      </c>
      <c r="EH433" s="2">
        <f t="shared" si="4375"/>
        <v>0</v>
      </c>
      <c r="EI433" s="39">
        <f t="shared" si="4376"/>
        <v>1119.7043469759999</v>
      </c>
      <c r="EJ433" s="39">
        <f t="shared" ref="EJ433:EK433" si="7208">EJ$1*DQ433/1000000</f>
        <v>2031.5114903922822</v>
      </c>
      <c r="EK433" s="39">
        <f t="shared" si="7208"/>
        <v>0</v>
      </c>
      <c r="EL433" s="39">
        <f t="shared" ref="EL433:EQ433" si="7209">EL$1*DS433</f>
        <v>0</v>
      </c>
      <c r="EM433" s="39">
        <f t="shared" si="7209"/>
        <v>0</v>
      </c>
      <c r="EN433" s="39">
        <f t="shared" si="7209"/>
        <v>0</v>
      </c>
      <c r="EO433" s="39">
        <f t="shared" si="7209"/>
        <v>0</v>
      </c>
      <c r="EP433" s="39">
        <f t="shared" si="7209"/>
        <v>4209.6464560000013</v>
      </c>
      <c r="EQ433" s="39">
        <f t="shared" si="7209"/>
        <v>0</v>
      </c>
      <c r="ER433" s="39">
        <f t="shared" ref="ER433:EV433" si="7210">ER$1*DY433/1000000</f>
        <v>22940.980486276585</v>
      </c>
      <c r="ES433" s="39">
        <f t="shared" si="7210"/>
        <v>15699.022003828904</v>
      </c>
      <c r="ET433" s="39">
        <f t="shared" si="7210"/>
        <v>7610.7653664337604</v>
      </c>
      <c r="EU433" s="39">
        <f t="shared" si="7210"/>
        <v>1245.7115631499676</v>
      </c>
      <c r="EV433" s="39">
        <f t="shared" si="7210"/>
        <v>1837.0110374109645</v>
      </c>
      <c r="EW433" s="39">
        <f t="shared" ref="EW433:EX433" si="7211">EW$1*ED433</f>
        <v>0</v>
      </c>
      <c r="EX433" s="39">
        <f t="shared" si="7211"/>
        <v>0</v>
      </c>
      <c r="EY433" s="2"/>
      <c r="EZ433" s="39">
        <f t="shared" si="4381"/>
        <v>0</v>
      </c>
      <c r="FA433" s="39">
        <f t="shared" si="4382"/>
        <v>0</v>
      </c>
      <c r="FB433" s="2">
        <f t="shared" si="4383"/>
        <v>7.097E-3</v>
      </c>
      <c r="FC433" s="2">
        <f t="shared" ref="FC433:FD433" si="7212">BV433*$BT433+CQ433*$CO433</f>
        <v>2.4568740999999998</v>
      </c>
      <c r="FD433" s="2">
        <f t="shared" si="7212"/>
        <v>0</v>
      </c>
      <c r="FE433" s="2">
        <f t="shared" ref="FE433:FJ433" si="7213">(BX433*$BT433+CS433*$CO433)/100</f>
        <v>0</v>
      </c>
      <c r="FF433" s="2">
        <f t="shared" si="7213"/>
        <v>0</v>
      </c>
      <c r="FG433" s="2">
        <f t="shared" si="7213"/>
        <v>0</v>
      </c>
      <c r="FH433" s="2">
        <f t="shared" si="7213"/>
        <v>0</v>
      </c>
      <c r="FI433" s="2">
        <f t="shared" si="7213"/>
        <v>2.8388E-2</v>
      </c>
      <c r="FJ433" s="2">
        <f t="shared" si="7213"/>
        <v>0</v>
      </c>
      <c r="FK433" s="2">
        <f t="shared" ref="FK433:FO433" si="7214">CD433*$BT433+CY433*$CO433</f>
        <v>97.201123899999999</v>
      </c>
      <c r="FL433" s="2">
        <f t="shared" si="7214"/>
        <v>92.152742700000005</v>
      </c>
      <c r="FM433" s="2">
        <f t="shared" si="7214"/>
        <v>20.103896299999999</v>
      </c>
      <c r="FN433" s="2">
        <f t="shared" si="7214"/>
        <v>28.190632000000001</v>
      </c>
      <c r="FO433" s="2">
        <f t="shared" si="7214"/>
        <v>8.763657300000002</v>
      </c>
      <c r="FP433" s="2">
        <f t="shared" ref="FP433:FQ433" si="7215">(CI433*$BT433+DD433*$CO433)/100</f>
        <v>0</v>
      </c>
      <c r="FQ433" s="2">
        <f t="shared" si="7215"/>
        <v>0</v>
      </c>
      <c r="FR433" s="2"/>
      <c r="FS433" s="2">
        <f t="shared" si="4388"/>
        <v>0</v>
      </c>
      <c r="FT433" s="2">
        <f t="shared" si="4389"/>
        <v>0</v>
      </c>
      <c r="FU433" s="39">
        <f t="shared" si="4390"/>
        <v>46.312296752000002</v>
      </c>
      <c r="FV433" s="39">
        <f t="shared" ref="FV433:FW433" si="7216">FV$1*FC433/1000000</f>
        <v>100.48694068167201</v>
      </c>
      <c r="FW433" s="39">
        <f t="shared" si="7216"/>
        <v>0</v>
      </c>
      <c r="FX433" s="39">
        <f t="shared" ref="FX433:GC433" si="7217">FX$1*FE433</f>
        <v>0</v>
      </c>
      <c r="FY433" s="39">
        <f t="shared" si="7217"/>
        <v>0</v>
      </c>
      <c r="FZ433" s="39">
        <f t="shared" si="7217"/>
        <v>0</v>
      </c>
      <c r="GA433" s="39">
        <f t="shared" si="7217"/>
        <v>0</v>
      </c>
      <c r="GB433" s="39">
        <f t="shared" si="7217"/>
        <v>372.28023200000001</v>
      </c>
      <c r="GC433" s="39">
        <f t="shared" si="7217"/>
        <v>0</v>
      </c>
      <c r="GD433" s="39">
        <f t="shared" ref="GD433:GH433" si="7218">GD$1*FK433/1000000</f>
        <v>2758.6991646808356</v>
      </c>
      <c r="GE433" s="39">
        <f t="shared" si="7218"/>
        <v>3071.0568204681999</v>
      </c>
      <c r="GF433" s="39">
        <f t="shared" si="7218"/>
        <v>1438.4951908807075</v>
      </c>
      <c r="GG433" s="39">
        <f t="shared" si="7218"/>
        <v>221.54573527717039</v>
      </c>
      <c r="GH433" s="39">
        <f t="shared" si="7218"/>
        <v>364.43006676434089</v>
      </c>
      <c r="GI433" s="39">
        <f t="shared" ref="GI433:GJ433" si="7219">GI$1*FP433</f>
        <v>0</v>
      </c>
      <c r="GJ433" s="39">
        <f t="shared" si="7219"/>
        <v>0</v>
      </c>
      <c r="GK433" s="2"/>
      <c r="GL433" s="39">
        <f t="shared" si="4395"/>
        <v>0</v>
      </c>
      <c r="GM433" s="39">
        <f t="shared" si="4396"/>
        <v>0</v>
      </c>
      <c r="GN433" s="2" t="s">
        <v>3</v>
      </c>
      <c r="GO433" s="15">
        <f t="shared" si="4397"/>
        <v>353.26</v>
      </c>
      <c r="GP433" s="4">
        <f t="shared" si="4398"/>
        <v>9.0869048293041974E-2</v>
      </c>
      <c r="GQ433" s="15">
        <f t="shared" si="4399"/>
        <v>321.00400000000008</v>
      </c>
      <c r="GR433" s="15">
        <f t="shared" si="4400"/>
        <v>56694.352750468468</v>
      </c>
      <c r="GS433" s="15">
        <f t="shared" si="4401"/>
        <v>160.4890243743092</v>
      </c>
      <c r="GT433" s="2">
        <f t="shared" si="4402"/>
        <v>5.2439999999999998</v>
      </c>
      <c r="GU433" s="2">
        <f t="shared" si="4403"/>
        <v>137.02400000000003</v>
      </c>
      <c r="GV433" s="2">
        <f t="shared" si="4404"/>
        <v>178.73600000000002</v>
      </c>
      <c r="GW433" s="2">
        <f t="shared" si="4405"/>
        <v>70.97</v>
      </c>
      <c r="GX433" s="2">
        <f t="shared" ref="GX433:GX434" si="7220">(BT433*CB433+CO433*CW433)/GW433</f>
        <v>0.04</v>
      </c>
      <c r="GY433" s="15">
        <f t="shared" ref="GY433:GY434" si="7221">1000*GW433*GX433/100</f>
        <v>28.388000000000002</v>
      </c>
      <c r="GZ433" s="15">
        <f t="shared" ref="GZ433:GZ434" si="7222">SUM(FU433:GM433)</f>
        <v>8373.306447504925</v>
      </c>
      <c r="HA433" s="15">
        <f t="shared" ref="HA433:HA434" si="7223">GZ433/GW433</f>
        <v>117.98374591383578</v>
      </c>
      <c r="HB433" s="2">
        <f t="shared" si="4406"/>
        <v>3.3159999999999998</v>
      </c>
      <c r="HC433" s="2">
        <f t="shared" si="4407"/>
        <v>25.072000000000003</v>
      </c>
      <c r="HD433" s="2" t="s">
        <v>3</v>
      </c>
      <c r="HE433" s="2" t="s">
        <v>89</v>
      </c>
      <c r="HF433" s="2" t="s">
        <v>90</v>
      </c>
      <c r="HG433" s="2" t="s">
        <v>91</v>
      </c>
      <c r="HH433" s="2" t="s">
        <v>226</v>
      </c>
      <c r="HI433" s="2" t="s">
        <v>81</v>
      </c>
      <c r="HJ433" s="2" t="s">
        <v>3</v>
      </c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 t="s">
        <v>3</v>
      </c>
    </row>
    <row r="434" spans="1:268" ht="15.75" customHeight="1" x14ac:dyDescent="0.2">
      <c r="A434" s="16" t="s">
        <v>1253</v>
      </c>
      <c r="B434" s="2"/>
      <c r="C434" s="2"/>
      <c r="D434" s="2"/>
      <c r="E434" s="2"/>
      <c r="F434" s="2" t="s">
        <v>1254</v>
      </c>
      <c r="G434" s="2"/>
      <c r="H434" s="2"/>
      <c r="I434" s="2">
        <v>108.00000000000001</v>
      </c>
      <c r="J434" s="4">
        <v>2.5751633986928105E-2</v>
      </c>
      <c r="K434" s="4">
        <v>7.2714455337690637E-2</v>
      </c>
      <c r="L434" s="2"/>
      <c r="M434" s="2"/>
      <c r="N434" s="2"/>
      <c r="O434" s="2"/>
      <c r="P434" s="2"/>
      <c r="Q434" s="4">
        <v>0.14675381263616558</v>
      </c>
      <c r="R434" s="2"/>
      <c r="S434" s="4">
        <v>3.319799869281046</v>
      </c>
      <c r="T434" s="4">
        <v>1.611479411764706</v>
      </c>
      <c r="U434" s="4">
        <v>0.5265190196078432</v>
      </c>
      <c r="V434" s="4"/>
      <c r="W434" s="4"/>
      <c r="X434" s="2"/>
      <c r="Y434" s="2"/>
      <c r="Z434" s="2"/>
      <c r="AA434" s="2"/>
      <c r="AB434" s="2"/>
      <c r="AC434" s="2"/>
      <c r="AD434" s="2">
        <v>87.529411764705884</v>
      </c>
      <c r="AE434" s="4">
        <v>3.7177419354838717E-2</v>
      </c>
      <c r="AF434" s="4">
        <v>0.10198407258064517</v>
      </c>
      <c r="AG434" s="2"/>
      <c r="AH434" s="2"/>
      <c r="AI434" s="2"/>
      <c r="AJ434" s="2"/>
      <c r="AK434" s="2"/>
      <c r="AL434" s="4">
        <v>0.17341397849462367</v>
      </c>
      <c r="AM434" s="2"/>
      <c r="AN434" s="4">
        <v>3.4780979032258066</v>
      </c>
      <c r="AO434" s="4">
        <v>1.6602344354838707</v>
      </c>
      <c r="AP434" s="4">
        <v>0.48369491935483883</v>
      </c>
      <c r="AQ434" s="4"/>
      <c r="AR434" s="4"/>
      <c r="AS434" s="2"/>
      <c r="AT434" s="2"/>
      <c r="AU434" s="2"/>
      <c r="AV434" s="2"/>
      <c r="AW434" s="2"/>
      <c r="AX434" s="2"/>
      <c r="AY434" s="2">
        <v>60.705882352941174</v>
      </c>
      <c r="AZ434" s="4">
        <v>3.0581395348837213E-2</v>
      </c>
      <c r="BA434" s="4">
        <v>8.1095813953488374E-2</v>
      </c>
      <c r="BB434" s="2"/>
      <c r="BC434" s="2"/>
      <c r="BD434" s="2"/>
      <c r="BE434" s="2"/>
      <c r="BF434" s="2"/>
      <c r="BG434" s="4">
        <v>0.15802325581395352</v>
      </c>
      <c r="BH434" s="2"/>
      <c r="BI434" s="4">
        <v>3.3462474418604655</v>
      </c>
      <c r="BJ434" s="4">
        <v>1.6158251162790698</v>
      </c>
      <c r="BK434" s="4">
        <v>0.51017302325581393</v>
      </c>
      <c r="BL434" s="4"/>
      <c r="BM434" s="4"/>
      <c r="BN434" s="2"/>
      <c r="BO434" s="2"/>
      <c r="BP434" s="2"/>
      <c r="BQ434" s="2"/>
      <c r="BR434" s="2"/>
      <c r="BS434" s="2"/>
      <c r="BT434" s="2">
        <v>35.529411764705884</v>
      </c>
      <c r="BU434" s="4">
        <v>1.2384105960264902E-2</v>
      </c>
      <c r="BV434" s="4">
        <v>2.7028543046357611E-2</v>
      </c>
      <c r="BW434" s="2"/>
      <c r="BX434" s="2"/>
      <c r="BY434" s="2"/>
      <c r="BZ434" s="2"/>
      <c r="CA434" s="2"/>
      <c r="CB434" s="4">
        <v>0.11556291390728475</v>
      </c>
      <c r="CC434" s="2"/>
      <c r="CD434" s="4">
        <v>2.5959059602649006</v>
      </c>
      <c r="CE434" s="4">
        <v>1.2925601324503311</v>
      </c>
      <c r="CF434" s="4">
        <v>0.49024410596026491</v>
      </c>
      <c r="CG434" s="4"/>
      <c r="CH434" s="4"/>
      <c r="CI434" s="2"/>
      <c r="CJ434" s="2"/>
      <c r="CK434" s="2"/>
      <c r="CL434" s="2"/>
      <c r="CM434" s="2"/>
      <c r="CN434" s="2"/>
      <c r="CO434" s="2">
        <v>7.2941176470588243</v>
      </c>
      <c r="CP434" s="4">
        <v>1.9677419354838712E-2</v>
      </c>
      <c r="CQ434" s="4">
        <v>4.5158064516129026E-2</v>
      </c>
      <c r="CR434" s="2"/>
      <c r="CS434" s="2"/>
      <c r="CT434" s="2"/>
      <c r="CU434" s="2"/>
      <c r="CV434" s="2"/>
      <c r="CW434" s="4">
        <v>0.13258064516129031</v>
      </c>
      <c r="CX434" s="2"/>
      <c r="CY434" s="4">
        <v>2.4452264516129034</v>
      </c>
      <c r="CZ434" s="4">
        <v>1.1960922580645161</v>
      </c>
      <c r="DA434" s="4">
        <v>0.40992774193548387</v>
      </c>
      <c r="DB434" s="4"/>
      <c r="DC434" s="4"/>
      <c r="DD434" s="2"/>
      <c r="DE434" s="2"/>
      <c r="DF434" s="2"/>
      <c r="DG434" s="2"/>
      <c r="DH434" s="2"/>
      <c r="DI434" s="2"/>
      <c r="DJ434" s="2" t="s">
        <v>81</v>
      </c>
      <c r="DK434" s="2"/>
      <c r="DL434" s="2">
        <f t="shared" si="4367"/>
        <v>0.1585307621671258</v>
      </c>
      <c r="DM434" s="2">
        <f t="shared" si="4368"/>
        <v>0</v>
      </c>
      <c r="DN434" s="2" t="s">
        <v>88</v>
      </c>
      <c r="DO434" s="2" t="s">
        <v>3</v>
      </c>
      <c r="DP434" s="2">
        <f t="shared" si="4369"/>
        <v>7.8917647058823551E-2</v>
      </c>
      <c r="DQ434" s="2">
        <f t="shared" ref="DQ434:DR434" si="7224">K434*$I434+AF434*$AD434+BA434*$AY434</f>
        <v>21.702760000000001</v>
      </c>
      <c r="DR434" s="2">
        <f t="shared" si="7224"/>
        <v>0</v>
      </c>
      <c r="DS434" s="2">
        <f t="shared" ref="DS434:DX434" si="7225">(M434*$I434+AH434*$AD434+BC434*$AY434)/100</f>
        <v>0</v>
      </c>
      <c r="DT434" s="2">
        <f t="shared" si="7225"/>
        <v>0</v>
      </c>
      <c r="DU434" s="2">
        <f t="shared" si="7225"/>
        <v>0</v>
      </c>
      <c r="DV434" s="2">
        <f t="shared" si="7225"/>
        <v>0</v>
      </c>
      <c r="DW434" s="2">
        <f t="shared" si="7225"/>
        <v>0.40621176470588238</v>
      </c>
      <c r="DX434" s="2">
        <f t="shared" si="7225"/>
        <v>0</v>
      </c>
      <c r="DY434" s="2">
        <f t="shared" ref="DY434:EC434" si="7226">S434*$I434+AN434*$AD434+BI434*$AY434</f>
        <v>866.11115294117644</v>
      </c>
      <c r="DZ434" s="2">
        <f t="shared" si="7226"/>
        <v>417.44920941176474</v>
      </c>
      <c r="EA434" s="2">
        <f t="shared" si="7226"/>
        <v>130.17208941176472</v>
      </c>
      <c r="EB434" s="2">
        <f t="shared" si="7226"/>
        <v>0</v>
      </c>
      <c r="EC434" s="2">
        <f t="shared" si="7226"/>
        <v>0</v>
      </c>
      <c r="ED434" s="2">
        <f t="shared" ref="ED434:EE434" si="7227">(X434*$I434+AS434*$AD434+BN434*$AY434)/100</f>
        <v>0</v>
      </c>
      <c r="EE434" s="2">
        <f t="shared" si="7227"/>
        <v>0</v>
      </c>
      <c r="EF434" s="2"/>
      <c r="EG434" s="2">
        <f t="shared" si="4374"/>
        <v>0</v>
      </c>
      <c r="EH434" s="2">
        <f t="shared" si="4375"/>
        <v>0</v>
      </c>
      <c r="EI434" s="39">
        <f t="shared" si="4376"/>
        <v>514.98626032941195</v>
      </c>
      <c r="EJ434" s="39">
        <f t="shared" ref="EJ434:EK434" si="7228">EJ$1*DQ434/1000000</f>
        <v>887.64986237942128</v>
      </c>
      <c r="EK434" s="39">
        <f t="shared" si="7228"/>
        <v>0</v>
      </c>
      <c r="EL434" s="39">
        <f t="shared" ref="EL434:EQ434" si="7229">EL$1*DS434</f>
        <v>0</v>
      </c>
      <c r="EM434" s="39">
        <f t="shared" si="7229"/>
        <v>0</v>
      </c>
      <c r="EN434" s="39">
        <f t="shared" si="7229"/>
        <v>0</v>
      </c>
      <c r="EO434" s="39">
        <f t="shared" si="7229"/>
        <v>0</v>
      </c>
      <c r="EP434" s="39">
        <f t="shared" si="7229"/>
        <v>5327.0610823529414</v>
      </c>
      <c r="EQ434" s="39">
        <f t="shared" si="7229"/>
        <v>0</v>
      </c>
      <c r="ER434" s="39">
        <f t="shared" ref="ER434:EV434" si="7230">ER$1*DY434/1000000</f>
        <v>24581.404188265551</v>
      </c>
      <c r="ES434" s="39">
        <f t="shared" si="7230"/>
        <v>13911.796916740686</v>
      </c>
      <c r="ET434" s="39">
        <f t="shared" si="7230"/>
        <v>9314.2106291961445</v>
      </c>
      <c r="EU434" s="39">
        <f t="shared" si="7230"/>
        <v>0</v>
      </c>
      <c r="EV434" s="39">
        <f t="shared" si="7230"/>
        <v>0</v>
      </c>
      <c r="EW434" s="39">
        <f t="shared" ref="EW434:EX434" si="7231">EW$1*ED434</f>
        <v>0</v>
      </c>
      <c r="EX434" s="39">
        <f t="shared" si="7231"/>
        <v>0</v>
      </c>
      <c r="EY434" s="2"/>
      <c r="EZ434" s="39">
        <f t="shared" si="4381"/>
        <v>0</v>
      </c>
      <c r="FA434" s="39">
        <f t="shared" si="4382"/>
        <v>0</v>
      </c>
      <c r="FB434" s="2">
        <f t="shared" si="4383"/>
        <v>5.83529411764706E-3</v>
      </c>
      <c r="FC434" s="2">
        <f t="shared" ref="FC434:FD434" si="7232">BV434*$BT434+CQ434*$CO434</f>
        <v>1.2896964705882352</v>
      </c>
      <c r="FD434" s="2">
        <f t="shared" si="7232"/>
        <v>0</v>
      </c>
      <c r="FE434" s="2">
        <f t="shared" ref="FE434:FJ434" si="7233">(BX434*$BT434+CS434*$CO434)/100</f>
        <v>0</v>
      </c>
      <c r="FF434" s="2">
        <f t="shared" si="7233"/>
        <v>0</v>
      </c>
      <c r="FG434" s="2">
        <f t="shared" si="7233"/>
        <v>0</v>
      </c>
      <c r="FH434" s="2">
        <f t="shared" si="7233"/>
        <v>0</v>
      </c>
      <c r="FI434" s="2">
        <f t="shared" si="7233"/>
        <v>5.0729411764705877E-2</v>
      </c>
      <c r="FJ434" s="2">
        <f t="shared" si="7233"/>
        <v>0</v>
      </c>
      <c r="FK434" s="2">
        <f t="shared" ref="FK434:FO434" si="7234">CD434*$BT434+CY434*$CO434</f>
        <v>110.06678117647058</v>
      </c>
      <c r="FL434" s="2">
        <f t="shared" si="7234"/>
        <v>54.648338823529414</v>
      </c>
      <c r="FM434" s="2">
        <f t="shared" si="7234"/>
        <v>20.408145882352944</v>
      </c>
      <c r="FN434" s="2">
        <f t="shared" si="7234"/>
        <v>0</v>
      </c>
      <c r="FO434" s="2">
        <f t="shared" si="7234"/>
        <v>0</v>
      </c>
      <c r="FP434" s="2">
        <f t="shared" ref="FP434:FQ434" si="7235">(CI434*$BT434+DD434*$CO434)/100</f>
        <v>0</v>
      </c>
      <c r="FQ434" s="2">
        <f t="shared" si="7235"/>
        <v>0</v>
      </c>
      <c r="FR434" s="2"/>
      <c r="FS434" s="2">
        <f t="shared" si="4388"/>
        <v>0</v>
      </c>
      <c r="FT434" s="2">
        <f t="shared" si="4389"/>
        <v>0</v>
      </c>
      <c r="FU434" s="39">
        <f t="shared" si="4390"/>
        <v>38.078888658823537</v>
      </c>
      <c r="FV434" s="39">
        <f t="shared" ref="FV434:FW434" si="7236">FV$1*FC434/1000000</f>
        <v>52.749000340457719</v>
      </c>
      <c r="FW434" s="39">
        <f t="shared" si="7236"/>
        <v>0</v>
      </c>
      <c r="FX434" s="39">
        <f t="shared" ref="FX434:GC434" si="7237">FX$1*FE434</f>
        <v>0</v>
      </c>
      <c r="FY434" s="39">
        <f t="shared" si="7237"/>
        <v>0</v>
      </c>
      <c r="FZ434" s="39">
        <f t="shared" si="7237"/>
        <v>0</v>
      </c>
      <c r="GA434" s="39">
        <f t="shared" si="7237"/>
        <v>0</v>
      </c>
      <c r="GB434" s="39">
        <f t="shared" si="7237"/>
        <v>665.26550588235284</v>
      </c>
      <c r="GC434" s="39">
        <f t="shared" si="7237"/>
        <v>0</v>
      </c>
      <c r="GD434" s="39">
        <f t="shared" ref="GD434:GH434" si="7238">GD$1*FK434/1000000</f>
        <v>3123.8438930296952</v>
      </c>
      <c r="GE434" s="39">
        <f t="shared" si="7238"/>
        <v>1821.1954278736525</v>
      </c>
      <c r="GF434" s="39">
        <f t="shared" si="7238"/>
        <v>1460.2651778778138</v>
      </c>
      <c r="GG434" s="39">
        <f t="shared" si="7238"/>
        <v>0</v>
      </c>
      <c r="GH434" s="39">
        <f t="shared" si="7238"/>
        <v>0</v>
      </c>
      <c r="GI434" s="39">
        <f t="shared" ref="GI434:GJ434" si="7239">GI$1*FP434</f>
        <v>0</v>
      </c>
      <c r="GJ434" s="39">
        <f t="shared" si="7239"/>
        <v>0</v>
      </c>
      <c r="GK434" s="2"/>
      <c r="GL434" s="39">
        <f t="shared" si="4395"/>
        <v>0</v>
      </c>
      <c r="GM434" s="39">
        <f t="shared" si="4396"/>
        <v>0</v>
      </c>
      <c r="GN434" s="2" t="s">
        <v>3</v>
      </c>
      <c r="GO434" s="15">
        <f t="shared" si="4397"/>
        <v>256.23529411764707</v>
      </c>
      <c r="GP434" s="4">
        <f t="shared" si="4398"/>
        <v>0.1585307621671258</v>
      </c>
      <c r="GQ434" s="15">
        <f t="shared" si="4399"/>
        <v>406.21176470588239</v>
      </c>
      <c r="GR434" s="15">
        <f t="shared" si="4400"/>
        <v>54537.108939264159</v>
      </c>
      <c r="GS434" s="15">
        <f t="shared" si="4401"/>
        <v>212.83995683367553</v>
      </c>
      <c r="GT434" s="2">
        <f t="shared" si="4402"/>
        <v>158.49411764705886</v>
      </c>
      <c r="GU434" s="2">
        <f t="shared" si="4403"/>
        <v>151.78823529411767</v>
      </c>
      <c r="GV434" s="2">
        <f t="shared" si="4404"/>
        <v>95.92941176470589</v>
      </c>
      <c r="GW434" s="4">
        <f t="shared" si="4405"/>
        <v>42.82352941176471</v>
      </c>
      <c r="GX434" s="4">
        <f t="shared" si="7220"/>
        <v>0.11846153846153844</v>
      </c>
      <c r="GY434" s="15">
        <f t="shared" si="7221"/>
        <v>50.72941176470588</v>
      </c>
      <c r="GZ434" s="15">
        <f t="shared" si="7222"/>
        <v>7161.3978936627955</v>
      </c>
      <c r="HA434" s="15">
        <f t="shared" si="7223"/>
        <v>167.23044531904878</v>
      </c>
      <c r="HB434" s="2">
        <f t="shared" si="4406"/>
        <v>41.058823529411754</v>
      </c>
      <c r="HC434" s="2">
        <f t="shared" si="4407"/>
        <v>9.670588235294117</v>
      </c>
      <c r="HD434" s="2" t="s">
        <v>3</v>
      </c>
      <c r="HE434" s="2" t="s">
        <v>89</v>
      </c>
      <c r="HF434" s="2" t="s">
        <v>90</v>
      </c>
      <c r="HG434" s="2" t="s">
        <v>91</v>
      </c>
      <c r="HH434" s="2" t="s">
        <v>92</v>
      </c>
      <c r="HI434" s="2" t="s">
        <v>81</v>
      </c>
      <c r="HJ434" s="2" t="s">
        <v>3</v>
      </c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 t="s">
        <v>3</v>
      </c>
    </row>
    <row r="435" spans="1:268" ht="15.75" customHeight="1" x14ac:dyDescent="0.2">
      <c r="A435" s="16" t="s">
        <v>1317</v>
      </c>
      <c r="B435" s="2"/>
      <c r="C435" s="2"/>
      <c r="D435" s="2"/>
      <c r="E435" s="2"/>
      <c r="F435" s="2" t="s">
        <v>511</v>
      </c>
      <c r="G435" s="2"/>
      <c r="H435" s="2"/>
      <c r="I435" s="2">
        <v>0</v>
      </c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>
        <v>0</v>
      </c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>
        <v>16.3</v>
      </c>
      <c r="AZ435" s="4">
        <v>0.02</v>
      </c>
      <c r="BA435" s="4">
        <v>0.11</v>
      </c>
      <c r="BB435" s="2"/>
      <c r="BC435" s="2"/>
      <c r="BD435" s="2"/>
      <c r="BE435" s="2"/>
      <c r="BF435" s="2"/>
      <c r="BG435" s="4">
        <v>0.05</v>
      </c>
      <c r="BH435" s="2"/>
      <c r="BI435" s="4">
        <v>2.96</v>
      </c>
      <c r="BJ435" s="4">
        <v>1.36</v>
      </c>
      <c r="BK435" s="4">
        <v>0.35</v>
      </c>
      <c r="BL435" s="4"/>
      <c r="BM435" s="4"/>
      <c r="BN435" s="2"/>
      <c r="BO435" s="2"/>
      <c r="BP435" s="2"/>
      <c r="BQ435" s="2"/>
      <c r="BR435" s="2"/>
      <c r="BS435" s="2"/>
      <c r="BT435" s="2">
        <v>0</v>
      </c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>
        <v>0</v>
      </c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 t="s">
        <v>81</v>
      </c>
      <c r="DK435" s="2"/>
      <c r="DL435" s="2">
        <f t="shared" si="4367"/>
        <v>0.05</v>
      </c>
      <c r="DM435" s="2">
        <f t="shared" si="4368"/>
        <v>0</v>
      </c>
      <c r="DN435" s="2" t="s">
        <v>512</v>
      </c>
      <c r="DO435" s="2" t="s">
        <v>3</v>
      </c>
      <c r="DP435" s="2">
        <f t="shared" si="4369"/>
        <v>3.2600000000000003E-3</v>
      </c>
      <c r="DQ435" s="2">
        <f t="shared" ref="DQ435:DR435" si="7240">K435*$I435+AF435*$AD435+BA435*$AY435</f>
        <v>1.7930000000000001</v>
      </c>
      <c r="DR435" s="2">
        <f t="shared" si="7240"/>
        <v>0</v>
      </c>
      <c r="DS435" s="2">
        <f t="shared" ref="DS435:DX435" si="7241">(M435*$I435+AH435*$AD435+BC435*$AY435)/100</f>
        <v>0</v>
      </c>
      <c r="DT435" s="2">
        <f t="shared" si="7241"/>
        <v>0</v>
      </c>
      <c r="DU435" s="2">
        <f t="shared" si="7241"/>
        <v>0</v>
      </c>
      <c r="DV435" s="2">
        <f t="shared" si="7241"/>
        <v>0</v>
      </c>
      <c r="DW435" s="2">
        <f t="shared" si="7241"/>
        <v>8.150000000000001E-3</v>
      </c>
      <c r="DX435" s="2">
        <f t="shared" si="7241"/>
        <v>0</v>
      </c>
      <c r="DY435" s="2">
        <f t="shared" ref="DY435:EC435" si="7242">S435*$I435+AN435*$AD435+BI435*$AY435</f>
        <v>48.248000000000005</v>
      </c>
      <c r="DZ435" s="2">
        <f t="shared" si="7242"/>
        <v>22.168000000000003</v>
      </c>
      <c r="EA435" s="2">
        <f t="shared" si="7242"/>
        <v>5.7050000000000001</v>
      </c>
      <c r="EB435" s="2">
        <f t="shared" si="7242"/>
        <v>0</v>
      </c>
      <c r="EC435" s="2">
        <f t="shared" si="7242"/>
        <v>0</v>
      </c>
      <c r="ED435" s="2">
        <f t="shared" ref="ED435:EE435" si="7243">(X435*$I435+AS435*$AD435+BN435*$AY435)/100</f>
        <v>0</v>
      </c>
      <c r="EE435" s="2">
        <f t="shared" si="7243"/>
        <v>0</v>
      </c>
      <c r="EF435" s="2"/>
      <c r="EG435" s="2">
        <f t="shared" si="4374"/>
        <v>0</v>
      </c>
      <c r="EH435" s="2">
        <f t="shared" si="4375"/>
        <v>0</v>
      </c>
      <c r="EI435" s="39">
        <f t="shared" si="4376"/>
        <v>21.273508160000002</v>
      </c>
      <c r="EJ435" s="39">
        <f t="shared" ref="EJ435:EK435" si="7244">EJ$1*DQ435/1000000</f>
        <v>73.334276527331184</v>
      </c>
      <c r="EK435" s="39">
        <f t="shared" si="7244"/>
        <v>0</v>
      </c>
      <c r="EL435" s="39">
        <f t="shared" ref="EL435:EQ435" si="7245">EL$1*DS435</f>
        <v>0</v>
      </c>
      <c r="EM435" s="39">
        <f t="shared" si="7245"/>
        <v>0</v>
      </c>
      <c r="EN435" s="39">
        <f t="shared" si="7245"/>
        <v>0</v>
      </c>
      <c r="EO435" s="39">
        <f t="shared" si="7245"/>
        <v>0</v>
      </c>
      <c r="EP435" s="39">
        <f t="shared" si="7245"/>
        <v>106.87910000000001</v>
      </c>
      <c r="EQ435" s="39">
        <f t="shared" si="7245"/>
        <v>0</v>
      </c>
      <c r="ER435" s="39">
        <f t="shared" ref="ER435:EV435" si="7246">ER$1*DY435/1000000</f>
        <v>1369.3433980707396</v>
      </c>
      <c r="ES435" s="39">
        <f t="shared" si="7246"/>
        <v>738.76463794212236</v>
      </c>
      <c r="ET435" s="39">
        <f t="shared" si="7246"/>
        <v>408.21017684887465</v>
      </c>
      <c r="EU435" s="39">
        <f t="shared" si="7246"/>
        <v>0</v>
      </c>
      <c r="EV435" s="39">
        <f t="shared" si="7246"/>
        <v>0</v>
      </c>
      <c r="EW435" s="39">
        <f t="shared" ref="EW435:EX435" si="7247">EW$1*ED435</f>
        <v>0</v>
      </c>
      <c r="EX435" s="39">
        <f t="shared" si="7247"/>
        <v>0</v>
      </c>
      <c r="EY435" s="2"/>
      <c r="EZ435" s="39">
        <f t="shared" si="4381"/>
        <v>0</v>
      </c>
      <c r="FA435" s="39">
        <f t="shared" si="4382"/>
        <v>0</v>
      </c>
      <c r="FB435" s="2">
        <f t="shared" si="4383"/>
        <v>0</v>
      </c>
      <c r="FC435" s="2">
        <f t="shared" ref="FC435:FD435" si="7248">BV435*$BT435+CQ435*$CO435</f>
        <v>0</v>
      </c>
      <c r="FD435" s="2">
        <f t="shared" si="7248"/>
        <v>0</v>
      </c>
      <c r="FE435" s="2">
        <f t="shared" ref="FE435:FJ435" si="7249">(BX435*$BT435+CS435*$CO435)/100</f>
        <v>0</v>
      </c>
      <c r="FF435" s="2">
        <f t="shared" si="7249"/>
        <v>0</v>
      </c>
      <c r="FG435" s="2">
        <f t="shared" si="7249"/>
        <v>0</v>
      </c>
      <c r="FH435" s="2">
        <f t="shared" si="7249"/>
        <v>0</v>
      </c>
      <c r="FI435" s="2">
        <f t="shared" si="7249"/>
        <v>0</v>
      </c>
      <c r="FJ435" s="2">
        <f t="shared" si="7249"/>
        <v>0</v>
      </c>
      <c r="FK435" s="2">
        <f t="shared" ref="FK435:FO435" si="7250">CD435*$BT435+CY435*$CO435</f>
        <v>0</v>
      </c>
      <c r="FL435" s="2">
        <f t="shared" si="7250"/>
        <v>0</v>
      </c>
      <c r="FM435" s="2">
        <f t="shared" si="7250"/>
        <v>0</v>
      </c>
      <c r="FN435" s="2">
        <f t="shared" si="7250"/>
        <v>0</v>
      </c>
      <c r="FO435" s="2">
        <f t="shared" si="7250"/>
        <v>0</v>
      </c>
      <c r="FP435" s="2">
        <f t="shared" ref="FP435:FQ435" si="7251">(CI435*$BT435+DD435*$CO435)/100</f>
        <v>0</v>
      </c>
      <c r="FQ435" s="2">
        <f t="shared" si="7251"/>
        <v>0</v>
      </c>
      <c r="FR435" s="2"/>
      <c r="FS435" s="2">
        <f t="shared" si="4388"/>
        <v>0</v>
      </c>
      <c r="FT435" s="2">
        <f t="shared" si="4389"/>
        <v>0</v>
      </c>
      <c r="FU435" s="39">
        <f t="shared" si="4390"/>
        <v>0</v>
      </c>
      <c r="FV435" s="39">
        <f t="shared" ref="FV435:FW435" si="7252">FV$1*FC435/1000000</f>
        <v>0</v>
      </c>
      <c r="FW435" s="39">
        <f t="shared" si="7252"/>
        <v>0</v>
      </c>
      <c r="FX435" s="39">
        <f t="shared" ref="FX435:GC435" si="7253">FX$1*FE435</f>
        <v>0</v>
      </c>
      <c r="FY435" s="39">
        <f t="shared" si="7253"/>
        <v>0</v>
      </c>
      <c r="FZ435" s="39">
        <f t="shared" si="7253"/>
        <v>0</v>
      </c>
      <c r="GA435" s="39">
        <f t="shared" si="7253"/>
        <v>0</v>
      </c>
      <c r="GB435" s="39">
        <f t="shared" si="7253"/>
        <v>0</v>
      </c>
      <c r="GC435" s="39">
        <f t="shared" si="7253"/>
        <v>0</v>
      </c>
      <c r="GD435" s="39">
        <f t="shared" ref="GD435:GH435" si="7254">GD$1*FK435/1000000</f>
        <v>0</v>
      </c>
      <c r="GE435" s="39">
        <f t="shared" si="7254"/>
        <v>0</v>
      </c>
      <c r="GF435" s="39">
        <f t="shared" si="7254"/>
        <v>0</v>
      </c>
      <c r="GG435" s="39">
        <f t="shared" si="7254"/>
        <v>0</v>
      </c>
      <c r="GH435" s="39">
        <f t="shared" si="7254"/>
        <v>0</v>
      </c>
      <c r="GI435" s="39">
        <f t="shared" ref="GI435:GJ435" si="7255">GI$1*FP435</f>
        <v>0</v>
      </c>
      <c r="GJ435" s="39">
        <f t="shared" si="7255"/>
        <v>0</v>
      </c>
      <c r="GK435" s="2"/>
      <c r="GL435" s="39">
        <f t="shared" si="4395"/>
        <v>0</v>
      </c>
      <c r="GM435" s="39">
        <f t="shared" si="4396"/>
        <v>0</v>
      </c>
      <c r="GN435" s="2" t="s">
        <v>3</v>
      </c>
      <c r="GO435" s="2">
        <f t="shared" si="4397"/>
        <v>16.3</v>
      </c>
      <c r="GP435" s="4">
        <f t="shared" si="4398"/>
        <v>0.05</v>
      </c>
      <c r="GQ435" s="15">
        <f t="shared" si="4399"/>
        <v>8.15</v>
      </c>
      <c r="GR435" s="15">
        <f t="shared" si="4400"/>
        <v>2717.8050975490678</v>
      </c>
      <c r="GS435" s="15">
        <f t="shared" si="4401"/>
        <v>166.73650905209004</v>
      </c>
      <c r="GT435" s="2">
        <f t="shared" si="4402"/>
        <v>0</v>
      </c>
      <c r="GU435" s="2">
        <f t="shared" si="4403"/>
        <v>0</v>
      </c>
      <c r="GV435" s="2">
        <f t="shared" si="4404"/>
        <v>8.15</v>
      </c>
      <c r="GW435" s="2">
        <f t="shared" si="4405"/>
        <v>0</v>
      </c>
      <c r="GX435" s="2"/>
      <c r="GY435" s="2"/>
      <c r="GZ435" s="2"/>
      <c r="HA435" s="2"/>
      <c r="HB435" s="2">
        <f t="shared" si="4406"/>
        <v>0</v>
      </c>
      <c r="HC435" s="2">
        <f t="shared" si="4407"/>
        <v>0</v>
      </c>
      <c r="HD435" s="2" t="s">
        <v>3</v>
      </c>
      <c r="HE435" s="2" t="s">
        <v>89</v>
      </c>
      <c r="HF435" s="2" t="s">
        <v>90</v>
      </c>
      <c r="HG435" s="2" t="s">
        <v>91</v>
      </c>
      <c r="HH435" s="2" t="s">
        <v>92</v>
      </c>
      <c r="HI435" s="2" t="s">
        <v>81</v>
      </c>
      <c r="HJ435" s="2" t="s">
        <v>3</v>
      </c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 t="s">
        <v>3</v>
      </c>
    </row>
    <row r="436" spans="1:268" ht="15.75" customHeight="1" x14ac:dyDescent="0.2">
      <c r="A436" s="16" t="s">
        <v>1335</v>
      </c>
      <c r="B436" s="2"/>
      <c r="C436" s="2"/>
      <c r="D436" s="2"/>
      <c r="E436" s="2"/>
      <c r="F436" s="2" t="s">
        <v>445</v>
      </c>
      <c r="G436" s="2"/>
      <c r="H436" s="2"/>
      <c r="I436" s="2">
        <v>13.22</v>
      </c>
      <c r="J436" s="4">
        <v>3.2264750378214829E-2</v>
      </c>
      <c r="K436" s="4">
        <v>8.2273403933434186E-2</v>
      </c>
      <c r="L436" s="2"/>
      <c r="M436" s="2"/>
      <c r="N436" s="2"/>
      <c r="O436" s="2"/>
      <c r="P436" s="2"/>
      <c r="Q436" s="4">
        <v>0.13205597579425113</v>
      </c>
      <c r="R436" s="2"/>
      <c r="S436" s="4">
        <v>3.2960441754916792</v>
      </c>
      <c r="T436" s="4">
        <v>1.6871657186081694</v>
      </c>
      <c r="U436" s="4">
        <v>0.48658931921331317</v>
      </c>
      <c r="V436" s="4"/>
      <c r="W436" s="4"/>
      <c r="X436" s="15">
        <v>14.833722676247445</v>
      </c>
      <c r="Y436" s="2"/>
      <c r="Z436" s="2"/>
      <c r="AA436" s="2"/>
      <c r="AB436" s="2"/>
      <c r="AC436" s="2"/>
      <c r="AD436" s="2">
        <v>120.7</v>
      </c>
      <c r="AE436" s="4">
        <v>3.8087323943661967E-2</v>
      </c>
      <c r="AF436" s="4">
        <v>0.1002779652029826</v>
      </c>
      <c r="AG436" s="2"/>
      <c r="AH436" s="2"/>
      <c r="AI436" s="2"/>
      <c r="AJ436" s="2"/>
      <c r="AK436" s="2"/>
      <c r="AL436" s="4">
        <v>0.13673686826843412</v>
      </c>
      <c r="AM436" s="2"/>
      <c r="AN436" s="4">
        <v>3.5414482717481355</v>
      </c>
      <c r="AO436" s="4">
        <v>1.7775399668599834</v>
      </c>
      <c r="AP436" s="4">
        <v>0.47540819552609781</v>
      </c>
      <c r="AQ436" s="4"/>
      <c r="AR436" s="4"/>
      <c r="AS436" s="15">
        <v>12.740281403659779</v>
      </c>
      <c r="AT436" s="2"/>
      <c r="AU436" s="2"/>
      <c r="AV436" s="2"/>
      <c r="AW436" s="2"/>
      <c r="AX436" s="2"/>
      <c r="AY436" s="2">
        <v>414.97</v>
      </c>
      <c r="AZ436" s="4">
        <v>4.1342482589102822E-2</v>
      </c>
      <c r="BA436" s="4">
        <v>0.10711648504711183</v>
      </c>
      <c r="BB436" s="2"/>
      <c r="BC436" s="2"/>
      <c r="BD436" s="2"/>
      <c r="BE436" s="2"/>
      <c r="BF436" s="2"/>
      <c r="BG436" s="4">
        <v>0.13935376051280815</v>
      </c>
      <c r="BH436" s="2"/>
      <c r="BI436" s="4">
        <v>3.6186102874906614</v>
      </c>
      <c r="BJ436" s="4">
        <v>1.802463192760922</v>
      </c>
      <c r="BK436" s="4">
        <v>0.46719355640166749</v>
      </c>
      <c r="BL436" s="4"/>
      <c r="BM436" s="4"/>
      <c r="BN436" s="15">
        <v>11.569925481044118</v>
      </c>
      <c r="BO436" s="2"/>
      <c r="BP436" s="2"/>
      <c r="BQ436" s="2"/>
      <c r="BR436" s="2"/>
      <c r="BS436" s="2"/>
      <c r="BT436" s="2">
        <v>14.14</v>
      </c>
      <c r="BU436" s="4">
        <v>3.3659830268741156E-2</v>
      </c>
      <c r="BV436" s="4">
        <v>6.9275714285714274E-2</v>
      </c>
      <c r="BW436" s="2"/>
      <c r="BX436" s="2"/>
      <c r="BY436" s="2"/>
      <c r="BZ436" s="2"/>
      <c r="CA436" s="2"/>
      <c r="CB436" s="4">
        <v>0.13317751060820368</v>
      </c>
      <c r="CC436" s="2"/>
      <c r="CD436" s="4">
        <v>2.7561927722772275</v>
      </c>
      <c r="CE436" s="4">
        <v>1.4094116053748231</v>
      </c>
      <c r="CF436" s="4">
        <v>0.40498553748231952</v>
      </c>
      <c r="CG436" s="4"/>
      <c r="CH436" s="4"/>
      <c r="CI436" s="15">
        <v>14.196265630542301</v>
      </c>
      <c r="CJ436" s="2"/>
      <c r="CK436" s="2"/>
      <c r="CL436" s="2"/>
      <c r="CM436" s="2"/>
      <c r="CN436" s="2"/>
      <c r="CO436" s="2">
        <v>78.78</v>
      </c>
      <c r="CP436" s="4">
        <v>3.7100152322924594E-2</v>
      </c>
      <c r="CQ436" s="4">
        <v>7.4555087585681634E-2</v>
      </c>
      <c r="CR436" s="2"/>
      <c r="CS436" s="2"/>
      <c r="CT436" s="2"/>
      <c r="CU436" s="2"/>
      <c r="CV436" s="2"/>
      <c r="CW436" s="4">
        <v>0.13594325971058643</v>
      </c>
      <c r="CX436" s="2"/>
      <c r="CY436" s="4">
        <v>2.7828279893373948</v>
      </c>
      <c r="CZ436" s="4">
        <v>1.4093552817974104</v>
      </c>
      <c r="DA436" s="4">
        <v>0.39050078827113477</v>
      </c>
      <c r="DB436" s="4"/>
      <c r="DC436" s="4"/>
      <c r="DD436" s="15">
        <v>12.922413008654143</v>
      </c>
      <c r="DE436" s="2"/>
      <c r="DF436" s="2"/>
      <c r="DG436" s="2"/>
      <c r="DH436" s="2"/>
      <c r="DI436" s="2"/>
      <c r="DJ436" s="2" t="s">
        <v>81</v>
      </c>
      <c r="DK436" s="2"/>
      <c r="DL436" s="2">
        <f t="shared" si="4367"/>
        <v>0.13860254331468963</v>
      </c>
      <c r="DM436" s="2">
        <f t="shared" si="4368"/>
        <v>0</v>
      </c>
      <c r="DN436" s="2" t="s">
        <v>211</v>
      </c>
      <c r="DO436" s="2" t="s">
        <v>3</v>
      </c>
      <c r="DP436" s="2">
        <f t="shared" si="4369"/>
        <v>0.22179569999999998</v>
      </c>
      <c r="DQ436" s="2">
        <f t="shared" ref="DQ436:DR436" si="7256">K436*$I436+AF436*$AD436+BA436*$AY436</f>
        <v>57.641332599999998</v>
      </c>
      <c r="DR436" s="2">
        <f t="shared" si="7256"/>
        <v>0</v>
      </c>
      <c r="DS436" s="2">
        <f t="shared" ref="DS436:DX436" si="7257">(M436*$I436+AH436*$AD436+BC436*$AY436)/100</f>
        <v>0</v>
      </c>
      <c r="DT436" s="2">
        <f t="shared" si="7257"/>
        <v>0</v>
      </c>
      <c r="DU436" s="2">
        <f t="shared" si="7257"/>
        <v>0</v>
      </c>
      <c r="DV436" s="2">
        <f t="shared" si="7257"/>
        <v>0</v>
      </c>
      <c r="DW436" s="2">
        <f t="shared" si="7257"/>
        <v>0.76077550000000005</v>
      </c>
      <c r="DX436" s="2">
        <f t="shared" si="7257"/>
        <v>0</v>
      </c>
      <c r="DY436" s="2">
        <f t="shared" ref="DY436:EC436" si="7258">S436*$I436+AN436*$AD436+BI436*$AY436</f>
        <v>1972.6412213999999</v>
      </c>
      <c r="DZ436" s="2">
        <f t="shared" si="7258"/>
        <v>984.82155589999991</v>
      </c>
      <c r="EA436" s="2">
        <f t="shared" si="7258"/>
        <v>257.68579009999996</v>
      </c>
      <c r="EB436" s="2">
        <f t="shared" si="7258"/>
        <v>0</v>
      </c>
      <c r="EC436" s="2">
        <f t="shared" si="7258"/>
        <v>0</v>
      </c>
      <c r="ED436" s="2">
        <f t="shared" ref="ED436:EE436" si="7259">(X436*$I436+AS436*$AD436+BN436*$AY436)/100</f>
        <v>65.350257560706055</v>
      </c>
      <c r="EE436" s="2">
        <f t="shared" si="7259"/>
        <v>0</v>
      </c>
      <c r="EF436" s="2"/>
      <c r="EG436" s="2">
        <f t="shared" si="4374"/>
        <v>0</v>
      </c>
      <c r="EH436" s="2">
        <f t="shared" si="4375"/>
        <v>0</v>
      </c>
      <c r="EI436" s="39">
        <f t="shared" si="4376"/>
        <v>1447.3535686511998</v>
      </c>
      <c r="EJ436" s="39">
        <f t="shared" ref="EJ436:EK436" si="7260">EJ$1*DQ436/1000000</f>
        <v>2357.5490375305462</v>
      </c>
      <c r="EK436" s="39">
        <f t="shared" si="7260"/>
        <v>0</v>
      </c>
      <c r="EL436" s="39">
        <f t="shared" ref="EL436:EQ436" si="7261">EL$1*DS436</f>
        <v>0</v>
      </c>
      <c r="EM436" s="39">
        <f t="shared" si="7261"/>
        <v>0</v>
      </c>
      <c r="EN436" s="39">
        <f t="shared" si="7261"/>
        <v>0</v>
      </c>
      <c r="EO436" s="39">
        <f t="shared" si="7261"/>
        <v>0</v>
      </c>
      <c r="EP436" s="39">
        <f t="shared" si="7261"/>
        <v>9976.8099070000007</v>
      </c>
      <c r="EQ436" s="39">
        <f t="shared" si="7261"/>
        <v>0</v>
      </c>
      <c r="ER436" s="39">
        <f t="shared" ref="ER436:EV436" si="7262">ER$1*DY436/1000000</f>
        <v>55986.221880415549</v>
      </c>
      <c r="ES436" s="39">
        <f t="shared" si="7262"/>
        <v>32819.890841846849</v>
      </c>
      <c r="ET436" s="39">
        <f t="shared" si="7262"/>
        <v>18438.20542474373</v>
      </c>
      <c r="EU436" s="39">
        <f t="shared" si="7262"/>
        <v>0</v>
      </c>
      <c r="EV436" s="39">
        <f t="shared" si="7262"/>
        <v>0</v>
      </c>
      <c r="EW436" s="39">
        <f t="shared" ref="EW436:EX436" si="7263">EW$1*ED436</f>
        <v>18232.721859436988</v>
      </c>
      <c r="EX436" s="39">
        <f t="shared" si="7263"/>
        <v>0</v>
      </c>
      <c r="EY436" s="2"/>
      <c r="EZ436" s="39">
        <f t="shared" si="4381"/>
        <v>0</v>
      </c>
      <c r="FA436" s="39">
        <f t="shared" si="4382"/>
        <v>0</v>
      </c>
      <c r="FB436" s="2">
        <f t="shared" si="4383"/>
        <v>3.3986999999999996E-2</v>
      </c>
      <c r="FC436" s="2">
        <f t="shared" ref="FC436:FD436" si="7264">BV436*$BT436+CQ436*$CO436</f>
        <v>6.8530083999999993</v>
      </c>
      <c r="FD436" s="2">
        <f t="shared" si="7264"/>
        <v>0</v>
      </c>
      <c r="FE436" s="2">
        <f t="shared" ref="FE436:FJ436" si="7265">(BX436*$BT436+CS436*$CO436)/100</f>
        <v>0</v>
      </c>
      <c r="FF436" s="2">
        <f t="shared" si="7265"/>
        <v>0</v>
      </c>
      <c r="FG436" s="2">
        <f t="shared" si="7265"/>
        <v>0</v>
      </c>
      <c r="FH436" s="2">
        <f t="shared" si="7265"/>
        <v>0</v>
      </c>
      <c r="FI436" s="2">
        <f t="shared" si="7265"/>
        <v>0.12592739999999999</v>
      </c>
      <c r="FJ436" s="2">
        <f t="shared" si="7265"/>
        <v>0</v>
      </c>
      <c r="FK436" s="2">
        <f t="shared" ref="FK436:FO436" si="7266">CD436*$BT436+CY436*$CO436</f>
        <v>258.20375479999996</v>
      </c>
      <c r="FL436" s="2">
        <f t="shared" si="7266"/>
        <v>130.95808919999999</v>
      </c>
      <c r="FM436" s="2">
        <f t="shared" si="7266"/>
        <v>36.4901476</v>
      </c>
      <c r="FN436" s="2">
        <f t="shared" si="7266"/>
        <v>0</v>
      </c>
      <c r="FO436" s="2">
        <f t="shared" si="7266"/>
        <v>0</v>
      </c>
      <c r="FP436" s="2">
        <f t="shared" ref="FP436:FQ436" si="7267">(CI436*$BT436+DD436*$CO436)/100</f>
        <v>12.187628928376416</v>
      </c>
      <c r="FQ436" s="2">
        <f t="shared" si="7267"/>
        <v>0</v>
      </c>
      <c r="FR436" s="2"/>
      <c r="FS436" s="2">
        <f t="shared" si="4388"/>
        <v>0</v>
      </c>
      <c r="FT436" s="2">
        <f t="shared" si="4389"/>
        <v>0</v>
      </c>
      <c r="FU436" s="39">
        <f t="shared" si="4390"/>
        <v>221.78611099199998</v>
      </c>
      <c r="FV436" s="39">
        <f t="shared" ref="FV436:FW436" si="7268">FV$1*FC436/1000000</f>
        <v>280.29024709967842</v>
      </c>
      <c r="FW436" s="39">
        <f t="shared" si="7268"/>
        <v>0</v>
      </c>
      <c r="FX436" s="39">
        <f t="shared" ref="FX436:GC436" si="7269">FX$1*FE436</f>
        <v>0</v>
      </c>
      <c r="FY436" s="39">
        <f t="shared" si="7269"/>
        <v>0</v>
      </c>
      <c r="FZ436" s="39">
        <f t="shared" si="7269"/>
        <v>0</v>
      </c>
      <c r="GA436" s="39">
        <f t="shared" si="7269"/>
        <v>0</v>
      </c>
      <c r="GB436" s="39">
        <f t="shared" si="7269"/>
        <v>1651.4119235999999</v>
      </c>
      <c r="GC436" s="39">
        <f t="shared" si="7269"/>
        <v>0</v>
      </c>
      <c r="GD436" s="39">
        <f t="shared" ref="GD436:GH436" si="7270">GD$1*FK436/1000000</f>
        <v>7328.1712608285507</v>
      </c>
      <c r="GE436" s="39">
        <f t="shared" si="7270"/>
        <v>4364.2730671882955</v>
      </c>
      <c r="GF436" s="39">
        <f t="shared" si="7270"/>
        <v>2610.9815258610934</v>
      </c>
      <c r="GG436" s="39">
        <f t="shared" si="7270"/>
        <v>0</v>
      </c>
      <c r="GH436" s="39">
        <f t="shared" si="7270"/>
        <v>0</v>
      </c>
      <c r="GI436" s="39">
        <f t="shared" ref="GI436:GJ436" si="7271">GI$1*FP436</f>
        <v>3400.3484710170201</v>
      </c>
      <c r="GJ436" s="39">
        <f t="shared" si="7271"/>
        <v>0</v>
      </c>
      <c r="GK436" s="2"/>
      <c r="GL436" s="39">
        <f t="shared" si="4395"/>
        <v>0</v>
      </c>
      <c r="GM436" s="39">
        <f t="shared" si="4396"/>
        <v>0</v>
      </c>
      <c r="GN436" s="2" t="s">
        <v>3</v>
      </c>
      <c r="GO436" s="15">
        <f t="shared" si="4397"/>
        <v>548.8900000000001</v>
      </c>
      <c r="GP436" s="4">
        <f t="shared" si="4398"/>
        <v>0.13860254331468963</v>
      </c>
      <c r="GQ436" s="15">
        <f t="shared" si="4399"/>
        <v>760.77550000000008</v>
      </c>
      <c r="GR436" s="15">
        <f t="shared" si="4400"/>
        <v>139258.75251962486</v>
      </c>
      <c r="GS436" s="15">
        <f t="shared" si="4401"/>
        <v>253.70976428724305</v>
      </c>
      <c r="GT436" s="2">
        <f t="shared" si="4402"/>
        <v>17.457800000000002</v>
      </c>
      <c r="GU436" s="2">
        <f t="shared" si="4403"/>
        <v>165.04139999999998</v>
      </c>
      <c r="GV436" s="2">
        <f t="shared" si="4404"/>
        <v>578.27629999999999</v>
      </c>
      <c r="GW436" s="2">
        <f t="shared" si="4405"/>
        <v>92.92</v>
      </c>
      <c r="GX436" s="4">
        <f>(BT436*CB436+CO436*CW436)/GW436</f>
        <v>0.13552238484718035</v>
      </c>
      <c r="GY436" s="15">
        <f>1000*GW436*GX436/100</f>
        <v>125.92739999999998</v>
      </c>
      <c r="GZ436" s="15">
        <f>SUM(FU436:GM436)</f>
        <v>19857.262606586639</v>
      </c>
      <c r="HA436" s="15">
        <f>GZ436/GW436</f>
        <v>213.70278311005853</v>
      </c>
      <c r="HB436" s="2">
        <f t="shared" si="4406"/>
        <v>18.831300000000002</v>
      </c>
      <c r="HC436" s="2">
        <f t="shared" si="4407"/>
        <v>107.09609999999999</v>
      </c>
      <c r="HD436" s="2" t="s">
        <v>3</v>
      </c>
      <c r="HE436" s="2" t="s">
        <v>89</v>
      </c>
      <c r="HF436" s="2" t="s">
        <v>90</v>
      </c>
      <c r="HG436" s="2" t="s">
        <v>91</v>
      </c>
      <c r="HH436" s="2" t="s">
        <v>92</v>
      </c>
      <c r="HI436" s="2" t="s">
        <v>81</v>
      </c>
      <c r="HJ436" s="2" t="s">
        <v>3</v>
      </c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 t="s">
        <v>3</v>
      </c>
    </row>
    <row r="437" spans="1:268" ht="15.75" customHeight="1" x14ac:dyDescent="0.2">
      <c r="A437" s="16" t="s">
        <v>1336</v>
      </c>
      <c r="B437" s="2"/>
      <c r="C437" s="2"/>
      <c r="D437" s="2"/>
      <c r="E437" s="2"/>
      <c r="F437" s="2" t="s">
        <v>1337</v>
      </c>
      <c r="G437" s="2"/>
      <c r="H437" s="2"/>
      <c r="I437" s="2">
        <v>0</v>
      </c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>
        <v>0</v>
      </c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>
        <v>77.42</v>
      </c>
      <c r="AZ437" s="4">
        <v>6.4352834308755158E-2</v>
      </c>
      <c r="BA437" s="4">
        <v>0.24661038707052438</v>
      </c>
      <c r="BB437" s="2"/>
      <c r="BC437" s="2"/>
      <c r="BD437" s="2"/>
      <c r="BE437" s="2"/>
      <c r="BF437" s="2"/>
      <c r="BG437" s="4">
        <v>0.15861597483212142</v>
      </c>
      <c r="BH437" s="2"/>
      <c r="BI437" s="4">
        <v>3.3643685826659775</v>
      </c>
      <c r="BJ437" s="4">
        <v>2.3737952936450535</v>
      </c>
      <c r="BK437" s="4">
        <v>0.40418513630379749</v>
      </c>
      <c r="BL437" s="4"/>
      <c r="BM437" s="4"/>
      <c r="BN437" s="2"/>
      <c r="BO437" s="2"/>
      <c r="BP437" s="2"/>
      <c r="BQ437" s="2"/>
      <c r="BR437" s="2"/>
      <c r="BS437" s="2"/>
      <c r="BT437" s="2">
        <v>0</v>
      </c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>
        <v>0</v>
      </c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 t="s">
        <v>81</v>
      </c>
      <c r="DK437" s="2"/>
      <c r="DL437" s="2">
        <f t="shared" si="4367"/>
        <v>0.15861597483212142</v>
      </c>
      <c r="DM437" s="2">
        <f t="shared" si="4368"/>
        <v>0</v>
      </c>
      <c r="DN437" s="2" t="s">
        <v>95</v>
      </c>
      <c r="DO437" s="2" t="s">
        <v>3</v>
      </c>
      <c r="DP437" s="2">
        <f t="shared" si="4369"/>
        <v>4.9821964321838247E-2</v>
      </c>
      <c r="DQ437" s="2">
        <f t="shared" ref="DQ437:DR437" si="7272">K437*$I437+AF437*$AD437+BA437*$AY437</f>
        <v>19.092576166999997</v>
      </c>
      <c r="DR437" s="2">
        <f t="shared" si="7272"/>
        <v>0</v>
      </c>
      <c r="DS437" s="2">
        <f t="shared" ref="DS437:DX437" si="7273">(M437*$I437+AH437*$AD437+BC437*$AY437)/100</f>
        <v>0</v>
      </c>
      <c r="DT437" s="2">
        <f t="shared" si="7273"/>
        <v>0</v>
      </c>
      <c r="DU437" s="2">
        <f t="shared" si="7273"/>
        <v>0</v>
      </c>
      <c r="DV437" s="2">
        <f t="shared" si="7273"/>
        <v>0</v>
      </c>
      <c r="DW437" s="2">
        <f t="shared" si="7273"/>
        <v>0.12280048771502841</v>
      </c>
      <c r="DX437" s="2">
        <f t="shared" si="7273"/>
        <v>0</v>
      </c>
      <c r="DY437" s="2">
        <f t="shared" ref="DY437:EC437" si="7274">S437*$I437+AN437*$AD437+BI437*$AY437</f>
        <v>260.46941566999999</v>
      </c>
      <c r="DZ437" s="2">
        <f t="shared" si="7274"/>
        <v>183.77923163400004</v>
      </c>
      <c r="EA437" s="2">
        <f t="shared" si="7274"/>
        <v>31.292013252640004</v>
      </c>
      <c r="EB437" s="2">
        <f t="shared" si="7274"/>
        <v>0</v>
      </c>
      <c r="EC437" s="2">
        <f t="shared" si="7274"/>
        <v>0</v>
      </c>
      <c r="ED437" s="2">
        <f t="shared" ref="ED437:EE437" si="7275">(X437*$I437+AS437*$AD437+BN437*$AY437)/100</f>
        <v>0</v>
      </c>
      <c r="EE437" s="2">
        <f t="shared" si="7275"/>
        <v>0</v>
      </c>
      <c r="EF437" s="2"/>
      <c r="EG437" s="2">
        <f t="shared" si="4374"/>
        <v>0</v>
      </c>
      <c r="EH437" s="2">
        <f t="shared" si="4375"/>
        <v>0</v>
      </c>
      <c r="EI437" s="39">
        <f t="shared" si="4376"/>
        <v>325.1190075300168</v>
      </c>
      <c r="EJ437" s="39">
        <f t="shared" ref="EJ437:EK437" si="7276">EJ$1*DQ437/1000000</f>
        <v>780.89250432231495</v>
      </c>
      <c r="EK437" s="39">
        <f t="shared" si="7276"/>
        <v>0</v>
      </c>
      <c r="EL437" s="39">
        <f t="shared" ref="EL437:EQ437" si="7277">EL$1*DS437</f>
        <v>0</v>
      </c>
      <c r="EM437" s="39">
        <f t="shared" si="7277"/>
        <v>0</v>
      </c>
      <c r="EN437" s="39">
        <f t="shared" si="7277"/>
        <v>0</v>
      </c>
      <c r="EO437" s="39">
        <f t="shared" si="7277"/>
        <v>0</v>
      </c>
      <c r="EP437" s="39">
        <f t="shared" si="7277"/>
        <v>1610.4055958948825</v>
      </c>
      <c r="EQ437" s="39">
        <f t="shared" si="7277"/>
        <v>0</v>
      </c>
      <c r="ER437" s="39">
        <f t="shared" ref="ER437:EV437" si="7278">ER$1*DY437/1000000</f>
        <v>7392.4737760540884</v>
      </c>
      <c r="ES437" s="39">
        <f t="shared" si="7278"/>
        <v>6124.5758534542338</v>
      </c>
      <c r="ET437" s="39">
        <f t="shared" si="7278"/>
        <v>2239.0391347620516</v>
      </c>
      <c r="EU437" s="39">
        <f t="shared" si="7278"/>
        <v>0</v>
      </c>
      <c r="EV437" s="39">
        <f t="shared" si="7278"/>
        <v>0</v>
      </c>
      <c r="EW437" s="39">
        <f t="shared" ref="EW437:EX437" si="7279">EW$1*ED437</f>
        <v>0</v>
      </c>
      <c r="EX437" s="39">
        <f t="shared" si="7279"/>
        <v>0</v>
      </c>
      <c r="EY437" s="2"/>
      <c r="EZ437" s="39">
        <f t="shared" si="4381"/>
        <v>0</v>
      </c>
      <c r="FA437" s="39">
        <f t="shared" si="4382"/>
        <v>0</v>
      </c>
      <c r="FB437" s="2">
        <f t="shared" si="4383"/>
        <v>0</v>
      </c>
      <c r="FC437" s="2">
        <f t="shared" ref="FC437:FD437" si="7280">BV437*$BT437+CQ437*$CO437</f>
        <v>0</v>
      </c>
      <c r="FD437" s="2">
        <f t="shared" si="7280"/>
        <v>0</v>
      </c>
      <c r="FE437" s="2">
        <f t="shared" ref="FE437:FJ437" si="7281">(BX437*$BT437+CS437*$CO437)/100</f>
        <v>0</v>
      </c>
      <c r="FF437" s="2">
        <f t="shared" si="7281"/>
        <v>0</v>
      </c>
      <c r="FG437" s="2">
        <f t="shared" si="7281"/>
        <v>0</v>
      </c>
      <c r="FH437" s="2">
        <f t="shared" si="7281"/>
        <v>0</v>
      </c>
      <c r="FI437" s="2">
        <f t="shared" si="7281"/>
        <v>0</v>
      </c>
      <c r="FJ437" s="2">
        <f t="shared" si="7281"/>
        <v>0</v>
      </c>
      <c r="FK437" s="2">
        <f t="shared" ref="FK437:FO437" si="7282">CD437*$BT437+CY437*$CO437</f>
        <v>0</v>
      </c>
      <c r="FL437" s="2">
        <f t="shared" si="7282"/>
        <v>0</v>
      </c>
      <c r="FM437" s="2">
        <f t="shared" si="7282"/>
        <v>0</v>
      </c>
      <c r="FN437" s="2">
        <f t="shared" si="7282"/>
        <v>0</v>
      </c>
      <c r="FO437" s="2">
        <f t="shared" si="7282"/>
        <v>0</v>
      </c>
      <c r="FP437" s="2">
        <f t="shared" ref="FP437:FQ437" si="7283">(CI437*$BT437+DD437*$CO437)/100</f>
        <v>0</v>
      </c>
      <c r="FQ437" s="2">
        <f t="shared" si="7283"/>
        <v>0</v>
      </c>
      <c r="FR437" s="2"/>
      <c r="FS437" s="2">
        <f t="shared" si="4388"/>
        <v>0</v>
      </c>
      <c r="FT437" s="2">
        <f t="shared" si="4389"/>
        <v>0</v>
      </c>
      <c r="FU437" s="39">
        <f t="shared" si="4390"/>
        <v>0</v>
      </c>
      <c r="FV437" s="39">
        <f t="shared" ref="FV437:FW437" si="7284">FV$1*FC437/1000000</f>
        <v>0</v>
      </c>
      <c r="FW437" s="39">
        <f t="shared" si="7284"/>
        <v>0</v>
      </c>
      <c r="FX437" s="39">
        <f t="shared" ref="FX437:GC437" si="7285">FX$1*FE437</f>
        <v>0</v>
      </c>
      <c r="FY437" s="39">
        <f t="shared" si="7285"/>
        <v>0</v>
      </c>
      <c r="FZ437" s="39">
        <f t="shared" si="7285"/>
        <v>0</v>
      </c>
      <c r="GA437" s="39">
        <f t="shared" si="7285"/>
        <v>0</v>
      </c>
      <c r="GB437" s="39">
        <f t="shared" si="7285"/>
        <v>0</v>
      </c>
      <c r="GC437" s="39">
        <f t="shared" si="7285"/>
        <v>0</v>
      </c>
      <c r="GD437" s="39">
        <f t="shared" ref="GD437:GH437" si="7286">GD$1*FK437/1000000</f>
        <v>0</v>
      </c>
      <c r="GE437" s="39">
        <f t="shared" si="7286"/>
        <v>0</v>
      </c>
      <c r="GF437" s="39">
        <f t="shared" si="7286"/>
        <v>0</v>
      </c>
      <c r="GG437" s="39">
        <f t="shared" si="7286"/>
        <v>0</v>
      </c>
      <c r="GH437" s="39">
        <f t="shared" si="7286"/>
        <v>0</v>
      </c>
      <c r="GI437" s="39">
        <f t="shared" ref="GI437:GJ437" si="7287">GI$1*FP437</f>
        <v>0</v>
      </c>
      <c r="GJ437" s="39">
        <f t="shared" si="7287"/>
        <v>0</v>
      </c>
      <c r="GK437" s="2"/>
      <c r="GL437" s="39">
        <f t="shared" si="4395"/>
        <v>0</v>
      </c>
      <c r="GM437" s="39">
        <f t="shared" si="4396"/>
        <v>0</v>
      </c>
      <c r="GN437" s="2" t="s">
        <v>3</v>
      </c>
      <c r="GO437" s="2">
        <f t="shared" si="4397"/>
        <v>77.42</v>
      </c>
      <c r="GP437" s="4">
        <f t="shared" si="4398"/>
        <v>0.15861597483212142</v>
      </c>
      <c r="GQ437" s="15">
        <f t="shared" si="4399"/>
        <v>122.80048771502841</v>
      </c>
      <c r="GR437" s="15">
        <f t="shared" si="4400"/>
        <v>18472.505872017588</v>
      </c>
      <c r="GS437" s="15">
        <f t="shared" si="4401"/>
        <v>238.60121250345631</v>
      </c>
      <c r="GT437" s="2">
        <f t="shared" si="4402"/>
        <v>0</v>
      </c>
      <c r="GU437" s="2">
        <f t="shared" si="4403"/>
        <v>0</v>
      </c>
      <c r="GV437" s="2">
        <f t="shared" si="4404"/>
        <v>122.80048771502841</v>
      </c>
      <c r="GW437" s="2">
        <f t="shared" si="4405"/>
        <v>0</v>
      </c>
      <c r="GX437" s="2"/>
      <c r="GY437" s="2"/>
      <c r="GZ437" s="2"/>
      <c r="HA437" s="2"/>
      <c r="HB437" s="2">
        <f t="shared" si="4406"/>
        <v>0</v>
      </c>
      <c r="HC437" s="2">
        <f t="shared" si="4407"/>
        <v>0</v>
      </c>
      <c r="HD437" s="2" t="s">
        <v>3</v>
      </c>
      <c r="HE437" s="2" t="s">
        <v>89</v>
      </c>
      <c r="HF437" s="2" t="s">
        <v>90</v>
      </c>
      <c r="HG437" s="2" t="s">
        <v>91</v>
      </c>
      <c r="HH437" s="2" t="s">
        <v>226</v>
      </c>
      <c r="HI437" s="2" t="s">
        <v>81</v>
      </c>
      <c r="HJ437" s="2" t="s">
        <v>3</v>
      </c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 t="s">
        <v>3</v>
      </c>
    </row>
    <row r="438" spans="1:268" ht="15.75" customHeight="1" x14ac:dyDescent="0.2">
      <c r="A438" s="16" t="s">
        <v>1007</v>
      </c>
      <c r="B438" s="2" t="s">
        <v>99</v>
      </c>
      <c r="C438" s="2"/>
      <c r="D438" s="2"/>
      <c r="E438" s="2"/>
      <c r="F438" s="2" t="s">
        <v>1008</v>
      </c>
      <c r="G438" s="2"/>
      <c r="H438" s="2"/>
      <c r="I438" s="2">
        <v>0</v>
      </c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>
        <v>346</v>
      </c>
      <c r="AE438" s="2">
        <v>0.16</v>
      </c>
      <c r="AF438" s="2">
        <v>0.28000000000000003</v>
      </c>
      <c r="AG438" s="2"/>
      <c r="AH438" s="2"/>
      <c r="AI438" s="2"/>
      <c r="AJ438" s="2"/>
      <c r="AK438" s="2"/>
      <c r="AL438" s="2">
        <v>0.32</v>
      </c>
      <c r="AM438" s="2"/>
      <c r="AN438" s="2">
        <v>1.68</v>
      </c>
      <c r="AO438" s="4">
        <v>1.7</v>
      </c>
      <c r="AP438" s="2">
        <v>0.11</v>
      </c>
      <c r="AQ438" s="2"/>
      <c r="AR438" s="2"/>
      <c r="AS438" s="2"/>
      <c r="AT438" s="2"/>
      <c r="AU438" s="2"/>
      <c r="AV438" s="2"/>
      <c r="AW438" s="2"/>
      <c r="AX438" s="2"/>
      <c r="AY438" s="2">
        <v>506</v>
      </c>
      <c r="AZ438" s="2">
        <v>0.16</v>
      </c>
      <c r="BA438" s="2">
        <v>0.26</v>
      </c>
      <c r="BB438" s="2"/>
      <c r="BC438" s="2"/>
      <c r="BD438" s="2"/>
      <c r="BE438" s="2"/>
      <c r="BF438" s="2"/>
      <c r="BG438" s="2">
        <v>0.31</v>
      </c>
      <c r="BH438" s="2"/>
      <c r="BI438" s="2">
        <v>1.42</v>
      </c>
      <c r="BJ438" s="2">
        <v>1.46</v>
      </c>
      <c r="BK438" s="4">
        <v>0.1</v>
      </c>
      <c r="BL438" s="4"/>
      <c r="BM438" s="4"/>
      <c r="BN438" s="2"/>
      <c r="BO438" s="2"/>
      <c r="BP438" s="2"/>
      <c r="BQ438" s="2"/>
      <c r="BR438" s="2"/>
      <c r="BS438" s="2"/>
      <c r="BT438" s="2">
        <v>0</v>
      </c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>
        <v>124.7</v>
      </c>
      <c r="CP438" s="2">
        <v>0.17</v>
      </c>
      <c r="CQ438" s="4">
        <v>0.3</v>
      </c>
      <c r="CR438" s="2"/>
      <c r="CS438" s="2"/>
      <c r="CT438" s="2"/>
      <c r="CU438" s="2"/>
      <c r="CV438" s="2"/>
      <c r="CW438" s="2">
        <v>0.34</v>
      </c>
      <c r="CX438" s="2"/>
      <c r="CY438" s="2">
        <v>1.95</v>
      </c>
      <c r="CZ438" s="2">
        <v>2.0099999999999998</v>
      </c>
      <c r="DA438" s="2">
        <v>0.14000000000000001</v>
      </c>
      <c r="DB438" s="2"/>
      <c r="DC438" s="2"/>
      <c r="DD438" s="2"/>
      <c r="DE438" s="2"/>
      <c r="DF438" s="2"/>
      <c r="DG438" s="2"/>
      <c r="DH438" s="2"/>
      <c r="DI438" s="2"/>
      <c r="DJ438" s="2" t="s">
        <v>81</v>
      </c>
      <c r="DK438" s="2"/>
      <c r="DL438" s="2">
        <f t="shared" si="4367"/>
        <v>0.31406103286384973</v>
      </c>
      <c r="DM438" s="2">
        <f t="shared" si="4368"/>
        <v>0</v>
      </c>
      <c r="DN438" s="2" t="s">
        <v>150</v>
      </c>
      <c r="DO438" s="2" t="s">
        <v>3</v>
      </c>
      <c r="DP438" s="2">
        <f t="shared" si="4369"/>
        <v>1.3632</v>
      </c>
      <c r="DQ438" s="2">
        <f t="shared" ref="DQ438:DR438" si="7288">K438*$I438+AF438*$AD438+BA438*$AY438</f>
        <v>228.44</v>
      </c>
      <c r="DR438" s="2">
        <f t="shared" si="7288"/>
        <v>0</v>
      </c>
      <c r="DS438" s="2">
        <f t="shared" ref="DS438:DX438" si="7289">(M438*$I438+AH438*$AD438+BC438*$AY438)/100</f>
        <v>0</v>
      </c>
      <c r="DT438" s="2">
        <f t="shared" si="7289"/>
        <v>0</v>
      </c>
      <c r="DU438" s="2">
        <f t="shared" si="7289"/>
        <v>0</v>
      </c>
      <c r="DV438" s="2">
        <f t="shared" si="7289"/>
        <v>0</v>
      </c>
      <c r="DW438" s="2">
        <f t="shared" si="7289"/>
        <v>2.6757999999999997</v>
      </c>
      <c r="DX438" s="2">
        <f t="shared" si="7289"/>
        <v>0</v>
      </c>
      <c r="DY438" s="2">
        <f t="shared" ref="DY438:EC438" si="7290">S438*$I438+AN438*$AD438+BI438*$AY438</f>
        <v>1299.8</v>
      </c>
      <c r="DZ438" s="2">
        <f t="shared" si="7290"/>
        <v>1326.96</v>
      </c>
      <c r="EA438" s="2">
        <f t="shared" si="7290"/>
        <v>88.66</v>
      </c>
      <c r="EB438" s="2">
        <f t="shared" si="7290"/>
        <v>0</v>
      </c>
      <c r="EC438" s="2">
        <f t="shared" si="7290"/>
        <v>0</v>
      </c>
      <c r="ED438" s="2">
        <f t="shared" ref="ED438:EE438" si="7291">(X438*$I438+AS438*$AD438+BN438*$AY438)/100</f>
        <v>0</v>
      </c>
      <c r="EE438" s="2">
        <f t="shared" si="7291"/>
        <v>0</v>
      </c>
      <c r="EF438" s="2"/>
      <c r="EG438" s="2">
        <f t="shared" si="4374"/>
        <v>0</v>
      </c>
      <c r="EH438" s="2">
        <f t="shared" si="4375"/>
        <v>0</v>
      </c>
      <c r="EI438" s="39">
        <f t="shared" si="4376"/>
        <v>8895.7197311999989</v>
      </c>
      <c r="EJ438" s="39">
        <f t="shared" ref="EJ438:EK438" si="7292">EJ$1*DQ438/1000000</f>
        <v>9343.269453376206</v>
      </c>
      <c r="EK438" s="39">
        <f t="shared" si="7292"/>
        <v>0</v>
      </c>
      <c r="EL438" s="39">
        <f t="shared" ref="EL438:EQ438" si="7293">EL$1*DS438</f>
        <v>0</v>
      </c>
      <c r="EM438" s="39">
        <f t="shared" si="7293"/>
        <v>0</v>
      </c>
      <c r="EN438" s="39">
        <f t="shared" si="7293"/>
        <v>0</v>
      </c>
      <c r="EO438" s="39">
        <f t="shared" si="7293"/>
        <v>0</v>
      </c>
      <c r="EP438" s="39">
        <f t="shared" si="7293"/>
        <v>35090.441199999994</v>
      </c>
      <c r="EQ438" s="39">
        <f t="shared" si="7293"/>
        <v>0</v>
      </c>
      <c r="ER438" s="39">
        <f t="shared" ref="ER438:EV438" si="7294">ER$1*DY438/1000000</f>
        <v>36890.079356913178</v>
      </c>
      <c r="ES438" s="39">
        <f t="shared" si="7294"/>
        <v>44221.902019292611</v>
      </c>
      <c r="ET438" s="39">
        <f t="shared" si="7294"/>
        <v>6343.8938263665596</v>
      </c>
      <c r="EU438" s="39">
        <f t="shared" si="7294"/>
        <v>0</v>
      </c>
      <c r="EV438" s="39">
        <f t="shared" si="7294"/>
        <v>0</v>
      </c>
      <c r="EW438" s="39">
        <f t="shared" ref="EW438:EX438" si="7295">EW$1*ED438</f>
        <v>0</v>
      </c>
      <c r="EX438" s="39">
        <f t="shared" si="7295"/>
        <v>0</v>
      </c>
      <c r="EY438" s="2"/>
      <c r="EZ438" s="39">
        <f t="shared" si="4381"/>
        <v>0</v>
      </c>
      <c r="FA438" s="39">
        <f t="shared" si="4382"/>
        <v>0</v>
      </c>
      <c r="FB438" s="2">
        <f t="shared" si="4383"/>
        <v>0.21199000000000001</v>
      </c>
      <c r="FC438" s="2">
        <f t="shared" ref="FC438:FD438" si="7296">BV438*$BT438+CQ438*$CO438</f>
        <v>37.409999999999997</v>
      </c>
      <c r="FD438" s="2">
        <f t="shared" si="7296"/>
        <v>0</v>
      </c>
      <c r="FE438" s="2">
        <f t="shared" ref="FE438:FJ438" si="7297">(BX438*$BT438+CS438*$CO438)/100</f>
        <v>0</v>
      </c>
      <c r="FF438" s="2">
        <f t="shared" si="7297"/>
        <v>0</v>
      </c>
      <c r="FG438" s="2">
        <f t="shared" si="7297"/>
        <v>0</v>
      </c>
      <c r="FH438" s="2">
        <f t="shared" si="7297"/>
        <v>0</v>
      </c>
      <c r="FI438" s="2">
        <f t="shared" si="7297"/>
        <v>0.42398000000000002</v>
      </c>
      <c r="FJ438" s="2">
        <f t="shared" si="7297"/>
        <v>0</v>
      </c>
      <c r="FK438" s="2">
        <f t="shared" ref="FK438:FO438" si="7298">CD438*$BT438+CY438*$CO438</f>
        <v>243.16499999999999</v>
      </c>
      <c r="FL438" s="2">
        <f t="shared" si="7298"/>
        <v>250.64699999999999</v>
      </c>
      <c r="FM438" s="2">
        <f t="shared" si="7298"/>
        <v>17.458000000000002</v>
      </c>
      <c r="FN438" s="2">
        <f t="shared" si="7298"/>
        <v>0</v>
      </c>
      <c r="FO438" s="2">
        <f t="shared" si="7298"/>
        <v>0</v>
      </c>
      <c r="FP438" s="2">
        <f t="shared" ref="FP438:FQ438" si="7299">(CI438*$BT438+DD438*$CO438)/100</f>
        <v>0</v>
      </c>
      <c r="FQ438" s="2">
        <f t="shared" si="7299"/>
        <v>0</v>
      </c>
      <c r="FR438" s="2"/>
      <c r="FS438" s="2">
        <f t="shared" si="4388"/>
        <v>0</v>
      </c>
      <c r="FT438" s="2">
        <f t="shared" si="4389"/>
        <v>0</v>
      </c>
      <c r="FU438" s="39">
        <f t="shared" si="4390"/>
        <v>1383.3653358400002</v>
      </c>
      <c r="FV438" s="39">
        <f t="shared" ref="FV438:FW438" si="7300">FV$1*FC438/1000000</f>
        <v>1530.0810289389065</v>
      </c>
      <c r="FW438" s="39">
        <f t="shared" si="7300"/>
        <v>0</v>
      </c>
      <c r="FX438" s="39">
        <f t="shared" ref="FX438:GC438" si="7301">FX$1*FE438</f>
        <v>0</v>
      </c>
      <c r="FY438" s="39">
        <f t="shared" si="7301"/>
        <v>0</v>
      </c>
      <c r="FZ438" s="39">
        <f t="shared" si="7301"/>
        <v>0</v>
      </c>
      <c r="GA438" s="39">
        <f t="shared" si="7301"/>
        <v>0</v>
      </c>
      <c r="GB438" s="39">
        <f t="shared" si="7301"/>
        <v>5560.0737200000003</v>
      </c>
      <c r="GC438" s="39">
        <f t="shared" si="7301"/>
        <v>0</v>
      </c>
      <c r="GD438" s="39">
        <f t="shared" ref="GD438:GH438" si="7302">GD$1*FK438/1000000</f>
        <v>6901.3510900321535</v>
      </c>
      <c r="GE438" s="39">
        <f t="shared" si="7302"/>
        <v>8352.9926112540197</v>
      </c>
      <c r="GF438" s="39">
        <f t="shared" si="7302"/>
        <v>1249.1732282958203</v>
      </c>
      <c r="GG438" s="39">
        <f t="shared" si="7302"/>
        <v>0</v>
      </c>
      <c r="GH438" s="39">
        <f t="shared" si="7302"/>
        <v>0</v>
      </c>
      <c r="GI438" s="39">
        <f t="shared" ref="GI438:GJ438" si="7303">GI$1*FP438</f>
        <v>0</v>
      </c>
      <c r="GJ438" s="39">
        <f t="shared" si="7303"/>
        <v>0</v>
      </c>
      <c r="GK438" s="2"/>
      <c r="GL438" s="39">
        <f t="shared" si="4395"/>
        <v>0</v>
      </c>
      <c r="GM438" s="39">
        <f t="shared" si="4396"/>
        <v>0</v>
      </c>
      <c r="GN438" s="2" t="s">
        <v>3</v>
      </c>
      <c r="GO438" s="2">
        <f t="shared" si="4397"/>
        <v>852</v>
      </c>
      <c r="GP438" s="4">
        <f t="shared" si="4398"/>
        <v>0.31406103286384973</v>
      </c>
      <c r="GQ438" s="18">
        <f t="shared" si="4399"/>
        <v>2675.8</v>
      </c>
      <c r="GR438" s="15">
        <f t="shared" si="4400"/>
        <v>140785.30558714853</v>
      </c>
      <c r="GS438" s="15">
        <f t="shared" si="4401"/>
        <v>165.24096899900061</v>
      </c>
      <c r="GT438" s="2">
        <f t="shared" si="4402"/>
        <v>0</v>
      </c>
      <c r="GU438" s="2">
        <f t="shared" si="4403"/>
        <v>1107.2</v>
      </c>
      <c r="GV438" s="2">
        <f t="shared" si="4404"/>
        <v>1568.5999999999997</v>
      </c>
      <c r="GW438" s="2">
        <f t="shared" si="4405"/>
        <v>124.7</v>
      </c>
      <c r="GX438" s="2">
        <f>(BT438*CB438+CO438*CW438)/GW438</f>
        <v>0.34</v>
      </c>
      <c r="GY438" s="15">
        <f>1000*GW438*GX438/100</f>
        <v>423.98</v>
      </c>
      <c r="GZ438" s="15">
        <f>SUM(FU438:GM438)</f>
        <v>24977.037014360903</v>
      </c>
      <c r="HA438" s="15">
        <f>GZ438/GW438</f>
        <v>200.29700893633444</v>
      </c>
      <c r="HB438" s="2">
        <f t="shared" si="4406"/>
        <v>0</v>
      </c>
      <c r="HC438" s="2">
        <f t="shared" si="4407"/>
        <v>423.98</v>
      </c>
      <c r="HD438" s="2" t="s">
        <v>3</v>
      </c>
      <c r="HE438" s="2" t="s">
        <v>89</v>
      </c>
      <c r="HF438" s="2" t="s">
        <v>90</v>
      </c>
      <c r="HG438" s="2" t="s">
        <v>91</v>
      </c>
      <c r="HH438" s="2" t="s">
        <v>130</v>
      </c>
      <c r="HI438" s="2" t="s">
        <v>81</v>
      </c>
      <c r="HJ438" s="2" t="s">
        <v>3</v>
      </c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 t="s">
        <v>3</v>
      </c>
    </row>
    <row r="439" spans="1:268" ht="15.75" customHeight="1" x14ac:dyDescent="0.2">
      <c r="A439" s="16" t="s">
        <v>128</v>
      </c>
      <c r="B439" s="2" t="s">
        <v>99</v>
      </c>
      <c r="C439" s="2"/>
      <c r="D439" s="2"/>
      <c r="E439" s="2"/>
      <c r="F439" s="2" t="s">
        <v>129</v>
      </c>
      <c r="G439" s="2"/>
      <c r="H439" s="2"/>
      <c r="I439" s="2">
        <v>0</v>
      </c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>
        <v>151.89999999999998</v>
      </c>
      <c r="AE439" s="4">
        <v>0.12799210006583281</v>
      </c>
      <c r="AF439" s="4">
        <v>0.2414843094140883</v>
      </c>
      <c r="AG439" s="2"/>
      <c r="AH439" s="2"/>
      <c r="AI439" s="2"/>
      <c r="AJ439" s="2"/>
      <c r="AK439" s="2"/>
      <c r="AL439" s="4">
        <v>0.23797893350888746</v>
      </c>
      <c r="AM439" s="2"/>
      <c r="AN439" s="4">
        <v>1.729208267281106</v>
      </c>
      <c r="AO439" s="4">
        <v>2.0413440895325876</v>
      </c>
      <c r="AP439" s="4">
        <v>0.15165019486504283</v>
      </c>
      <c r="AQ439" s="4"/>
      <c r="AR439" s="4"/>
      <c r="AS439" s="2"/>
      <c r="AT439" s="2"/>
      <c r="AU439" s="2"/>
      <c r="AV439" s="2"/>
      <c r="AW439" s="2"/>
      <c r="AX439" s="2"/>
      <c r="AY439" s="2">
        <v>81.199999999999989</v>
      </c>
      <c r="AZ439" s="4">
        <v>9.9334975369458123E-2</v>
      </c>
      <c r="BA439" s="4">
        <v>0.19825397413793108</v>
      </c>
      <c r="BB439" s="2"/>
      <c r="BC439" s="2"/>
      <c r="BD439" s="2"/>
      <c r="BE439" s="2"/>
      <c r="BF439" s="2"/>
      <c r="BG439" s="4">
        <v>0.1780049261083744</v>
      </c>
      <c r="BH439" s="2"/>
      <c r="BI439" s="4">
        <v>1.418353511083744</v>
      </c>
      <c r="BJ439" s="4">
        <v>1.6623498817733993</v>
      </c>
      <c r="BK439" s="4">
        <v>0.12451818349753693</v>
      </c>
      <c r="BL439" s="4"/>
      <c r="BM439" s="4"/>
      <c r="BN439" s="2"/>
      <c r="BO439" s="2"/>
      <c r="BP439" s="2"/>
      <c r="BQ439" s="2"/>
      <c r="BR439" s="2"/>
      <c r="BS439" s="2"/>
      <c r="BT439" s="2">
        <v>0</v>
      </c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>
        <v>0</v>
      </c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 t="s">
        <v>81</v>
      </c>
      <c r="DK439" s="2"/>
      <c r="DL439" s="2">
        <f t="shared" si="4367"/>
        <v>0.21708708708708713</v>
      </c>
      <c r="DM439" s="2">
        <f t="shared" si="4368"/>
        <v>0</v>
      </c>
      <c r="DN439" s="2" t="s">
        <v>95</v>
      </c>
      <c r="DO439" s="2" t="s">
        <v>3</v>
      </c>
      <c r="DP439" s="2">
        <f t="shared" si="4369"/>
        <v>0.27507999999999999</v>
      </c>
      <c r="DQ439" s="2">
        <f t="shared" ref="DQ439:DR439" si="7304">K439*$I439+AF439*$AD439+BA439*$AY439</f>
        <v>52.779689300000008</v>
      </c>
      <c r="DR439" s="2">
        <f t="shared" si="7304"/>
        <v>0</v>
      </c>
      <c r="DS439" s="2">
        <f t="shared" ref="DS439:DX439" si="7305">(M439*$I439+AH439*$AD439+BC439*$AY439)/100</f>
        <v>0</v>
      </c>
      <c r="DT439" s="2">
        <f t="shared" si="7305"/>
        <v>0</v>
      </c>
      <c r="DU439" s="2">
        <f t="shared" si="7305"/>
        <v>0</v>
      </c>
      <c r="DV439" s="2">
        <f t="shared" si="7305"/>
        <v>0</v>
      </c>
      <c r="DW439" s="2">
        <f t="shared" si="7305"/>
        <v>0.50602999999999998</v>
      </c>
      <c r="DX439" s="2">
        <f t="shared" si="7305"/>
        <v>0</v>
      </c>
      <c r="DY439" s="2">
        <f t="shared" ref="DY439:EC439" si="7306">S439*$I439+AN439*$AD439+BI439*$AY439</f>
        <v>377.83704089999998</v>
      </c>
      <c r="DZ439" s="2">
        <f t="shared" si="7306"/>
        <v>445.06297760000001</v>
      </c>
      <c r="EA439" s="2">
        <f t="shared" si="7306"/>
        <v>33.1465411</v>
      </c>
      <c r="EB439" s="2">
        <f t="shared" si="7306"/>
        <v>0</v>
      </c>
      <c r="EC439" s="2">
        <f t="shared" si="7306"/>
        <v>0</v>
      </c>
      <c r="ED439" s="2">
        <f t="shared" ref="ED439:EE439" si="7307">(X439*$I439+AS439*$AD439+BN439*$AY439)/100</f>
        <v>0</v>
      </c>
      <c r="EE439" s="2">
        <f t="shared" si="7307"/>
        <v>0</v>
      </c>
      <c r="EF439" s="2"/>
      <c r="EG439" s="2">
        <f t="shared" si="4374"/>
        <v>0</v>
      </c>
      <c r="EH439" s="2">
        <f t="shared" si="4375"/>
        <v>0</v>
      </c>
      <c r="EI439" s="39">
        <f t="shared" si="4376"/>
        <v>1795.0664492799999</v>
      </c>
      <c r="EJ439" s="39">
        <f t="shared" ref="EJ439:EK439" si="7308">EJ$1*DQ439/1000000</f>
        <v>2158.7062633311898</v>
      </c>
      <c r="EK439" s="39">
        <f t="shared" si="7308"/>
        <v>0</v>
      </c>
      <c r="EL439" s="39">
        <f t="shared" ref="EL439:EQ439" si="7309">EL$1*DS439</f>
        <v>0</v>
      </c>
      <c r="EM439" s="39">
        <f t="shared" si="7309"/>
        <v>0</v>
      </c>
      <c r="EN439" s="39">
        <f t="shared" si="7309"/>
        <v>0</v>
      </c>
      <c r="EO439" s="39">
        <f t="shared" si="7309"/>
        <v>0</v>
      </c>
      <c r="EP439" s="39">
        <f t="shared" si="7309"/>
        <v>6636.0774199999996</v>
      </c>
      <c r="EQ439" s="39">
        <f t="shared" si="7309"/>
        <v>0</v>
      </c>
      <c r="ER439" s="39">
        <f t="shared" ref="ER439:EV439" si="7310">ER$1*DY439/1000000</f>
        <v>10723.525482983729</v>
      </c>
      <c r="ES439" s="39">
        <f t="shared" si="7310"/>
        <v>14832.045719420195</v>
      </c>
      <c r="ET439" s="39">
        <f t="shared" si="7310"/>
        <v>2371.7362671971064</v>
      </c>
      <c r="EU439" s="39">
        <f t="shared" si="7310"/>
        <v>0</v>
      </c>
      <c r="EV439" s="39">
        <f t="shared" si="7310"/>
        <v>0</v>
      </c>
      <c r="EW439" s="39">
        <f t="shared" ref="EW439:EX439" si="7311">EW$1*ED439</f>
        <v>0</v>
      </c>
      <c r="EX439" s="39">
        <f t="shared" si="7311"/>
        <v>0</v>
      </c>
      <c r="EY439" s="2"/>
      <c r="EZ439" s="39">
        <f t="shared" si="4381"/>
        <v>0</v>
      </c>
      <c r="FA439" s="39">
        <f t="shared" si="4382"/>
        <v>0</v>
      </c>
      <c r="FB439" s="2">
        <f t="shared" si="4383"/>
        <v>0</v>
      </c>
      <c r="FC439" s="2">
        <f t="shared" ref="FC439:FD439" si="7312">BV439*$BT439+CQ439*$CO439</f>
        <v>0</v>
      </c>
      <c r="FD439" s="2">
        <f t="shared" si="7312"/>
        <v>0</v>
      </c>
      <c r="FE439" s="2">
        <f t="shared" ref="FE439:FJ439" si="7313">(BX439*$BT439+CS439*$CO439)/100</f>
        <v>0</v>
      </c>
      <c r="FF439" s="2">
        <f t="shared" si="7313"/>
        <v>0</v>
      </c>
      <c r="FG439" s="2">
        <f t="shared" si="7313"/>
        <v>0</v>
      </c>
      <c r="FH439" s="2">
        <f t="shared" si="7313"/>
        <v>0</v>
      </c>
      <c r="FI439" s="2">
        <f t="shared" si="7313"/>
        <v>0</v>
      </c>
      <c r="FJ439" s="2">
        <f t="shared" si="7313"/>
        <v>0</v>
      </c>
      <c r="FK439" s="2">
        <f t="shared" ref="FK439:FO439" si="7314">CD439*$BT439+CY439*$CO439</f>
        <v>0</v>
      </c>
      <c r="FL439" s="2">
        <f t="shared" si="7314"/>
        <v>0</v>
      </c>
      <c r="FM439" s="2">
        <f t="shared" si="7314"/>
        <v>0</v>
      </c>
      <c r="FN439" s="2">
        <f t="shared" si="7314"/>
        <v>0</v>
      </c>
      <c r="FO439" s="2">
        <f t="shared" si="7314"/>
        <v>0</v>
      </c>
      <c r="FP439" s="2">
        <f t="shared" ref="FP439:FQ439" si="7315">(CI439*$BT439+DD439*$CO439)/100</f>
        <v>0</v>
      </c>
      <c r="FQ439" s="2">
        <f t="shared" si="7315"/>
        <v>0</v>
      </c>
      <c r="FR439" s="2"/>
      <c r="FS439" s="2">
        <f t="shared" si="4388"/>
        <v>0</v>
      </c>
      <c r="FT439" s="2">
        <f t="shared" si="4389"/>
        <v>0</v>
      </c>
      <c r="FU439" s="39">
        <f t="shared" si="4390"/>
        <v>0</v>
      </c>
      <c r="FV439" s="39">
        <f t="shared" ref="FV439:FW439" si="7316">FV$1*FC439/1000000</f>
        <v>0</v>
      </c>
      <c r="FW439" s="39">
        <f t="shared" si="7316"/>
        <v>0</v>
      </c>
      <c r="FX439" s="39">
        <f t="shared" ref="FX439:GC439" si="7317">FX$1*FE439</f>
        <v>0</v>
      </c>
      <c r="FY439" s="39">
        <f t="shared" si="7317"/>
        <v>0</v>
      </c>
      <c r="FZ439" s="39">
        <f t="shared" si="7317"/>
        <v>0</v>
      </c>
      <c r="GA439" s="39">
        <f t="shared" si="7317"/>
        <v>0</v>
      </c>
      <c r="GB439" s="39">
        <f t="shared" si="7317"/>
        <v>0</v>
      </c>
      <c r="GC439" s="39">
        <f t="shared" si="7317"/>
        <v>0</v>
      </c>
      <c r="GD439" s="39">
        <f t="shared" ref="GD439:GH439" si="7318">GD$1*FK439/1000000</f>
        <v>0</v>
      </c>
      <c r="GE439" s="39">
        <f t="shared" si="7318"/>
        <v>0</v>
      </c>
      <c r="GF439" s="39">
        <f t="shared" si="7318"/>
        <v>0</v>
      </c>
      <c r="GG439" s="39">
        <f t="shared" si="7318"/>
        <v>0</v>
      </c>
      <c r="GH439" s="39">
        <f t="shared" si="7318"/>
        <v>0</v>
      </c>
      <c r="GI439" s="39">
        <f t="shared" ref="GI439:GJ439" si="7319">GI$1*FP439</f>
        <v>0</v>
      </c>
      <c r="GJ439" s="39">
        <f t="shared" si="7319"/>
        <v>0</v>
      </c>
      <c r="GK439" s="2"/>
      <c r="GL439" s="39">
        <f t="shared" si="4395"/>
        <v>0</v>
      </c>
      <c r="GM439" s="39">
        <f t="shared" si="4396"/>
        <v>0</v>
      </c>
      <c r="GN439" s="2" t="s">
        <v>3</v>
      </c>
      <c r="GO439" s="2">
        <f t="shared" si="4397"/>
        <v>233.09999999999997</v>
      </c>
      <c r="GP439" s="4">
        <f t="shared" si="4398"/>
        <v>0.21708708708708713</v>
      </c>
      <c r="GQ439" s="15">
        <f t="shared" si="4399"/>
        <v>506.03</v>
      </c>
      <c r="GR439" s="15">
        <f t="shared" si="4400"/>
        <v>38517.157602212217</v>
      </c>
      <c r="GS439" s="15">
        <f t="shared" si="4401"/>
        <v>165.23877135226178</v>
      </c>
      <c r="GT439" s="2">
        <f t="shared" si="4402"/>
        <v>0</v>
      </c>
      <c r="GU439" s="2">
        <f t="shared" si="4403"/>
        <v>361.49</v>
      </c>
      <c r="GV439" s="2">
        <f t="shared" si="4404"/>
        <v>144.54</v>
      </c>
      <c r="GW439" s="2">
        <f t="shared" si="4405"/>
        <v>0</v>
      </c>
      <c r="GX439" s="2"/>
      <c r="GY439" s="2"/>
      <c r="GZ439" s="2"/>
      <c r="HA439" s="2"/>
      <c r="HB439" s="2">
        <f t="shared" si="4406"/>
        <v>0</v>
      </c>
      <c r="HC439" s="2">
        <f t="shared" si="4407"/>
        <v>0</v>
      </c>
      <c r="HD439" s="2" t="s">
        <v>3</v>
      </c>
      <c r="HE439" s="2" t="s">
        <v>89</v>
      </c>
      <c r="HF439" s="2" t="s">
        <v>90</v>
      </c>
      <c r="HG439" s="2" t="s">
        <v>91</v>
      </c>
      <c r="HH439" s="2" t="s">
        <v>130</v>
      </c>
      <c r="HI439" s="2" t="s">
        <v>81</v>
      </c>
      <c r="HJ439" s="2" t="s">
        <v>3</v>
      </c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 t="s">
        <v>3</v>
      </c>
    </row>
    <row r="440" spans="1:268" ht="15.75" customHeight="1" x14ac:dyDescent="0.2">
      <c r="A440" s="16" t="s">
        <v>1066</v>
      </c>
      <c r="B440" s="2" t="s">
        <v>99</v>
      </c>
      <c r="C440" s="2"/>
      <c r="D440" s="2"/>
      <c r="E440" s="2"/>
      <c r="F440" s="17" t="s">
        <v>79</v>
      </c>
      <c r="G440" s="2"/>
      <c r="H440" s="2"/>
      <c r="I440" s="2">
        <v>0</v>
      </c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>
        <v>0</v>
      </c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>
        <v>18.128</v>
      </c>
      <c r="AZ440" s="4">
        <v>0.11411187113857017</v>
      </c>
      <c r="BA440" s="4">
        <v>8.5279677846425428E-2</v>
      </c>
      <c r="BB440" s="2"/>
      <c r="BC440" s="2"/>
      <c r="BD440" s="2"/>
      <c r="BE440" s="2"/>
      <c r="BF440" s="2"/>
      <c r="BG440" s="4">
        <v>0.18527967784642543</v>
      </c>
      <c r="BH440" s="2"/>
      <c r="BI440" s="4">
        <v>0.4700490953221535</v>
      </c>
      <c r="BJ440" s="4">
        <v>0.73578993821712269</v>
      </c>
      <c r="BK440" s="2"/>
      <c r="BL440" s="2"/>
      <c r="BM440" s="2"/>
      <c r="BN440" s="2"/>
      <c r="BO440" s="2"/>
      <c r="BP440" s="2"/>
      <c r="BQ440" s="2"/>
      <c r="BR440" s="2"/>
      <c r="BS440" s="2"/>
      <c r="BT440" s="2">
        <v>0</v>
      </c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>
        <v>0</v>
      </c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 t="s">
        <v>81</v>
      </c>
      <c r="DK440" s="2"/>
      <c r="DL440" s="2">
        <f t="shared" si="4367"/>
        <v>0.18527967784642543</v>
      </c>
      <c r="DM440" s="2">
        <f t="shared" si="4368"/>
        <v>0</v>
      </c>
      <c r="DN440" s="2" t="s">
        <v>1067</v>
      </c>
      <c r="DO440" s="2" t="s">
        <v>3</v>
      </c>
      <c r="DP440" s="2">
        <f t="shared" si="4369"/>
        <v>2.0686200000000002E-2</v>
      </c>
      <c r="DQ440" s="2">
        <f t="shared" ref="DQ440:DR440" si="7320">K440*$I440+AF440*$AD440+BA440*$AY440</f>
        <v>1.5459500000000002</v>
      </c>
      <c r="DR440" s="2">
        <f t="shared" si="7320"/>
        <v>0</v>
      </c>
      <c r="DS440" s="2">
        <f t="shared" ref="DS440:DX440" si="7321">(M440*$I440+AH440*$AD440+BC440*$AY440)/100</f>
        <v>0</v>
      </c>
      <c r="DT440" s="2">
        <f t="shared" si="7321"/>
        <v>0</v>
      </c>
      <c r="DU440" s="2">
        <f t="shared" si="7321"/>
        <v>0</v>
      </c>
      <c r="DV440" s="2">
        <f t="shared" si="7321"/>
        <v>0</v>
      </c>
      <c r="DW440" s="2">
        <f t="shared" si="7321"/>
        <v>3.3587499999999999E-2</v>
      </c>
      <c r="DX440" s="2">
        <f t="shared" si="7321"/>
        <v>0</v>
      </c>
      <c r="DY440" s="2">
        <f t="shared" ref="DY440:EC440" si="7322">S440*$I440+AN440*$AD440+BI440*$AY440</f>
        <v>8.5210499999999989</v>
      </c>
      <c r="DZ440" s="2">
        <f t="shared" si="7322"/>
        <v>13.3384</v>
      </c>
      <c r="EA440" s="2">
        <f t="shared" si="7322"/>
        <v>0</v>
      </c>
      <c r="EB440" s="2">
        <f t="shared" si="7322"/>
        <v>0</v>
      </c>
      <c r="EC440" s="2">
        <f t="shared" si="7322"/>
        <v>0</v>
      </c>
      <c r="ED440" s="2">
        <f t="shared" ref="ED440:EE440" si="7323">(X440*$I440+AS440*$AD440+BN440*$AY440)/100</f>
        <v>0</v>
      </c>
      <c r="EE440" s="2">
        <f t="shared" si="7323"/>
        <v>0</v>
      </c>
      <c r="EF440" s="2"/>
      <c r="EG440" s="2">
        <f t="shared" si="4374"/>
        <v>0</v>
      </c>
      <c r="EH440" s="2">
        <f t="shared" si="4375"/>
        <v>0</v>
      </c>
      <c r="EI440" s="39">
        <f t="shared" si="4376"/>
        <v>134.99019769920002</v>
      </c>
      <c r="EJ440" s="39">
        <f t="shared" ref="EJ440:EK440" si="7324">EJ$1*DQ440/1000000</f>
        <v>63.229852090032153</v>
      </c>
      <c r="EK440" s="39">
        <f t="shared" si="7324"/>
        <v>0</v>
      </c>
      <c r="EL440" s="39">
        <f t="shared" ref="EL440:EQ440" si="7325">EL$1*DS440</f>
        <v>0</v>
      </c>
      <c r="EM440" s="39">
        <f t="shared" si="7325"/>
        <v>0</v>
      </c>
      <c r="EN440" s="39">
        <f t="shared" si="7325"/>
        <v>0</v>
      </c>
      <c r="EO440" s="39">
        <f t="shared" si="7325"/>
        <v>0</v>
      </c>
      <c r="EP440" s="39">
        <f t="shared" si="7325"/>
        <v>440.466475</v>
      </c>
      <c r="EQ440" s="39">
        <f t="shared" si="7325"/>
        <v>0</v>
      </c>
      <c r="ER440" s="39">
        <f t="shared" ref="ER440:EV440" si="7326">ER$1*DY440/1000000</f>
        <v>241.83890652733112</v>
      </c>
      <c r="ES440" s="39">
        <f t="shared" si="7326"/>
        <v>444.5118299678457</v>
      </c>
      <c r="ET440" s="39">
        <f t="shared" si="7326"/>
        <v>0</v>
      </c>
      <c r="EU440" s="39">
        <f t="shared" si="7326"/>
        <v>0</v>
      </c>
      <c r="EV440" s="39">
        <f t="shared" si="7326"/>
        <v>0</v>
      </c>
      <c r="EW440" s="39">
        <f t="shared" ref="EW440:EX440" si="7327">EW$1*ED440</f>
        <v>0</v>
      </c>
      <c r="EX440" s="39">
        <f t="shared" si="7327"/>
        <v>0</v>
      </c>
      <c r="EY440" s="2"/>
      <c r="EZ440" s="39">
        <f t="shared" si="4381"/>
        <v>0</v>
      </c>
      <c r="FA440" s="39">
        <f t="shared" si="4382"/>
        <v>0</v>
      </c>
      <c r="FB440" s="2">
        <f t="shared" si="4383"/>
        <v>0</v>
      </c>
      <c r="FC440" s="2">
        <f t="shared" ref="FC440:FD440" si="7328">BV440*$BT440+CQ440*$CO440</f>
        <v>0</v>
      </c>
      <c r="FD440" s="2">
        <f t="shared" si="7328"/>
        <v>0</v>
      </c>
      <c r="FE440" s="2">
        <f t="shared" ref="FE440:FJ440" si="7329">(BX440*$BT440+CS440*$CO440)/100</f>
        <v>0</v>
      </c>
      <c r="FF440" s="2">
        <f t="shared" si="7329"/>
        <v>0</v>
      </c>
      <c r="FG440" s="2">
        <f t="shared" si="7329"/>
        <v>0</v>
      </c>
      <c r="FH440" s="2">
        <f t="shared" si="7329"/>
        <v>0</v>
      </c>
      <c r="FI440" s="2">
        <f t="shared" si="7329"/>
        <v>0</v>
      </c>
      <c r="FJ440" s="2">
        <f t="shared" si="7329"/>
        <v>0</v>
      </c>
      <c r="FK440" s="2">
        <f t="shared" ref="FK440:FO440" si="7330">CD440*$BT440+CY440*$CO440</f>
        <v>0</v>
      </c>
      <c r="FL440" s="2">
        <f t="shared" si="7330"/>
        <v>0</v>
      </c>
      <c r="FM440" s="2">
        <f t="shared" si="7330"/>
        <v>0</v>
      </c>
      <c r="FN440" s="2">
        <f t="shared" si="7330"/>
        <v>0</v>
      </c>
      <c r="FO440" s="2">
        <f t="shared" si="7330"/>
        <v>0</v>
      </c>
      <c r="FP440" s="2">
        <f t="shared" ref="FP440:FQ440" si="7331">(CI440*$BT440+DD440*$CO440)/100</f>
        <v>0</v>
      </c>
      <c r="FQ440" s="2">
        <f t="shared" si="7331"/>
        <v>0</v>
      </c>
      <c r="FR440" s="2"/>
      <c r="FS440" s="2">
        <f t="shared" si="4388"/>
        <v>0</v>
      </c>
      <c r="FT440" s="2">
        <f t="shared" si="4389"/>
        <v>0</v>
      </c>
      <c r="FU440" s="39">
        <f t="shared" si="4390"/>
        <v>0</v>
      </c>
      <c r="FV440" s="39">
        <f t="shared" ref="FV440:FW440" si="7332">FV$1*FC440/1000000</f>
        <v>0</v>
      </c>
      <c r="FW440" s="39">
        <f t="shared" si="7332"/>
        <v>0</v>
      </c>
      <c r="FX440" s="39">
        <f t="shared" ref="FX440:GC440" si="7333">FX$1*FE440</f>
        <v>0</v>
      </c>
      <c r="FY440" s="39">
        <f t="shared" si="7333"/>
        <v>0</v>
      </c>
      <c r="FZ440" s="39">
        <f t="shared" si="7333"/>
        <v>0</v>
      </c>
      <c r="GA440" s="39">
        <f t="shared" si="7333"/>
        <v>0</v>
      </c>
      <c r="GB440" s="39">
        <f t="shared" si="7333"/>
        <v>0</v>
      </c>
      <c r="GC440" s="39">
        <f t="shared" si="7333"/>
        <v>0</v>
      </c>
      <c r="GD440" s="39">
        <f t="shared" ref="GD440:GH440" si="7334">GD$1*FK440/1000000</f>
        <v>0</v>
      </c>
      <c r="GE440" s="39">
        <f t="shared" si="7334"/>
        <v>0</v>
      </c>
      <c r="GF440" s="39">
        <f t="shared" si="7334"/>
        <v>0</v>
      </c>
      <c r="GG440" s="39">
        <f t="shared" si="7334"/>
        <v>0</v>
      </c>
      <c r="GH440" s="39">
        <f t="shared" si="7334"/>
        <v>0</v>
      </c>
      <c r="GI440" s="39">
        <f t="shared" ref="GI440:GJ440" si="7335">GI$1*FP440</f>
        <v>0</v>
      </c>
      <c r="GJ440" s="39">
        <f t="shared" si="7335"/>
        <v>0</v>
      </c>
      <c r="GK440" s="2"/>
      <c r="GL440" s="39">
        <f t="shared" si="4395"/>
        <v>0</v>
      </c>
      <c r="GM440" s="39">
        <f t="shared" si="4396"/>
        <v>0</v>
      </c>
      <c r="GN440" s="2" t="s">
        <v>3</v>
      </c>
      <c r="GO440" s="4">
        <f t="shared" si="4397"/>
        <v>18.128</v>
      </c>
      <c r="GP440" s="4">
        <f t="shared" si="4398"/>
        <v>0.18527967784642543</v>
      </c>
      <c r="GQ440" s="15">
        <f t="shared" si="4399"/>
        <v>33.587500000000006</v>
      </c>
      <c r="GR440" s="15">
        <f t="shared" si="4400"/>
        <v>1325.0372612844089</v>
      </c>
      <c r="GS440" s="15">
        <f t="shared" si="4401"/>
        <v>73.093405851964306</v>
      </c>
      <c r="GT440" s="2">
        <f t="shared" si="4402"/>
        <v>0</v>
      </c>
      <c r="GU440" s="2">
        <f t="shared" si="4403"/>
        <v>0</v>
      </c>
      <c r="GV440" s="2">
        <f t="shared" si="4404"/>
        <v>33.587499999999999</v>
      </c>
      <c r="GW440" s="2">
        <f t="shared" si="4405"/>
        <v>0</v>
      </c>
      <c r="GX440" s="2"/>
      <c r="GY440" s="2"/>
      <c r="GZ440" s="2"/>
      <c r="HA440" s="2"/>
      <c r="HB440" s="2">
        <f t="shared" si="4406"/>
        <v>0</v>
      </c>
      <c r="HC440" s="2">
        <f t="shared" si="4407"/>
        <v>0</v>
      </c>
      <c r="HD440" s="2" t="s">
        <v>3</v>
      </c>
      <c r="HE440" s="2" t="s">
        <v>89</v>
      </c>
      <c r="HF440" s="2" t="s">
        <v>90</v>
      </c>
      <c r="HG440" s="2" t="s">
        <v>91</v>
      </c>
      <c r="HH440" s="2" t="s">
        <v>130</v>
      </c>
      <c r="HI440" s="2" t="s">
        <v>81</v>
      </c>
      <c r="HJ440" s="2" t="s">
        <v>3</v>
      </c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 t="s">
        <v>3</v>
      </c>
    </row>
    <row r="441" spans="1:268" ht="15.75" customHeight="1" x14ac:dyDescent="0.2">
      <c r="A441" s="16" t="s">
        <v>1282</v>
      </c>
      <c r="B441" s="2" t="s">
        <v>99</v>
      </c>
      <c r="C441" s="2"/>
      <c r="D441" s="2"/>
      <c r="E441" s="2"/>
      <c r="F441" s="2" t="s">
        <v>1283</v>
      </c>
      <c r="G441" s="2"/>
      <c r="H441" s="2"/>
      <c r="I441" s="2">
        <v>0</v>
      </c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>
        <v>0</v>
      </c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15">
        <v>313.10666666666668</v>
      </c>
      <c r="AZ441" s="4">
        <v>0.1</v>
      </c>
      <c r="BA441" s="4">
        <v>7.7700000000000019E-2</v>
      </c>
      <c r="BB441" s="2"/>
      <c r="BC441" s="2"/>
      <c r="BD441" s="2"/>
      <c r="BE441" s="2"/>
      <c r="BF441" s="2"/>
      <c r="BG441" s="2">
        <v>0.13</v>
      </c>
      <c r="BH441" s="2"/>
      <c r="BI441" s="4">
        <v>0.25530000000000003</v>
      </c>
      <c r="BJ441" s="4">
        <v>0.77700000000000002</v>
      </c>
      <c r="BK441" s="2"/>
      <c r="BL441" s="2"/>
      <c r="BM441" s="2"/>
      <c r="BN441" s="2"/>
      <c r="BO441" s="2"/>
      <c r="BP441" s="2"/>
      <c r="BQ441" s="2"/>
      <c r="BR441" s="2"/>
      <c r="BS441" s="2"/>
      <c r="BT441" s="2">
        <v>0</v>
      </c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>
        <v>0</v>
      </c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 t="s">
        <v>81</v>
      </c>
      <c r="DK441" s="2"/>
      <c r="DL441" s="2">
        <f t="shared" si="4367"/>
        <v>0.13</v>
      </c>
      <c r="DM441" s="2">
        <f t="shared" si="4368"/>
        <v>0</v>
      </c>
      <c r="DN441" s="2" t="s">
        <v>302</v>
      </c>
      <c r="DO441" s="2" t="s">
        <v>3</v>
      </c>
      <c r="DP441" s="2">
        <f t="shared" si="4369"/>
        <v>0.3131066666666667</v>
      </c>
      <c r="DQ441" s="2">
        <f t="shared" ref="DQ441:DR441" si="7336">K441*$I441+AF441*$AD441+BA441*$AY441</f>
        <v>24.328388000000007</v>
      </c>
      <c r="DR441" s="2">
        <f t="shared" si="7336"/>
        <v>0</v>
      </c>
      <c r="DS441" s="2">
        <f t="shared" ref="DS441:DX441" si="7337">(M441*$I441+AH441*$AD441+BC441*$AY441)/100</f>
        <v>0</v>
      </c>
      <c r="DT441" s="2">
        <f t="shared" si="7337"/>
        <v>0</v>
      </c>
      <c r="DU441" s="2">
        <f t="shared" si="7337"/>
        <v>0</v>
      </c>
      <c r="DV441" s="2">
        <f t="shared" si="7337"/>
        <v>0</v>
      </c>
      <c r="DW441" s="2">
        <f t="shared" si="7337"/>
        <v>0.40703866666666672</v>
      </c>
      <c r="DX441" s="2">
        <f t="shared" si="7337"/>
        <v>0</v>
      </c>
      <c r="DY441" s="2">
        <f t="shared" ref="DY441:EC441" si="7338">S441*$I441+AN441*$AD441+BI441*$AY441</f>
        <v>79.936132000000015</v>
      </c>
      <c r="DZ441" s="2">
        <f t="shared" si="7338"/>
        <v>243.28388000000001</v>
      </c>
      <c r="EA441" s="2">
        <f t="shared" si="7338"/>
        <v>0</v>
      </c>
      <c r="EB441" s="2">
        <f t="shared" si="7338"/>
        <v>0</v>
      </c>
      <c r="EC441" s="2">
        <f t="shared" si="7338"/>
        <v>0</v>
      </c>
      <c r="ED441" s="2">
        <f t="shared" ref="ED441:EE441" si="7339">(X441*$I441+AS441*$AD441+BN441*$AY441)/100</f>
        <v>0</v>
      </c>
      <c r="EE441" s="2">
        <f t="shared" si="7339"/>
        <v>0</v>
      </c>
      <c r="EF441" s="2"/>
      <c r="EG441" s="2">
        <f t="shared" si="4374"/>
        <v>0</v>
      </c>
      <c r="EH441" s="2">
        <f t="shared" si="4375"/>
        <v>0</v>
      </c>
      <c r="EI441" s="39">
        <f t="shared" si="4376"/>
        <v>2043.2138737066668</v>
      </c>
      <c r="EJ441" s="39">
        <f t="shared" ref="EJ441:EK441" si="7340">EJ$1*DQ441/1000000</f>
        <v>995.03889183279762</v>
      </c>
      <c r="EK441" s="39">
        <f t="shared" si="7340"/>
        <v>0</v>
      </c>
      <c r="EL441" s="39">
        <f t="shared" ref="EL441:EQ441" si="7341">EL$1*DS441</f>
        <v>0</v>
      </c>
      <c r="EM441" s="39">
        <f t="shared" si="7341"/>
        <v>0</v>
      </c>
      <c r="EN441" s="39">
        <f t="shared" si="7341"/>
        <v>0</v>
      </c>
      <c r="EO441" s="39">
        <f t="shared" si="7341"/>
        <v>0</v>
      </c>
      <c r="EP441" s="39">
        <f t="shared" si="7341"/>
        <v>5337.9050746666671</v>
      </c>
      <c r="EQ441" s="39">
        <f t="shared" si="7341"/>
        <v>0</v>
      </c>
      <c r="ER441" s="39">
        <f t="shared" ref="ER441:EV441" si="7342">ER$1*DY441/1000000</f>
        <v>2268.695378492605</v>
      </c>
      <c r="ES441" s="39">
        <f t="shared" si="7342"/>
        <v>8107.6113102379431</v>
      </c>
      <c r="ET441" s="39">
        <f t="shared" si="7342"/>
        <v>0</v>
      </c>
      <c r="EU441" s="39">
        <f t="shared" si="7342"/>
        <v>0</v>
      </c>
      <c r="EV441" s="39">
        <f t="shared" si="7342"/>
        <v>0</v>
      </c>
      <c r="EW441" s="39">
        <f t="shared" ref="EW441:EX441" si="7343">EW$1*ED441</f>
        <v>0</v>
      </c>
      <c r="EX441" s="39">
        <f t="shared" si="7343"/>
        <v>0</v>
      </c>
      <c r="EY441" s="2"/>
      <c r="EZ441" s="39">
        <f t="shared" si="4381"/>
        <v>0</v>
      </c>
      <c r="FA441" s="39">
        <f t="shared" si="4382"/>
        <v>0</v>
      </c>
      <c r="FB441" s="2">
        <f t="shared" si="4383"/>
        <v>0</v>
      </c>
      <c r="FC441" s="2">
        <f t="shared" ref="FC441:FD441" si="7344">BV441*$BT441+CQ441*$CO441</f>
        <v>0</v>
      </c>
      <c r="FD441" s="2">
        <f t="shared" si="7344"/>
        <v>0</v>
      </c>
      <c r="FE441" s="2">
        <f t="shared" ref="FE441:FJ441" si="7345">(BX441*$BT441+CS441*$CO441)/100</f>
        <v>0</v>
      </c>
      <c r="FF441" s="2">
        <f t="shared" si="7345"/>
        <v>0</v>
      </c>
      <c r="FG441" s="2">
        <f t="shared" si="7345"/>
        <v>0</v>
      </c>
      <c r="FH441" s="2">
        <f t="shared" si="7345"/>
        <v>0</v>
      </c>
      <c r="FI441" s="2">
        <f t="shared" si="7345"/>
        <v>0</v>
      </c>
      <c r="FJ441" s="2">
        <f t="shared" si="7345"/>
        <v>0</v>
      </c>
      <c r="FK441" s="2">
        <f t="shared" ref="FK441:FO441" si="7346">CD441*$BT441+CY441*$CO441</f>
        <v>0</v>
      </c>
      <c r="FL441" s="2">
        <f t="shared" si="7346"/>
        <v>0</v>
      </c>
      <c r="FM441" s="2">
        <f t="shared" si="7346"/>
        <v>0</v>
      </c>
      <c r="FN441" s="2">
        <f t="shared" si="7346"/>
        <v>0</v>
      </c>
      <c r="FO441" s="2">
        <f t="shared" si="7346"/>
        <v>0</v>
      </c>
      <c r="FP441" s="2">
        <f t="shared" ref="FP441:FQ441" si="7347">(CI441*$BT441+DD441*$CO441)/100</f>
        <v>0</v>
      </c>
      <c r="FQ441" s="2">
        <f t="shared" si="7347"/>
        <v>0</v>
      </c>
      <c r="FR441" s="2"/>
      <c r="FS441" s="2">
        <f t="shared" si="4388"/>
        <v>0</v>
      </c>
      <c r="FT441" s="2">
        <f t="shared" si="4389"/>
        <v>0</v>
      </c>
      <c r="FU441" s="39">
        <f t="shared" si="4390"/>
        <v>0</v>
      </c>
      <c r="FV441" s="39">
        <f t="shared" ref="FV441:FW441" si="7348">FV$1*FC441/1000000</f>
        <v>0</v>
      </c>
      <c r="FW441" s="39">
        <f t="shared" si="7348"/>
        <v>0</v>
      </c>
      <c r="FX441" s="39">
        <f t="shared" ref="FX441:GC441" si="7349">FX$1*FE441</f>
        <v>0</v>
      </c>
      <c r="FY441" s="39">
        <f t="shared" si="7349"/>
        <v>0</v>
      </c>
      <c r="FZ441" s="39">
        <f t="shared" si="7349"/>
        <v>0</v>
      </c>
      <c r="GA441" s="39">
        <f t="shared" si="7349"/>
        <v>0</v>
      </c>
      <c r="GB441" s="39">
        <f t="shared" si="7349"/>
        <v>0</v>
      </c>
      <c r="GC441" s="39">
        <f t="shared" si="7349"/>
        <v>0</v>
      </c>
      <c r="GD441" s="39">
        <f t="shared" ref="GD441:GH441" si="7350">GD$1*FK441/1000000</f>
        <v>0</v>
      </c>
      <c r="GE441" s="39">
        <f t="shared" si="7350"/>
        <v>0</v>
      </c>
      <c r="GF441" s="39">
        <f t="shared" si="7350"/>
        <v>0</v>
      </c>
      <c r="GG441" s="39">
        <f t="shared" si="7350"/>
        <v>0</v>
      </c>
      <c r="GH441" s="39">
        <f t="shared" si="7350"/>
        <v>0</v>
      </c>
      <c r="GI441" s="39">
        <f t="shared" ref="GI441:GJ441" si="7351">GI$1*FP441</f>
        <v>0</v>
      </c>
      <c r="GJ441" s="39">
        <f t="shared" si="7351"/>
        <v>0</v>
      </c>
      <c r="GK441" s="2"/>
      <c r="GL441" s="39">
        <f t="shared" si="4395"/>
        <v>0</v>
      </c>
      <c r="GM441" s="39">
        <f t="shared" si="4396"/>
        <v>0</v>
      </c>
      <c r="GN441" s="2" t="s">
        <v>3</v>
      </c>
      <c r="GO441" s="15">
        <f t="shared" si="4397"/>
        <v>313.10666666666668</v>
      </c>
      <c r="GP441" s="4">
        <f t="shared" si="4398"/>
        <v>0.13</v>
      </c>
      <c r="GQ441" s="15">
        <f t="shared" si="4399"/>
        <v>407.0386666666667</v>
      </c>
      <c r="GR441" s="15">
        <f t="shared" si="4400"/>
        <v>18752.464528936678</v>
      </c>
      <c r="GS441" s="15">
        <f t="shared" si="4401"/>
        <v>59.891616900321544</v>
      </c>
      <c r="GT441" s="2">
        <f t="shared" si="4402"/>
        <v>0</v>
      </c>
      <c r="GU441" s="2">
        <f t="shared" si="4403"/>
        <v>0</v>
      </c>
      <c r="GV441" s="2">
        <f t="shared" si="4404"/>
        <v>407.0386666666667</v>
      </c>
      <c r="GW441" s="2">
        <f t="shared" si="4405"/>
        <v>0</v>
      </c>
      <c r="GX441" s="2"/>
      <c r="GY441" s="2"/>
      <c r="GZ441" s="2"/>
      <c r="HA441" s="2"/>
      <c r="HB441" s="2">
        <f t="shared" si="4406"/>
        <v>0</v>
      </c>
      <c r="HC441" s="2">
        <f t="shared" si="4407"/>
        <v>0</v>
      </c>
      <c r="HD441" s="2" t="s">
        <v>3</v>
      </c>
      <c r="HE441" s="2" t="s">
        <v>89</v>
      </c>
      <c r="HF441" s="2" t="s">
        <v>90</v>
      </c>
      <c r="HG441" s="2" t="s">
        <v>91</v>
      </c>
      <c r="HH441" s="2" t="s">
        <v>130</v>
      </c>
      <c r="HI441" s="2" t="s">
        <v>81</v>
      </c>
      <c r="HJ441" s="2" t="s">
        <v>3</v>
      </c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 t="s">
        <v>3</v>
      </c>
    </row>
    <row r="442" spans="1:268" ht="15.75" customHeight="1" x14ac:dyDescent="0.2">
      <c r="A442" s="16" t="s">
        <v>755</v>
      </c>
      <c r="B442" s="2" t="s">
        <v>99</v>
      </c>
      <c r="C442" s="2"/>
      <c r="D442" s="2"/>
      <c r="E442" s="2"/>
      <c r="F442" s="2" t="s">
        <v>756</v>
      </c>
      <c r="G442" s="2"/>
      <c r="H442" s="2"/>
      <c r="I442" s="2">
        <v>0</v>
      </c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>
        <v>0</v>
      </c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>
        <v>9.6999999999999993</v>
      </c>
      <c r="AZ442" s="4">
        <f>(0.09*8.8+0.08*15.9)/(8.8+15.9)</f>
        <v>8.3562753036437246E-2</v>
      </c>
      <c r="BA442" s="4">
        <f>(0.27*8.8+0.27*15.9)/(8.8+15.9)</f>
        <v>0.26999999999999996</v>
      </c>
      <c r="BB442" s="2"/>
      <c r="BC442" s="2"/>
      <c r="BD442" s="2"/>
      <c r="BE442" s="2"/>
      <c r="BF442" s="2"/>
      <c r="BG442" s="4">
        <f>(0.22*8.8+0.18*15.9)/(8.8+15.9)</f>
        <v>0.19425101214574897</v>
      </c>
      <c r="BH442" s="2"/>
      <c r="BI442" s="4">
        <f>(2.73*8.8+2.45*15.9)/(8.8+15.9)</f>
        <v>2.5497570850202429</v>
      </c>
      <c r="BJ442" s="4">
        <f>(1.28*8.8+1.19*15.9)/(8.8+15.9)</f>
        <v>1.2220647773279352</v>
      </c>
      <c r="BK442" s="2"/>
      <c r="BL442" s="2"/>
      <c r="BM442" s="2"/>
      <c r="BN442" s="2"/>
      <c r="BO442" s="2"/>
      <c r="BP442" s="2"/>
      <c r="BQ442" s="2"/>
      <c r="BR442" s="2"/>
      <c r="BS442" s="2"/>
      <c r="BT442" s="2">
        <v>0</v>
      </c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>
        <v>0</v>
      </c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 t="s">
        <v>81</v>
      </c>
      <c r="DK442" s="2"/>
      <c r="DL442" s="2">
        <f t="shared" si="4367"/>
        <v>0.19425101214574897</v>
      </c>
      <c r="DM442" s="2">
        <f t="shared" si="4368"/>
        <v>0</v>
      </c>
      <c r="DN442" s="2" t="s">
        <v>95</v>
      </c>
      <c r="DO442" s="2" t="s">
        <v>3</v>
      </c>
      <c r="DP442" s="2">
        <f t="shared" si="4369"/>
        <v>8.1055870445344118E-3</v>
      </c>
      <c r="DQ442" s="2">
        <f t="shared" ref="DQ442:DR442" si="7352">K442*$I442+AF442*$AD442+BA442*$AY442</f>
        <v>2.6189999999999993</v>
      </c>
      <c r="DR442" s="2">
        <f t="shared" si="7352"/>
        <v>0</v>
      </c>
      <c r="DS442" s="2">
        <f t="shared" ref="DS442:DX442" si="7353">(M442*$I442+AH442*$AD442+BC442*$AY442)/100</f>
        <v>0</v>
      </c>
      <c r="DT442" s="2">
        <f t="shared" si="7353"/>
        <v>0</v>
      </c>
      <c r="DU442" s="2">
        <f t="shared" si="7353"/>
        <v>0</v>
      </c>
      <c r="DV442" s="2">
        <f t="shared" si="7353"/>
        <v>0</v>
      </c>
      <c r="DW442" s="2">
        <f t="shared" si="7353"/>
        <v>1.8842348178137649E-2</v>
      </c>
      <c r="DX442" s="2">
        <f t="shared" si="7353"/>
        <v>0</v>
      </c>
      <c r="DY442" s="2">
        <f t="shared" ref="DY442:EC442" si="7354">S442*$I442+AN442*$AD442+BI442*$AY442</f>
        <v>24.732643724696356</v>
      </c>
      <c r="DZ442" s="2">
        <f t="shared" si="7354"/>
        <v>11.854028340080971</v>
      </c>
      <c r="EA442" s="2">
        <f t="shared" si="7354"/>
        <v>0</v>
      </c>
      <c r="EB442" s="2">
        <f t="shared" si="7354"/>
        <v>0</v>
      </c>
      <c r="EC442" s="2">
        <f t="shared" si="7354"/>
        <v>0</v>
      </c>
      <c r="ED442" s="2">
        <f t="shared" ref="ED442:EE442" si="7355">(X442*$I442+AS442*$AD442+BN442*$AY442)/100</f>
        <v>0</v>
      </c>
      <c r="EE442" s="2">
        <f t="shared" si="7355"/>
        <v>0</v>
      </c>
      <c r="EF442" s="2"/>
      <c r="EG442" s="2">
        <f t="shared" si="4374"/>
        <v>0</v>
      </c>
      <c r="EH442" s="2">
        <f t="shared" si="4375"/>
        <v>0</v>
      </c>
      <c r="EI442" s="39">
        <f t="shared" si="4376"/>
        <v>52.893948507206467</v>
      </c>
      <c r="EJ442" s="39">
        <f t="shared" ref="EJ442:EK442" si="7356">EJ$1*DQ442/1000000</f>
        <v>107.11794212218645</v>
      </c>
      <c r="EK442" s="39">
        <f t="shared" si="7356"/>
        <v>0</v>
      </c>
      <c r="EL442" s="39">
        <f t="shared" ref="EL442:EQ442" si="7357">EL$1*DS442</f>
        <v>0</v>
      </c>
      <c r="EM442" s="39">
        <f t="shared" si="7357"/>
        <v>0</v>
      </c>
      <c r="EN442" s="39">
        <f t="shared" si="7357"/>
        <v>0</v>
      </c>
      <c r="EO442" s="39">
        <f t="shared" si="7357"/>
        <v>0</v>
      </c>
      <c r="EP442" s="39">
        <f t="shared" si="7357"/>
        <v>247.09855400809712</v>
      </c>
      <c r="EQ442" s="39">
        <f t="shared" si="7357"/>
        <v>0</v>
      </c>
      <c r="ER442" s="39">
        <f t="shared" ref="ER442:EV442" si="7358">ER$1*DY442/1000000</f>
        <v>701.94582990483866</v>
      </c>
      <c r="ES442" s="39">
        <f t="shared" si="7358"/>
        <v>395.0440704987177</v>
      </c>
      <c r="ET442" s="39">
        <f t="shared" si="7358"/>
        <v>0</v>
      </c>
      <c r="EU442" s="39">
        <f t="shared" si="7358"/>
        <v>0</v>
      </c>
      <c r="EV442" s="39">
        <f t="shared" si="7358"/>
        <v>0</v>
      </c>
      <c r="EW442" s="39">
        <f t="shared" ref="EW442:EX442" si="7359">EW$1*ED442</f>
        <v>0</v>
      </c>
      <c r="EX442" s="39">
        <f t="shared" si="7359"/>
        <v>0</v>
      </c>
      <c r="EY442" s="2"/>
      <c r="EZ442" s="39">
        <f t="shared" si="4381"/>
        <v>0</v>
      </c>
      <c r="FA442" s="39">
        <f t="shared" si="4382"/>
        <v>0</v>
      </c>
      <c r="FB442" s="2">
        <f t="shared" si="4383"/>
        <v>0</v>
      </c>
      <c r="FC442" s="2">
        <f t="shared" ref="FC442:FD442" si="7360">BV442*$BT442+CQ442*$CO442</f>
        <v>0</v>
      </c>
      <c r="FD442" s="2">
        <f t="shared" si="7360"/>
        <v>0</v>
      </c>
      <c r="FE442" s="2">
        <f t="shared" ref="FE442:FJ442" si="7361">(BX442*$BT442+CS442*$CO442)/100</f>
        <v>0</v>
      </c>
      <c r="FF442" s="2">
        <f t="shared" si="7361"/>
        <v>0</v>
      </c>
      <c r="FG442" s="2">
        <f t="shared" si="7361"/>
        <v>0</v>
      </c>
      <c r="FH442" s="2">
        <f t="shared" si="7361"/>
        <v>0</v>
      </c>
      <c r="FI442" s="2">
        <f t="shared" si="7361"/>
        <v>0</v>
      </c>
      <c r="FJ442" s="2">
        <f t="shared" si="7361"/>
        <v>0</v>
      </c>
      <c r="FK442" s="2">
        <f t="shared" ref="FK442:FO442" si="7362">CD442*$BT442+CY442*$CO442</f>
        <v>0</v>
      </c>
      <c r="FL442" s="2">
        <f t="shared" si="7362"/>
        <v>0</v>
      </c>
      <c r="FM442" s="2">
        <f t="shared" si="7362"/>
        <v>0</v>
      </c>
      <c r="FN442" s="2">
        <f t="shared" si="7362"/>
        <v>0</v>
      </c>
      <c r="FO442" s="2">
        <f t="shared" si="7362"/>
        <v>0</v>
      </c>
      <c r="FP442" s="2">
        <f t="shared" ref="FP442:FQ442" si="7363">(CI442*$BT442+DD442*$CO442)/100</f>
        <v>0</v>
      </c>
      <c r="FQ442" s="2">
        <f t="shared" si="7363"/>
        <v>0</v>
      </c>
      <c r="FR442" s="2"/>
      <c r="FS442" s="2">
        <f t="shared" si="4388"/>
        <v>0</v>
      </c>
      <c r="FT442" s="2">
        <f t="shared" si="4389"/>
        <v>0</v>
      </c>
      <c r="FU442" s="39">
        <f t="shared" si="4390"/>
        <v>0</v>
      </c>
      <c r="FV442" s="39">
        <f t="shared" ref="FV442:FW442" si="7364">FV$1*FC442/1000000</f>
        <v>0</v>
      </c>
      <c r="FW442" s="39">
        <f t="shared" si="7364"/>
        <v>0</v>
      </c>
      <c r="FX442" s="39">
        <f t="shared" ref="FX442:GC442" si="7365">FX$1*FE442</f>
        <v>0</v>
      </c>
      <c r="FY442" s="39">
        <f t="shared" si="7365"/>
        <v>0</v>
      </c>
      <c r="FZ442" s="39">
        <f t="shared" si="7365"/>
        <v>0</v>
      </c>
      <c r="GA442" s="39">
        <f t="shared" si="7365"/>
        <v>0</v>
      </c>
      <c r="GB442" s="39">
        <f t="shared" si="7365"/>
        <v>0</v>
      </c>
      <c r="GC442" s="39">
        <f t="shared" si="7365"/>
        <v>0</v>
      </c>
      <c r="GD442" s="39">
        <f t="shared" ref="GD442:GH442" si="7366">GD$1*FK442/1000000</f>
        <v>0</v>
      </c>
      <c r="GE442" s="39">
        <f t="shared" si="7366"/>
        <v>0</v>
      </c>
      <c r="GF442" s="39">
        <f t="shared" si="7366"/>
        <v>0</v>
      </c>
      <c r="GG442" s="39">
        <f t="shared" si="7366"/>
        <v>0</v>
      </c>
      <c r="GH442" s="39">
        <f t="shared" si="7366"/>
        <v>0</v>
      </c>
      <c r="GI442" s="39">
        <f t="shared" ref="GI442:GJ442" si="7367">GI$1*FP442</f>
        <v>0</v>
      </c>
      <c r="GJ442" s="39">
        <f t="shared" si="7367"/>
        <v>0</v>
      </c>
      <c r="GK442" s="2"/>
      <c r="GL442" s="39">
        <f t="shared" si="4395"/>
        <v>0</v>
      </c>
      <c r="GM442" s="39">
        <f t="shared" si="4396"/>
        <v>0</v>
      </c>
      <c r="GN442" s="2" t="s">
        <v>3</v>
      </c>
      <c r="GO442" s="2">
        <f t="shared" si="4397"/>
        <v>9.6999999999999993</v>
      </c>
      <c r="GP442" s="4">
        <f t="shared" si="4398"/>
        <v>0.19425101214574897</v>
      </c>
      <c r="GQ442" s="15">
        <f t="shared" si="4399"/>
        <v>18.842348178137648</v>
      </c>
      <c r="GR442" s="15">
        <f t="shared" si="4400"/>
        <v>1504.1003450410465</v>
      </c>
      <c r="GS442" s="15">
        <f t="shared" si="4401"/>
        <v>155.06189124134499</v>
      </c>
      <c r="GT442" s="2">
        <f t="shared" si="4402"/>
        <v>0</v>
      </c>
      <c r="GU442" s="2">
        <f t="shared" si="4403"/>
        <v>0</v>
      </c>
      <c r="GV442" s="2">
        <f t="shared" si="4404"/>
        <v>18.842348178137648</v>
      </c>
      <c r="GW442" s="2">
        <f t="shared" si="4405"/>
        <v>0</v>
      </c>
      <c r="GX442" s="2"/>
      <c r="GY442" s="2"/>
      <c r="GZ442" s="2"/>
      <c r="HA442" s="2"/>
      <c r="HB442" s="2">
        <f t="shared" si="4406"/>
        <v>0</v>
      </c>
      <c r="HC442" s="2">
        <f t="shared" si="4407"/>
        <v>0</v>
      </c>
      <c r="HD442" s="2" t="s">
        <v>3</v>
      </c>
      <c r="HE442" s="2" t="s">
        <v>89</v>
      </c>
      <c r="HF442" s="2" t="s">
        <v>90</v>
      </c>
      <c r="HG442" s="2" t="s">
        <v>91</v>
      </c>
      <c r="HH442" s="2" t="s">
        <v>226</v>
      </c>
      <c r="HI442" s="2" t="s">
        <v>81</v>
      </c>
      <c r="HJ442" s="2" t="s">
        <v>3</v>
      </c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 t="s">
        <v>3</v>
      </c>
    </row>
    <row r="443" spans="1:268" ht="15.75" customHeight="1" x14ac:dyDescent="0.2">
      <c r="A443" s="16" t="s">
        <v>937</v>
      </c>
      <c r="B443" s="2" t="s">
        <v>109</v>
      </c>
      <c r="C443" s="2"/>
      <c r="D443" s="2"/>
      <c r="E443" s="2"/>
      <c r="F443" s="2" t="s">
        <v>938</v>
      </c>
      <c r="G443" s="2"/>
      <c r="H443" s="2"/>
      <c r="I443" s="2">
        <v>78.11</v>
      </c>
      <c r="J443" s="2">
        <v>0.13</v>
      </c>
      <c r="K443" s="4">
        <f>(0.92-S443-T443)/2</f>
        <v>9.3436418330773208E-2</v>
      </c>
      <c r="L443" s="2"/>
      <c r="M443" s="2"/>
      <c r="N443" s="2"/>
      <c r="O443" s="2"/>
      <c r="P443" s="2"/>
      <c r="Q443" s="2">
        <v>0.33</v>
      </c>
      <c r="R443" s="2">
        <v>0.02</v>
      </c>
      <c r="S443" s="4">
        <v>0.20761200716845879</v>
      </c>
      <c r="T443" s="4">
        <v>0.52551515616999489</v>
      </c>
      <c r="U443" s="4">
        <f>(0.92-S443-T443)/2</f>
        <v>9.3436418330773208E-2</v>
      </c>
      <c r="V443" s="4"/>
      <c r="W443" s="4"/>
      <c r="X443" s="15">
        <f>((0*10.04+10.11*1.05+0*38.12+11.86*28.9)/(10.04+1.05+38.12+28.9))*(2*52/(2*52+3*16.001))</f>
        <v>3.0953061031440865</v>
      </c>
      <c r="Y443" s="2"/>
      <c r="Z443" s="2"/>
      <c r="AA443" s="2"/>
      <c r="AB443" s="2"/>
      <c r="AC443" s="2"/>
      <c r="AD443" s="2">
        <v>94.09</v>
      </c>
      <c r="AE443" s="2">
        <v>0.15</v>
      </c>
      <c r="AF443" s="4">
        <f>(0.98-AN443-AO443)/2</f>
        <v>0.12343641833077312</v>
      </c>
      <c r="AG443" s="2"/>
      <c r="AH443" s="2"/>
      <c r="AI443" s="2"/>
      <c r="AJ443" s="2"/>
      <c r="AK443" s="2"/>
      <c r="AL443" s="2">
        <v>0.37</v>
      </c>
      <c r="AM443" s="2">
        <v>0.02</v>
      </c>
      <c r="AN443" s="4">
        <v>0.20761200716845879</v>
      </c>
      <c r="AO443" s="4">
        <v>0.52551515616999489</v>
      </c>
      <c r="AP443" s="4">
        <f>(0.98-AN443-AO443)/2</f>
        <v>0.12343641833077312</v>
      </c>
      <c r="AQ443" s="4"/>
      <c r="AR443" s="4"/>
      <c r="AS443" s="15">
        <f>((0*10.04+10.11*1.05+0*38.12+11.86*28.9)/(10.04+1.05+38.12+28.9))*(2*52/(2*52+3*16.001))</f>
        <v>3.0953061031440865</v>
      </c>
      <c r="AT443" s="2"/>
      <c r="AU443" s="2"/>
      <c r="AV443" s="2"/>
      <c r="AW443" s="2"/>
      <c r="AX443" s="2"/>
      <c r="AY443" s="2">
        <f>6.3+40.05</f>
        <v>46.349999999999994</v>
      </c>
      <c r="AZ443" s="4">
        <f>(0.2*6.3+0.12*40.05)/(6.3+40.05)</f>
        <v>0.13087378640776698</v>
      </c>
      <c r="BA443" s="4">
        <f>(0.97-BI443-BJ443)/2</f>
        <v>0.11843641833077312</v>
      </c>
      <c r="BB443" s="2"/>
      <c r="BC443" s="2"/>
      <c r="BD443" s="2"/>
      <c r="BE443" s="2"/>
      <c r="BF443" s="2"/>
      <c r="BG443" s="4">
        <f>(0.41*6.3+0.4*40.05)/(6.3+40.05)</f>
        <v>0.4013592233009709</v>
      </c>
      <c r="BH443" s="4">
        <f>(0.02*6.3+0.02*40.05)/(6.3+40.05)</f>
        <v>0.02</v>
      </c>
      <c r="BI443" s="4">
        <v>0.20761200716845879</v>
      </c>
      <c r="BJ443" s="4">
        <v>0.52551515616999489</v>
      </c>
      <c r="BK443" s="4">
        <f>(0.97-BI443-BJ443)/2</f>
        <v>0.11843641833077312</v>
      </c>
      <c r="BL443" s="4"/>
      <c r="BM443" s="4"/>
      <c r="BN443" s="15">
        <f>((0*6.3+10.52*40.05)/(6.3+40.05))*(2*52/(2*52+3*16.001))</f>
        <v>6.2194173607585297</v>
      </c>
      <c r="BO443" s="2"/>
      <c r="BP443" s="2"/>
      <c r="BQ443" s="2"/>
      <c r="BR443" s="2"/>
      <c r="BS443" s="2"/>
      <c r="BT443" s="2">
        <v>54.01</v>
      </c>
      <c r="BU443" s="4">
        <v>0.10934456582114423</v>
      </c>
      <c r="BV443" s="4">
        <f>(0.88-CD443-CE443)/2</f>
        <v>7.343641833077319E-2</v>
      </c>
      <c r="BW443" s="2"/>
      <c r="BX443" s="2"/>
      <c r="BY443" s="2"/>
      <c r="BZ443" s="2"/>
      <c r="CA443" s="2"/>
      <c r="CB443" s="4">
        <v>0.29862247731901498</v>
      </c>
      <c r="CC443" s="4">
        <v>1.9879651916311795E-2</v>
      </c>
      <c r="CD443" s="4">
        <v>0.20761200716845879</v>
      </c>
      <c r="CE443" s="4">
        <v>0.52551515616999489</v>
      </c>
      <c r="CF443" s="4">
        <f>(0.88-CD443-CE443)/2</f>
        <v>7.343641833077319E-2</v>
      </c>
      <c r="CG443" s="4"/>
      <c r="CH443" s="4"/>
      <c r="CI443" s="15">
        <f>((0*0.32+0*27.44+13.75*25.36+13.52*0.77)/(0.32+27.44+25.36+0.77))*(2*52/(2*52+3*16.001))</f>
        <v>4.5593294934614361</v>
      </c>
      <c r="CJ443" s="2"/>
      <c r="CK443" s="2"/>
      <c r="CL443" s="2"/>
      <c r="CM443" s="2"/>
      <c r="CN443" s="2"/>
      <c r="CO443" s="2">
        <v>30.45</v>
      </c>
      <c r="CP443" s="2">
        <v>0.13</v>
      </c>
      <c r="CQ443" s="4">
        <f>(0.9-CY443-CZ443)/2</f>
        <v>8.3436418330773199E-2</v>
      </c>
      <c r="CR443" s="2"/>
      <c r="CS443" s="2"/>
      <c r="CT443" s="2"/>
      <c r="CU443" s="2"/>
      <c r="CV443" s="2"/>
      <c r="CW443" s="2">
        <v>0.33</v>
      </c>
      <c r="CX443" s="2">
        <v>0.02</v>
      </c>
      <c r="CY443" s="4">
        <v>0.20761200716845879</v>
      </c>
      <c r="CZ443" s="4">
        <v>0.52551515616999489</v>
      </c>
      <c r="DA443" s="4">
        <f>(0.9-CY443-CZ443)/2</f>
        <v>8.3436418330773199E-2</v>
      </c>
      <c r="DB443" s="4"/>
      <c r="DC443" s="4"/>
      <c r="DD443" s="2"/>
      <c r="DE443" s="2"/>
      <c r="DF443" s="2"/>
      <c r="DG443" s="2"/>
      <c r="DH443" s="2"/>
      <c r="DI443" s="2"/>
      <c r="DJ443" s="2" t="s">
        <v>81</v>
      </c>
      <c r="DK443" s="2" t="s">
        <v>81</v>
      </c>
      <c r="DL443" s="2">
        <f t="shared" si="4367"/>
        <v>0.36235460992907803</v>
      </c>
      <c r="DM443" s="2">
        <f t="shared" si="4368"/>
        <v>0.02</v>
      </c>
      <c r="DN443" s="2" t="s">
        <v>95</v>
      </c>
      <c r="DO443" s="2" t="s">
        <v>3</v>
      </c>
      <c r="DP443" s="2">
        <f t="shared" si="4369"/>
        <v>0.303338</v>
      </c>
      <c r="DQ443" s="2">
        <f t="shared" ref="DQ443:DR443" si="7368">K443*$I443+AF443*$AD443+BA443*$AY443</f>
        <v>24.401979226190473</v>
      </c>
      <c r="DR443" s="2">
        <f t="shared" si="7368"/>
        <v>0</v>
      </c>
      <c r="DS443" s="2">
        <f t="shared" ref="DS443:DX443" si="7369">(M443*$I443+AH443*$AD443+BC443*$AY443)/100</f>
        <v>0</v>
      </c>
      <c r="DT443" s="2">
        <f t="shared" si="7369"/>
        <v>0</v>
      </c>
      <c r="DU443" s="2">
        <f t="shared" si="7369"/>
        <v>0</v>
      </c>
      <c r="DV443" s="2">
        <f t="shared" si="7369"/>
        <v>0</v>
      </c>
      <c r="DW443" s="2">
        <f t="shared" si="7369"/>
        <v>0.79192600000000002</v>
      </c>
      <c r="DX443" s="2">
        <f t="shared" si="7369"/>
        <v>4.3709999999999999E-2</v>
      </c>
      <c r="DY443" s="2">
        <f t="shared" ref="DY443:EC443" si="7370">S443*$I443+AN443*$AD443+BI443*$AY443</f>
        <v>45.373604166666667</v>
      </c>
      <c r="DZ443" s="2">
        <f t="shared" si="7370"/>
        <v>114.85133738095237</v>
      </c>
      <c r="EA443" s="2">
        <f t="shared" si="7370"/>
        <v>24.401979226190473</v>
      </c>
      <c r="EB443" s="2">
        <f t="shared" si="7370"/>
        <v>0</v>
      </c>
      <c r="EC443" s="2">
        <f t="shared" si="7370"/>
        <v>0</v>
      </c>
      <c r="ED443" s="2">
        <f t="shared" ref="ED443:EE443" si="7371">(X443*$I443+AS443*$AD443+BN443*$AY443)/100</f>
        <v>8.2128170563256955</v>
      </c>
      <c r="EE443" s="2">
        <f t="shared" si="7371"/>
        <v>0</v>
      </c>
      <c r="EF443" s="2"/>
      <c r="EG443" s="2">
        <f t="shared" si="4374"/>
        <v>0</v>
      </c>
      <c r="EH443" s="2">
        <f t="shared" si="4375"/>
        <v>0</v>
      </c>
      <c r="EI443" s="39">
        <f t="shared" si="4376"/>
        <v>1979.4673062080001</v>
      </c>
      <c r="EJ443" s="39">
        <f t="shared" ref="EJ443:EK443" si="7372">EJ$1*DQ443/1000000</f>
        <v>998.04879664676139</v>
      </c>
      <c r="EK443" s="39">
        <f t="shared" si="7372"/>
        <v>0</v>
      </c>
      <c r="EL443" s="39">
        <f t="shared" ref="EL443:EQ443" si="7373">EL$1*DS443</f>
        <v>0</v>
      </c>
      <c r="EM443" s="39">
        <f t="shared" si="7373"/>
        <v>0</v>
      </c>
      <c r="EN443" s="39">
        <f t="shared" si="7373"/>
        <v>0</v>
      </c>
      <c r="EO443" s="39">
        <f t="shared" si="7373"/>
        <v>0</v>
      </c>
      <c r="EP443" s="39">
        <f t="shared" si="7373"/>
        <v>10385.317564000001</v>
      </c>
      <c r="EQ443" s="39">
        <f t="shared" si="7373"/>
        <v>3174.1993940399993</v>
      </c>
      <c r="ER443" s="39">
        <f t="shared" ref="ER443:EV443" si="7374">ER$1*DY443/1000000</f>
        <v>1287.7641624999997</v>
      </c>
      <c r="ES443" s="39">
        <f t="shared" si="7374"/>
        <v>3827.5039100238096</v>
      </c>
      <c r="ET443" s="39">
        <f t="shared" si="7374"/>
        <v>1746.0361534418541</v>
      </c>
      <c r="EU443" s="39">
        <f t="shared" si="7374"/>
        <v>0</v>
      </c>
      <c r="EV443" s="39">
        <f t="shared" si="7374"/>
        <v>0</v>
      </c>
      <c r="EW443" s="39">
        <f t="shared" ref="EW443:EX443" si="7375">EW$1*ED443</f>
        <v>2291.3759587148688</v>
      </c>
      <c r="EX443" s="39">
        <f t="shared" si="7375"/>
        <v>0</v>
      </c>
      <c r="EY443" s="2"/>
      <c r="EZ443" s="39">
        <f t="shared" si="4381"/>
        <v>0</v>
      </c>
      <c r="FA443" s="39">
        <f t="shared" si="4382"/>
        <v>0</v>
      </c>
      <c r="FB443" s="2">
        <f t="shared" si="4383"/>
        <v>9.8642000000000007E-2</v>
      </c>
      <c r="FC443" s="2">
        <f t="shared" ref="FC443:FD443" si="7376">BV443*$BT443+CQ443*$CO443</f>
        <v>6.5069398922171038</v>
      </c>
      <c r="FD443" s="2">
        <f t="shared" si="7376"/>
        <v>0</v>
      </c>
      <c r="FE443" s="2">
        <f t="shared" ref="FE443:FJ443" si="7377">(BX443*$BT443+CS443*$CO443)/100</f>
        <v>0</v>
      </c>
      <c r="FF443" s="2">
        <f t="shared" si="7377"/>
        <v>0</v>
      </c>
      <c r="FG443" s="2">
        <f t="shared" si="7377"/>
        <v>0</v>
      </c>
      <c r="FH443" s="2">
        <f t="shared" si="7377"/>
        <v>0</v>
      </c>
      <c r="FI443" s="2">
        <f t="shared" si="7377"/>
        <v>0.26177099999999998</v>
      </c>
      <c r="FJ443" s="2">
        <f t="shared" si="7377"/>
        <v>1.6827000000000002E-2</v>
      </c>
      <c r="FK443" s="2">
        <f t="shared" ref="FK443:FO443" si="7378">CD443*$BT443+CY443*$CO443</f>
        <v>17.534910125448029</v>
      </c>
      <c r="FL443" s="2">
        <f t="shared" si="7378"/>
        <v>44.385010090117767</v>
      </c>
      <c r="FM443" s="2">
        <f t="shared" si="7378"/>
        <v>6.5069398922171038</v>
      </c>
      <c r="FN443" s="2">
        <f t="shared" si="7378"/>
        <v>0</v>
      </c>
      <c r="FO443" s="2">
        <f t="shared" si="7378"/>
        <v>0</v>
      </c>
      <c r="FP443" s="2">
        <f t="shared" ref="FP443:FQ443" si="7379">(CI443*$BT443+DD443*$CO443)/100</f>
        <v>2.4624938594185215</v>
      </c>
      <c r="FQ443" s="2">
        <f t="shared" si="7379"/>
        <v>0</v>
      </c>
      <c r="FR443" s="2"/>
      <c r="FS443" s="2">
        <f t="shared" si="4388"/>
        <v>0</v>
      </c>
      <c r="FT443" s="2">
        <f t="shared" si="4389"/>
        <v>0</v>
      </c>
      <c r="FU443" s="39">
        <f t="shared" si="4390"/>
        <v>643.69981347200007</v>
      </c>
      <c r="FV443" s="39">
        <f t="shared" ref="FV443:FW443" si="7380">FV$1*FC443/1000000</f>
        <v>266.1359338553105</v>
      </c>
      <c r="FW443" s="39">
        <f t="shared" si="7380"/>
        <v>0</v>
      </c>
      <c r="FX443" s="39">
        <f t="shared" ref="FX443:GC443" si="7381">FX$1*FE443</f>
        <v>0</v>
      </c>
      <c r="FY443" s="39">
        <f t="shared" si="7381"/>
        <v>0</v>
      </c>
      <c r="FZ443" s="39">
        <f t="shared" si="7381"/>
        <v>0</v>
      </c>
      <c r="GA443" s="39">
        <f t="shared" si="7381"/>
        <v>0</v>
      </c>
      <c r="GB443" s="39">
        <f t="shared" si="7381"/>
        <v>3432.8648939999998</v>
      </c>
      <c r="GC443" s="39">
        <f t="shared" si="7381"/>
        <v>1221.968730348</v>
      </c>
      <c r="GD443" s="39">
        <f t="shared" ref="GD443:GH443" si="7382">GD$1*FK443/1000000</f>
        <v>497.66442994623651</v>
      </c>
      <c r="GE443" s="39">
        <f t="shared" si="7382"/>
        <v>1479.1625725948795</v>
      </c>
      <c r="GF443" s="39">
        <f t="shared" si="7382"/>
        <v>465.59142579262777</v>
      </c>
      <c r="GG443" s="39">
        <f t="shared" si="7382"/>
        <v>0</v>
      </c>
      <c r="GH443" s="39">
        <f t="shared" si="7382"/>
        <v>0</v>
      </c>
      <c r="GI443" s="39">
        <f t="shared" ref="GI443:GJ443" si="7383">GI$1*FP443</f>
        <v>687.0357867777675</v>
      </c>
      <c r="GJ443" s="39">
        <f t="shared" si="7383"/>
        <v>0</v>
      </c>
      <c r="GK443" s="2"/>
      <c r="GL443" s="39">
        <f t="shared" si="4395"/>
        <v>0</v>
      </c>
      <c r="GM443" s="39">
        <f t="shared" si="4396"/>
        <v>0</v>
      </c>
      <c r="GN443" s="2" t="s">
        <v>3</v>
      </c>
      <c r="GO443" s="15">
        <f t="shared" si="4397"/>
        <v>218.54999999999998</v>
      </c>
      <c r="GP443" s="4">
        <f t="shared" si="4398"/>
        <v>0.36235460992907803</v>
      </c>
      <c r="GQ443" s="15">
        <f t="shared" si="4399"/>
        <v>791.92599999999993</v>
      </c>
      <c r="GR443" s="15">
        <f t="shared" si="4400"/>
        <v>25689.713245575294</v>
      </c>
      <c r="GS443" s="15">
        <f t="shared" si="4401"/>
        <v>117.54615989739325</v>
      </c>
      <c r="GT443" s="2">
        <f t="shared" si="4402"/>
        <v>257.76300000000003</v>
      </c>
      <c r="GU443" s="2">
        <f t="shared" si="4403"/>
        <v>348.13299999999998</v>
      </c>
      <c r="GV443" s="2">
        <f t="shared" si="4404"/>
        <v>186.02999999999997</v>
      </c>
      <c r="GW443" s="2">
        <f t="shared" si="4405"/>
        <v>84.46</v>
      </c>
      <c r="GX443" s="4">
        <f t="shared" ref="GX443:GX447" si="7384">(BT443*CB443+CO443*CW443)/GW443</f>
        <v>0.30993488041676537</v>
      </c>
      <c r="GY443" s="15">
        <f t="shared" ref="GY443:GY447" si="7385">1000*GW443*GX443/100</f>
        <v>261.77100000000002</v>
      </c>
      <c r="GZ443" s="15">
        <f t="shared" ref="GZ443:GZ447" si="7386">SUM(FU443:GM443)</f>
        <v>8694.1235867868236</v>
      </c>
      <c r="HA443" s="15">
        <f t="shared" ref="HA443:HA447" si="7387">GZ443/GW443</f>
        <v>102.93776446586342</v>
      </c>
      <c r="HB443" s="2">
        <f t="shared" si="4406"/>
        <v>161.28599999999997</v>
      </c>
      <c r="HC443" s="2">
        <f t="shared" si="4407"/>
        <v>100.485</v>
      </c>
      <c r="HD443" s="2" t="s">
        <v>3</v>
      </c>
      <c r="HE443" s="2" t="s">
        <v>89</v>
      </c>
      <c r="HF443" s="2" t="s">
        <v>90</v>
      </c>
      <c r="HG443" s="2" t="s">
        <v>91</v>
      </c>
      <c r="HH443" s="2" t="s">
        <v>226</v>
      </c>
      <c r="HI443" s="2" t="s">
        <v>81</v>
      </c>
      <c r="HJ443" s="2" t="s">
        <v>3</v>
      </c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 t="s">
        <v>3</v>
      </c>
    </row>
    <row r="444" spans="1:268" ht="15.75" customHeight="1" x14ac:dyDescent="0.2">
      <c r="A444" s="16" t="s">
        <v>1177</v>
      </c>
      <c r="B444" s="2" t="s">
        <v>109</v>
      </c>
      <c r="C444" s="2"/>
      <c r="D444" s="2"/>
      <c r="E444" s="2"/>
      <c r="F444" s="2" t="s">
        <v>454</v>
      </c>
      <c r="G444" s="2"/>
      <c r="H444" s="2"/>
      <c r="I444" s="15">
        <f>5.1+3.9</f>
        <v>9</v>
      </c>
      <c r="J444" s="4">
        <v>6.9615541498893721E-2</v>
      </c>
      <c r="K444" s="4">
        <v>0.29947964814520067</v>
      </c>
      <c r="L444" s="2"/>
      <c r="M444" s="2"/>
      <c r="N444" s="2"/>
      <c r="O444" s="2"/>
      <c r="P444" s="2"/>
      <c r="Q444" s="4">
        <v>0.10076278475729883</v>
      </c>
      <c r="R444" s="2"/>
      <c r="S444" s="15">
        <f>0.2223*(19.7*5.1+14.7*3.9)/(5.1+3.9)</f>
        <v>3.8976599999999997</v>
      </c>
      <c r="T444" s="15">
        <f>0.7777*(19.7*5.1+14.7*3.9)/(5.1+3.9)</f>
        <v>13.635673333333331</v>
      </c>
      <c r="U444" s="4">
        <v>0.10633697651532487</v>
      </c>
      <c r="V444" s="2"/>
      <c r="W444" s="2"/>
      <c r="X444" s="2"/>
      <c r="Y444" s="2"/>
      <c r="Z444" s="2"/>
      <c r="AA444" s="2"/>
      <c r="AB444" s="2"/>
      <c r="AC444" s="2"/>
      <c r="AD444" s="2">
        <f>28.2+27.2</f>
        <v>55.4</v>
      </c>
      <c r="AE444" s="4">
        <v>6.9615541498893721E-2</v>
      </c>
      <c r="AF444" s="4">
        <v>0.29947964814520067</v>
      </c>
      <c r="AG444" s="2"/>
      <c r="AH444" s="2"/>
      <c r="AI444" s="2"/>
      <c r="AJ444" s="2"/>
      <c r="AK444" s="2"/>
      <c r="AL444" s="4">
        <v>0.10076278475729883</v>
      </c>
      <c r="AM444" s="2"/>
      <c r="AN444" s="15">
        <f>0.2223*(17.4*28.2+15.1*27.2)/(28.2+27.2)</f>
        <v>3.6169895306859199</v>
      </c>
      <c r="AO444" s="15">
        <f>0.7777*(17.4*28.2+15.1*27.2)/(28.2+27.2)</f>
        <v>12.653768592057761</v>
      </c>
      <c r="AP444" s="4">
        <v>0.10633697651532487</v>
      </c>
      <c r="AQ444" s="2"/>
      <c r="AR444" s="2"/>
      <c r="AS444" s="2"/>
      <c r="AT444" s="2"/>
      <c r="AU444" s="2"/>
      <c r="AV444" s="2"/>
      <c r="AW444" s="2"/>
      <c r="AX444" s="2"/>
      <c r="AY444" s="2">
        <f>48.9+38.4</f>
        <v>87.3</v>
      </c>
      <c r="AZ444" s="4">
        <v>6.9615541498893721E-2</v>
      </c>
      <c r="BA444" s="4">
        <v>0.29947964814520067</v>
      </c>
      <c r="BB444" s="2"/>
      <c r="BC444" s="2"/>
      <c r="BD444" s="2"/>
      <c r="BE444" s="2"/>
      <c r="BF444" s="2"/>
      <c r="BG444" s="4">
        <v>0.10076278475729883</v>
      </c>
      <c r="BH444" s="2"/>
      <c r="BI444" s="15">
        <f>0.2223*(17.1*48.9+15.4*38.4)/(48.9+38.4)</f>
        <v>3.6351015463917533</v>
      </c>
      <c r="BJ444" s="15">
        <f>0.7777*(17.1*48.9+15.4*38.4)/(48.9+38.4)</f>
        <v>12.717132130584194</v>
      </c>
      <c r="BK444" s="4">
        <v>0.10633697651532487</v>
      </c>
      <c r="BL444" s="4"/>
      <c r="BM444" s="4"/>
      <c r="BN444" s="2"/>
      <c r="BO444" s="2"/>
      <c r="BP444" s="2"/>
      <c r="BQ444" s="2"/>
      <c r="BR444" s="2"/>
      <c r="BS444" s="2"/>
      <c r="BT444" s="2">
        <f>3.4+2.9</f>
        <v>6.3</v>
      </c>
      <c r="BU444" s="4">
        <v>6.9615541498893721E-2</v>
      </c>
      <c r="BV444" s="4">
        <v>0.29947964814520067</v>
      </c>
      <c r="BW444" s="2"/>
      <c r="BX444" s="2"/>
      <c r="BY444" s="2"/>
      <c r="BZ444" s="2"/>
      <c r="CA444" s="2"/>
      <c r="CB444" s="4">
        <v>0.10076278475729883</v>
      </c>
      <c r="CC444" s="2"/>
      <c r="CD444" s="15">
        <f>0.2223*(19.3*3.4+14.6*2.9)/(3.4+2.9)</f>
        <v>3.8094457142857148</v>
      </c>
      <c r="CE444" s="15">
        <f>0.7777*(19.3*3.4+14.6*2.9)/(3.4+2.9)</f>
        <v>13.327062222222223</v>
      </c>
      <c r="CF444" s="4">
        <v>0.10633697651532487</v>
      </c>
      <c r="CG444" s="4"/>
      <c r="CH444" s="4"/>
      <c r="CI444" s="2"/>
      <c r="CJ444" s="2"/>
      <c r="CK444" s="2"/>
      <c r="CL444" s="2"/>
      <c r="CM444" s="2"/>
      <c r="CN444" s="2"/>
      <c r="CO444" s="2">
        <f>20.5+19.7</f>
        <v>40.200000000000003</v>
      </c>
      <c r="CP444" s="4">
        <v>6.9615541498893721E-2</v>
      </c>
      <c r="CQ444" s="4">
        <v>0.29947964814520067</v>
      </c>
      <c r="CR444" s="2"/>
      <c r="CS444" s="2"/>
      <c r="CT444" s="2"/>
      <c r="CU444" s="2"/>
      <c r="CV444" s="2"/>
      <c r="CW444" s="4">
        <v>0.10076278475729883</v>
      </c>
      <c r="CX444" s="2"/>
      <c r="CY444" s="15">
        <f>0.2223*(19.2*20.5+15.1*19.7)/(20.5+19.7)</f>
        <v>3.8215139552238799</v>
      </c>
      <c r="CZ444" s="15">
        <f>0.7777*(19.2*20.5+15.1*19.7)/(20.5+19.7)</f>
        <v>13.369282064676614</v>
      </c>
      <c r="DA444" s="4">
        <v>0.10633697651532487</v>
      </c>
      <c r="DB444" s="4"/>
      <c r="DC444" s="4"/>
      <c r="DD444" s="2"/>
      <c r="DE444" s="2"/>
      <c r="DF444" s="2"/>
      <c r="DG444" s="2"/>
      <c r="DH444" s="2"/>
      <c r="DI444" s="2"/>
      <c r="DJ444" s="2" t="s">
        <v>81</v>
      </c>
      <c r="DK444" s="2"/>
      <c r="DL444" s="2">
        <f t="shared" si="4367"/>
        <v>0.10076278475729883</v>
      </c>
      <c r="DM444" s="2">
        <f t="shared" si="4368"/>
        <v>0</v>
      </c>
      <c r="DN444" s="2" t="s">
        <v>95</v>
      </c>
      <c r="DO444" s="2" t="s">
        <v>3</v>
      </c>
      <c r="DP444" s="2">
        <f t="shared" si="4369"/>
        <v>0.10560677645382179</v>
      </c>
      <c r="DQ444" s="2">
        <f t="shared" ref="DQ444:DR444" si="7388">K444*$I444+AF444*$AD444+BA444*$AY444</f>
        <v>45.431062623626943</v>
      </c>
      <c r="DR444" s="2">
        <f t="shared" si="7388"/>
        <v>0</v>
      </c>
      <c r="DS444" s="2">
        <f t="shared" ref="DS444:DX444" si="7389">(M444*$I444+AH444*$AD444+BC444*$AY444)/100</f>
        <v>0</v>
      </c>
      <c r="DT444" s="2">
        <f t="shared" si="7389"/>
        <v>0</v>
      </c>
      <c r="DU444" s="2">
        <f t="shared" si="7389"/>
        <v>0</v>
      </c>
      <c r="DV444" s="2">
        <f t="shared" si="7389"/>
        <v>0</v>
      </c>
      <c r="DW444" s="2">
        <f t="shared" si="7389"/>
        <v>0.1528571444768223</v>
      </c>
      <c r="DX444" s="2">
        <f t="shared" si="7389"/>
        <v>0</v>
      </c>
      <c r="DY444" s="2">
        <f t="shared" ref="DY444:EC444" si="7390">S444*$I444+AN444*$AD444+BI444*$AY444</f>
        <v>552.80452500000001</v>
      </c>
      <c r="DZ444" s="2">
        <f t="shared" si="7390"/>
        <v>1933.945475</v>
      </c>
      <c r="EA444" s="2">
        <f t="shared" si="7390"/>
        <v>16.131319337374784</v>
      </c>
      <c r="EB444" s="2">
        <f t="shared" si="7390"/>
        <v>0</v>
      </c>
      <c r="EC444" s="2">
        <f t="shared" si="7390"/>
        <v>0</v>
      </c>
      <c r="ED444" s="2">
        <f t="shared" ref="ED444:EE444" si="7391">(X444*$I444+AS444*$AD444+BN444*$AY444)/100</f>
        <v>0</v>
      </c>
      <c r="EE444" s="2">
        <f t="shared" si="7391"/>
        <v>0</v>
      </c>
      <c r="EF444" s="2"/>
      <c r="EG444" s="2">
        <f t="shared" si="4374"/>
        <v>0</v>
      </c>
      <c r="EH444" s="2">
        <f t="shared" si="4375"/>
        <v>0</v>
      </c>
      <c r="EI444" s="39">
        <f t="shared" si="4376"/>
        <v>689.14927013548265</v>
      </c>
      <c r="EJ444" s="39">
        <f t="shared" ref="EJ444:EK444" si="7392">EJ$1*DQ444/1000000</f>
        <v>1858.1450693650631</v>
      </c>
      <c r="EK444" s="39">
        <f t="shared" si="7392"/>
        <v>0</v>
      </c>
      <c r="EL444" s="39">
        <f t="shared" ref="EL444:EQ444" si="7393">EL$1*DS444</f>
        <v>0</v>
      </c>
      <c r="EM444" s="39">
        <f t="shared" si="7393"/>
        <v>0</v>
      </c>
      <c r="EN444" s="39">
        <f t="shared" si="7393"/>
        <v>0</v>
      </c>
      <c r="EO444" s="39">
        <f t="shared" si="7393"/>
        <v>0</v>
      </c>
      <c r="EP444" s="39">
        <f t="shared" si="7393"/>
        <v>2004.5685926690478</v>
      </c>
      <c r="EQ444" s="39">
        <f t="shared" si="7393"/>
        <v>0</v>
      </c>
      <c r="ER444" s="39">
        <f t="shared" ref="ER444:EV444" si="7394">ER$1*DY444/1000000</f>
        <v>15689.338972234724</v>
      </c>
      <c r="ES444" s="39">
        <f t="shared" si="7394"/>
        <v>64450.132111069135</v>
      </c>
      <c r="ET444" s="39">
        <f t="shared" si="7394"/>
        <v>1154.2451743234762</v>
      </c>
      <c r="EU444" s="39">
        <f t="shared" si="7394"/>
        <v>0</v>
      </c>
      <c r="EV444" s="39">
        <f t="shared" si="7394"/>
        <v>0</v>
      </c>
      <c r="EW444" s="39">
        <f t="shared" ref="EW444:EX444" si="7395">EW$1*ED444</f>
        <v>0</v>
      </c>
      <c r="EX444" s="39">
        <f t="shared" si="7395"/>
        <v>0</v>
      </c>
      <c r="EY444" s="2"/>
      <c r="EZ444" s="39">
        <f t="shared" si="4381"/>
        <v>0</v>
      </c>
      <c r="FA444" s="39">
        <f t="shared" si="4382"/>
        <v>0</v>
      </c>
      <c r="FB444" s="2">
        <f t="shared" si="4383"/>
        <v>3.2371226796985585E-2</v>
      </c>
      <c r="FC444" s="2">
        <f t="shared" ref="FC444:FD444" si="7396">BV444*$BT444+CQ444*$CO444</f>
        <v>13.925803638751832</v>
      </c>
      <c r="FD444" s="2">
        <f t="shared" si="7396"/>
        <v>0</v>
      </c>
      <c r="FE444" s="2">
        <f t="shared" ref="FE444:FJ444" si="7397">(BX444*$BT444+CS444*$CO444)/100</f>
        <v>0</v>
      </c>
      <c r="FF444" s="2">
        <f t="shared" si="7397"/>
        <v>0</v>
      </c>
      <c r="FG444" s="2">
        <f t="shared" si="7397"/>
        <v>0</v>
      </c>
      <c r="FH444" s="2">
        <f t="shared" si="7397"/>
        <v>0</v>
      </c>
      <c r="FI444" s="2">
        <f t="shared" si="7397"/>
        <v>4.6854694912143967E-2</v>
      </c>
      <c r="FJ444" s="2">
        <f t="shared" si="7397"/>
        <v>0</v>
      </c>
      <c r="FK444" s="2">
        <f t="shared" ref="FK444:FO444" si="7398">CD444*$BT444+CY444*$CO444</f>
        <v>177.62436899999997</v>
      </c>
      <c r="FL444" s="2">
        <f t="shared" si="7398"/>
        <v>621.40563099999997</v>
      </c>
      <c r="FM444" s="2">
        <f t="shared" si="7398"/>
        <v>4.944669407962607</v>
      </c>
      <c r="FN444" s="2">
        <f t="shared" si="7398"/>
        <v>0</v>
      </c>
      <c r="FO444" s="2">
        <f t="shared" si="7398"/>
        <v>0</v>
      </c>
      <c r="FP444" s="2">
        <f t="shared" ref="FP444:FQ444" si="7399">(CI444*$BT444+DD444*$CO444)/100</f>
        <v>0</v>
      </c>
      <c r="FQ444" s="2">
        <f t="shared" si="7399"/>
        <v>0</v>
      </c>
      <c r="FR444" s="2"/>
      <c r="FS444" s="2">
        <f t="shared" si="4388"/>
        <v>0</v>
      </c>
      <c r="FT444" s="2">
        <f t="shared" si="4389"/>
        <v>0</v>
      </c>
      <c r="FU444" s="39">
        <f t="shared" si="4390"/>
        <v>211.24219552603788</v>
      </c>
      <c r="FV444" s="39">
        <f t="shared" ref="FV444:FW444" si="7400">FV$1*FC444/1000000</f>
        <v>569.56984657531609</v>
      </c>
      <c r="FW444" s="39">
        <f t="shared" si="7400"/>
        <v>0</v>
      </c>
      <c r="FX444" s="39">
        <f t="shared" ref="FX444:GC444" si="7401">FX$1*FE444</f>
        <v>0</v>
      </c>
      <c r="FY444" s="39">
        <f t="shared" si="7401"/>
        <v>0</v>
      </c>
      <c r="FZ444" s="39">
        <f t="shared" si="7401"/>
        <v>0</v>
      </c>
      <c r="GA444" s="39">
        <f t="shared" si="7401"/>
        <v>0</v>
      </c>
      <c r="GB444" s="39">
        <f t="shared" si="7401"/>
        <v>614.45246907785599</v>
      </c>
      <c r="GC444" s="39">
        <f t="shared" si="7401"/>
        <v>0</v>
      </c>
      <c r="GD444" s="39">
        <f t="shared" ref="GD444:GH444" si="7402">GD$1*FK444/1000000</f>
        <v>5041.2194707890667</v>
      </c>
      <c r="GE444" s="39">
        <f t="shared" si="7402"/>
        <v>20708.792223065273</v>
      </c>
      <c r="GF444" s="39">
        <f t="shared" si="7402"/>
        <v>353.80620043534373</v>
      </c>
      <c r="GG444" s="39">
        <f t="shared" si="7402"/>
        <v>0</v>
      </c>
      <c r="GH444" s="39">
        <f t="shared" si="7402"/>
        <v>0</v>
      </c>
      <c r="GI444" s="39">
        <f t="shared" ref="GI444:GJ444" si="7403">GI$1*FP444</f>
        <v>0</v>
      </c>
      <c r="GJ444" s="39">
        <f t="shared" si="7403"/>
        <v>0</v>
      </c>
      <c r="GK444" s="2"/>
      <c r="GL444" s="39">
        <f t="shared" si="4395"/>
        <v>0</v>
      </c>
      <c r="GM444" s="39">
        <f t="shared" si="4396"/>
        <v>0</v>
      </c>
      <c r="GN444" s="2" t="s">
        <v>3</v>
      </c>
      <c r="GO444" s="15">
        <f t="shared" si="4397"/>
        <v>151.69999999999999</v>
      </c>
      <c r="GP444" s="4">
        <f t="shared" si="4398"/>
        <v>0.10076278475729883</v>
      </c>
      <c r="GQ444" s="15">
        <f t="shared" si="4399"/>
        <v>152.85714447682233</v>
      </c>
      <c r="GR444" s="15">
        <f t="shared" si="4400"/>
        <v>85845.579189796932</v>
      </c>
      <c r="GS444" s="15">
        <f t="shared" si="4401"/>
        <v>565.89043632034895</v>
      </c>
      <c r="GT444" s="2">
        <f t="shared" si="4402"/>
        <v>9.0686506281568953</v>
      </c>
      <c r="GU444" s="2">
        <f t="shared" si="4403"/>
        <v>55.822582755543543</v>
      </c>
      <c r="GV444" s="2">
        <f t="shared" si="4404"/>
        <v>87.965911093121861</v>
      </c>
      <c r="GW444" s="2">
        <f t="shared" si="4405"/>
        <v>46.5</v>
      </c>
      <c r="GX444" s="4">
        <f t="shared" si="7384"/>
        <v>0.10076278475729886</v>
      </c>
      <c r="GY444" s="15">
        <f t="shared" si="7385"/>
        <v>46.85469491214397</v>
      </c>
      <c r="GZ444" s="15">
        <f t="shared" si="7386"/>
        <v>27499.082405468896</v>
      </c>
      <c r="HA444" s="15">
        <f t="shared" si="7387"/>
        <v>591.37811624664289</v>
      </c>
      <c r="HB444" s="2">
        <f t="shared" si="4406"/>
        <v>6.3480554397098263</v>
      </c>
      <c r="HC444" s="2">
        <f t="shared" si="4407"/>
        <v>40.506639472434138</v>
      </c>
      <c r="HD444" s="2" t="s">
        <v>3</v>
      </c>
      <c r="HE444" s="2" t="s">
        <v>89</v>
      </c>
      <c r="HF444" s="2" t="s">
        <v>90</v>
      </c>
      <c r="HG444" s="2" t="s">
        <v>91</v>
      </c>
      <c r="HH444" s="2"/>
      <c r="HI444" s="2" t="s">
        <v>81</v>
      </c>
      <c r="HJ444" s="2" t="s">
        <v>3</v>
      </c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 t="s">
        <v>3</v>
      </c>
    </row>
    <row r="445" spans="1:268" ht="15.75" customHeight="1" x14ac:dyDescent="0.2">
      <c r="A445" s="16" t="s">
        <v>1255</v>
      </c>
      <c r="B445" s="2"/>
      <c r="C445" s="2"/>
      <c r="D445" s="2"/>
      <c r="E445" s="2"/>
      <c r="F445" s="2" t="s">
        <v>145</v>
      </c>
      <c r="G445" s="2"/>
      <c r="H445" s="2"/>
      <c r="I445" s="2">
        <v>38.700000000000003</v>
      </c>
      <c r="J445" s="2">
        <v>0.14000000000000001</v>
      </c>
      <c r="K445" s="4">
        <v>0.29925000000000002</v>
      </c>
      <c r="L445" s="2"/>
      <c r="M445" s="2"/>
      <c r="N445" s="2"/>
      <c r="O445" s="2"/>
      <c r="P445" s="2"/>
      <c r="Q445" s="2">
        <v>0.22</v>
      </c>
      <c r="R445" s="2"/>
      <c r="S445" s="4">
        <v>1.9351500000000001</v>
      </c>
      <c r="T445" s="4">
        <v>1.5880200000000002</v>
      </c>
      <c r="U445" s="4">
        <v>0.16359000000000001</v>
      </c>
      <c r="V445" s="4"/>
      <c r="W445" s="4"/>
      <c r="X445" s="2"/>
      <c r="Y445" s="2"/>
      <c r="Z445" s="2"/>
      <c r="AA445" s="2"/>
      <c r="AB445" s="2"/>
      <c r="AC445" s="2"/>
      <c r="AD445" s="2">
        <v>138.9</v>
      </c>
      <c r="AE445" s="2">
        <v>0.14000000000000001</v>
      </c>
      <c r="AF445" s="4">
        <v>0.31574999999999998</v>
      </c>
      <c r="AG445" s="2"/>
      <c r="AH445" s="2"/>
      <c r="AI445" s="2"/>
      <c r="AJ445" s="2"/>
      <c r="AK445" s="2"/>
      <c r="AL445" s="2">
        <v>0.22</v>
      </c>
      <c r="AM445" s="2"/>
      <c r="AN445" s="4">
        <v>2.0418499999999997</v>
      </c>
      <c r="AO445" s="4">
        <v>1.6755800000000001</v>
      </c>
      <c r="AP445" s="4">
        <v>0.17261000000000001</v>
      </c>
      <c r="AQ445" s="4"/>
      <c r="AR445" s="4"/>
      <c r="AS445" s="2"/>
      <c r="AT445" s="2"/>
      <c r="AU445" s="2"/>
      <c r="AV445" s="2"/>
      <c r="AW445" s="2"/>
      <c r="AX445" s="2"/>
      <c r="AY445" s="2">
        <v>47.4</v>
      </c>
      <c r="AZ445" s="2">
        <v>0.14000000000000001</v>
      </c>
      <c r="BA445" s="4">
        <v>0.31725000000000003</v>
      </c>
      <c r="BB445" s="2"/>
      <c r="BC445" s="2"/>
      <c r="BD445" s="2"/>
      <c r="BE445" s="2"/>
      <c r="BF445" s="2"/>
      <c r="BG445" s="2">
        <v>0.22</v>
      </c>
      <c r="BH445" s="2"/>
      <c r="BI445" s="4">
        <v>2.0515500000000002</v>
      </c>
      <c r="BJ445" s="4">
        <v>1.6835400000000003</v>
      </c>
      <c r="BK445" s="4">
        <v>0.17343000000000003</v>
      </c>
      <c r="BL445" s="4"/>
      <c r="BM445" s="4"/>
      <c r="BN445" s="2"/>
      <c r="BO445" s="2"/>
      <c r="BP445" s="2"/>
      <c r="BQ445" s="2"/>
      <c r="BR445" s="2"/>
      <c r="BS445" s="2"/>
      <c r="BT445" s="2">
        <v>25.4</v>
      </c>
      <c r="BU445" s="2">
        <v>0.14000000000000001</v>
      </c>
      <c r="BV445" s="4">
        <v>0.25124999999999997</v>
      </c>
      <c r="BW445" s="2"/>
      <c r="BX445" s="2"/>
      <c r="BY445" s="2"/>
      <c r="BZ445" s="2"/>
      <c r="CA445" s="2"/>
      <c r="CB445" s="2">
        <v>0.22</v>
      </c>
      <c r="CC445" s="2"/>
      <c r="CD445" s="4">
        <v>1.6247499999999999</v>
      </c>
      <c r="CE445" s="4">
        <v>1.3333000000000002</v>
      </c>
      <c r="CF445" s="4">
        <v>0.13735</v>
      </c>
      <c r="CG445" s="4"/>
      <c r="CH445" s="4"/>
      <c r="CI445" s="2"/>
      <c r="CJ445" s="2"/>
      <c r="CK445" s="2"/>
      <c r="CL445" s="2"/>
      <c r="CM445" s="2"/>
      <c r="CN445" s="2"/>
      <c r="CO445" s="15">
        <v>27</v>
      </c>
      <c r="CP445" s="2">
        <v>0.14000000000000001</v>
      </c>
      <c r="CQ445" s="4">
        <v>0.24449999999999997</v>
      </c>
      <c r="CR445" s="2"/>
      <c r="CS445" s="2"/>
      <c r="CT445" s="2"/>
      <c r="CU445" s="2"/>
      <c r="CV445" s="2"/>
      <c r="CW445" s="2">
        <v>0.22</v>
      </c>
      <c r="CX445" s="2"/>
      <c r="CY445" s="4">
        <v>1.5810999999999999</v>
      </c>
      <c r="CZ445" s="4">
        <v>1.29748</v>
      </c>
      <c r="DA445" s="4">
        <v>0.13366</v>
      </c>
      <c r="DB445" s="4"/>
      <c r="DC445" s="4"/>
      <c r="DD445" s="2"/>
      <c r="DE445" s="2"/>
      <c r="DF445" s="2"/>
      <c r="DG445" s="2"/>
      <c r="DH445" s="2"/>
      <c r="DI445" s="2"/>
      <c r="DJ445" s="2" t="s">
        <v>81</v>
      </c>
      <c r="DK445" s="2"/>
      <c r="DL445" s="2">
        <f t="shared" si="4367"/>
        <v>0.21999999999999997</v>
      </c>
      <c r="DM445" s="2">
        <f t="shared" si="4368"/>
        <v>0</v>
      </c>
      <c r="DN445" s="2" t="s">
        <v>95</v>
      </c>
      <c r="DO445" s="2" t="s">
        <v>3</v>
      </c>
      <c r="DP445" s="2">
        <f t="shared" si="4369"/>
        <v>0.31500000000000006</v>
      </c>
      <c r="DQ445" s="2">
        <f t="shared" ref="DQ445:DR445" si="7404">K445*$I445+AF445*$AD445+BA445*$AY445</f>
        <v>70.476300000000009</v>
      </c>
      <c r="DR445" s="2">
        <f t="shared" si="7404"/>
        <v>0</v>
      </c>
      <c r="DS445" s="2">
        <f t="shared" ref="DS445:DX445" si="7405">(M445*$I445+AH445*$AD445+BC445*$AY445)/100</f>
        <v>0</v>
      </c>
      <c r="DT445" s="2">
        <f t="shared" si="7405"/>
        <v>0</v>
      </c>
      <c r="DU445" s="2">
        <f t="shared" si="7405"/>
        <v>0</v>
      </c>
      <c r="DV445" s="2">
        <f t="shared" si="7405"/>
        <v>0</v>
      </c>
      <c r="DW445" s="2">
        <f t="shared" si="7405"/>
        <v>0.495</v>
      </c>
      <c r="DX445" s="2">
        <f t="shared" si="7405"/>
        <v>0</v>
      </c>
      <c r="DY445" s="2">
        <f t="shared" ref="DY445:EC445" si="7406">S445*$I445+AN445*$AD445+BI445*$AY445</f>
        <v>455.74673999999999</v>
      </c>
      <c r="DZ445" s="2">
        <f t="shared" si="7406"/>
        <v>373.99423200000001</v>
      </c>
      <c r="EA445" s="2">
        <f t="shared" si="7406"/>
        <v>38.527044000000004</v>
      </c>
      <c r="EB445" s="2">
        <f t="shared" si="7406"/>
        <v>0</v>
      </c>
      <c r="EC445" s="2">
        <f t="shared" si="7406"/>
        <v>0</v>
      </c>
      <c r="ED445" s="2">
        <f t="shared" ref="ED445:EE445" si="7407">(X445*$I445+AS445*$AD445+BN445*$AY445)/100</f>
        <v>0</v>
      </c>
      <c r="EE445" s="2">
        <f t="shared" si="7407"/>
        <v>0</v>
      </c>
      <c r="EF445" s="2"/>
      <c r="EG445" s="2">
        <f t="shared" si="4374"/>
        <v>0</v>
      </c>
      <c r="EH445" s="2">
        <f t="shared" si="4375"/>
        <v>0</v>
      </c>
      <c r="EI445" s="39">
        <f t="shared" si="4376"/>
        <v>2055.5690400000003</v>
      </c>
      <c r="EJ445" s="39">
        <f t="shared" ref="EJ445:EK445" si="7408">EJ$1*DQ445/1000000</f>
        <v>2882.5033311897105</v>
      </c>
      <c r="EK445" s="39">
        <f t="shared" si="7408"/>
        <v>0</v>
      </c>
      <c r="EL445" s="39">
        <f t="shared" ref="EL445:EQ445" si="7409">EL$1*DS445</f>
        <v>0</v>
      </c>
      <c r="EM445" s="39">
        <f t="shared" si="7409"/>
        <v>0</v>
      </c>
      <c r="EN445" s="39">
        <f t="shared" si="7409"/>
        <v>0</v>
      </c>
      <c r="EO445" s="39">
        <f t="shared" si="7409"/>
        <v>0</v>
      </c>
      <c r="EP445" s="39">
        <f t="shared" si="7409"/>
        <v>6491.43</v>
      </c>
      <c r="EQ445" s="39">
        <f t="shared" si="7409"/>
        <v>0</v>
      </c>
      <c r="ER445" s="39">
        <f t="shared" ref="ER445:EV445" si="7410">ER$1*DY445/1000000</f>
        <v>12934.707959112537</v>
      </c>
      <c r="ES445" s="39">
        <f t="shared" si="7410"/>
        <v>12463.628356005145</v>
      </c>
      <c r="ET445" s="39">
        <f t="shared" si="7410"/>
        <v>2756.7276853118979</v>
      </c>
      <c r="EU445" s="39">
        <f t="shared" si="7410"/>
        <v>0</v>
      </c>
      <c r="EV445" s="39">
        <f t="shared" si="7410"/>
        <v>0</v>
      </c>
      <c r="EW445" s="39">
        <f t="shared" ref="EW445:EX445" si="7411">EW$1*ED445</f>
        <v>0</v>
      </c>
      <c r="EX445" s="39">
        <f t="shared" si="7411"/>
        <v>0</v>
      </c>
      <c r="EY445" s="2"/>
      <c r="EZ445" s="39">
        <f t="shared" si="4381"/>
        <v>0</v>
      </c>
      <c r="FA445" s="39">
        <f t="shared" si="4382"/>
        <v>0</v>
      </c>
      <c r="FB445" s="2">
        <f t="shared" si="4383"/>
        <v>7.3360000000000009E-2</v>
      </c>
      <c r="FC445" s="2">
        <f t="shared" ref="FC445:FD445" si="7412">BV445*$BT445+CQ445*$CO445</f>
        <v>12.983249999999998</v>
      </c>
      <c r="FD445" s="2">
        <f t="shared" si="7412"/>
        <v>0</v>
      </c>
      <c r="FE445" s="2">
        <f t="shared" ref="FE445:FJ445" si="7413">(BX445*$BT445+CS445*$CO445)/100</f>
        <v>0</v>
      </c>
      <c r="FF445" s="2">
        <f t="shared" si="7413"/>
        <v>0</v>
      </c>
      <c r="FG445" s="2">
        <f t="shared" si="7413"/>
        <v>0</v>
      </c>
      <c r="FH445" s="2">
        <f t="shared" si="7413"/>
        <v>0</v>
      </c>
      <c r="FI445" s="2">
        <f t="shared" si="7413"/>
        <v>0.11528000000000001</v>
      </c>
      <c r="FJ445" s="2">
        <f t="shared" si="7413"/>
        <v>0</v>
      </c>
      <c r="FK445" s="2">
        <f t="shared" ref="FK445:FO445" si="7414">CD445*$BT445+CY445*$CO445</f>
        <v>83.958349999999996</v>
      </c>
      <c r="FL445" s="2">
        <f t="shared" si="7414"/>
        <v>68.897779999999997</v>
      </c>
      <c r="FM445" s="2">
        <f t="shared" si="7414"/>
        <v>7.0975099999999998</v>
      </c>
      <c r="FN445" s="2">
        <f t="shared" si="7414"/>
        <v>0</v>
      </c>
      <c r="FO445" s="2">
        <f t="shared" si="7414"/>
        <v>0</v>
      </c>
      <c r="FP445" s="2">
        <f t="shared" ref="FP445:FQ445" si="7415">(CI445*$BT445+DD445*$CO445)/100</f>
        <v>0</v>
      </c>
      <c r="FQ445" s="2">
        <f t="shared" si="7415"/>
        <v>0</v>
      </c>
      <c r="FR445" s="2"/>
      <c r="FS445" s="2">
        <f t="shared" si="4388"/>
        <v>0</v>
      </c>
      <c r="FT445" s="2">
        <f t="shared" si="4389"/>
        <v>0</v>
      </c>
      <c r="FU445" s="39">
        <f t="shared" si="4390"/>
        <v>478.71918976000006</v>
      </c>
      <c r="FV445" s="39">
        <f t="shared" ref="FV445:FW445" si="7416">FV$1*FC445/1000000</f>
        <v>531.01909967845654</v>
      </c>
      <c r="FW445" s="39">
        <f t="shared" si="7416"/>
        <v>0</v>
      </c>
      <c r="FX445" s="39">
        <f t="shared" ref="FX445:GC445" si="7417">FX$1*FE445</f>
        <v>0</v>
      </c>
      <c r="FY445" s="39">
        <f t="shared" si="7417"/>
        <v>0</v>
      </c>
      <c r="FZ445" s="39">
        <f t="shared" si="7417"/>
        <v>0</v>
      </c>
      <c r="GA445" s="39">
        <f t="shared" si="7417"/>
        <v>0</v>
      </c>
      <c r="GB445" s="39">
        <f t="shared" si="7417"/>
        <v>1511.7819200000001</v>
      </c>
      <c r="GC445" s="39">
        <f t="shared" si="7417"/>
        <v>0</v>
      </c>
      <c r="GD445" s="39">
        <f t="shared" ref="GD445:GH445" si="7418">GD$1*FK445/1000000</f>
        <v>2382.8513572668803</v>
      </c>
      <c r="GE445" s="39">
        <f t="shared" si="7418"/>
        <v>2296.068364160772</v>
      </c>
      <c r="GF445" s="39">
        <f t="shared" si="7418"/>
        <v>507.8485209967846</v>
      </c>
      <c r="GG445" s="39">
        <f t="shared" si="7418"/>
        <v>0</v>
      </c>
      <c r="GH445" s="39">
        <f t="shared" si="7418"/>
        <v>0</v>
      </c>
      <c r="GI445" s="39">
        <f t="shared" ref="GI445:GJ445" si="7419">GI$1*FP445</f>
        <v>0</v>
      </c>
      <c r="GJ445" s="39">
        <f t="shared" si="7419"/>
        <v>0</v>
      </c>
      <c r="GK445" s="2"/>
      <c r="GL445" s="39">
        <f t="shared" si="4395"/>
        <v>0</v>
      </c>
      <c r="GM445" s="39">
        <f t="shared" si="4396"/>
        <v>0</v>
      </c>
      <c r="GN445" s="2" t="s">
        <v>3</v>
      </c>
      <c r="GO445" s="2">
        <f t="shared" si="4397"/>
        <v>225.00000000000003</v>
      </c>
      <c r="GP445" s="2">
        <f t="shared" si="4398"/>
        <v>0.21999999999999997</v>
      </c>
      <c r="GQ445" s="15">
        <f t="shared" si="4399"/>
        <v>495</v>
      </c>
      <c r="GR445" s="15">
        <f t="shared" si="4400"/>
        <v>39584.566371619294</v>
      </c>
      <c r="GS445" s="15">
        <f t="shared" si="4401"/>
        <v>175.93140609608574</v>
      </c>
      <c r="GT445" s="2">
        <f t="shared" si="4402"/>
        <v>85.140000000000015</v>
      </c>
      <c r="GU445" s="2">
        <f t="shared" si="4403"/>
        <v>305.58</v>
      </c>
      <c r="GV445" s="2">
        <f t="shared" si="4404"/>
        <v>104.27999999999999</v>
      </c>
      <c r="GW445" s="15">
        <f t="shared" si="4405"/>
        <v>52.4</v>
      </c>
      <c r="GX445" s="4">
        <f t="shared" si="7384"/>
        <v>0.22</v>
      </c>
      <c r="GY445" s="15">
        <f t="shared" si="7385"/>
        <v>115.28</v>
      </c>
      <c r="GZ445" s="15">
        <f t="shared" si="7386"/>
        <v>7708.2884518628935</v>
      </c>
      <c r="HA445" s="15">
        <f t="shared" si="7387"/>
        <v>147.10474144776515</v>
      </c>
      <c r="HB445" s="2">
        <f t="shared" si="4406"/>
        <v>55.88</v>
      </c>
      <c r="HC445" s="2">
        <f t="shared" si="4407"/>
        <v>59.4</v>
      </c>
      <c r="HD445" s="2" t="s">
        <v>3</v>
      </c>
      <c r="HE445" s="2" t="s">
        <v>89</v>
      </c>
      <c r="HF445" s="2" t="s">
        <v>90</v>
      </c>
      <c r="HG445" s="2" t="s">
        <v>91</v>
      </c>
      <c r="HH445" s="2"/>
      <c r="HI445" s="2" t="s">
        <v>81</v>
      </c>
      <c r="HJ445" s="2" t="s">
        <v>3</v>
      </c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 t="s">
        <v>3</v>
      </c>
    </row>
    <row r="446" spans="1:268" ht="15.75" customHeight="1" x14ac:dyDescent="0.2">
      <c r="A446" s="16" t="s">
        <v>819</v>
      </c>
      <c r="B446" s="2"/>
      <c r="C446" s="2"/>
      <c r="D446" s="2"/>
      <c r="E446" s="2"/>
      <c r="F446" s="2" t="s">
        <v>820</v>
      </c>
      <c r="G446" s="2"/>
      <c r="H446" s="2"/>
      <c r="I446" s="2">
        <v>28.4</v>
      </c>
      <c r="J446" s="2">
        <v>0.11</v>
      </c>
      <c r="K446" s="4">
        <v>0.28859999999999997</v>
      </c>
      <c r="L446" s="2"/>
      <c r="M446" s="2"/>
      <c r="N446" s="2"/>
      <c r="O446" s="2"/>
      <c r="P446" s="2"/>
      <c r="Q446" s="2">
        <v>0.14000000000000001</v>
      </c>
      <c r="R446" s="2">
        <v>0.05</v>
      </c>
      <c r="S446" s="4">
        <v>1.7862</v>
      </c>
      <c r="T446" s="4">
        <v>1.3922999999999999</v>
      </c>
      <c r="U446" s="4">
        <v>0.15209999999999999</v>
      </c>
      <c r="V446" s="4">
        <v>0.156</v>
      </c>
      <c r="W446" s="4">
        <v>0.12479999999999999</v>
      </c>
      <c r="X446" s="2"/>
      <c r="Y446" s="2"/>
      <c r="Z446" s="2"/>
      <c r="AA446" s="2"/>
      <c r="AB446" s="2"/>
      <c r="AC446" s="2"/>
      <c r="AD446" s="2">
        <v>15.4</v>
      </c>
      <c r="AE446" s="2">
        <v>0.11</v>
      </c>
      <c r="AF446" s="4">
        <v>0.28119999999999995</v>
      </c>
      <c r="AG446" s="2"/>
      <c r="AH446" s="2"/>
      <c r="AI446" s="2"/>
      <c r="AJ446" s="2"/>
      <c r="AK446" s="2"/>
      <c r="AL446" s="2">
        <v>0.14000000000000001</v>
      </c>
      <c r="AM446" s="2">
        <v>0.05</v>
      </c>
      <c r="AN446" s="4">
        <v>1.7403999999999999</v>
      </c>
      <c r="AO446" s="4">
        <v>1.3565999999999998</v>
      </c>
      <c r="AP446" s="4">
        <v>0.1482</v>
      </c>
      <c r="AQ446" s="4">
        <v>0.152</v>
      </c>
      <c r="AR446" s="4">
        <v>0.1216</v>
      </c>
      <c r="AS446" s="2"/>
      <c r="AT446" s="2"/>
      <c r="AU446" s="2"/>
      <c r="AV446" s="2"/>
      <c r="AW446" s="2"/>
      <c r="AX446" s="2"/>
      <c r="AY446" s="2">
        <v>13.4</v>
      </c>
      <c r="AZ446" s="2">
        <v>0.11</v>
      </c>
      <c r="BA446" s="4">
        <v>0.26882985074626864</v>
      </c>
      <c r="BB446" s="2"/>
      <c r="BC446" s="2"/>
      <c r="BD446" s="2"/>
      <c r="BE446" s="2"/>
      <c r="BF446" s="2"/>
      <c r="BG446" s="2">
        <v>0.14000000000000001</v>
      </c>
      <c r="BH446" s="2">
        <v>0.05</v>
      </c>
      <c r="BI446" s="4">
        <v>1.6638388059701492</v>
      </c>
      <c r="BJ446" s="4">
        <v>1.2969223880597014</v>
      </c>
      <c r="BK446" s="4">
        <v>0.14168059701492536</v>
      </c>
      <c r="BL446" s="4">
        <v>0.1453134328358209</v>
      </c>
      <c r="BM446" s="4">
        <v>0.11625074626865671</v>
      </c>
      <c r="BN446" s="2"/>
      <c r="BO446" s="2"/>
      <c r="BP446" s="2"/>
      <c r="BQ446" s="2"/>
      <c r="BR446" s="2"/>
      <c r="BS446" s="2"/>
      <c r="BT446" s="2">
        <v>10.9</v>
      </c>
      <c r="BU446" s="2">
        <v>0.11</v>
      </c>
      <c r="BV446" s="4">
        <v>0.27379999999999999</v>
      </c>
      <c r="BW446" s="2"/>
      <c r="BX446" s="2"/>
      <c r="BY446" s="2"/>
      <c r="BZ446" s="2"/>
      <c r="CA446" s="2"/>
      <c r="CB446" s="2">
        <v>0.14000000000000001</v>
      </c>
      <c r="CC446" s="2">
        <v>0.05</v>
      </c>
      <c r="CD446" s="4">
        <v>1.6946000000000001</v>
      </c>
      <c r="CE446" s="4">
        <v>1.3209</v>
      </c>
      <c r="CF446" s="4">
        <v>0.14430000000000001</v>
      </c>
      <c r="CG446" s="4">
        <v>0.14800000000000002</v>
      </c>
      <c r="CH446" s="4">
        <v>0.11840000000000001</v>
      </c>
      <c r="CI446" s="2"/>
      <c r="CJ446" s="2"/>
      <c r="CK446" s="2"/>
      <c r="CL446" s="2"/>
      <c r="CM446" s="2"/>
      <c r="CN446" s="2"/>
      <c r="CO446" s="2">
        <v>5.6</v>
      </c>
      <c r="CP446" s="2">
        <v>0.11</v>
      </c>
      <c r="CQ446" s="4">
        <v>0.26639999999999997</v>
      </c>
      <c r="CR446" s="2"/>
      <c r="CS446" s="2"/>
      <c r="CT446" s="2"/>
      <c r="CU446" s="2"/>
      <c r="CV446" s="2"/>
      <c r="CW446" s="2">
        <v>0.14000000000000001</v>
      </c>
      <c r="CX446" s="2">
        <v>0.05</v>
      </c>
      <c r="CY446" s="4">
        <v>1.6488</v>
      </c>
      <c r="CZ446" s="4">
        <v>1.2851999999999999</v>
      </c>
      <c r="DA446" s="4">
        <v>0.1404</v>
      </c>
      <c r="DB446" s="4">
        <v>0.14400000000000002</v>
      </c>
      <c r="DC446" s="4">
        <v>0.11520000000000001</v>
      </c>
      <c r="DD446" s="2"/>
      <c r="DE446" s="2"/>
      <c r="DF446" s="2"/>
      <c r="DG446" s="2"/>
      <c r="DH446" s="2"/>
      <c r="DI446" s="2"/>
      <c r="DJ446" s="2" t="s">
        <v>81</v>
      </c>
      <c r="DK446" s="2" t="s">
        <v>81</v>
      </c>
      <c r="DL446" s="2">
        <f t="shared" si="4367"/>
        <v>0.13999999999999999</v>
      </c>
      <c r="DM446" s="2">
        <f t="shared" si="4368"/>
        <v>0.05</v>
      </c>
      <c r="DN446" s="2" t="s">
        <v>95</v>
      </c>
      <c r="DO446" s="2" t="s">
        <v>3</v>
      </c>
      <c r="DP446" s="2">
        <f t="shared" si="4369"/>
        <v>6.2920000000000004E-2</v>
      </c>
      <c r="DQ446" s="2">
        <f t="shared" ref="DQ446:DR446" si="7420">K446*$I446+AF446*$AD446+BA446*$AY446</f>
        <v>16.12904</v>
      </c>
      <c r="DR446" s="2">
        <f t="shared" si="7420"/>
        <v>0</v>
      </c>
      <c r="DS446" s="2">
        <f t="shared" ref="DS446:DX446" si="7421">(M446*$I446+AH446*$AD446+BC446*$AY446)/100</f>
        <v>0</v>
      </c>
      <c r="DT446" s="2">
        <f t="shared" si="7421"/>
        <v>0</v>
      </c>
      <c r="DU446" s="2">
        <f t="shared" si="7421"/>
        <v>0</v>
      </c>
      <c r="DV446" s="2">
        <f t="shared" si="7421"/>
        <v>0</v>
      </c>
      <c r="DW446" s="2">
        <f t="shared" si="7421"/>
        <v>8.0079999999999985E-2</v>
      </c>
      <c r="DX446" s="2">
        <f t="shared" si="7421"/>
        <v>2.86E-2</v>
      </c>
      <c r="DY446" s="2">
        <f t="shared" ref="DY446:EC446" si="7422">S446*$I446+AN446*$AD446+BI446*$AY446</f>
        <v>99.825679999999991</v>
      </c>
      <c r="DZ446" s="2">
        <f t="shared" si="7422"/>
        <v>77.811719999999994</v>
      </c>
      <c r="EA446" s="2">
        <f t="shared" si="7422"/>
        <v>8.5004399999999993</v>
      </c>
      <c r="EB446" s="2">
        <f t="shared" si="7422"/>
        <v>8.7184000000000008</v>
      </c>
      <c r="EC446" s="2">
        <f t="shared" si="7422"/>
        <v>6.9747199999999996</v>
      </c>
      <c r="ED446" s="2">
        <f t="shared" ref="ED446:EE446" si="7423">(X446*$I446+AS446*$AD446+BN446*$AY446)/100</f>
        <v>0</v>
      </c>
      <c r="EE446" s="2">
        <f t="shared" si="7423"/>
        <v>0</v>
      </c>
      <c r="EF446" s="2"/>
      <c r="EG446" s="2">
        <f t="shared" si="4374"/>
        <v>0</v>
      </c>
      <c r="EH446" s="2">
        <f t="shared" si="4375"/>
        <v>0</v>
      </c>
      <c r="EI446" s="39">
        <f t="shared" si="4376"/>
        <v>410.59175872000003</v>
      </c>
      <c r="EJ446" s="39">
        <f t="shared" ref="EJ446:EK446" si="7424">EJ$1*DQ446/1000000</f>
        <v>659.68292218649503</v>
      </c>
      <c r="EK446" s="39">
        <f t="shared" si="7424"/>
        <v>0</v>
      </c>
      <c r="EL446" s="39">
        <f t="shared" ref="EL446:EQ446" si="7425">EL$1*DS446</f>
        <v>0</v>
      </c>
      <c r="EM446" s="39">
        <f t="shared" si="7425"/>
        <v>0</v>
      </c>
      <c r="EN446" s="39">
        <f t="shared" si="7425"/>
        <v>0</v>
      </c>
      <c r="EO446" s="39">
        <f t="shared" si="7425"/>
        <v>0</v>
      </c>
      <c r="EP446" s="39">
        <f t="shared" si="7425"/>
        <v>1050.1691199999998</v>
      </c>
      <c r="EQ446" s="39">
        <f t="shared" si="7425"/>
        <v>2076.9183863999997</v>
      </c>
      <c r="ER446" s="39">
        <f t="shared" ref="ER446:EV446" si="7426">ER$1*DY446/1000000</f>
        <v>2833.1876112154337</v>
      </c>
      <c r="ES446" s="39">
        <f t="shared" si="7426"/>
        <v>2593.131863652733</v>
      </c>
      <c r="ET446" s="39">
        <f t="shared" si="7426"/>
        <v>608.23244797427651</v>
      </c>
      <c r="EU446" s="39">
        <f t="shared" si="7426"/>
        <v>68.516531961414785</v>
      </c>
      <c r="EV446" s="39">
        <f t="shared" si="7426"/>
        <v>290.0384609131832</v>
      </c>
      <c r="EW446" s="39">
        <f t="shared" ref="EW446:EX446" si="7427">EW$1*ED446</f>
        <v>0</v>
      </c>
      <c r="EX446" s="39">
        <f t="shared" si="7427"/>
        <v>0</v>
      </c>
      <c r="EY446" s="2"/>
      <c r="EZ446" s="39">
        <f t="shared" si="4381"/>
        <v>0</v>
      </c>
      <c r="FA446" s="39">
        <f t="shared" si="4382"/>
        <v>0</v>
      </c>
      <c r="FB446" s="2">
        <f t="shared" si="4383"/>
        <v>1.8149999999999999E-2</v>
      </c>
      <c r="FC446" s="2">
        <f t="shared" ref="FC446:FD446" si="7428">BV446*$BT446+CQ446*$CO446</f>
        <v>4.4762599999999999</v>
      </c>
      <c r="FD446" s="2">
        <f t="shared" si="7428"/>
        <v>0</v>
      </c>
      <c r="FE446" s="2">
        <f t="shared" ref="FE446:FJ446" si="7429">(BX446*$BT446+CS446*$CO446)/100</f>
        <v>0</v>
      </c>
      <c r="FF446" s="2">
        <f t="shared" si="7429"/>
        <v>0</v>
      </c>
      <c r="FG446" s="2">
        <f t="shared" si="7429"/>
        <v>0</v>
      </c>
      <c r="FH446" s="2">
        <f t="shared" si="7429"/>
        <v>0</v>
      </c>
      <c r="FI446" s="2">
        <f t="shared" si="7429"/>
        <v>2.3100000000000006E-2</v>
      </c>
      <c r="FJ446" s="2">
        <f t="shared" si="7429"/>
        <v>8.2500000000000004E-3</v>
      </c>
      <c r="FK446" s="2">
        <f t="shared" ref="FK446:FO446" si="7430">CD446*$BT446+CY446*$CO446</f>
        <v>27.704419999999999</v>
      </c>
      <c r="FL446" s="2">
        <f t="shared" si="7430"/>
        <v>21.594929999999998</v>
      </c>
      <c r="FM446" s="2">
        <f t="shared" si="7430"/>
        <v>2.3591100000000003</v>
      </c>
      <c r="FN446" s="2">
        <f t="shared" si="7430"/>
        <v>2.4196</v>
      </c>
      <c r="FO446" s="2">
        <f t="shared" si="7430"/>
        <v>1.9356800000000001</v>
      </c>
      <c r="FP446" s="2">
        <f t="shared" ref="FP446:FQ446" si="7431">(CI446*$BT446+DD446*$CO446)/100</f>
        <v>0</v>
      </c>
      <c r="FQ446" s="2">
        <f t="shared" si="7431"/>
        <v>0</v>
      </c>
      <c r="FR446" s="2"/>
      <c r="FS446" s="2">
        <f t="shared" si="4388"/>
        <v>0</v>
      </c>
      <c r="FT446" s="2">
        <f t="shared" si="4389"/>
        <v>0</v>
      </c>
      <c r="FU446" s="39">
        <f t="shared" si="4390"/>
        <v>118.43993039999999</v>
      </c>
      <c r="FV446" s="39">
        <f t="shared" ref="FV446:FW446" si="7432">FV$1*FC446/1000000</f>
        <v>183.08047331189709</v>
      </c>
      <c r="FW446" s="39">
        <f t="shared" si="7432"/>
        <v>0</v>
      </c>
      <c r="FX446" s="39">
        <f t="shared" ref="FX446:GC446" si="7433">FX$1*FE446</f>
        <v>0</v>
      </c>
      <c r="FY446" s="39">
        <f t="shared" si="7433"/>
        <v>0</v>
      </c>
      <c r="FZ446" s="39">
        <f t="shared" si="7433"/>
        <v>0</v>
      </c>
      <c r="GA446" s="39">
        <f t="shared" si="7433"/>
        <v>0</v>
      </c>
      <c r="GB446" s="39">
        <f t="shared" si="7433"/>
        <v>302.93340000000006</v>
      </c>
      <c r="GC446" s="39">
        <f t="shared" si="7433"/>
        <v>599.11107299999992</v>
      </c>
      <c r="GD446" s="39">
        <f t="shared" ref="GD446:GH446" si="7434">GD$1*FK446/1000000</f>
        <v>786.2888539292602</v>
      </c>
      <c r="GE446" s="39">
        <f t="shared" si="7434"/>
        <v>719.66666559163991</v>
      </c>
      <c r="GF446" s="39">
        <f t="shared" si="7434"/>
        <v>168.80152678456597</v>
      </c>
      <c r="GG446" s="39">
        <f t="shared" si="7434"/>
        <v>19.015255176848875</v>
      </c>
      <c r="GH446" s="39">
        <f t="shared" si="7434"/>
        <v>80.493790147909948</v>
      </c>
      <c r="GI446" s="39">
        <f t="shared" ref="GI446:GJ446" si="7435">GI$1*FP446</f>
        <v>0</v>
      </c>
      <c r="GJ446" s="39">
        <f t="shared" si="7435"/>
        <v>0</v>
      </c>
      <c r="GK446" s="2"/>
      <c r="GL446" s="39">
        <f t="shared" si="4395"/>
        <v>0</v>
      </c>
      <c r="GM446" s="39">
        <f t="shared" si="4396"/>
        <v>0</v>
      </c>
      <c r="GN446" s="2" t="s">
        <v>3</v>
      </c>
      <c r="GO446" s="2">
        <f t="shared" si="4397"/>
        <v>57.199999999999996</v>
      </c>
      <c r="GP446" s="2">
        <f t="shared" si="4398"/>
        <v>0.13999999999999999</v>
      </c>
      <c r="GQ446" s="15">
        <f t="shared" si="4399"/>
        <v>80.079999999999984</v>
      </c>
      <c r="GR446" s="15">
        <f t="shared" si="4400"/>
        <v>10590.469103023537</v>
      </c>
      <c r="GS446" s="15">
        <f t="shared" si="4401"/>
        <v>185.14806124167023</v>
      </c>
      <c r="GT446" s="2">
        <f t="shared" si="4402"/>
        <v>39.76</v>
      </c>
      <c r="GU446" s="2">
        <f t="shared" si="4403"/>
        <v>21.56</v>
      </c>
      <c r="GV446" s="2">
        <f t="shared" si="4404"/>
        <v>18.760000000000002</v>
      </c>
      <c r="GW446" s="2">
        <f t="shared" si="4405"/>
        <v>16.5</v>
      </c>
      <c r="GX446" s="4">
        <f t="shared" si="7384"/>
        <v>0.14000000000000004</v>
      </c>
      <c r="GY446" s="15">
        <f t="shared" si="7385"/>
        <v>23.100000000000005</v>
      </c>
      <c r="GZ446" s="15">
        <f t="shared" si="7386"/>
        <v>2977.8309683421212</v>
      </c>
      <c r="HA446" s="15">
        <f t="shared" si="7387"/>
        <v>180.47460414194674</v>
      </c>
      <c r="HB446" s="2">
        <f t="shared" si="4406"/>
        <v>15.260000000000002</v>
      </c>
      <c r="HC446" s="2">
        <f t="shared" si="4407"/>
        <v>7.84</v>
      </c>
      <c r="HD446" s="2" t="s">
        <v>3</v>
      </c>
      <c r="HE446" s="2" t="s">
        <v>89</v>
      </c>
      <c r="HF446" s="2" t="s">
        <v>90</v>
      </c>
      <c r="HG446" s="2" t="s">
        <v>91</v>
      </c>
      <c r="HH446" s="2"/>
      <c r="HI446" s="2" t="s">
        <v>81</v>
      </c>
      <c r="HJ446" s="2" t="s">
        <v>3</v>
      </c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 t="s">
        <v>3</v>
      </c>
    </row>
    <row r="447" spans="1:268" ht="15.75" customHeight="1" x14ac:dyDescent="0.2">
      <c r="A447" s="16" t="s">
        <v>1332</v>
      </c>
      <c r="B447" s="2"/>
      <c r="C447" s="2"/>
      <c r="D447" s="2"/>
      <c r="E447" s="2"/>
      <c r="F447" s="2" t="s">
        <v>1333</v>
      </c>
      <c r="G447" s="2"/>
      <c r="H447" s="2"/>
      <c r="I447" s="2">
        <v>181.10000000000002</v>
      </c>
      <c r="J447" s="4">
        <v>7.781336278299282E-2</v>
      </c>
      <c r="K447" s="4">
        <v>0.25274897846493649</v>
      </c>
      <c r="L447" s="2"/>
      <c r="M447" s="2"/>
      <c r="N447" s="2"/>
      <c r="O447" s="2"/>
      <c r="P447" s="2"/>
      <c r="Q447" s="4">
        <v>0.11468801766979568</v>
      </c>
      <c r="R447" s="2"/>
      <c r="S447" s="4">
        <v>1.7395076753175041</v>
      </c>
      <c r="T447" s="4">
        <v>1.3826855880728877</v>
      </c>
      <c r="U447" s="4">
        <v>0.14495897294312532</v>
      </c>
      <c r="V447" s="4">
        <v>0.13009138597459965</v>
      </c>
      <c r="W447" s="4">
        <v>6.3187244616234123E-2</v>
      </c>
      <c r="X447" s="2"/>
      <c r="Y447" s="2"/>
      <c r="Z447" s="2"/>
      <c r="AA447" s="2"/>
      <c r="AB447" s="2"/>
      <c r="AC447" s="2"/>
      <c r="AD447" s="2">
        <v>613.4</v>
      </c>
      <c r="AE447" s="4">
        <v>9.414411477013368E-2</v>
      </c>
      <c r="AF447" s="4">
        <v>0.25417732637756768</v>
      </c>
      <c r="AG447" s="2"/>
      <c r="AH447" s="2"/>
      <c r="AI447" s="2"/>
      <c r="AJ447" s="2"/>
      <c r="AK447" s="2"/>
      <c r="AL447" s="4">
        <v>0.12181121617215519</v>
      </c>
      <c r="AM447" s="2"/>
      <c r="AN447" s="4">
        <v>1.7493380697750247</v>
      </c>
      <c r="AO447" s="4">
        <v>1.3904994913596349</v>
      </c>
      <c r="AP447" s="4">
        <v>0.14577817248125205</v>
      </c>
      <c r="AQ447" s="4">
        <v>0.13082656504727749</v>
      </c>
      <c r="AR447" s="4">
        <v>6.354433159439192E-2</v>
      </c>
      <c r="AS447" s="2"/>
      <c r="AT447" s="2"/>
      <c r="AU447" s="2"/>
      <c r="AV447" s="2"/>
      <c r="AW447" s="2"/>
      <c r="AX447" s="2"/>
      <c r="AY447" s="2">
        <v>207.3</v>
      </c>
      <c r="AZ447" s="4">
        <v>9.2233478051133605E-2</v>
      </c>
      <c r="BA447" s="4">
        <v>0.24833941148094546</v>
      </c>
      <c r="BB447" s="2"/>
      <c r="BC447" s="2"/>
      <c r="BD447" s="2"/>
      <c r="BE447" s="2"/>
      <c r="BF447" s="2"/>
      <c r="BG447" s="4">
        <v>0.1222334780511336</v>
      </c>
      <c r="BH447" s="2"/>
      <c r="BI447" s="4">
        <v>1.7091594790159188</v>
      </c>
      <c r="BJ447" s="4">
        <v>1.3585626628075251</v>
      </c>
      <c r="BK447" s="4">
        <v>0.14242995658465987</v>
      </c>
      <c r="BL447" s="4">
        <v>0.12782175590931016</v>
      </c>
      <c r="BM447" s="4">
        <v>6.2084852870236365E-2</v>
      </c>
      <c r="BN447" s="2"/>
      <c r="BO447" s="2"/>
      <c r="BP447" s="2"/>
      <c r="BQ447" s="2"/>
      <c r="BR447" s="2"/>
      <c r="BS447" s="2"/>
      <c r="BT447" s="2">
        <v>93.4</v>
      </c>
      <c r="BU447" s="2">
        <v>7.0000000000000007E-2</v>
      </c>
      <c r="BV447" s="4">
        <v>0.22712000000000002</v>
      </c>
      <c r="BW447" s="2"/>
      <c r="BX447" s="2"/>
      <c r="BY447" s="2"/>
      <c r="BZ447" s="2"/>
      <c r="CA447" s="2"/>
      <c r="CB447" s="4">
        <v>0.1</v>
      </c>
      <c r="CC447" s="2"/>
      <c r="CD447" s="4">
        <v>1.5631200000000001</v>
      </c>
      <c r="CE447" s="4">
        <v>1.24248</v>
      </c>
      <c r="CF447" s="4">
        <v>0.13025999999999999</v>
      </c>
      <c r="CG447" s="4">
        <v>0.1169</v>
      </c>
      <c r="CH447" s="4">
        <v>5.6780000000000004E-2</v>
      </c>
      <c r="CI447" s="2"/>
      <c r="CJ447" s="2"/>
      <c r="CK447" s="2"/>
      <c r="CL447" s="2"/>
      <c r="CM447" s="2"/>
      <c r="CN447" s="2"/>
      <c r="CO447" s="2">
        <v>132.9</v>
      </c>
      <c r="CP447" s="2">
        <v>7.0000000000000007E-2</v>
      </c>
      <c r="CQ447" s="4">
        <v>0.22984000000000002</v>
      </c>
      <c r="CR447" s="2"/>
      <c r="CS447" s="2"/>
      <c r="CT447" s="2"/>
      <c r="CU447" s="2"/>
      <c r="CV447" s="2"/>
      <c r="CW447" s="4">
        <v>0.1</v>
      </c>
      <c r="CX447" s="2"/>
      <c r="CY447" s="4">
        <v>1.5818400000000001</v>
      </c>
      <c r="CZ447" s="4">
        <v>1.25736</v>
      </c>
      <c r="DA447" s="4">
        <v>0.13181999999999999</v>
      </c>
      <c r="DB447" s="4">
        <v>0.1183</v>
      </c>
      <c r="DC447" s="4">
        <v>5.7460000000000004E-2</v>
      </c>
      <c r="DD447" s="2"/>
      <c r="DE447" s="2"/>
      <c r="DF447" s="2"/>
      <c r="DG447" s="2"/>
      <c r="DH447" s="2"/>
      <c r="DI447" s="2"/>
      <c r="DJ447" s="2" t="s">
        <v>81</v>
      </c>
      <c r="DK447" s="2"/>
      <c r="DL447" s="2">
        <f t="shared" si="4367"/>
        <v>0.12061090037931722</v>
      </c>
      <c r="DM447" s="2">
        <f t="shared" si="4368"/>
        <v>0</v>
      </c>
      <c r="DN447" s="2" t="s">
        <v>95</v>
      </c>
      <c r="DO447" s="2" t="s">
        <v>3</v>
      </c>
      <c r="DP447" s="2">
        <f t="shared" si="4369"/>
        <v>0.90960000000000008</v>
      </c>
      <c r="DQ447" s="2">
        <f t="shared" ref="DQ447:DR447" si="7436">K447*$I447+AF447*$AD447+BA447*$AY447</f>
        <v>253.16597200000001</v>
      </c>
      <c r="DR447" s="2">
        <f t="shared" si="7436"/>
        <v>0</v>
      </c>
      <c r="DS447" s="2">
        <f t="shared" ref="DS447:DX447" si="7437">(M447*$I447+AH447*$AD447+BC447*$AY447)/100</f>
        <v>0</v>
      </c>
      <c r="DT447" s="2">
        <f t="shared" si="7437"/>
        <v>0</v>
      </c>
      <c r="DU447" s="2">
        <f t="shared" si="7437"/>
        <v>0</v>
      </c>
      <c r="DV447" s="2">
        <f t="shared" si="7437"/>
        <v>0</v>
      </c>
      <c r="DW447" s="2">
        <f t="shared" si="7437"/>
        <v>1.2082799999999998</v>
      </c>
      <c r="DX447" s="2">
        <f t="shared" si="7437"/>
        <v>0</v>
      </c>
      <c r="DY447" s="2">
        <f t="shared" ref="DY447:EC447" si="7438">S447*$I447+AN447*$AD447+BI447*$AY447</f>
        <v>1742.3775720000003</v>
      </c>
      <c r="DZ447" s="2">
        <f t="shared" si="7438"/>
        <v>1384.9667880000002</v>
      </c>
      <c r="EA447" s="2">
        <f t="shared" si="7438"/>
        <v>145.19813099999999</v>
      </c>
      <c r="EB447" s="2">
        <f t="shared" si="7438"/>
        <v>130.306015</v>
      </c>
      <c r="EC447" s="2">
        <f t="shared" si="7438"/>
        <v>63.291493000000003</v>
      </c>
      <c r="ED447" s="2">
        <f t="shared" ref="ED447:EE447" si="7439">(X447*$I447+AS447*$AD447+BN447*$AY447)/100</f>
        <v>0</v>
      </c>
      <c r="EE447" s="2">
        <f t="shared" si="7439"/>
        <v>0</v>
      </c>
      <c r="EF447" s="2"/>
      <c r="EG447" s="2">
        <f t="shared" si="4374"/>
        <v>0</v>
      </c>
      <c r="EH447" s="2">
        <f t="shared" si="4375"/>
        <v>0</v>
      </c>
      <c r="EI447" s="39">
        <f t="shared" si="4376"/>
        <v>5935.7003136000003</v>
      </c>
      <c r="EJ447" s="39">
        <f t="shared" ref="EJ447:EK447" si="7440">EJ$1*DQ447/1000000</f>
        <v>10354.569658649518</v>
      </c>
      <c r="EK447" s="39">
        <f t="shared" si="7440"/>
        <v>0</v>
      </c>
      <c r="EL447" s="39">
        <f t="shared" ref="EL447:EQ447" si="7441">EL$1*DS447</f>
        <v>0</v>
      </c>
      <c r="EM447" s="39">
        <f t="shared" si="7441"/>
        <v>0</v>
      </c>
      <c r="EN447" s="39">
        <f t="shared" si="7441"/>
        <v>0</v>
      </c>
      <c r="EO447" s="39">
        <f t="shared" si="7441"/>
        <v>0</v>
      </c>
      <c r="EP447" s="39">
        <f t="shared" si="7441"/>
        <v>15845.383919999997</v>
      </c>
      <c r="EQ447" s="39">
        <f t="shared" si="7441"/>
        <v>0</v>
      </c>
      <c r="ER447" s="39">
        <f t="shared" ref="ER447:EV447" si="7442">ER$1*DY447/1000000</f>
        <v>49451.028543457236</v>
      </c>
      <c r="ES447" s="39">
        <f t="shared" si="7442"/>
        <v>46155.020195718338</v>
      </c>
      <c r="ET447" s="39">
        <f t="shared" si="7442"/>
        <v>10389.369804318329</v>
      </c>
      <c r="EU447" s="39">
        <f t="shared" si="7442"/>
        <v>1024.0544413553052</v>
      </c>
      <c r="EV447" s="39">
        <f t="shared" si="7442"/>
        <v>2631.9289116434084</v>
      </c>
      <c r="EW447" s="39">
        <f t="shared" ref="EW447:EX447" si="7443">EW$1*ED447</f>
        <v>0</v>
      </c>
      <c r="EX447" s="39">
        <f t="shared" si="7443"/>
        <v>0</v>
      </c>
      <c r="EY447" s="2"/>
      <c r="EZ447" s="39">
        <f t="shared" si="4381"/>
        <v>0</v>
      </c>
      <c r="FA447" s="39">
        <f t="shared" si="4382"/>
        <v>0</v>
      </c>
      <c r="FB447" s="2">
        <f t="shared" si="4383"/>
        <v>0.15841000000000002</v>
      </c>
      <c r="FC447" s="2">
        <f t="shared" ref="FC447:FD447" si="7444">BV447*$BT447+CQ447*$CO447</f>
        <v>51.758744000000007</v>
      </c>
      <c r="FD447" s="2">
        <f t="shared" si="7444"/>
        <v>0</v>
      </c>
      <c r="FE447" s="2">
        <f t="shared" ref="FE447:FJ447" si="7445">(BX447*$BT447+CS447*$CO447)/100</f>
        <v>0</v>
      </c>
      <c r="FF447" s="2">
        <f t="shared" si="7445"/>
        <v>0</v>
      </c>
      <c r="FG447" s="2">
        <f t="shared" si="7445"/>
        <v>0</v>
      </c>
      <c r="FH447" s="2">
        <f t="shared" si="7445"/>
        <v>0</v>
      </c>
      <c r="FI447" s="2">
        <f t="shared" si="7445"/>
        <v>0.22630000000000003</v>
      </c>
      <c r="FJ447" s="2">
        <f t="shared" si="7445"/>
        <v>0</v>
      </c>
      <c r="FK447" s="2">
        <f t="shared" ref="FK447:FO447" si="7446">CD447*$BT447+CY447*$CO447</f>
        <v>356.22194400000006</v>
      </c>
      <c r="FL447" s="2">
        <f t="shared" si="7446"/>
        <v>283.15077600000001</v>
      </c>
      <c r="FM447" s="2">
        <f t="shared" si="7446"/>
        <v>29.685161999999998</v>
      </c>
      <c r="FN447" s="2">
        <f t="shared" si="7446"/>
        <v>26.640530000000002</v>
      </c>
      <c r="FO447" s="2">
        <f t="shared" si="7446"/>
        <v>12.939686000000002</v>
      </c>
      <c r="FP447" s="2">
        <f t="shared" ref="FP447:FQ447" si="7447">(CI447*$BT447+DD447*$CO447)/100</f>
        <v>0</v>
      </c>
      <c r="FQ447" s="2">
        <f t="shared" si="7447"/>
        <v>0</v>
      </c>
      <c r="FR447" s="2"/>
      <c r="FS447" s="2">
        <f t="shared" si="4388"/>
        <v>0</v>
      </c>
      <c r="FT447" s="2">
        <f t="shared" si="4389"/>
        <v>0</v>
      </c>
      <c r="FU447" s="39">
        <f t="shared" si="4390"/>
        <v>1033.7228305600001</v>
      </c>
      <c r="FV447" s="39">
        <f t="shared" ref="FV447:FW447" si="7448">FV$1*FC447/1000000</f>
        <v>2116.9492722829582</v>
      </c>
      <c r="FW447" s="39">
        <f t="shared" si="7448"/>
        <v>0</v>
      </c>
      <c r="FX447" s="39">
        <f t="shared" ref="FX447:GC447" si="7449">FX$1*FE447</f>
        <v>0</v>
      </c>
      <c r="FY447" s="39">
        <f t="shared" si="7449"/>
        <v>0</v>
      </c>
      <c r="FZ447" s="39">
        <f t="shared" si="7449"/>
        <v>0</v>
      </c>
      <c r="GA447" s="39">
        <f t="shared" si="7449"/>
        <v>0</v>
      </c>
      <c r="GB447" s="39">
        <f t="shared" si="7449"/>
        <v>2967.6982000000003</v>
      </c>
      <c r="GC447" s="39">
        <f t="shared" si="7449"/>
        <v>0</v>
      </c>
      <c r="GD447" s="39">
        <f t="shared" ref="GD447:GH447" si="7450">GD$1*FK447/1000000</f>
        <v>10110.059842155628</v>
      </c>
      <c r="GE447" s="39">
        <f t="shared" si="7450"/>
        <v>9436.2044620475881</v>
      </c>
      <c r="GF447" s="39">
        <f t="shared" si="7450"/>
        <v>2124.0640192475885</v>
      </c>
      <c r="GG447" s="39">
        <f t="shared" si="7450"/>
        <v>209.36372788745979</v>
      </c>
      <c r="GH447" s="39">
        <f t="shared" si="7450"/>
        <v>538.08706473376208</v>
      </c>
      <c r="GI447" s="39">
        <f t="shared" ref="GI447:GJ447" si="7451">GI$1*FP447</f>
        <v>0</v>
      </c>
      <c r="GJ447" s="39">
        <f t="shared" si="7451"/>
        <v>0</v>
      </c>
      <c r="GK447" s="2"/>
      <c r="GL447" s="39">
        <f t="shared" si="4395"/>
        <v>0</v>
      </c>
      <c r="GM447" s="39">
        <f t="shared" si="4396"/>
        <v>0</v>
      </c>
      <c r="GN447" s="2" t="s">
        <v>3</v>
      </c>
      <c r="GO447" s="3">
        <f t="shared" si="4397"/>
        <v>1001.8</v>
      </c>
      <c r="GP447" s="4">
        <f t="shared" si="4398"/>
        <v>0.12061090037931722</v>
      </c>
      <c r="GQ447" s="18">
        <f t="shared" si="4399"/>
        <v>1208.28</v>
      </c>
      <c r="GR447" s="15">
        <f t="shared" si="4400"/>
        <v>141787.05578874215</v>
      </c>
      <c r="GS447" s="15">
        <f t="shared" si="4401"/>
        <v>141.5322976529668</v>
      </c>
      <c r="GT447" s="2">
        <f t="shared" si="4402"/>
        <v>207.7</v>
      </c>
      <c r="GU447" s="2">
        <f t="shared" si="4403"/>
        <v>747.19</v>
      </c>
      <c r="GV447" s="2">
        <f t="shared" si="4404"/>
        <v>253.39</v>
      </c>
      <c r="GW447" s="2">
        <f t="shared" si="4405"/>
        <v>226.3</v>
      </c>
      <c r="GX447" s="4">
        <f t="shared" si="7384"/>
        <v>0.1</v>
      </c>
      <c r="GY447" s="15">
        <f t="shared" si="7385"/>
        <v>226.3</v>
      </c>
      <c r="GZ447" s="15">
        <f t="shared" si="7386"/>
        <v>28536.149418914982</v>
      </c>
      <c r="HA447" s="15">
        <f t="shared" si="7387"/>
        <v>126.09876013661061</v>
      </c>
      <c r="HB447" s="2">
        <f t="shared" si="4406"/>
        <v>93.40000000000002</v>
      </c>
      <c r="HC447" s="2">
        <f t="shared" si="4407"/>
        <v>132.9</v>
      </c>
      <c r="HD447" s="2" t="s">
        <v>3</v>
      </c>
      <c r="HE447" s="2" t="s">
        <v>89</v>
      </c>
      <c r="HF447" s="2" t="s">
        <v>90</v>
      </c>
      <c r="HG447" s="2" t="s">
        <v>91</v>
      </c>
      <c r="HH447" s="2"/>
      <c r="HI447" s="2" t="s">
        <v>81</v>
      </c>
      <c r="HJ447" s="2" t="s">
        <v>3</v>
      </c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 t="s">
        <v>3</v>
      </c>
    </row>
    <row r="448" spans="1:268" ht="15.75" customHeight="1" x14ac:dyDescent="0.2">
      <c r="A448" s="16" t="s">
        <v>259</v>
      </c>
      <c r="B448" s="2"/>
      <c r="C448" s="2"/>
      <c r="D448" s="2"/>
      <c r="E448" s="2"/>
      <c r="F448" s="2" t="s">
        <v>260</v>
      </c>
      <c r="G448" s="2"/>
      <c r="H448" s="2"/>
      <c r="I448" s="2">
        <v>0</v>
      </c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>
        <v>40.17</v>
      </c>
      <c r="AE448" s="2">
        <v>0.18</v>
      </c>
      <c r="AF448" s="4">
        <v>0.4</v>
      </c>
      <c r="AG448" s="2"/>
      <c r="AH448" s="2"/>
      <c r="AI448" s="2"/>
      <c r="AJ448" s="2"/>
      <c r="AK448" s="2"/>
      <c r="AL448" s="2">
        <v>0.22</v>
      </c>
      <c r="AM448" s="2"/>
      <c r="AN448" s="2">
        <v>1.86</v>
      </c>
      <c r="AO448" s="2">
        <v>1.42</v>
      </c>
      <c r="AP448" s="2">
        <v>0.13</v>
      </c>
      <c r="AQ448" s="2"/>
      <c r="AR448" s="2"/>
      <c r="AS448" s="2"/>
      <c r="AT448" s="2"/>
      <c r="AU448" s="2"/>
      <c r="AV448" s="2"/>
      <c r="AW448" s="2"/>
      <c r="AX448" s="2"/>
      <c r="AY448" s="2">
        <v>41.61</v>
      </c>
      <c r="AZ448" s="2">
        <v>0.17</v>
      </c>
      <c r="BA448" s="2">
        <v>0.37</v>
      </c>
      <c r="BB448" s="2"/>
      <c r="BC448" s="2"/>
      <c r="BD448" s="2"/>
      <c r="BE448" s="2"/>
      <c r="BF448" s="2"/>
      <c r="BG448" s="2">
        <v>0.21</v>
      </c>
      <c r="BH448" s="2"/>
      <c r="BI448" s="2">
        <v>1.74</v>
      </c>
      <c r="BJ448" s="2">
        <v>1.23</v>
      </c>
      <c r="BK448" s="2">
        <v>0.13</v>
      </c>
      <c r="BL448" s="2"/>
      <c r="BM448" s="2"/>
      <c r="BN448" s="2"/>
      <c r="BO448" s="2"/>
      <c r="BP448" s="2"/>
      <c r="BQ448" s="2"/>
      <c r="BR448" s="2"/>
      <c r="BS448" s="2"/>
      <c r="BT448" s="2">
        <v>0</v>
      </c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>
        <v>0</v>
      </c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 t="s">
        <v>81</v>
      </c>
      <c r="DK448" s="2"/>
      <c r="DL448" s="2">
        <f t="shared" si="4367"/>
        <v>0.21491195891415993</v>
      </c>
      <c r="DM448" s="2">
        <f t="shared" si="4368"/>
        <v>0</v>
      </c>
      <c r="DN448" s="2" t="s">
        <v>261</v>
      </c>
      <c r="DO448" s="2" t="s">
        <v>3</v>
      </c>
      <c r="DP448" s="2">
        <f t="shared" si="4369"/>
        <v>0.143043</v>
      </c>
      <c r="DQ448" s="2">
        <f t="shared" ref="DQ448:DR448" si="7452">K448*$I448+AF448*$AD448+BA448*$AY448</f>
        <v>31.463700000000003</v>
      </c>
      <c r="DR448" s="2">
        <f t="shared" si="7452"/>
        <v>0</v>
      </c>
      <c r="DS448" s="2">
        <f t="shared" ref="DS448:DX448" si="7453">(M448*$I448+AH448*$AD448+BC448*$AY448)/100</f>
        <v>0</v>
      </c>
      <c r="DT448" s="2">
        <f t="shared" si="7453"/>
        <v>0</v>
      </c>
      <c r="DU448" s="2">
        <f t="shared" si="7453"/>
        <v>0</v>
      </c>
      <c r="DV448" s="2">
        <f t="shared" si="7453"/>
        <v>0</v>
      </c>
      <c r="DW448" s="2">
        <f t="shared" si="7453"/>
        <v>0.17575499999999999</v>
      </c>
      <c r="DX448" s="2">
        <f t="shared" si="7453"/>
        <v>0</v>
      </c>
      <c r="DY448" s="2">
        <f t="shared" ref="DY448:EC448" si="7454">S448*$I448+AN448*$AD448+BI448*$AY448</f>
        <v>147.11759999999998</v>
      </c>
      <c r="DZ448" s="2">
        <f t="shared" si="7454"/>
        <v>108.2217</v>
      </c>
      <c r="EA448" s="2">
        <f t="shared" si="7454"/>
        <v>10.631399999999999</v>
      </c>
      <c r="EB448" s="2">
        <f t="shared" si="7454"/>
        <v>0</v>
      </c>
      <c r="EC448" s="2">
        <f t="shared" si="7454"/>
        <v>0</v>
      </c>
      <c r="ED448" s="2">
        <f t="shared" ref="ED448:EE448" si="7455">(X448*$I448+AS448*$AD448+BN448*$AY448)/100</f>
        <v>0</v>
      </c>
      <c r="EE448" s="2">
        <f t="shared" si="7455"/>
        <v>0</v>
      </c>
      <c r="EF448" s="2"/>
      <c r="EG448" s="2">
        <f t="shared" si="4374"/>
        <v>0</v>
      </c>
      <c r="EH448" s="2">
        <f t="shared" si="4375"/>
        <v>0</v>
      </c>
      <c r="EI448" s="39">
        <f t="shared" si="4376"/>
        <v>933.44368948800002</v>
      </c>
      <c r="EJ448" s="39">
        <f t="shared" ref="EJ448:EK448" si="7456">EJ$1*DQ448/1000000</f>
        <v>1286.8754469453374</v>
      </c>
      <c r="EK448" s="39">
        <f t="shared" si="7456"/>
        <v>0</v>
      </c>
      <c r="EL448" s="39">
        <f t="shared" ref="EL448:EQ448" si="7457">EL$1*DS448</f>
        <v>0</v>
      </c>
      <c r="EM448" s="39">
        <f t="shared" si="7457"/>
        <v>0</v>
      </c>
      <c r="EN448" s="39">
        <f t="shared" si="7457"/>
        <v>0</v>
      </c>
      <c r="EO448" s="39">
        <f t="shared" si="7457"/>
        <v>0</v>
      </c>
      <c r="EP448" s="39">
        <f t="shared" si="7457"/>
        <v>2304.8510699999997</v>
      </c>
      <c r="EQ448" s="39">
        <f t="shared" si="7457"/>
        <v>0</v>
      </c>
      <c r="ER448" s="39">
        <f t="shared" ref="ER448:EV448" si="7458">ER$1*DY448/1000000</f>
        <v>4175.396167717041</v>
      </c>
      <c r="ES448" s="39">
        <f t="shared" si="7458"/>
        <v>3606.5664479421225</v>
      </c>
      <c r="ET448" s="39">
        <f t="shared" si="7458"/>
        <v>760.70914533762061</v>
      </c>
      <c r="EU448" s="39">
        <f t="shared" si="7458"/>
        <v>0</v>
      </c>
      <c r="EV448" s="39">
        <f t="shared" si="7458"/>
        <v>0</v>
      </c>
      <c r="EW448" s="39">
        <f t="shared" ref="EW448:EX448" si="7459">EW$1*ED448</f>
        <v>0</v>
      </c>
      <c r="EX448" s="39">
        <f t="shared" si="7459"/>
        <v>0</v>
      </c>
      <c r="EY448" s="2"/>
      <c r="EZ448" s="39">
        <f t="shared" si="4381"/>
        <v>0</v>
      </c>
      <c r="FA448" s="39">
        <f t="shared" si="4382"/>
        <v>0</v>
      </c>
      <c r="FB448" s="2">
        <f t="shared" si="4383"/>
        <v>0</v>
      </c>
      <c r="FC448" s="2">
        <f t="shared" ref="FC448:FD448" si="7460">BV448*$BT448+CQ448*$CO448</f>
        <v>0</v>
      </c>
      <c r="FD448" s="2">
        <f t="shared" si="7460"/>
        <v>0</v>
      </c>
      <c r="FE448" s="2">
        <f t="shared" ref="FE448:FJ448" si="7461">(BX448*$BT448+CS448*$CO448)/100</f>
        <v>0</v>
      </c>
      <c r="FF448" s="2">
        <f t="shared" si="7461"/>
        <v>0</v>
      </c>
      <c r="FG448" s="2">
        <f t="shared" si="7461"/>
        <v>0</v>
      </c>
      <c r="FH448" s="2">
        <f t="shared" si="7461"/>
        <v>0</v>
      </c>
      <c r="FI448" s="2">
        <f t="shared" si="7461"/>
        <v>0</v>
      </c>
      <c r="FJ448" s="2">
        <f t="shared" si="7461"/>
        <v>0</v>
      </c>
      <c r="FK448" s="2">
        <f t="shared" ref="FK448:FO448" si="7462">CD448*$BT448+CY448*$CO448</f>
        <v>0</v>
      </c>
      <c r="FL448" s="2">
        <f t="shared" si="7462"/>
        <v>0</v>
      </c>
      <c r="FM448" s="2">
        <f t="shared" si="7462"/>
        <v>0</v>
      </c>
      <c r="FN448" s="2">
        <f t="shared" si="7462"/>
        <v>0</v>
      </c>
      <c r="FO448" s="2">
        <f t="shared" si="7462"/>
        <v>0</v>
      </c>
      <c r="FP448" s="2">
        <f t="shared" ref="FP448:FQ448" si="7463">(CI448*$BT448+DD448*$CO448)/100</f>
        <v>0</v>
      </c>
      <c r="FQ448" s="2">
        <f t="shared" si="7463"/>
        <v>0</v>
      </c>
      <c r="FR448" s="2"/>
      <c r="FS448" s="2">
        <f t="shared" si="4388"/>
        <v>0</v>
      </c>
      <c r="FT448" s="2">
        <f t="shared" si="4389"/>
        <v>0</v>
      </c>
      <c r="FU448" s="39">
        <f t="shared" si="4390"/>
        <v>0</v>
      </c>
      <c r="FV448" s="39">
        <f t="shared" ref="FV448:FW448" si="7464">FV$1*FC448/1000000</f>
        <v>0</v>
      </c>
      <c r="FW448" s="39">
        <f t="shared" si="7464"/>
        <v>0</v>
      </c>
      <c r="FX448" s="39">
        <f t="shared" ref="FX448:GC448" si="7465">FX$1*FE448</f>
        <v>0</v>
      </c>
      <c r="FY448" s="39">
        <f t="shared" si="7465"/>
        <v>0</v>
      </c>
      <c r="FZ448" s="39">
        <f t="shared" si="7465"/>
        <v>0</v>
      </c>
      <c r="GA448" s="39">
        <f t="shared" si="7465"/>
        <v>0</v>
      </c>
      <c r="GB448" s="39">
        <f t="shared" si="7465"/>
        <v>0</v>
      </c>
      <c r="GC448" s="39">
        <f t="shared" si="7465"/>
        <v>0</v>
      </c>
      <c r="GD448" s="39">
        <f t="shared" ref="GD448:GH448" si="7466">GD$1*FK448/1000000</f>
        <v>0</v>
      </c>
      <c r="GE448" s="39">
        <f t="shared" si="7466"/>
        <v>0</v>
      </c>
      <c r="GF448" s="39">
        <f t="shared" si="7466"/>
        <v>0</v>
      </c>
      <c r="GG448" s="39">
        <f t="shared" si="7466"/>
        <v>0</v>
      </c>
      <c r="GH448" s="39">
        <f t="shared" si="7466"/>
        <v>0</v>
      </c>
      <c r="GI448" s="39">
        <f t="shared" ref="GI448:GJ448" si="7467">GI$1*FP448</f>
        <v>0</v>
      </c>
      <c r="GJ448" s="39">
        <f t="shared" si="7467"/>
        <v>0</v>
      </c>
      <c r="GK448" s="2"/>
      <c r="GL448" s="39">
        <f t="shared" si="4395"/>
        <v>0</v>
      </c>
      <c r="GM448" s="39">
        <f t="shared" si="4396"/>
        <v>0</v>
      </c>
      <c r="GN448" s="2" t="s">
        <v>3</v>
      </c>
      <c r="GO448" s="2">
        <f t="shared" si="4397"/>
        <v>81.78</v>
      </c>
      <c r="GP448" s="4">
        <f t="shared" si="4398"/>
        <v>0.21491195891415993</v>
      </c>
      <c r="GQ448" s="15">
        <f t="shared" si="4399"/>
        <v>175.755</v>
      </c>
      <c r="GR448" s="15">
        <f t="shared" si="4400"/>
        <v>13067.841967430122</v>
      </c>
      <c r="GS448" s="15">
        <f t="shared" si="4401"/>
        <v>159.79263838872734</v>
      </c>
      <c r="GT448" s="2">
        <f t="shared" si="4402"/>
        <v>0</v>
      </c>
      <c r="GU448" s="2">
        <f t="shared" si="4403"/>
        <v>88.374000000000009</v>
      </c>
      <c r="GV448" s="2">
        <f t="shared" si="4404"/>
        <v>87.380999999999986</v>
      </c>
      <c r="GW448" s="2">
        <f t="shared" si="4405"/>
        <v>0</v>
      </c>
      <c r="GX448" s="2"/>
      <c r="GY448" s="2"/>
      <c r="GZ448" s="2"/>
      <c r="HA448" s="2"/>
      <c r="HB448" s="2">
        <f t="shared" si="4406"/>
        <v>0</v>
      </c>
      <c r="HC448" s="2">
        <f t="shared" si="4407"/>
        <v>0</v>
      </c>
      <c r="HD448" s="2" t="s">
        <v>3</v>
      </c>
      <c r="HE448" s="2" t="s">
        <v>89</v>
      </c>
      <c r="HF448" s="2" t="s">
        <v>90</v>
      </c>
      <c r="HG448" s="2" t="s">
        <v>91</v>
      </c>
      <c r="HH448" s="2"/>
      <c r="HI448" s="2" t="s">
        <v>81</v>
      </c>
      <c r="HJ448" s="2" t="s">
        <v>3</v>
      </c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 t="s">
        <v>3</v>
      </c>
    </row>
    <row r="449" spans="1:268" ht="15.75" customHeight="1" x14ac:dyDescent="0.2">
      <c r="A449" s="16" t="s">
        <v>339</v>
      </c>
      <c r="B449" s="2"/>
      <c r="C449" s="2"/>
      <c r="D449" s="2"/>
      <c r="E449" s="2"/>
      <c r="F449" s="2" t="s">
        <v>260</v>
      </c>
      <c r="G449" s="2"/>
      <c r="H449" s="2"/>
      <c r="I449" s="2">
        <v>0</v>
      </c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>
        <v>0</v>
      </c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>
        <v>9.5399999999999991</v>
      </c>
      <c r="AZ449" s="2">
        <v>0.13</v>
      </c>
      <c r="BA449" s="2">
        <v>0.32</v>
      </c>
      <c r="BB449" s="2"/>
      <c r="BC449" s="2"/>
      <c r="BD449" s="2"/>
      <c r="BE449" s="2"/>
      <c r="BF449" s="2"/>
      <c r="BG449" s="2">
        <v>0.15</v>
      </c>
      <c r="BH449" s="2"/>
      <c r="BI449" s="2">
        <v>1.92</v>
      </c>
      <c r="BJ449" s="2">
        <v>1.28</v>
      </c>
      <c r="BK449" s="2">
        <v>0.15</v>
      </c>
      <c r="BL449" s="2"/>
      <c r="BM449" s="2"/>
      <c r="BN449" s="2"/>
      <c r="BO449" s="2"/>
      <c r="BP449" s="2"/>
      <c r="BQ449" s="2"/>
      <c r="BR449" s="2"/>
      <c r="BS449" s="2"/>
      <c r="BT449" s="2">
        <v>0</v>
      </c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>
        <v>0</v>
      </c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 t="s">
        <v>81</v>
      </c>
      <c r="DK449" s="2"/>
      <c r="DL449" s="2">
        <f t="shared" si="4367"/>
        <v>0.15</v>
      </c>
      <c r="DM449" s="2">
        <f t="shared" si="4368"/>
        <v>0</v>
      </c>
      <c r="DN449" s="2" t="s">
        <v>261</v>
      </c>
      <c r="DO449" s="2" t="s">
        <v>3</v>
      </c>
      <c r="DP449" s="2">
        <f t="shared" si="4369"/>
        <v>1.2402E-2</v>
      </c>
      <c r="DQ449" s="2">
        <f t="shared" ref="DQ449:DR449" si="7468">K449*$I449+AF449*$AD449+BA449*$AY449</f>
        <v>3.0528</v>
      </c>
      <c r="DR449" s="2">
        <f t="shared" si="7468"/>
        <v>0</v>
      </c>
      <c r="DS449" s="2">
        <f t="shared" ref="DS449:DX449" si="7469">(M449*$I449+AH449*$AD449+BC449*$AY449)/100</f>
        <v>0</v>
      </c>
      <c r="DT449" s="2">
        <f t="shared" si="7469"/>
        <v>0</v>
      </c>
      <c r="DU449" s="2">
        <f t="shared" si="7469"/>
        <v>0</v>
      </c>
      <c r="DV449" s="2">
        <f t="shared" si="7469"/>
        <v>0</v>
      </c>
      <c r="DW449" s="2">
        <f t="shared" si="7469"/>
        <v>1.4309999999999998E-2</v>
      </c>
      <c r="DX449" s="2">
        <f t="shared" si="7469"/>
        <v>0</v>
      </c>
      <c r="DY449" s="2">
        <f t="shared" ref="DY449:EC449" si="7470">S449*$I449+AN449*$AD449+BI449*$AY449</f>
        <v>18.316799999999997</v>
      </c>
      <c r="DZ449" s="2">
        <f t="shared" si="7470"/>
        <v>12.2112</v>
      </c>
      <c r="EA449" s="2">
        <f t="shared" si="7470"/>
        <v>1.4309999999999998</v>
      </c>
      <c r="EB449" s="2">
        <f t="shared" si="7470"/>
        <v>0</v>
      </c>
      <c r="EC449" s="2">
        <f t="shared" si="7470"/>
        <v>0</v>
      </c>
      <c r="ED449" s="2">
        <f t="shared" ref="ED449:EE449" si="7471">(X449*$I449+AS449*$AD449+BN449*$AY449)/100</f>
        <v>0</v>
      </c>
      <c r="EE449" s="2">
        <f t="shared" si="7471"/>
        <v>0</v>
      </c>
      <c r="EF449" s="2"/>
      <c r="EG449" s="2">
        <f t="shared" si="4374"/>
        <v>0</v>
      </c>
      <c r="EH449" s="2">
        <f t="shared" si="4375"/>
        <v>0</v>
      </c>
      <c r="EI449" s="39">
        <f t="shared" si="4376"/>
        <v>80.930689631999996</v>
      </c>
      <c r="EJ449" s="39">
        <f t="shared" ref="EJ449:EK449" si="7472">EJ$1*DQ449/1000000</f>
        <v>124.86050160771703</v>
      </c>
      <c r="EK449" s="39">
        <f t="shared" si="7472"/>
        <v>0</v>
      </c>
      <c r="EL449" s="39">
        <f t="shared" ref="EL449:EQ449" si="7473">EL$1*DS449</f>
        <v>0</v>
      </c>
      <c r="EM449" s="39">
        <f t="shared" si="7473"/>
        <v>0</v>
      </c>
      <c r="EN449" s="39">
        <f t="shared" si="7473"/>
        <v>0</v>
      </c>
      <c r="EO449" s="39">
        <f t="shared" si="7473"/>
        <v>0</v>
      </c>
      <c r="EP449" s="39">
        <f t="shared" si="7473"/>
        <v>187.66133999999997</v>
      </c>
      <c r="EQ449" s="39">
        <f t="shared" si="7473"/>
        <v>0</v>
      </c>
      <c r="ER449" s="39">
        <f t="shared" ref="ER449:EV449" si="7474">ER$1*DY449/1000000</f>
        <v>519.85552051446928</v>
      </c>
      <c r="ES449" s="39">
        <f t="shared" si="7474"/>
        <v>406.94707446945341</v>
      </c>
      <c r="ET449" s="39">
        <f t="shared" si="7474"/>
        <v>102.39242122186495</v>
      </c>
      <c r="EU449" s="39">
        <f t="shared" si="7474"/>
        <v>0</v>
      </c>
      <c r="EV449" s="39">
        <f t="shared" si="7474"/>
        <v>0</v>
      </c>
      <c r="EW449" s="39">
        <f t="shared" ref="EW449:EX449" si="7475">EW$1*ED449</f>
        <v>0</v>
      </c>
      <c r="EX449" s="39">
        <f t="shared" si="7475"/>
        <v>0</v>
      </c>
      <c r="EY449" s="2"/>
      <c r="EZ449" s="39">
        <f t="shared" si="4381"/>
        <v>0</v>
      </c>
      <c r="FA449" s="39">
        <f t="shared" si="4382"/>
        <v>0</v>
      </c>
      <c r="FB449" s="2">
        <f t="shared" si="4383"/>
        <v>0</v>
      </c>
      <c r="FC449" s="2">
        <f t="shared" ref="FC449:FD449" si="7476">BV449*$BT449+CQ449*$CO449</f>
        <v>0</v>
      </c>
      <c r="FD449" s="2">
        <f t="shared" si="7476"/>
        <v>0</v>
      </c>
      <c r="FE449" s="2">
        <f t="shared" ref="FE449:FJ449" si="7477">(BX449*$BT449+CS449*$CO449)/100</f>
        <v>0</v>
      </c>
      <c r="FF449" s="2">
        <f t="shared" si="7477"/>
        <v>0</v>
      </c>
      <c r="FG449" s="2">
        <f t="shared" si="7477"/>
        <v>0</v>
      </c>
      <c r="FH449" s="2">
        <f t="shared" si="7477"/>
        <v>0</v>
      </c>
      <c r="FI449" s="2">
        <f t="shared" si="7477"/>
        <v>0</v>
      </c>
      <c r="FJ449" s="2">
        <f t="shared" si="7477"/>
        <v>0</v>
      </c>
      <c r="FK449" s="2">
        <f t="shared" ref="FK449:FO449" si="7478">CD449*$BT449+CY449*$CO449</f>
        <v>0</v>
      </c>
      <c r="FL449" s="2">
        <f t="shared" si="7478"/>
        <v>0</v>
      </c>
      <c r="FM449" s="2">
        <f t="shared" si="7478"/>
        <v>0</v>
      </c>
      <c r="FN449" s="2">
        <f t="shared" si="7478"/>
        <v>0</v>
      </c>
      <c r="FO449" s="2">
        <f t="shared" si="7478"/>
        <v>0</v>
      </c>
      <c r="FP449" s="2">
        <f t="shared" ref="FP449:FQ449" si="7479">(CI449*$BT449+DD449*$CO449)/100</f>
        <v>0</v>
      </c>
      <c r="FQ449" s="2">
        <f t="shared" si="7479"/>
        <v>0</v>
      </c>
      <c r="FR449" s="2"/>
      <c r="FS449" s="2">
        <f t="shared" si="4388"/>
        <v>0</v>
      </c>
      <c r="FT449" s="2">
        <f t="shared" si="4389"/>
        <v>0</v>
      </c>
      <c r="FU449" s="39">
        <f t="shared" si="4390"/>
        <v>0</v>
      </c>
      <c r="FV449" s="39">
        <f t="shared" ref="FV449:FW449" si="7480">FV$1*FC449/1000000</f>
        <v>0</v>
      </c>
      <c r="FW449" s="39">
        <f t="shared" si="7480"/>
        <v>0</v>
      </c>
      <c r="FX449" s="39">
        <f t="shared" ref="FX449:GC449" si="7481">FX$1*FE449</f>
        <v>0</v>
      </c>
      <c r="FY449" s="39">
        <f t="shared" si="7481"/>
        <v>0</v>
      </c>
      <c r="FZ449" s="39">
        <f t="shared" si="7481"/>
        <v>0</v>
      </c>
      <c r="GA449" s="39">
        <f t="shared" si="7481"/>
        <v>0</v>
      </c>
      <c r="GB449" s="39">
        <f t="shared" si="7481"/>
        <v>0</v>
      </c>
      <c r="GC449" s="39">
        <f t="shared" si="7481"/>
        <v>0</v>
      </c>
      <c r="GD449" s="39">
        <f t="shared" ref="GD449:GH449" si="7482">GD$1*FK449/1000000</f>
        <v>0</v>
      </c>
      <c r="GE449" s="39">
        <f t="shared" si="7482"/>
        <v>0</v>
      </c>
      <c r="GF449" s="39">
        <f t="shared" si="7482"/>
        <v>0</v>
      </c>
      <c r="GG449" s="39">
        <f t="shared" si="7482"/>
        <v>0</v>
      </c>
      <c r="GH449" s="39">
        <f t="shared" si="7482"/>
        <v>0</v>
      </c>
      <c r="GI449" s="39">
        <f t="shared" ref="GI449:GJ449" si="7483">GI$1*FP449</f>
        <v>0</v>
      </c>
      <c r="GJ449" s="39">
        <f t="shared" si="7483"/>
        <v>0</v>
      </c>
      <c r="GK449" s="2"/>
      <c r="GL449" s="39">
        <f t="shared" si="4395"/>
        <v>0</v>
      </c>
      <c r="GM449" s="39">
        <f t="shared" si="4396"/>
        <v>0</v>
      </c>
      <c r="GN449" s="2" t="s">
        <v>3</v>
      </c>
      <c r="GO449" s="2">
        <f t="shared" si="4397"/>
        <v>9.5399999999999991</v>
      </c>
      <c r="GP449" s="2">
        <f t="shared" si="4398"/>
        <v>0.15</v>
      </c>
      <c r="GQ449" s="15">
        <f t="shared" si="4399"/>
        <v>14.31</v>
      </c>
      <c r="GR449" s="15">
        <f t="shared" si="4400"/>
        <v>1422.6475474455046</v>
      </c>
      <c r="GS449" s="15">
        <f t="shared" si="4401"/>
        <v>149.12448086430868</v>
      </c>
      <c r="GT449" s="2">
        <f t="shared" si="4402"/>
        <v>0</v>
      </c>
      <c r="GU449" s="2">
        <f t="shared" si="4403"/>
        <v>0</v>
      </c>
      <c r="GV449" s="2">
        <f t="shared" si="4404"/>
        <v>14.309999999999997</v>
      </c>
      <c r="GW449" s="2">
        <f t="shared" si="4405"/>
        <v>0</v>
      </c>
      <c r="GX449" s="2"/>
      <c r="GY449" s="2"/>
      <c r="GZ449" s="2"/>
      <c r="HA449" s="2"/>
      <c r="HB449" s="2">
        <f t="shared" si="4406"/>
        <v>0</v>
      </c>
      <c r="HC449" s="2">
        <f t="shared" si="4407"/>
        <v>0</v>
      </c>
      <c r="HD449" s="2" t="s">
        <v>3</v>
      </c>
      <c r="HE449" s="2" t="s">
        <v>89</v>
      </c>
      <c r="HF449" s="2" t="s">
        <v>90</v>
      </c>
      <c r="HG449" s="2" t="s">
        <v>91</v>
      </c>
      <c r="HH449" s="2"/>
      <c r="HI449" s="2" t="s">
        <v>81</v>
      </c>
      <c r="HJ449" s="2" t="s">
        <v>3</v>
      </c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 t="s">
        <v>3</v>
      </c>
    </row>
    <row r="450" spans="1:268" ht="15.75" customHeight="1" x14ac:dyDescent="0.2">
      <c r="A450" s="16" t="s">
        <v>743</v>
      </c>
      <c r="B450" s="2"/>
      <c r="C450" s="2"/>
      <c r="D450" s="2"/>
      <c r="E450" s="2"/>
      <c r="F450" s="2" t="s">
        <v>744</v>
      </c>
      <c r="G450" s="2"/>
      <c r="H450" s="2"/>
      <c r="I450" s="2">
        <v>1.8</v>
      </c>
      <c r="J450" s="4">
        <v>9.9999999999999992E-2</v>
      </c>
      <c r="K450" s="4">
        <v>0.25641949999999997</v>
      </c>
      <c r="L450" s="2"/>
      <c r="M450" s="2"/>
      <c r="N450" s="2"/>
      <c r="O450" s="2"/>
      <c r="P450" s="2"/>
      <c r="Q450" s="4">
        <v>0.155</v>
      </c>
      <c r="R450" s="2"/>
      <c r="S450" s="4">
        <v>2.1433679999999997</v>
      </c>
      <c r="T450" s="4">
        <v>1.5691869999999999</v>
      </c>
      <c r="U450" s="4">
        <v>0.18602549999999998</v>
      </c>
      <c r="V450" s="2"/>
      <c r="W450" s="2"/>
      <c r="X450" s="2"/>
      <c r="Y450" s="2"/>
      <c r="Z450" s="2"/>
      <c r="AA450" s="2"/>
      <c r="AB450" s="2"/>
      <c r="AC450" s="2"/>
      <c r="AD450" s="2">
        <v>83.6</v>
      </c>
      <c r="AE450" s="4">
        <v>9.7033492822966513E-2</v>
      </c>
      <c r="AF450" s="4">
        <v>0.29550673205741629</v>
      </c>
      <c r="AG450" s="2"/>
      <c r="AH450" s="2"/>
      <c r="AI450" s="2"/>
      <c r="AJ450" s="2"/>
      <c r="AK450" s="2"/>
      <c r="AL450" s="4">
        <v>0.1505502392344498</v>
      </c>
      <c r="AM450" s="2"/>
      <c r="AN450" s="4">
        <v>2.2980283397129191</v>
      </c>
      <c r="AO450" s="4">
        <v>1.7584097703349286</v>
      </c>
      <c r="AP450" s="4">
        <v>0.18169152153110046</v>
      </c>
      <c r="AQ450" s="2"/>
      <c r="AR450" s="2"/>
      <c r="AS450" s="2"/>
      <c r="AT450" s="2"/>
      <c r="AU450" s="2"/>
      <c r="AV450" s="2"/>
      <c r="AW450" s="2"/>
      <c r="AX450" s="2"/>
      <c r="AY450" s="2">
        <v>89.4</v>
      </c>
      <c r="AZ450" s="4">
        <v>9.7852348993288582E-2</v>
      </c>
      <c r="BA450" s="4">
        <v>0.26753500671140934</v>
      </c>
      <c r="BB450" s="2"/>
      <c r="BC450" s="2"/>
      <c r="BD450" s="2"/>
      <c r="BE450" s="2"/>
      <c r="BF450" s="2"/>
      <c r="BG450" s="4">
        <v>0.1517785234899329</v>
      </c>
      <c r="BH450" s="2"/>
      <c r="BI450" s="4">
        <v>2.0486345302013418</v>
      </c>
      <c r="BJ450" s="4">
        <v>1.5827077315436242</v>
      </c>
      <c r="BK450" s="4">
        <v>0.15843816778523487</v>
      </c>
      <c r="BL450" s="2"/>
      <c r="BM450" s="2"/>
      <c r="BN450" s="2"/>
      <c r="BO450" s="2"/>
      <c r="BP450" s="2"/>
      <c r="BQ450" s="2"/>
      <c r="BR450" s="2"/>
      <c r="BS450" s="2"/>
      <c r="BT450" s="2">
        <v>0</v>
      </c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>
        <v>0</v>
      </c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 t="s">
        <v>81</v>
      </c>
      <c r="DK450" s="2"/>
      <c r="DL450" s="2">
        <f t="shared" si="4367"/>
        <v>0.1512242562929062</v>
      </c>
      <c r="DM450" s="2">
        <f t="shared" si="4368"/>
        <v>0</v>
      </c>
      <c r="DN450" s="2" t="s">
        <v>95</v>
      </c>
      <c r="DO450" s="2" t="s">
        <v>3</v>
      </c>
      <c r="DP450" s="2">
        <f t="shared" si="4369"/>
        <v>0.1704</v>
      </c>
      <c r="DQ450" s="2">
        <f t="shared" ref="DQ450:DR450" si="7484">K450*$I450+AF450*$AD450+BA450*$AY450</f>
        <v>49.083547499999995</v>
      </c>
      <c r="DR450" s="2">
        <f t="shared" si="7484"/>
        <v>0</v>
      </c>
      <c r="DS450" s="2">
        <f t="shared" ref="DS450:DX450" si="7485">(M450*$I450+AH450*$AD450+BC450*$AY450)/100</f>
        <v>0</v>
      </c>
      <c r="DT450" s="2">
        <f t="shared" si="7485"/>
        <v>0</v>
      </c>
      <c r="DU450" s="2">
        <f t="shared" si="7485"/>
        <v>0</v>
      </c>
      <c r="DV450" s="2">
        <f t="shared" si="7485"/>
        <v>0</v>
      </c>
      <c r="DW450" s="2">
        <f t="shared" si="7485"/>
        <v>0.26434000000000002</v>
      </c>
      <c r="DX450" s="2">
        <f t="shared" si="7485"/>
        <v>0</v>
      </c>
      <c r="DY450" s="2">
        <f t="shared" ref="DY450:EC450" si="7486">S450*$I450+AN450*$AD450+BI450*$AY450</f>
        <v>379.1211586</v>
      </c>
      <c r="DZ450" s="2">
        <f t="shared" si="7486"/>
        <v>291.32166460000002</v>
      </c>
      <c r="EA450" s="2">
        <f t="shared" si="7486"/>
        <v>29.688629299999995</v>
      </c>
      <c r="EB450" s="2">
        <f t="shared" si="7486"/>
        <v>0</v>
      </c>
      <c r="EC450" s="2">
        <f t="shared" si="7486"/>
        <v>0</v>
      </c>
      <c r="ED450" s="2">
        <f t="shared" ref="ED450:EE450" si="7487">(X450*$I450+AS450*$AD450+BN450*$AY450)/100</f>
        <v>0</v>
      </c>
      <c r="EE450" s="2">
        <f t="shared" si="7487"/>
        <v>0</v>
      </c>
      <c r="EF450" s="2"/>
      <c r="EG450" s="2">
        <f t="shared" si="4374"/>
        <v>0</v>
      </c>
      <c r="EH450" s="2">
        <f t="shared" si="4375"/>
        <v>0</v>
      </c>
      <c r="EI450" s="39">
        <f t="shared" si="4376"/>
        <v>1111.9649663999999</v>
      </c>
      <c r="EJ450" s="39">
        <f t="shared" ref="EJ450:EK450" si="7488">EJ$1*DQ450/1000000</f>
        <v>2007.5328752411569</v>
      </c>
      <c r="EK450" s="39">
        <f t="shared" si="7488"/>
        <v>0</v>
      </c>
      <c r="EL450" s="39">
        <f t="shared" ref="EL450:EQ450" si="7489">EL$1*DS450</f>
        <v>0</v>
      </c>
      <c r="EM450" s="39">
        <f t="shared" si="7489"/>
        <v>0</v>
      </c>
      <c r="EN450" s="39">
        <f t="shared" si="7489"/>
        <v>0</v>
      </c>
      <c r="EO450" s="39">
        <f t="shared" si="7489"/>
        <v>0</v>
      </c>
      <c r="EP450" s="39">
        <f t="shared" si="7489"/>
        <v>3466.5547600000004</v>
      </c>
      <c r="EQ450" s="39">
        <f t="shared" si="7489"/>
        <v>0</v>
      </c>
      <c r="ER450" s="39">
        <f t="shared" ref="ER450:EV450" si="7490">ER$1*DY450/1000000</f>
        <v>10759.970477487972</v>
      </c>
      <c r="ES450" s="39">
        <f t="shared" si="7490"/>
        <v>9708.5052360571717</v>
      </c>
      <c r="ET450" s="39">
        <f t="shared" si="7490"/>
        <v>2124.312115154019</v>
      </c>
      <c r="EU450" s="39">
        <f t="shared" si="7490"/>
        <v>0</v>
      </c>
      <c r="EV450" s="39">
        <f t="shared" si="7490"/>
        <v>0</v>
      </c>
      <c r="EW450" s="39">
        <f t="shared" ref="EW450:EX450" si="7491">EW$1*ED450</f>
        <v>0</v>
      </c>
      <c r="EX450" s="39">
        <f t="shared" si="7491"/>
        <v>0</v>
      </c>
      <c r="EY450" s="2"/>
      <c r="EZ450" s="39">
        <f t="shared" si="4381"/>
        <v>0</v>
      </c>
      <c r="FA450" s="39">
        <f t="shared" si="4382"/>
        <v>0</v>
      </c>
      <c r="FB450" s="2">
        <f t="shared" si="4383"/>
        <v>0</v>
      </c>
      <c r="FC450" s="2">
        <f t="shared" ref="FC450:FD450" si="7492">BV450*$BT450+CQ450*$CO450</f>
        <v>0</v>
      </c>
      <c r="FD450" s="2">
        <f t="shared" si="7492"/>
        <v>0</v>
      </c>
      <c r="FE450" s="2">
        <f t="shared" ref="FE450:FJ450" si="7493">(BX450*$BT450+CS450*$CO450)/100</f>
        <v>0</v>
      </c>
      <c r="FF450" s="2">
        <f t="shared" si="7493"/>
        <v>0</v>
      </c>
      <c r="FG450" s="2">
        <f t="shared" si="7493"/>
        <v>0</v>
      </c>
      <c r="FH450" s="2">
        <f t="shared" si="7493"/>
        <v>0</v>
      </c>
      <c r="FI450" s="2">
        <f t="shared" si="7493"/>
        <v>0</v>
      </c>
      <c r="FJ450" s="2">
        <f t="shared" si="7493"/>
        <v>0</v>
      </c>
      <c r="FK450" s="2">
        <f t="shared" ref="FK450:FO450" si="7494">CD450*$BT450+CY450*$CO450</f>
        <v>0</v>
      </c>
      <c r="FL450" s="2">
        <f t="shared" si="7494"/>
        <v>0</v>
      </c>
      <c r="FM450" s="2">
        <f t="shared" si="7494"/>
        <v>0</v>
      </c>
      <c r="FN450" s="2">
        <f t="shared" si="7494"/>
        <v>0</v>
      </c>
      <c r="FO450" s="2">
        <f t="shared" si="7494"/>
        <v>0</v>
      </c>
      <c r="FP450" s="2">
        <f t="shared" ref="FP450:FQ450" si="7495">(CI450*$BT450+DD450*$CO450)/100</f>
        <v>0</v>
      </c>
      <c r="FQ450" s="2">
        <f t="shared" si="7495"/>
        <v>0</v>
      </c>
      <c r="FR450" s="2"/>
      <c r="FS450" s="2">
        <f t="shared" si="4388"/>
        <v>0</v>
      </c>
      <c r="FT450" s="2">
        <f t="shared" si="4389"/>
        <v>0</v>
      </c>
      <c r="FU450" s="39">
        <f t="shared" si="4390"/>
        <v>0</v>
      </c>
      <c r="FV450" s="39">
        <f t="shared" ref="FV450:FW450" si="7496">FV$1*FC450/1000000</f>
        <v>0</v>
      </c>
      <c r="FW450" s="39">
        <f t="shared" si="7496"/>
        <v>0</v>
      </c>
      <c r="FX450" s="39">
        <f t="shared" ref="FX450:GC450" si="7497">FX$1*FE450</f>
        <v>0</v>
      </c>
      <c r="FY450" s="39">
        <f t="shared" si="7497"/>
        <v>0</v>
      </c>
      <c r="FZ450" s="39">
        <f t="shared" si="7497"/>
        <v>0</v>
      </c>
      <c r="GA450" s="39">
        <f t="shared" si="7497"/>
        <v>0</v>
      </c>
      <c r="GB450" s="39">
        <f t="shared" si="7497"/>
        <v>0</v>
      </c>
      <c r="GC450" s="39">
        <f t="shared" si="7497"/>
        <v>0</v>
      </c>
      <c r="GD450" s="39">
        <f t="shared" ref="GD450:GH450" si="7498">GD$1*FK450/1000000</f>
        <v>0</v>
      </c>
      <c r="GE450" s="39">
        <f t="shared" si="7498"/>
        <v>0</v>
      </c>
      <c r="GF450" s="39">
        <f t="shared" si="7498"/>
        <v>0</v>
      </c>
      <c r="GG450" s="39">
        <f t="shared" si="7498"/>
        <v>0</v>
      </c>
      <c r="GH450" s="39">
        <f t="shared" si="7498"/>
        <v>0</v>
      </c>
      <c r="GI450" s="39">
        <f t="shared" ref="GI450:GJ450" si="7499">GI$1*FP450</f>
        <v>0</v>
      </c>
      <c r="GJ450" s="39">
        <f t="shared" si="7499"/>
        <v>0</v>
      </c>
      <c r="GK450" s="2"/>
      <c r="GL450" s="39">
        <f t="shared" si="4395"/>
        <v>0</v>
      </c>
      <c r="GM450" s="39">
        <f t="shared" si="4396"/>
        <v>0</v>
      </c>
      <c r="GN450" s="2" t="s">
        <v>3</v>
      </c>
      <c r="GO450" s="2">
        <f t="shared" si="4397"/>
        <v>174.8</v>
      </c>
      <c r="GP450" s="4">
        <f t="shared" si="4398"/>
        <v>0.1512242562929062</v>
      </c>
      <c r="GQ450" s="15">
        <f t="shared" si="4399"/>
        <v>264.34000000000003</v>
      </c>
      <c r="GR450" s="15">
        <f t="shared" si="4400"/>
        <v>29178.840430340319</v>
      </c>
      <c r="GS450" s="15">
        <f t="shared" si="4401"/>
        <v>166.92700475023065</v>
      </c>
      <c r="GT450" s="2">
        <f t="shared" si="4402"/>
        <v>2.79</v>
      </c>
      <c r="GU450" s="2">
        <f t="shared" si="4403"/>
        <v>125.86000000000001</v>
      </c>
      <c r="GV450" s="2">
        <f t="shared" si="4404"/>
        <v>135.69000000000003</v>
      </c>
      <c r="GW450" s="2">
        <f t="shared" si="4405"/>
        <v>0</v>
      </c>
      <c r="GX450" s="2"/>
      <c r="GY450" s="2"/>
      <c r="GZ450" s="2"/>
      <c r="HA450" s="2"/>
      <c r="HB450" s="2">
        <f t="shared" si="4406"/>
        <v>0</v>
      </c>
      <c r="HC450" s="2">
        <f t="shared" si="4407"/>
        <v>0</v>
      </c>
      <c r="HD450" s="2" t="s">
        <v>3</v>
      </c>
      <c r="HE450" s="2" t="s">
        <v>89</v>
      </c>
      <c r="HF450" s="2" t="s">
        <v>90</v>
      </c>
      <c r="HG450" s="2" t="s">
        <v>745</v>
      </c>
      <c r="HH450" s="2" t="s">
        <v>226</v>
      </c>
      <c r="HI450" s="2" t="s">
        <v>81</v>
      </c>
      <c r="HJ450" s="2" t="s">
        <v>3</v>
      </c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 t="s">
        <v>3</v>
      </c>
    </row>
    <row r="451" spans="1:268" ht="15.75" customHeight="1" x14ac:dyDescent="0.2">
      <c r="A451" s="16" t="s">
        <v>1296</v>
      </c>
      <c r="B451" s="2" t="s">
        <v>99</v>
      </c>
      <c r="C451" s="2"/>
      <c r="D451" s="2"/>
      <c r="E451" s="2" t="s">
        <v>78</v>
      </c>
      <c r="F451" s="2" t="s">
        <v>1293</v>
      </c>
      <c r="G451" s="2"/>
      <c r="H451" s="2" t="s">
        <v>181</v>
      </c>
      <c r="I451" s="2">
        <v>0</v>
      </c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>
        <v>0</v>
      </c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>
        <f>15.7+4.7+6.8+3</f>
        <v>30.2</v>
      </c>
      <c r="AZ451" s="4">
        <f>(0.08*15.7+0.24*4.7+0.1*6.8+0.25*3)/AY451</f>
        <v>0.12629139072847684</v>
      </c>
      <c r="BA451" s="4">
        <f>(0.1*15.7+0.13*4.7+0.14*6.8+0.12*3)/AY451</f>
        <v>0.11566225165562914</v>
      </c>
      <c r="BB451" s="2"/>
      <c r="BC451" s="2"/>
      <c r="BD451" s="2"/>
      <c r="BE451" s="2"/>
      <c r="BF451" s="2"/>
      <c r="BG451" s="4">
        <f>(0.09*15.7+0.07*4.7+0.12*6.8+0.11*3)/AY451</f>
        <v>9.5629139072847674E-2</v>
      </c>
      <c r="BH451" s="2"/>
      <c r="BI451" s="4">
        <f>(0.69*15.7+0.07*4.7+0.71*6.8+0.06*3)/AY451</f>
        <v>0.53543046357615887</v>
      </c>
      <c r="BJ451" s="4">
        <f>(0.59*15.7+0.05*4.7+0.65*6.8+0.05*3)/AY451</f>
        <v>0.46582781456953642</v>
      </c>
      <c r="BK451" s="2"/>
      <c r="BL451" s="2"/>
      <c r="BM451" s="2"/>
      <c r="BN451" s="2"/>
      <c r="BO451" s="2"/>
      <c r="BP451" s="2"/>
      <c r="BQ451" s="2"/>
      <c r="BR451" s="2"/>
      <c r="BS451" s="2"/>
      <c r="BT451" s="2">
        <v>0</v>
      </c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>
        <v>0</v>
      </c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 t="s">
        <v>81</v>
      </c>
      <c r="DK451" s="2"/>
      <c r="DL451" s="2">
        <f t="shared" si="4367"/>
        <v>9.5629139072847674E-2</v>
      </c>
      <c r="DM451" s="2">
        <f t="shared" si="4368"/>
        <v>0</v>
      </c>
      <c r="DN451" s="2" t="s">
        <v>1297</v>
      </c>
      <c r="DO451" s="2" t="s">
        <v>3</v>
      </c>
      <c r="DP451" s="2">
        <f t="shared" si="4369"/>
        <v>3.8140000000000007E-2</v>
      </c>
      <c r="DQ451" s="2">
        <f t="shared" ref="DQ451:DR451" si="7500">K451*$I451+AF451*$AD451+BA451*$AY451</f>
        <v>3.4929999999999999</v>
      </c>
      <c r="DR451" s="2">
        <f t="shared" si="7500"/>
        <v>0</v>
      </c>
      <c r="DS451" s="2">
        <f t="shared" ref="DS451:DX451" si="7501">(M451*$I451+AH451*$AD451+BC451*$AY451)/100</f>
        <v>0</v>
      </c>
      <c r="DT451" s="2">
        <f t="shared" si="7501"/>
        <v>0</v>
      </c>
      <c r="DU451" s="2">
        <f t="shared" si="7501"/>
        <v>0</v>
      </c>
      <c r="DV451" s="2">
        <f t="shared" si="7501"/>
        <v>0</v>
      </c>
      <c r="DW451" s="2">
        <f t="shared" si="7501"/>
        <v>2.8879999999999999E-2</v>
      </c>
      <c r="DX451" s="2">
        <f t="shared" si="7501"/>
        <v>0</v>
      </c>
      <c r="DY451" s="2">
        <f t="shared" ref="DY451:EC451" si="7502">S451*$I451+AN451*$AD451+BI451*$AY451</f>
        <v>16.169999999999998</v>
      </c>
      <c r="DZ451" s="2">
        <f t="shared" si="7502"/>
        <v>14.068</v>
      </c>
      <c r="EA451" s="2">
        <f t="shared" si="7502"/>
        <v>0</v>
      </c>
      <c r="EB451" s="2">
        <f t="shared" si="7502"/>
        <v>0</v>
      </c>
      <c r="EC451" s="2">
        <f t="shared" si="7502"/>
        <v>0</v>
      </c>
      <c r="ED451" s="2">
        <f t="shared" ref="ED451:EE451" si="7503">(X451*$I451+AS451*$AD451+BN451*$AY451)/100</f>
        <v>0</v>
      </c>
      <c r="EE451" s="2">
        <f t="shared" si="7503"/>
        <v>0</v>
      </c>
      <c r="EF451" s="2"/>
      <c r="EG451" s="2">
        <f t="shared" si="4374"/>
        <v>0</v>
      </c>
      <c r="EH451" s="2">
        <f t="shared" si="4375"/>
        <v>0</v>
      </c>
      <c r="EI451" s="39">
        <f t="shared" si="4376"/>
        <v>248.88699424000004</v>
      </c>
      <c r="EJ451" s="39">
        <f t="shared" ref="EJ451:EK451" si="7504">EJ$1*DQ451/1000000</f>
        <v>142.86482315112536</v>
      </c>
      <c r="EK451" s="39">
        <f t="shared" si="7504"/>
        <v>0</v>
      </c>
      <c r="EL451" s="39">
        <f t="shared" ref="EL451:EQ451" si="7505">EL$1*DS451</f>
        <v>0</v>
      </c>
      <c r="EM451" s="39">
        <f t="shared" si="7505"/>
        <v>0</v>
      </c>
      <c r="EN451" s="39">
        <f t="shared" si="7505"/>
        <v>0</v>
      </c>
      <c r="EO451" s="39">
        <f t="shared" si="7505"/>
        <v>0</v>
      </c>
      <c r="EP451" s="39">
        <f t="shared" si="7505"/>
        <v>378.73232000000002</v>
      </c>
      <c r="EQ451" s="39">
        <f t="shared" si="7505"/>
        <v>0</v>
      </c>
      <c r="ER451" s="39">
        <f t="shared" ref="ER451:EV451" si="7506">ER$1*DY451/1000000</f>
        <v>458.92643729903523</v>
      </c>
      <c r="ES451" s="39">
        <f t="shared" si="7506"/>
        <v>468.82627781350482</v>
      </c>
      <c r="ET451" s="39">
        <f t="shared" si="7506"/>
        <v>0</v>
      </c>
      <c r="EU451" s="39">
        <f t="shared" si="7506"/>
        <v>0</v>
      </c>
      <c r="EV451" s="39">
        <f t="shared" si="7506"/>
        <v>0</v>
      </c>
      <c r="EW451" s="39">
        <f t="shared" ref="EW451:EX451" si="7507">EW$1*ED451</f>
        <v>0</v>
      </c>
      <c r="EX451" s="39">
        <f t="shared" si="7507"/>
        <v>0</v>
      </c>
      <c r="EY451" s="2"/>
      <c r="EZ451" s="39">
        <f t="shared" si="4381"/>
        <v>0</v>
      </c>
      <c r="FA451" s="39">
        <f t="shared" si="4382"/>
        <v>0</v>
      </c>
      <c r="FB451" s="2">
        <f t="shared" si="4383"/>
        <v>0</v>
      </c>
      <c r="FC451" s="2">
        <f t="shared" ref="FC451:FD451" si="7508">BV451*$BT451+CQ451*$CO451</f>
        <v>0</v>
      </c>
      <c r="FD451" s="2">
        <f t="shared" si="7508"/>
        <v>0</v>
      </c>
      <c r="FE451" s="2">
        <f t="shared" ref="FE451:FJ451" si="7509">(BX451*$BT451+CS451*$CO451)/100</f>
        <v>0</v>
      </c>
      <c r="FF451" s="2">
        <f t="shared" si="7509"/>
        <v>0</v>
      </c>
      <c r="FG451" s="2">
        <f t="shared" si="7509"/>
        <v>0</v>
      </c>
      <c r="FH451" s="2">
        <f t="shared" si="7509"/>
        <v>0</v>
      </c>
      <c r="FI451" s="2">
        <f t="shared" si="7509"/>
        <v>0</v>
      </c>
      <c r="FJ451" s="2">
        <f t="shared" si="7509"/>
        <v>0</v>
      </c>
      <c r="FK451" s="2">
        <f t="shared" ref="FK451:FO451" si="7510">CD451*$BT451+CY451*$CO451</f>
        <v>0</v>
      </c>
      <c r="FL451" s="2">
        <f t="shared" si="7510"/>
        <v>0</v>
      </c>
      <c r="FM451" s="2">
        <f t="shared" si="7510"/>
        <v>0</v>
      </c>
      <c r="FN451" s="2">
        <f t="shared" si="7510"/>
        <v>0</v>
      </c>
      <c r="FO451" s="2">
        <f t="shared" si="7510"/>
        <v>0</v>
      </c>
      <c r="FP451" s="2">
        <f t="shared" ref="FP451:FQ451" si="7511">(CI451*$BT451+DD451*$CO451)/100</f>
        <v>0</v>
      </c>
      <c r="FQ451" s="2">
        <f t="shared" si="7511"/>
        <v>0</v>
      </c>
      <c r="FR451" s="2"/>
      <c r="FS451" s="2">
        <f t="shared" si="4388"/>
        <v>0</v>
      </c>
      <c r="FT451" s="2">
        <f t="shared" si="4389"/>
        <v>0</v>
      </c>
      <c r="FU451" s="39">
        <f t="shared" si="4390"/>
        <v>0</v>
      </c>
      <c r="FV451" s="39">
        <f t="shared" ref="FV451:FW451" si="7512">FV$1*FC451/1000000</f>
        <v>0</v>
      </c>
      <c r="FW451" s="39">
        <f t="shared" si="7512"/>
        <v>0</v>
      </c>
      <c r="FX451" s="39">
        <f t="shared" ref="FX451:GC451" si="7513">FX$1*FE451</f>
        <v>0</v>
      </c>
      <c r="FY451" s="39">
        <f t="shared" si="7513"/>
        <v>0</v>
      </c>
      <c r="FZ451" s="39">
        <f t="shared" si="7513"/>
        <v>0</v>
      </c>
      <c r="GA451" s="39">
        <f t="shared" si="7513"/>
        <v>0</v>
      </c>
      <c r="GB451" s="39">
        <f t="shared" si="7513"/>
        <v>0</v>
      </c>
      <c r="GC451" s="39">
        <f t="shared" si="7513"/>
        <v>0</v>
      </c>
      <c r="GD451" s="39">
        <f t="shared" ref="GD451:GH451" si="7514">GD$1*FK451/1000000</f>
        <v>0</v>
      </c>
      <c r="GE451" s="39">
        <f t="shared" si="7514"/>
        <v>0</v>
      </c>
      <c r="GF451" s="39">
        <f t="shared" si="7514"/>
        <v>0</v>
      </c>
      <c r="GG451" s="39">
        <f t="shared" si="7514"/>
        <v>0</v>
      </c>
      <c r="GH451" s="39">
        <f t="shared" si="7514"/>
        <v>0</v>
      </c>
      <c r="GI451" s="39">
        <f t="shared" ref="GI451:GJ451" si="7515">GI$1*FP451</f>
        <v>0</v>
      </c>
      <c r="GJ451" s="39">
        <f t="shared" si="7515"/>
        <v>0</v>
      </c>
      <c r="GK451" s="2"/>
      <c r="GL451" s="39">
        <f t="shared" si="4395"/>
        <v>0</v>
      </c>
      <c r="GM451" s="39">
        <f t="shared" si="4396"/>
        <v>0</v>
      </c>
      <c r="GN451" s="2" t="s">
        <v>3</v>
      </c>
      <c r="GO451" s="2">
        <f t="shared" si="4397"/>
        <v>30.2</v>
      </c>
      <c r="GP451" s="19">
        <f t="shared" si="4398"/>
        <v>9.5629139072847674E-2</v>
      </c>
      <c r="GQ451" s="15">
        <f t="shared" si="4399"/>
        <v>28.879999999999995</v>
      </c>
      <c r="GR451" s="15">
        <f t="shared" si="4400"/>
        <v>1698.2368525036654</v>
      </c>
      <c r="GS451" s="15">
        <f t="shared" si="4401"/>
        <v>56.233008361048526</v>
      </c>
      <c r="GT451" s="2">
        <f t="shared" si="4402"/>
        <v>0</v>
      </c>
      <c r="GU451" s="2">
        <f t="shared" si="4403"/>
        <v>0</v>
      </c>
      <c r="GV451" s="2">
        <f t="shared" si="4404"/>
        <v>28.88</v>
      </c>
      <c r="GW451" s="2">
        <f t="shared" si="4405"/>
        <v>0</v>
      </c>
      <c r="GX451" s="2"/>
      <c r="GY451" s="2"/>
      <c r="GZ451" s="2"/>
      <c r="HA451" s="2"/>
      <c r="HB451" s="2">
        <f t="shared" si="4406"/>
        <v>0</v>
      </c>
      <c r="HC451" s="2">
        <f t="shared" si="4407"/>
        <v>0</v>
      </c>
      <c r="HD451" s="2" t="s">
        <v>3</v>
      </c>
      <c r="HE451" s="2" t="s">
        <v>89</v>
      </c>
      <c r="HF451" s="2" t="s">
        <v>90</v>
      </c>
      <c r="HG451" s="2"/>
      <c r="HH451" s="2"/>
      <c r="HI451" s="2" t="s">
        <v>81</v>
      </c>
      <c r="HJ451" s="2" t="s">
        <v>3</v>
      </c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 t="s">
        <v>3</v>
      </c>
    </row>
    <row r="452" spans="1:268" ht="15.75" customHeight="1" x14ac:dyDescent="0.2">
      <c r="A452" s="16" t="s">
        <v>986</v>
      </c>
      <c r="B452" s="2" t="s">
        <v>99</v>
      </c>
      <c r="C452" s="2"/>
      <c r="D452" s="2"/>
      <c r="E452" s="2" t="s">
        <v>179</v>
      </c>
      <c r="F452" s="2" t="s">
        <v>987</v>
      </c>
      <c r="G452" s="2"/>
      <c r="H452" s="2" t="s">
        <v>181</v>
      </c>
      <c r="I452" s="2">
        <v>0</v>
      </c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>
        <v>0</v>
      </c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15">
        <f>44.5+5.5</f>
        <v>50</v>
      </c>
      <c r="AZ452" s="4">
        <f>(0.12*44.5+0.18*5.5)/AY452</f>
        <v>0.12659999999999999</v>
      </c>
      <c r="BA452" s="2"/>
      <c r="BB452" s="2"/>
      <c r="BC452" s="2"/>
      <c r="BD452" s="2"/>
      <c r="BE452" s="2"/>
      <c r="BF452" s="2"/>
      <c r="BG452" s="4">
        <f>(0.31*44.5+0.25*5.5)/AY452</f>
        <v>0.3034</v>
      </c>
      <c r="BH452" s="4">
        <f>(0.03*44.5+0.03*5.5)/AY452</f>
        <v>0.03</v>
      </c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>
        <v>0</v>
      </c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>
        <v>0</v>
      </c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 t="s">
        <v>81</v>
      </c>
      <c r="DK452" s="2" t="s">
        <v>81</v>
      </c>
      <c r="DL452" s="2">
        <f t="shared" si="4367"/>
        <v>0.3034</v>
      </c>
      <c r="DM452" s="2">
        <f t="shared" si="4368"/>
        <v>0.03</v>
      </c>
      <c r="DN452" s="2" t="s">
        <v>175</v>
      </c>
      <c r="DO452" s="2" t="s">
        <v>3</v>
      </c>
      <c r="DP452" s="2">
        <f t="shared" si="4369"/>
        <v>6.3299999999999995E-2</v>
      </c>
      <c r="DQ452" s="2">
        <f t="shared" ref="DQ452:DR452" si="7516">K452*$I452+AF452*$AD452+BA452*$AY452</f>
        <v>0</v>
      </c>
      <c r="DR452" s="2">
        <f t="shared" si="7516"/>
        <v>0</v>
      </c>
      <c r="DS452" s="2">
        <f t="shared" ref="DS452:DX452" si="7517">(M452*$I452+AH452*$AD452+BC452*$AY452)/100</f>
        <v>0</v>
      </c>
      <c r="DT452" s="2">
        <f t="shared" si="7517"/>
        <v>0</v>
      </c>
      <c r="DU452" s="2">
        <f t="shared" si="7517"/>
        <v>0</v>
      </c>
      <c r="DV452" s="2">
        <f t="shared" si="7517"/>
        <v>0</v>
      </c>
      <c r="DW452" s="2">
        <f t="shared" si="7517"/>
        <v>0.1517</v>
      </c>
      <c r="DX452" s="2">
        <f t="shared" si="7517"/>
        <v>1.4999999999999999E-2</v>
      </c>
      <c r="DY452" s="2">
        <f t="shared" ref="DY452:EC452" si="7518">S452*$I452+AN452*$AD452+BI452*$AY452</f>
        <v>0</v>
      </c>
      <c r="DZ452" s="2">
        <f t="shared" si="7518"/>
        <v>0</v>
      </c>
      <c r="EA452" s="2">
        <f t="shared" si="7518"/>
        <v>0</v>
      </c>
      <c r="EB452" s="2">
        <f t="shared" si="7518"/>
        <v>0</v>
      </c>
      <c r="EC452" s="2">
        <f t="shared" si="7518"/>
        <v>0</v>
      </c>
      <c r="ED452" s="2">
        <f t="shared" ref="ED452:EE452" si="7519">(X452*$I452+AS452*$AD452+BN452*$AY452)/100</f>
        <v>0</v>
      </c>
      <c r="EE452" s="2">
        <f t="shared" si="7519"/>
        <v>0</v>
      </c>
      <c r="EF452" s="2"/>
      <c r="EG452" s="2">
        <f t="shared" si="4374"/>
        <v>0</v>
      </c>
      <c r="EH452" s="2">
        <f t="shared" si="4375"/>
        <v>0</v>
      </c>
      <c r="EI452" s="39">
        <f t="shared" si="4376"/>
        <v>413.07149279999999</v>
      </c>
      <c r="EJ452" s="39">
        <f t="shared" ref="EJ452:EK452" si="7520">EJ$1*DQ452/1000000</f>
        <v>0</v>
      </c>
      <c r="EK452" s="39">
        <f t="shared" si="7520"/>
        <v>0</v>
      </c>
      <c r="EL452" s="39">
        <f t="shared" ref="EL452:EQ452" si="7521">EL$1*DS452</f>
        <v>0</v>
      </c>
      <c r="EM452" s="39">
        <f t="shared" si="7521"/>
        <v>0</v>
      </c>
      <c r="EN452" s="39">
        <f t="shared" si="7521"/>
        <v>0</v>
      </c>
      <c r="EO452" s="39">
        <f t="shared" si="7521"/>
        <v>0</v>
      </c>
      <c r="EP452" s="39">
        <f t="shared" si="7521"/>
        <v>1989.3938000000001</v>
      </c>
      <c r="EQ452" s="39">
        <f t="shared" si="7521"/>
        <v>1089.2928599999998</v>
      </c>
      <c r="ER452" s="39">
        <f t="shared" ref="ER452:EV452" si="7522">ER$1*DY452/1000000</f>
        <v>0</v>
      </c>
      <c r="ES452" s="39">
        <f t="shared" si="7522"/>
        <v>0</v>
      </c>
      <c r="ET452" s="39">
        <f t="shared" si="7522"/>
        <v>0</v>
      </c>
      <c r="EU452" s="39">
        <f t="shared" si="7522"/>
        <v>0</v>
      </c>
      <c r="EV452" s="39">
        <f t="shared" si="7522"/>
        <v>0</v>
      </c>
      <c r="EW452" s="39">
        <f t="shared" ref="EW452:EX452" si="7523">EW$1*ED452</f>
        <v>0</v>
      </c>
      <c r="EX452" s="39">
        <f t="shared" si="7523"/>
        <v>0</v>
      </c>
      <c r="EY452" s="2"/>
      <c r="EZ452" s="39">
        <f t="shared" si="4381"/>
        <v>0</v>
      </c>
      <c r="FA452" s="39">
        <f t="shared" si="4382"/>
        <v>0</v>
      </c>
      <c r="FB452" s="2">
        <f t="shared" si="4383"/>
        <v>0</v>
      </c>
      <c r="FC452" s="2">
        <f t="shared" ref="FC452:FD452" si="7524">BV452*$BT452+CQ452*$CO452</f>
        <v>0</v>
      </c>
      <c r="FD452" s="2">
        <f t="shared" si="7524"/>
        <v>0</v>
      </c>
      <c r="FE452" s="2">
        <f t="shared" ref="FE452:FJ452" si="7525">(BX452*$BT452+CS452*$CO452)/100</f>
        <v>0</v>
      </c>
      <c r="FF452" s="2">
        <f t="shared" si="7525"/>
        <v>0</v>
      </c>
      <c r="FG452" s="2">
        <f t="shared" si="7525"/>
        <v>0</v>
      </c>
      <c r="FH452" s="2">
        <f t="shared" si="7525"/>
        <v>0</v>
      </c>
      <c r="FI452" s="2">
        <f t="shared" si="7525"/>
        <v>0</v>
      </c>
      <c r="FJ452" s="2">
        <f t="shared" si="7525"/>
        <v>0</v>
      </c>
      <c r="FK452" s="2">
        <f t="shared" ref="FK452:FO452" si="7526">CD452*$BT452+CY452*$CO452</f>
        <v>0</v>
      </c>
      <c r="FL452" s="2">
        <f t="shared" si="7526"/>
        <v>0</v>
      </c>
      <c r="FM452" s="2">
        <f t="shared" si="7526"/>
        <v>0</v>
      </c>
      <c r="FN452" s="2">
        <f t="shared" si="7526"/>
        <v>0</v>
      </c>
      <c r="FO452" s="2">
        <f t="shared" si="7526"/>
        <v>0</v>
      </c>
      <c r="FP452" s="2">
        <f t="shared" ref="FP452:FQ452" si="7527">(CI452*$BT452+DD452*$CO452)/100</f>
        <v>0</v>
      </c>
      <c r="FQ452" s="2">
        <f t="shared" si="7527"/>
        <v>0</v>
      </c>
      <c r="FR452" s="2"/>
      <c r="FS452" s="2">
        <f t="shared" si="4388"/>
        <v>0</v>
      </c>
      <c r="FT452" s="2">
        <f t="shared" si="4389"/>
        <v>0</v>
      </c>
      <c r="FU452" s="39">
        <f t="shared" si="4390"/>
        <v>0</v>
      </c>
      <c r="FV452" s="39">
        <f t="shared" ref="FV452:FW452" si="7528">FV$1*FC452/1000000</f>
        <v>0</v>
      </c>
      <c r="FW452" s="39">
        <f t="shared" si="7528"/>
        <v>0</v>
      </c>
      <c r="FX452" s="39">
        <f t="shared" ref="FX452:GC452" si="7529">FX$1*FE452</f>
        <v>0</v>
      </c>
      <c r="FY452" s="39">
        <f t="shared" si="7529"/>
        <v>0</v>
      </c>
      <c r="FZ452" s="39">
        <f t="shared" si="7529"/>
        <v>0</v>
      </c>
      <c r="GA452" s="39">
        <f t="shared" si="7529"/>
        <v>0</v>
      </c>
      <c r="GB452" s="39">
        <f t="shared" si="7529"/>
        <v>0</v>
      </c>
      <c r="GC452" s="39">
        <f t="shared" si="7529"/>
        <v>0</v>
      </c>
      <c r="GD452" s="39">
        <f t="shared" ref="GD452:GH452" si="7530">GD$1*FK452/1000000</f>
        <v>0</v>
      </c>
      <c r="GE452" s="39">
        <f t="shared" si="7530"/>
        <v>0</v>
      </c>
      <c r="GF452" s="39">
        <f t="shared" si="7530"/>
        <v>0</v>
      </c>
      <c r="GG452" s="39">
        <f t="shared" si="7530"/>
        <v>0</v>
      </c>
      <c r="GH452" s="39">
        <f t="shared" si="7530"/>
        <v>0</v>
      </c>
      <c r="GI452" s="39">
        <f t="shared" ref="GI452:GJ452" si="7531">GI$1*FP452</f>
        <v>0</v>
      </c>
      <c r="GJ452" s="39">
        <f t="shared" si="7531"/>
        <v>0</v>
      </c>
      <c r="GK452" s="2"/>
      <c r="GL452" s="39">
        <f t="shared" si="4395"/>
        <v>0</v>
      </c>
      <c r="GM452" s="39">
        <f t="shared" si="4396"/>
        <v>0</v>
      </c>
      <c r="GN452" s="2" t="s">
        <v>3</v>
      </c>
      <c r="GO452" s="15">
        <f t="shared" si="4397"/>
        <v>50</v>
      </c>
      <c r="GP452" s="4">
        <f t="shared" si="4398"/>
        <v>0.3034</v>
      </c>
      <c r="GQ452" s="15">
        <f t="shared" si="4399"/>
        <v>151.69999999999999</v>
      </c>
      <c r="GR452" s="15">
        <f t="shared" si="4400"/>
        <v>3491.7581528000001</v>
      </c>
      <c r="GS452" s="15">
        <f t="shared" si="4401"/>
        <v>69.835163055999999</v>
      </c>
      <c r="GT452" s="2">
        <f t="shared" si="4402"/>
        <v>0</v>
      </c>
      <c r="GU452" s="2">
        <f t="shared" si="4403"/>
        <v>0</v>
      </c>
      <c r="GV452" s="2">
        <f t="shared" si="4404"/>
        <v>151.69999999999999</v>
      </c>
      <c r="GW452" s="2">
        <f t="shared" si="4405"/>
        <v>0</v>
      </c>
      <c r="GX452" s="2"/>
      <c r="GY452" s="2"/>
      <c r="GZ452" s="2"/>
      <c r="HA452" s="2"/>
      <c r="HB452" s="2">
        <f t="shared" si="4406"/>
        <v>0</v>
      </c>
      <c r="HC452" s="2">
        <f t="shared" si="4407"/>
        <v>0</v>
      </c>
      <c r="HD452" s="2" t="s">
        <v>3</v>
      </c>
      <c r="HE452" s="2" t="s">
        <v>89</v>
      </c>
      <c r="HF452" s="2" t="s">
        <v>90</v>
      </c>
      <c r="HG452" s="2"/>
      <c r="HH452" s="2"/>
      <c r="HI452" s="2" t="s">
        <v>81</v>
      </c>
      <c r="HJ452" s="2" t="s">
        <v>3</v>
      </c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 t="s">
        <v>3</v>
      </c>
    </row>
    <row r="453" spans="1:268" ht="15.75" customHeight="1" x14ac:dyDescent="0.2">
      <c r="A453" s="16" t="s">
        <v>1100</v>
      </c>
      <c r="B453" s="2" t="s">
        <v>120</v>
      </c>
      <c r="C453" s="2"/>
      <c r="D453" s="2"/>
      <c r="E453" s="2" t="s">
        <v>179</v>
      </c>
      <c r="F453" s="2" t="s">
        <v>611</v>
      </c>
      <c r="G453" s="2"/>
      <c r="H453" s="2" t="s">
        <v>181</v>
      </c>
      <c r="I453" s="2">
        <f>1.275+0.78</f>
        <v>2.0549999999999997</v>
      </c>
      <c r="J453" s="4">
        <f>(0.87*1.275+0.76*0.78)/I453</f>
        <v>0.82824817518248184</v>
      </c>
      <c r="K453" s="2"/>
      <c r="L453" s="2"/>
      <c r="M453" s="2"/>
      <c r="N453" s="2"/>
      <c r="O453" s="2"/>
      <c r="P453" s="2"/>
      <c r="Q453" s="4">
        <f>(1.51*1.275+1.64*0.78)/I453</f>
        <v>1.5593430656934306</v>
      </c>
      <c r="R453" s="4">
        <f>(0.07*1.275+0.1*0.78)/I453</f>
        <v>8.138686131386863E-2</v>
      </c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>
        <f>0.759+0.125+4.229+2.697+0.242</f>
        <v>8.0519999999999996</v>
      </c>
      <c r="AE453" s="4">
        <f>(0.9*0.759+0.75*0.125+0.65*4.229+0.98*2.697+0.5*0.242)/AD453</f>
        <v>0.78114257327372094</v>
      </c>
      <c r="AF453" s="2"/>
      <c r="AG453" s="2"/>
      <c r="AH453" s="2"/>
      <c r="AI453" s="2"/>
      <c r="AJ453" s="2"/>
      <c r="AK453" s="2"/>
      <c r="AL453" s="4">
        <f>(1.2*0.759+1.72*0.125+1.64*4.229+1.96*2.697+2.22*0.242)/AD453</f>
        <v>1.7243815201192254</v>
      </c>
      <c r="AM453" s="4">
        <f>(0.07*0.759+0.09*0.125+0.12*4.229+0.14*2.697+0.14*0.242)/AD453</f>
        <v>0.12212121212121214</v>
      </c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>
        <f>1.759+0.853+0.493</f>
        <v>3.105</v>
      </c>
      <c r="AZ453" s="4">
        <f>(0.49*1.759+0.93*0.853+0.53*0.493)/AY453</f>
        <v>0.61722705314009663</v>
      </c>
      <c r="BA453" s="2"/>
      <c r="BB453" s="2"/>
      <c r="BC453" s="2"/>
      <c r="BD453" s="2"/>
      <c r="BE453" s="2"/>
      <c r="BF453" s="2"/>
      <c r="BG453" s="4">
        <f>(1.25*1.759+2.02*0.853+1.67*0.493)/AY453</f>
        <v>1.5282190016103059</v>
      </c>
      <c r="BH453" s="4">
        <f>(0.1*1.759+0.13*0.853+0.11*0.493)/AY453</f>
        <v>0.10982930756843801</v>
      </c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>
        <v>1.365</v>
      </c>
      <c r="BU453" s="2">
        <v>0.66</v>
      </c>
      <c r="BV453" s="2"/>
      <c r="BW453" s="2"/>
      <c r="BX453" s="2"/>
      <c r="BY453" s="2"/>
      <c r="BZ453" s="2"/>
      <c r="CA453" s="2"/>
      <c r="CB453" s="2">
        <v>1.1499999999999999</v>
      </c>
      <c r="CC453" s="2">
        <v>0.06</v>
      </c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>
        <f>0.194+6.65</f>
        <v>6.8440000000000003</v>
      </c>
      <c r="CP453" s="4">
        <f>(1.28*0.194+1.28*6.65)/CO453</f>
        <v>1.28</v>
      </c>
      <c r="CQ453" s="2"/>
      <c r="CR453" s="2"/>
      <c r="CS453" s="2"/>
      <c r="CT453" s="2"/>
      <c r="CU453" s="2"/>
      <c r="CV453" s="2"/>
      <c r="CW453" s="4">
        <f>(1.24*0.194+1.24*6.65)/CO453</f>
        <v>1.24</v>
      </c>
      <c r="CX453" s="4">
        <f>(0.07*0.194+0.1*6.65)/CO453</f>
        <v>9.9149620105201647E-2</v>
      </c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 t="s">
        <v>81</v>
      </c>
      <c r="DK453" s="2" t="s">
        <v>81</v>
      </c>
      <c r="DL453" s="2">
        <f t="shared" si="4367"/>
        <v>1.652610505600969</v>
      </c>
      <c r="DM453" s="2">
        <f t="shared" si="4368"/>
        <v>0.11289660914320315</v>
      </c>
      <c r="DN453" s="2" t="s">
        <v>211</v>
      </c>
      <c r="DO453" s="2" t="s">
        <v>3</v>
      </c>
      <c r="DP453" s="2">
        <f t="shared" si="4369"/>
        <v>9.9083000000000004E-2</v>
      </c>
      <c r="DQ453" s="2">
        <f t="shared" ref="DQ453:DR453" si="7532">K453*$I453+AF453*$AD453+BA453*$AY453</f>
        <v>0</v>
      </c>
      <c r="DR453" s="2">
        <f t="shared" si="7532"/>
        <v>0</v>
      </c>
      <c r="DS453" s="2">
        <f t="shared" ref="DS453:DX453" si="7533">(M453*$I453+AH453*$AD453+BC453*$AY453)/100</f>
        <v>0</v>
      </c>
      <c r="DT453" s="2">
        <f t="shared" si="7533"/>
        <v>0</v>
      </c>
      <c r="DU453" s="2">
        <f t="shared" si="7533"/>
        <v>0</v>
      </c>
      <c r="DV453" s="2">
        <f t="shared" si="7533"/>
        <v>0</v>
      </c>
      <c r="DW453" s="2">
        <f t="shared" si="7533"/>
        <v>0.21834290000000003</v>
      </c>
      <c r="DX453" s="2">
        <f t="shared" si="7533"/>
        <v>1.4915899999999999E-2</v>
      </c>
      <c r="DY453" s="2">
        <f t="shared" ref="DY453:EC453" si="7534">S453*$I453+AN453*$AD453+BI453*$AY453</f>
        <v>0</v>
      </c>
      <c r="DZ453" s="2">
        <f t="shared" si="7534"/>
        <v>0</v>
      </c>
      <c r="EA453" s="2">
        <f t="shared" si="7534"/>
        <v>0</v>
      </c>
      <c r="EB453" s="2">
        <f t="shared" si="7534"/>
        <v>0</v>
      </c>
      <c r="EC453" s="2">
        <f t="shared" si="7534"/>
        <v>0</v>
      </c>
      <c r="ED453" s="2">
        <f t="shared" ref="ED453:EE453" si="7535">(X453*$I453+AS453*$AD453+BN453*$AY453)/100</f>
        <v>0</v>
      </c>
      <c r="EE453" s="2">
        <f t="shared" si="7535"/>
        <v>0</v>
      </c>
      <c r="EF453" s="2"/>
      <c r="EG453" s="2">
        <f t="shared" si="4374"/>
        <v>0</v>
      </c>
      <c r="EH453" s="2">
        <f t="shared" si="4375"/>
        <v>0</v>
      </c>
      <c r="EI453" s="39">
        <f t="shared" si="4376"/>
        <v>646.57761012800006</v>
      </c>
      <c r="EJ453" s="39">
        <f t="shared" ref="EJ453:EK453" si="7536">EJ$1*DQ453/1000000</f>
        <v>0</v>
      </c>
      <c r="EK453" s="39">
        <f t="shared" si="7536"/>
        <v>0</v>
      </c>
      <c r="EL453" s="39">
        <f t="shared" ref="EL453:EQ453" si="7537">EL$1*DS453</f>
        <v>0</v>
      </c>
      <c r="EM453" s="39">
        <f t="shared" si="7537"/>
        <v>0</v>
      </c>
      <c r="EN453" s="39">
        <f t="shared" si="7537"/>
        <v>0</v>
      </c>
      <c r="EO453" s="39">
        <f t="shared" si="7537"/>
        <v>0</v>
      </c>
      <c r="EP453" s="39">
        <f t="shared" si="7537"/>
        <v>2863.3487906000005</v>
      </c>
      <c r="EQ453" s="39">
        <f t="shared" si="7537"/>
        <v>1083.1855580315998</v>
      </c>
      <c r="ER453" s="39">
        <f t="shared" ref="ER453:EV453" si="7538">ER$1*DY453/1000000</f>
        <v>0</v>
      </c>
      <c r="ES453" s="39">
        <f t="shared" si="7538"/>
        <v>0</v>
      </c>
      <c r="ET453" s="39">
        <f t="shared" si="7538"/>
        <v>0</v>
      </c>
      <c r="EU453" s="39">
        <f t="shared" si="7538"/>
        <v>0</v>
      </c>
      <c r="EV453" s="39">
        <f t="shared" si="7538"/>
        <v>0</v>
      </c>
      <c r="EW453" s="39">
        <f t="shared" ref="EW453:EX453" si="7539">EW$1*ED453</f>
        <v>0</v>
      </c>
      <c r="EX453" s="39">
        <f t="shared" si="7539"/>
        <v>0</v>
      </c>
      <c r="EY453" s="2"/>
      <c r="EZ453" s="39">
        <f t="shared" si="4381"/>
        <v>0</v>
      </c>
      <c r="FA453" s="39">
        <f t="shared" si="4382"/>
        <v>0</v>
      </c>
      <c r="FB453" s="2">
        <f t="shared" si="4383"/>
        <v>9.6612199999999995E-2</v>
      </c>
      <c r="FC453" s="2">
        <f t="shared" ref="FC453:FD453" si="7540">BV453*$BT453+CQ453*$CO453</f>
        <v>0</v>
      </c>
      <c r="FD453" s="2">
        <f t="shared" si="7540"/>
        <v>0</v>
      </c>
      <c r="FE453" s="2">
        <f t="shared" ref="FE453:FJ453" si="7541">(BX453*$BT453+CS453*$CO453)/100</f>
        <v>0</v>
      </c>
      <c r="FF453" s="2">
        <f t="shared" si="7541"/>
        <v>0</v>
      </c>
      <c r="FG453" s="2">
        <f t="shared" si="7541"/>
        <v>0</v>
      </c>
      <c r="FH453" s="2">
        <f t="shared" si="7541"/>
        <v>0</v>
      </c>
      <c r="FI453" s="2">
        <f t="shared" si="7541"/>
        <v>0.1005631</v>
      </c>
      <c r="FJ453" s="2">
        <f t="shared" si="7541"/>
        <v>7.6048000000000001E-3</v>
      </c>
      <c r="FK453" s="2">
        <f t="shared" ref="FK453:FO453" si="7542">CD453*$BT453+CY453*$CO453</f>
        <v>0</v>
      </c>
      <c r="FL453" s="2">
        <f t="shared" si="7542"/>
        <v>0</v>
      </c>
      <c r="FM453" s="2">
        <f t="shared" si="7542"/>
        <v>0</v>
      </c>
      <c r="FN453" s="2">
        <f t="shared" si="7542"/>
        <v>0</v>
      </c>
      <c r="FO453" s="2">
        <f t="shared" si="7542"/>
        <v>0</v>
      </c>
      <c r="FP453" s="2">
        <f t="shared" ref="FP453:FQ453" si="7543">(CI453*$BT453+DD453*$CO453)/100</f>
        <v>0</v>
      </c>
      <c r="FQ453" s="2">
        <f t="shared" si="7543"/>
        <v>0</v>
      </c>
      <c r="FR453" s="2"/>
      <c r="FS453" s="2">
        <f t="shared" si="4388"/>
        <v>0</v>
      </c>
      <c r="FT453" s="2">
        <f t="shared" si="4389"/>
        <v>0</v>
      </c>
      <c r="FU453" s="39">
        <f t="shared" si="4390"/>
        <v>630.4541181152</v>
      </c>
      <c r="FV453" s="39">
        <f t="shared" ref="FV453:FW453" si="7544">FV$1*FC453/1000000</f>
        <v>0</v>
      </c>
      <c r="FW453" s="39">
        <f t="shared" si="7544"/>
        <v>0</v>
      </c>
      <c r="FX453" s="39">
        <f t="shared" ref="FX453:GC453" si="7545">FX$1*FE453</f>
        <v>0</v>
      </c>
      <c r="FY453" s="39">
        <f t="shared" si="7545"/>
        <v>0</v>
      </c>
      <c r="FZ453" s="39">
        <f t="shared" si="7545"/>
        <v>0</v>
      </c>
      <c r="GA453" s="39">
        <f t="shared" si="7545"/>
        <v>0</v>
      </c>
      <c r="GB453" s="39">
        <f t="shared" si="7545"/>
        <v>1318.7844934</v>
      </c>
      <c r="GC453" s="39">
        <f t="shared" si="7545"/>
        <v>552.25695611519996</v>
      </c>
      <c r="GD453" s="39">
        <f t="shared" ref="GD453:GH453" si="7546">GD$1*FK453/1000000</f>
        <v>0</v>
      </c>
      <c r="GE453" s="39">
        <f t="shared" si="7546"/>
        <v>0</v>
      </c>
      <c r="GF453" s="39">
        <f t="shared" si="7546"/>
        <v>0</v>
      </c>
      <c r="GG453" s="39">
        <f t="shared" si="7546"/>
        <v>0</v>
      </c>
      <c r="GH453" s="39">
        <f t="shared" si="7546"/>
        <v>0</v>
      </c>
      <c r="GI453" s="39">
        <f t="shared" ref="GI453:GJ453" si="7547">GI$1*FP453</f>
        <v>0</v>
      </c>
      <c r="GJ453" s="39">
        <f t="shared" si="7547"/>
        <v>0</v>
      </c>
      <c r="GK453" s="2"/>
      <c r="GL453" s="39">
        <f t="shared" si="4395"/>
        <v>0</v>
      </c>
      <c r="GM453" s="39">
        <f t="shared" si="4396"/>
        <v>0</v>
      </c>
      <c r="GN453" s="2" t="s">
        <v>3</v>
      </c>
      <c r="GO453" s="4">
        <f t="shared" si="4397"/>
        <v>13.212</v>
      </c>
      <c r="GP453" s="4">
        <f t="shared" si="4398"/>
        <v>1.652610505600969</v>
      </c>
      <c r="GQ453" s="15">
        <f t="shared" si="4399"/>
        <v>218.34290000000001</v>
      </c>
      <c r="GR453" s="15">
        <f t="shared" si="4400"/>
        <v>4593.1119587596004</v>
      </c>
      <c r="GS453" s="15">
        <f t="shared" si="4401"/>
        <v>347.64698446560703</v>
      </c>
      <c r="GT453" s="2">
        <f t="shared" si="4402"/>
        <v>32.044499999999992</v>
      </c>
      <c r="GU453" s="2">
        <f t="shared" si="4403"/>
        <v>138.84720000000002</v>
      </c>
      <c r="GV453" s="2">
        <f t="shared" si="4404"/>
        <v>47.4512</v>
      </c>
      <c r="GW453" s="2">
        <f t="shared" si="4405"/>
        <v>8.2089999999999996</v>
      </c>
      <c r="GX453" s="4">
        <f>(BT453*CB453+CO453*CW453)/GW453</f>
        <v>1.2250347179924475</v>
      </c>
      <c r="GY453" s="15">
        <f>1000*GW453*GX453/100</f>
        <v>100.56310000000002</v>
      </c>
      <c r="GZ453" s="15">
        <f>SUM(FU453:GM453)</f>
        <v>2501.4955676303998</v>
      </c>
      <c r="HA453" s="15">
        <f>GZ453/GW453</f>
        <v>304.72597973326833</v>
      </c>
      <c r="HB453" s="2">
        <f t="shared" si="4406"/>
        <v>15.6975</v>
      </c>
      <c r="HC453" s="2">
        <f t="shared" si="4407"/>
        <v>84.865600000000015</v>
      </c>
      <c r="HD453" s="2" t="s">
        <v>3</v>
      </c>
      <c r="HE453" s="2" t="s">
        <v>89</v>
      </c>
      <c r="HF453" s="2" t="s">
        <v>90</v>
      </c>
      <c r="HG453" s="2"/>
      <c r="HH453" s="2"/>
      <c r="HI453" s="2" t="s">
        <v>81</v>
      </c>
      <c r="HJ453" s="2" t="s">
        <v>3</v>
      </c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 t="s">
        <v>3</v>
      </c>
    </row>
    <row r="454" spans="1:268" ht="15.75" customHeight="1" x14ac:dyDescent="0.2">
      <c r="A454" s="16" t="s">
        <v>985</v>
      </c>
      <c r="B454" s="2" t="s">
        <v>99</v>
      </c>
      <c r="C454" s="2"/>
      <c r="D454" s="2"/>
      <c r="E454" s="2" t="s">
        <v>179</v>
      </c>
      <c r="F454" s="2" t="s">
        <v>611</v>
      </c>
      <c r="G454" s="2"/>
      <c r="H454" s="2" t="s">
        <v>181</v>
      </c>
      <c r="I454" s="2">
        <f>4.4+2.13</f>
        <v>6.53</v>
      </c>
      <c r="J454" s="4">
        <f>(0.08*4.4+0.03*2.13)/I454</f>
        <v>6.3690658499234304E-2</v>
      </c>
      <c r="K454" s="4">
        <f>(0.42*4.4+0.1*2.13)/I454</f>
        <v>0.31562021439509952</v>
      </c>
      <c r="L454" s="2"/>
      <c r="M454" s="2"/>
      <c r="N454" s="2"/>
      <c r="O454" s="2"/>
      <c r="P454" s="2"/>
      <c r="Q454" s="4">
        <f>(0.28*4.4+0.18*2.13)/I454</f>
        <v>0.24738131699846863</v>
      </c>
      <c r="R454" s="2"/>
      <c r="S454" s="4">
        <f>(2.46*4.4+1.36*2.13)/I454</f>
        <v>2.1011944869831547</v>
      </c>
      <c r="T454" s="4">
        <f>(2.83*4.4+1.09*2.13)/I454</f>
        <v>2.2624349157733539</v>
      </c>
      <c r="U454" s="2"/>
      <c r="V454" s="2"/>
      <c r="W454" s="2"/>
      <c r="X454" s="2"/>
      <c r="Y454" s="2"/>
      <c r="Z454" s="2"/>
      <c r="AA454" s="2"/>
      <c r="AB454" s="2"/>
      <c r="AC454" s="2"/>
      <c r="AD454" s="2">
        <f>4.13+1.5</f>
        <v>5.63</v>
      </c>
      <c r="AE454" s="4">
        <f>(0.09*4.13+0.04*1.5)/AD454</f>
        <v>7.6678507992895203E-2</v>
      </c>
      <c r="AF454" s="4">
        <f>(0.38*4.13+0.1*1.5)/AD454</f>
        <v>0.30539964476021314</v>
      </c>
      <c r="AG454" s="2"/>
      <c r="AH454" s="2"/>
      <c r="AI454" s="2"/>
      <c r="AJ454" s="2"/>
      <c r="AK454" s="2"/>
      <c r="AL454" s="4">
        <f>(0.31*4.13+0.19*1.5)/AD454</f>
        <v>0.27802841918294852</v>
      </c>
      <c r="AM454" s="2"/>
      <c r="AN454" s="4">
        <f>(2.73*4.13+1.56*1.5)/AD454</f>
        <v>2.4182770870337476</v>
      </c>
      <c r="AO454" s="4">
        <f>(3.21*4.13+1.28*1.5)/AD454</f>
        <v>2.6957904085257547</v>
      </c>
      <c r="AP454" s="2"/>
      <c r="AQ454" s="2"/>
      <c r="AR454" s="2"/>
      <c r="AS454" s="2"/>
      <c r="AT454" s="2"/>
      <c r="AU454" s="2"/>
      <c r="AV454" s="2"/>
      <c r="AW454" s="2"/>
      <c r="AX454" s="2"/>
      <c r="AY454" s="2">
        <f>1.56+0.6</f>
        <v>2.16</v>
      </c>
      <c r="AZ454" s="4">
        <f>(0.13*1.56+0.05*0.6)/AY454</f>
        <v>0.10777777777777778</v>
      </c>
      <c r="BA454" s="4">
        <f>(0.38*1.56+0.1*0.6)/AY454</f>
        <v>0.30222222222222223</v>
      </c>
      <c r="BB454" s="2"/>
      <c r="BC454" s="2"/>
      <c r="BD454" s="2"/>
      <c r="BE454" s="2"/>
      <c r="BF454" s="2"/>
      <c r="BG454" s="4">
        <f>(0.36*1.56+0.19*0.6)/AY454</f>
        <v>0.31277777777777777</v>
      </c>
      <c r="BH454" s="2"/>
      <c r="BI454" s="4">
        <f>(2.1*1.56+1.22*0.6)/AY454</f>
        <v>1.8555555555555554</v>
      </c>
      <c r="BJ454" s="4">
        <f>(2.35*1.56+1.07*0.6)/AY454</f>
        <v>1.9944444444444447</v>
      </c>
      <c r="BK454" s="2"/>
      <c r="BL454" s="2"/>
      <c r="BM454" s="2"/>
      <c r="BN454" s="2"/>
      <c r="BO454" s="2"/>
      <c r="BP454" s="2"/>
      <c r="BQ454" s="2"/>
      <c r="BR454" s="2"/>
      <c r="BS454" s="2"/>
      <c r="BT454" s="2">
        <v>0</v>
      </c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>
        <v>0</v>
      </c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 t="s">
        <v>81</v>
      </c>
      <c r="DK454" s="2"/>
      <c r="DL454" s="2">
        <f t="shared" si="4367"/>
        <v>0.26929469273743017</v>
      </c>
      <c r="DM454" s="2">
        <f t="shared" si="4368"/>
        <v>0</v>
      </c>
      <c r="DN454" s="2" t="s">
        <v>211</v>
      </c>
      <c r="DO454" s="2" t="s">
        <v>3</v>
      </c>
      <c r="DP454" s="2">
        <f t="shared" si="4369"/>
        <v>1.0804000000000001E-2</v>
      </c>
      <c r="DQ454" s="2">
        <f t="shared" ref="DQ454:DR454" si="7548">K454*$I454+AF454*$AD454+BA454*$AY454</f>
        <v>4.4332000000000003</v>
      </c>
      <c r="DR454" s="2">
        <f t="shared" si="7548"/>
        <v>0</v>
      </c>
      <c r="DS454" s="2">
        <f t="shared" ref="DS454:DX454" si="7549">(M454*$I454+AH454*$AD454+BC454*$AY454)/100</f>
        <v>0</v>
      </c>
      <c r="DT454" s="2">
        <f t="shared" si="7549"/>
        <v>0</v>
      </c>
      <c r="DU454" s="2">
        <f t="shared" si="7549"/>
        <v>0</v>
      </c>
      <c r="DV454" s="2">
        <f t="shared" si="7549"/>
        <v>0</v>
      </c>
      <c r="DW454" s="2">
        <f t="shared" si="7549"/>
        <v>3.8563E-2</v>
      </c>
      <c r="DX454" s="2">
        <f t="shared" si="7549"/>
        <v>0</v>
      </c>
      <c r="DY454" s="2">
        <f t="shared" ref="DY454:EC454" si="7550">S454*$I454+AN454*$AD454+BI454*$AY454</f>
        <v>31.343699999999998</v>
      </c>
      <c r="DZ454" s="2">
        <f t="shared" si="7550"/>
        <v>34.259</v>
      </c>
      <c r="EA454" s="2">
        <f t="shared" si="7550"/>
        <v>0</v>
      </c>
      <c r="EB454" s="2">
        <f t="shared" si="7550"/>
        <v>0</v>
      </c>
      <c r="EC454" s="2">
        <f t="shared" si="7550"/>
        <v>0</v>
      </c>
      <c r="ED454" s="2">
        <f t="shared" ref="ED454:EE454" si="7551">(X454*$I454+AS454*$AD454+BN454*$AY454)/100</f>
        <v>0</v>
      </c>
      <c r="EE454" s="2">
        <f t="shared" si="7551"/>
        <v>0</v>
      </c>
      <c r="EF454" s="2"/>
      <c r="EG454" s="2">
        <f t="shared" si="4374"/>
        <v>0</v>
      </c>
      <c r="EH454" s="2">
        <f t="shared" si="4375"/>
        <v>0</v>
      </c>
      <c r="EI454" s="39">
        <f t="shared" si="4376"/>
        <v>70.502755264000001</v>
      </c>
      <c r="EJ454" s="39">
        <f t="shared" ref="EJ454:EK454" si="7552">EJ$1*DQ454/1000000</f>
        <v>181.31930546623792</v>
      </c>
      <c r="EK454" s="39">
        <f t="shared" si="7552"/>
        <v>0</v>
      </c>
      <c r="EL454" s="39">
        <f t="shared" ref="EL454:EQ454" si="7553">EL$1*DS454</f>
        <v>0</v>
      </c>
      <c r="EM454" s="39">
        <f t="shared" si="7553"/>
        <v>0</v>
      </c>
      <c r="EN454" s="39">
        <f t="shared" si="7553"/>
        <v>0</v>
      </c>
      <c r="EO454" s="39">
        <f t="shared" si="7553"/>
        <v>0</v>
      </c>
      <c r="EP454" s="39">
        <f t="shared" si="7553"/>
        <v>505.71518200000003</v>
      </c>
      <c r="EQ454" s="39">
        <f t="shared" si="7553"/>
        <v>0</v>
      </c>
      <c r="ER454" s="39">
        <f t="shared" ref="ER454:EV454" si="7554">ER$1*DY454/1000000</f>
        <v>889.57653511254</v>
      </c>
      <c r="ES454" s="39">
        <f t="shared" si="7554"/>
        <v>1141.7059604501608</v>
      </c>
      <c r="ET454" s="39">
        <f t="shared" si="7554"/>
        <v>0</v>
      </c>
      <c r="EU454" s="39">
        <f t="shared" si="7554"/>
        <v>0</v>
      </c>
      <c r="EV454" s="39">
        <f t="shared" si="7554"/>
        <v>0</v>
      </c>
      <c r="EW454" s="39">
        <f t="shared" ref="EW454:EX454" si="7555">EW$1*ED454</f>
        <v>0</v>
      </c>
      <c r="EX454" s="39">
        <f t="shared" si="7555"/>
        <v>0</v>
      </c>
      <c r="EY454" s="2"/>
      <c r="EZ454" s="39">
        <f t="shared" si="4381"/>
        <v>0</v>
      </c>
      <c r="FA454" s="39">
        <f t="shared" si="4382"/>
        <v>0</v>
      </c>
      <c r="FB454" s="2">
        <f t="shared" si="4383"/>
        <v>0</v>
      </c>
      <c r="FC454" s="2">
        <f t="shared" ref="FC454:FD454" si="7556">BV454*$BT454+CQ454*$CO454</f>
        <v>0</v>
      </c>
      <c r="FD454" s="2">
        <f t="shared" si="7556"/>
        <v>0</v>
      </c>
      <c r="FE454" s="2">
        <f t="shared" ref="FE454:FJ454" si="7557">(BX454*$BT454+CS454*$CO454)/100</f>
        <v>0</v>
      </c>
      <c r="FF454" s="2">
        <f t="shared" si="7557"/>
        <v>0</v>
      </c>
      <c r="FG454" s="2">
        <f t="shared" si="7557"/>
        <v>0</v>
      </c>
      <c r="FH454" s="2">
        <f t="shared" si="7557"/>
        <v>0</v>
      </c>
      <c r="FI454" s="2">
        <f t="shared" si="7557"/>
        <v>0</v>
      </c>
      <c r="FJ454" s="2">
        <f t="shared" si="7557"/>
        <v>0</v>
      </c>
      <c r="FK454" s="2">
        <f t="shared" ref="FK454:FO454" si="7558">CD454*$BT454+CY454*$CO454</f>
        <v>0</v>
      </c>
      <c r="FL454" s="2">
        <f t="shared" si="7558"/>
        <v>0</v>
      </c>
      <c r="FM454" s="2">
        <f t="shared" si="7558"/>
        <v>0</v>
      </c>
      <c r="FN454" s="2">
        <f t="shared" si="7558"/>
        <v>0</v>
      </c>
      <c r="FO454" s="2">
        <f t="shared" si="7558"/>
        <v>0</v>
      </c>
      <c r="FP454" s="2">
        <f t="shared" ref="FP454:FQ454" si="7559">(CI454*$BT454+DD454*$CO454)/100</f>
        <v>0</v>
      </c>
      <c r="FQ454" s="2">
        <f t="shared" si="7559"/>
        <v>0</v>
      </c>
      <c r="FR454" s="2"/>
      <c r="FS454" s="2">
        <f t="shared" si="4388"/>
        <v>0</v>
      </c>
      <c r="FT454" s="2">
        <f t="shared" si="4389"/>
        <v>0</v>
      </c>
      <c r="FU454" s="39">
        <f t="shared" si="4390"/>
        <v>0</v>
      </c>
      <c r="FV454" s="39">
        <f t="shared" ref="FV454:FW454" si="7560">FV$1*FC454/1000000</f>
        <v>0</v>
      </c>
      <c r="FW454" s="39">
        <f t="shared" si="7560"/>
        <v>0</v>
      </c>
      <c r="FX454" s="39">
        <f t="shared" ref="FX454:GC454" si="7561">FX$1*FE454</f>
        <v>0</v>
      </c>
      <c r="FY454" s="39">
        <f t="shared" si="7561"/>
        <v>0</v>
      </c>
      <c r="FZ454" s="39">
        <f t="shared" si="7561"/>
        <v>0</v>
      </c>
      <c r="GA454" s="39">
        <f t="shared" si="7561"/>
        <v>0</v>
      </c>
      <c r="GB454" s="39">
        <f t="shared" si="7561"/>
        <v>0</v>
      </c>
      <c r="GC454" s="39">
        <f t="shared" si="7561"/>
        <v>0</v>
      </c>
      <c r="GD454" s="39">
        <f t="shared" ref="GD454:GH454" si="7562">GD$1*FK454/1000000</f>
        <v>0</v>
      </c>
      <c r="GE454" s="39">
        <f t="shared" si="7562"/>
        <v>0</v>
      </c>
      <c r="GF454" s="39">
        <f t="shared" si="7562"/>
        <v>0</v>
      </c>
      <c r="GG454" s="39">
        <f t="shared" si="7562"/>
        <v>0</v>
      </c>
      <c r="GH454" s="39">
        <f t="shared" si="7562"/>
        <v>0</v>
      </c>
      <c r="GI454" s="39">
        <f t="shared" ref="GI454:GJ454" si="7563">GI$1*FP454</f>
        <v>0</v>
      </c>
      <c r="GJ454" s="39">
        <f t="shared" si="7563"/>
        <v>0</v>
      </c>
      <c r="GK454" s="2"/>
      <c r="GL454" s="39">
        <f t="shared" si="4395"/>
        <v>0</v>
      </c>
      <c r="GM454" s="39">
        <f t="shared" si="4396"/>
        <v>0</v>
      </c>
      <c r="GN454" s="2" t="s">
        <v>3</v>
      </c>
      <c r="GO454" s="2">
        <f t="shared" si="4397"/>
        <v>14.32</v>
      </c>
      <c r="GP454" s="4">
        <f t="shared" si="4398"/>
        <v>0.26929469273743017</v>
      </c>
      <c r="GQ454" s="15">
        <f t="shared" si="4399"/>
        <v>38.563000000000002</v>
      </c>
      <c r="GR454" s="15">
        <f t="shared" si="4400"/>
        <v>2788.8197382929384</v>
      </c>
      <c r="GS454" s="15">
        <f t="shared" si="4401"/>
        <v>194.74998172436719</v>
      </c>
      <c r="GT454" s="2">
        <f t="shared" si="4402"/>
        <v>16.154</v>
      </c>
      <c r="GU454" s="2">
        <f t="shared" si="4403"/>
        <v>15.653000000000002</v>
      </c>
      <c r="GV454" s="2">
        <f t="shared" si="4404"/>
        <v>6.7560000000000002</v>
      </c>
      <c r="GW454" s="2">
        <f t="shared" si="4405"/>
        <v>0</v>
      </c>
      <c r="GX454" s="2"/>
      <c r="GY454" s="2"/>
      <c r="GZ454" s="2"/>
      <c r="HA454" s="2"/>
      <c r="HB454" s="2">
        <f t="shared" si="4406"/>
        <v>0</v>
      </c>
      <c r="HC454" s="2">
        <f t="shared" si="4407"/>
        <v>0</v>
      </c>
      <c r="HD454" s="2" t="s">
        <v>3</v>
      </c>
      <c r="HE454" s="2" t="s">
        <v>89</v>
      </c>
      <c r="HF454" s="2" t="s">
        <v>90</v>
      </c>
      <c r="HG454" s="2"/>
      <c r="HH454" s="2"/>
      <c r="HI454" s="2" t="s">
        <v>81</v>
      </c>
      <c r="HJ454" s="2" t="s">
        <v>3</v>
      </c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 t="s">
        <v>3</v>
      </c>
    </row>
    <row r="455" spans="1:268" ht="15.75" customHeight="1" x14ac:dyDescent="0.2">
      <c r="A455" s="16" t="s">
        <v>892</v>
      </c>
      <c r="B455" s="2" t="s">
        <v>99</v>
      </c>
      <c r="C455" s="2"/>
      <c r="D455" s="2"/>
      <c r="E455" s="2" t="s">
        <v>179</v>
      </c>
      <c r="F455" s="2" t="s">
        <v>893</v>
      </c>
      <c r="G455" s="2"/>
      <c r="H455" s="2" t="s">
        <v>181</v>
      </c>
      <c r="I455" s="2">
        <v>12.4</v>
      </c>
      <c r="J455" s="2">
        <v>0.09</v>
      </c>
      <c r="K455" s="2">
        <v>0.2</v>
      </c>
      <c r="L455" s="2"/>
      <c r="M455" s="2"/>
      <c r="N455" s="2"/>
      <c r="O455" s="2"/>
      <c r="P455" s="2"/>
      <c r="Q455" s="2">
        <v>7.0000000000000007E-2</v>
      </c>
      <c r="R455" s="2"/>
      <c r="S455" s="2">
        <v>1.1000000000000001</v>
      </c>
      <c r="T455" s="2">
        <v>1.4</v>
      </c>
      <c r="U455" s="2">
        <v>0.1</v>
      </c>
      <c r="V455" s="2"/>
      <c r="W455" s="2"/>
      <c r="X455" s="2"/>
      <c r="Y455" s="2"/>
      <c r="Z455" s="2"/>
      <c r="AA455" s="2"/>
      <c r="AB455" s="2"/>
      <c r="AC455" s="2"/>
      <c r="AD455" s="2">
        <v>9.8000000000000007</v>
      </c>
      <c r="AE455" s="2">
        <v>0.22</v>
      </c>
      <c r="AF455" s="2">
        <v>0.3</v>
      </c>
      <c r="AG455" s="2"/>
      <c r="AH455" s="2"/>
      <c r="AI455" s="2"/>
      <c r="AJ455" s="2"/>
      <c r="AK455" s="2"/>
      <c r="AL455" s="2">
        <v>0.11</v>
      </c>
      <c r="AM455" s="2"/>
      <c r="AN455" s="2">
        <v>1.1000000000000001</v>
      </c>
      <c r="AO455" s="2">
        <v>1.6</v>
      </c>
      <c r="AP455" s="2">
        <v>0.1</v>
      </c>
      <c r="AQ455" s="2"/>
      <c r="AR455" s="2"/>
      <c r="AS455" s="2"/>
      <c r="AT455" s="2"/>
      <c r="AU455" s="2"/>
      <c r="AV455" s="2"/>
      <c r="AW455" s="2"/>
      <c r="AX455" s="2"/>
      <c r="AY455" s="2">
        <v>1.4</v>
      </c>
      <c r="AZ455" s="2">
        <v>0.15</v>
      </c>
      <c r="BA455" s="2">
        <v>0.3</v>
      </c>
      <c r="BB455" s="2"/>
      <c r="BC455" s="2"/>
      <c r="BD455" s="2"/>
      <c r="BE455" s="2"/>
      <c r="BF455" s="2"/>
      <c r="BG455" s="2">
        <v>0.09</v>
      </c>
      <c r="BH455" s="2"/>
      <c r="BI455" s="2">
        <v>1.1000000000000001</v>
      </c>
      <c r="BJ455" s="2">
        <v>1.6</v>
      </c>
      <c r="BK455" s="2">
        <v>0.1</v>
      </c>
      <c r="BL455" s="2"/>
      <c r="BM455" s="2"/>
      <c r="BN455" s="2"/>
      <c r="BO455" s="2"/>
      <c r="BP455" s="2"/>
      <c r="BQ455" s="2"/>
      <c r="BR455" s="2"/>
      <c r="BS455" s="2"/>
      <c r="BT455" s="2">
        <v>0</v>
      </c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>
        <v>0</v>
      </c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 t="s">
        <v>81</v>
      </c>
      <c r="DK455" s="2"/>
      <c r="DL455" s="2">
        <f t="shared" si="4367"/>
        <v>8.7796610169491529E-2</v>
      </c>
      <c r="DM455" s="2">
        <f t="shared" si="4368"/>
        <v>0</v>
      </c>
      <c r="DN455" s="2" t="s">
        <v>883</v>
      </c>
      <c r="DO455" s="2" t="s">
        <v>3</v>
      </c>
      <c r="DP455" s="2">
        <f t="shared" si="4369"/>
        <v>3.4820000000000004E-2</v>
      </c>
      <c r="DQ455" s="2">
        <f t="shared" ref="DQ455:DR455" si="7564">K455*$I455+AF455*$AD455+BA455*$AY455</f>
        <v>5.84</v>
      </c>
      <c r="DR455" s="2">
        <f t="shared" si="7564"/>
        <v>0</v>
      </c>
      <c r="DS455" s="2">
        <f t="shared" ref="DS455:DX455" si="7565">(M455*$I455+AH455*$AD455+BC455*$AY455)/100</f>
        <v>0</v>
      </c>
      <c r="DT455" s="2">
        <f t="shared" si="7565"/>
        <v>0</v>
      </c>
      <c r="DU455" s="2">
        <f t="shared" si="7565"/>
        <v>0</v>
      </c>
      <c r="DV455" s="2">
        <f t="shared" si="7565"/>
        <v>0</v>
      </c>
      <c r="DW455" s="2">
        <f t="shared" si="7565"/>
        <v>2.0720000000000002E-2</v>
      </c>
      <c r="DX455" s="2">
        <f t="shared" si="7565"/>
        <v>0</v>
      </c>
      <c r="DY455" s="2">
        <f t="shared" ref="DY455:EC455" si="7566">S455*$I455+AN455*$AD455+BI455*$AY455</f>
        <v>25.96</v>
      </c>
      <c r="DZ455" s="2">
        <f t="shared" si="7566"/>
        <v>35.28</v>
      </c>
      <c r="EA455" s="2">
        <f t="shared" si="7566"/>
        <v>2.3600000000000003</v>
      </c>
      <c r="EB455" s="2">
        <f t="shared" si="7566"/>
        <v>0</v>
      </c>
      <c r="EC455" s="2">
        <f t="shared" si="7566"/>
        <v>0</v>
      </c>
      <c r="ED455" s="2">
        <f t="shared" ref="ED455:EE455" si="7567">(X455*$I455+AS455*$AD455+BN455*$AY455)/100</f>
        <v>0</v>
      </c>
      <c r="EE455" s="2">
        <f t="shared" si="7567"/>
        <v>0</v>
      </c>
      <c r="EF455" s="2"/>
      <c r="EG455" s="2">
        <f t="shared" si="4374"/>
        <v>0</v>
      </c>
      <c r="EH455" s="2">
        <f t="shared" si="4375"/>
        <v>0</v>
      </c>
      <c r="EI455" s="39">
        <f t="shared" si="4376"/>
        <v>227.22194912000003</v>
      </c>
      <c r="EJ455" s="39">
        <f t="shared" ref="EJ455:EK455" si="7568">EJ$1*DQ455/1000000</f>
        <v>238.85787781350479</v>
      </c>
      <c r="EK455" s="39">
        <f t="shared" si="7568"/>
        <v>0</v>
      </c>
      <c r="EL455" s="39">
        <f t="shared" ref="EL455:EQ455" si="7569">EL$1*DS455</f>
        <v>0</v>
      </c>
      <c r="EM455" s="39">
        <f t="shared" si="7569"/>
        <v>0</v>
      </c>
      <c r="EN455" s="39">
        <f t="shared" si="7569"/>
        <v>0</v>
      </c>
      <c r="EO455" s="39">
        <f t="shared" si="7569"/>
        <v>0</v>
      </c>
      <c r="EP455" s="39">
        <f t="shared" si="7569"/>
        <v>271.72208000000001</v>
      </c>
      <c r="EQ455" s="39">
        <f t="shared" si="7569"/>
        <v>0</v>
      </c>
      <c r="ER455" s="39">
        <f t="shared" ref="ER455:EV455" si="7570">ER$1*DY455/1000000</f>
        <v>736.77985852090023</v>
      </c>
      <c r="ES455" s="39">
        <f t="shared" si="7570"/>
        <v>1175.7315241157557</v>
      </c>
      <c r="ET455" s="39">
        <f t="shared" si="7570"/>
        <v>168.86520900321545</v>
      </c>
      <c r="EU455" s="39">
        <f t="shared" si="7570"/>
        <v>0</v>
      </c>
      <c r="EV455" s="39">
        <f t="shared" si="7570"/>
        <v>0</v>
      </c>
      <c r="EW455" s="39">
        <f t="shared" ref="EW455:EX455" si="7571">EW$1*ED455</f>
        <v>0</v>
      </c>
      <c r="EX455" s="39">
        <f t="shared" si="7571"/>
        <v>0</v>
      </c>
      <c r="EY455" s="2"/>
      <c r="EZ455" s="39">
        <f t="shared" si="4381"/>
        <v>0</v>
      </c>
      <c r="FA455" s="39">
        <f t="shared" si="4382"/>
        <v>0</v>
      </c>
      <c r="FB455" s="2">
        <f t="shared" si="4383"/>
        <v>0</v>
      </c>
      <c r="FC455" s="2">
        <f t="shared" ref="FC455:FD455" si="7572">BV455*$BT455+CQ455*$CO455</f>
        <v>0</v>
      </c>
      <c r="FD455" s="2">
        <f t="shared" si="7572"/>
        <v>0</v>
      </c>
      <c r="FE455" s="2">
        <f t="shared" ref="FE455:FJ455" si="7573">(BX455*$BT455+CS455*$CO455)/100</f>
        <v>0</v>
      </c>
      <c r="FF455" s="2">
        <f t="shared" si="7573"/>
        <v>0</v>
      </c>
      <c r="FG455" s="2">
        <f t="shared" si="7573"/>
        <v>0</v>
      </c>
      <c r="FH455" s="2">
        <f t="shared" si="7573"/>
        <v>0</v>
      </c>
      <c r="FI455" s="2">
        <f t="shared" si="7573"/>
        <v>0</v>
      </c>
      <c r="FJ455" s="2">
        <f t="shared" si="7573"/>
        <v>0</v>
      </c>
      <c r="FK455" s="2">
        <f t="shared" ref="FK455:FO455" si="7574">CD455*$BT455+CY455*$CO455</f>
        <v>0</v>
      </c>
      <c r="FL455" s="2">
        <f t="shared" si="7574"/>
        <v>0</v>
      </c>
      <c r="FM455" s="2">
        <f t="shared" si="7574"/>
        <v>0</v>
      </c>
      <c r="FN455" s="2">
        <f t="shared" si="7574"/>
        <v>0</v>
      </c>
      <c r="FO455" s="2">
        <f t="shared" si="7574"/>
        <v>0</v>
      </c>
      <c r="FP455" s="2">
        <f t="shared" ref="FP455:FQ455" si="7575">(CI455*$BT455+DD455*$CO455)/100</f>
        <v>0</v>
      </c>
      <c r="FQ455" s="2">
        <f t="shared" si="7575"/>
        <v>0</v>
      </c>
      <c r="FR455" s="2"/>
      <c r="FS455" s="2">
        <f t="shared" si="4388"/>
        <v>0</v>
      </c>
      <c r="FT455" s="2">
        <f t="shared" si="4389"/>
        <v>0</v>
      </c>
      <c r="FU455" s="39">
        <f t="shared" si="4390"/>
        <v>0</v>
      </c>
      <c r="FV455" s="39">
        <f t="shared" ref="FV455:FW455" si="7576">FV$1*FC455/1000000</f>
        <v>0</v>
      </c>
      <c r="FW455" s="39">
        <f t="shared" si="7576"/>
        <v>0</v>
      </c>
      <c r="FX455" s="39">
        <f t="shared" ref="FX455:GC455" si="7577">FX$1*FE455</f>
        <v>0</v>
      </c>
      <c r="FY455" s="39">
        <f t="shared" si="7577"/>
        <v>0</v>
      </c>
      <c r="FZ455" s="39">
        <f t="shared" si="7577"/>
        <v>0</v>
      </c>
      <c r="GA455" s="39">
        <f t="shared" si="7577"/>
        <v>0</v>
      </c>
      <c r="GB455" s="39">
        <f t="shared" si="7577"/>
        <v>0</v>
      </c>
      <c r="GC455" s="39">
        <f t="shared" si="7577"/>
        <v>0</v>
      </c>
      <c r="GD455" s="39">
        <f t="shared" ref="GD455:GH455" si="7578">GD$1*FK455/1000000</f>
        <v>0</v>
      </c>
      <c r="GE455" s="39">
        <f t="shared" si="7578"/>
        <v>0</v>
      </c>
      <c r="GF455" s="39">
        <f t="shared" si="7578"/>
        <v>0</v>
      </c>
      <c r="GG455" s="39">
        <f t="shared" si="7578"/>
        <v>0</v>
      </c>
      <c r="GH455" s="39">
        <f t="shared" si="7578"/>
        <v>0</v>
      </c>
      <c r="GI455" s="39">
        <f t="shared" ref="GI455:GJ455" si="7579">GI$1*FP455</f>
        <v>0</v>
      </c>
      <c r="GJ455" s="39">
        <f t="shared" si="7579"/>
        <v>0</v>
      </c>
      <c r="GK455" s="2"/>
      <c r="GL455" s="39">
        <f t="shared" si="4395"/>
        <v>0</v>
      </c>
      <c r="GM455" s="39">
        <f t="shared" si="4396"/>
        <v>0</v>
      </c>
      <c r="GN455" s="2" t="s">
        <v>3</v>
      </c>
      <c r="GO455" s="2">
        <f t="shared" si="4397"/>
        <v>23.6</v>
      </c>
      <c r="GP455" s="19">
        <f t="shared" si="4398"/>
        <v>8.7796610169491529E-2</v>
      </c>
      <c r="GQ455" s="15">
        <f t="shared" si="4399"/>
        <v>20.72</v>
      </c>
      <c r="GR455" s="15">
        <f t="shared" si="4400"/>
        <v>2819.1784985733766</v>
      </c>
      <c r="GS455" s="15">
        <f t="shared" si="4401"/>
        <v>119.45671604124476</v>
      </c>
      <c r="GT455" s="2">
        <f t="shared" si="4402"/>
        <v>8.6800000000000015</v>
      </c>
      <c r="GU455" s="2">
        <f t="shared" si="4403"/>
        <v>10.78</v>
      </c>
      <c r="GV455" s="2">
        <f t="shared" si="4404"/>
        <v>1.26</v>
      </c>
      <c r="GW455" s="2">
        <f t="shared" si="4405"/>
        <v>0</v>
      </c>
      <c r="GX455" s="2"/>
      <c r="GY455" s="2"/>
      <c r="GZ455" s="2"/>
      <c r="HA455" s="2"/>
      <c r="HB455" s="2">
        <f t="shared" si="4406"/>
        <v>0</v>
      </c>
      <c r="HC455" s="2">
        <f t="shared" si="4407"/>
        <v>0</v>
      </c>
      <c r="HD455" s="2" t="s">
        <v>3</v>
      </c>
      <c r="HE455" s="2" t="s">
        <v>89</v>
      </c>
      <c r="HF455" s="2" t="s">
        <v>90</v>
      </c>
      <c r="HG455" s="2"/>
      <c r="HH455" s="2"/>
      <c r="HI455" s="2" t="s">
        <v>81</v>
      </c>
      <c r="HJ455" s="2" t="s">
        <v>3</v>
      </c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 t="s">
        <v>3</v>
      </c>
    </row>
    <row r="456" spans="1:268" ht="15.75" customHeight="1" x14ac:dyDescent="0.2">
      <c r="A456" s="16" t="s">
        <v>296</v>
      </c>
      <c r="B456" s="2" t="s">
        <v>99</v>
      </c>
      <c r="C456" s="2"/>
      <c r="D456" s="2"/>
      <c r="E456" s="2" t="s">
        <v>179</v>
      </c>
      <c r="F456" s="2" t="s">
        <v>297</v>
      </c>
      <c r="G456" s="2"/>
      <c r="H456" s="2" t="s">
        <v>181</v>
      </c>
      <c r="I456" s="2">
        <v>0</v>
      </c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>
        <v>0</v>
      </c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>
        <v>0.1</v>
      </c>
      <c r="AZ456" s="2"/>
      <c r="BA456" s="2"/>
      <c r="BB456" s="2"/>
      <c r="BC456" s="2"/>
      <c r="BD456" s="2"/>
      <c r="BE456" s="2"/>
      <c r="BF456" s="2"/>
      <c r="BG456" s="2">
        <v>1.4</v>
      </c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>
        <v>0</v>
      </c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>
        <v>0</v>
      </c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 t="s">
        <v>81</v>
      </c>
      <c r="DK456" s="2"/>
      <c r="DL456" s="2">
        <f t="shared" si="4367"/>
        <v>1.3999999999999997</v>
      </c>
      <c r="DM456" s="2">
        <f t="shared" si="4368"/>
        <v>0</v>
      </c>
      <c r="DN456" s="2" t="s">
        <v>175</v>
      </c>
      <c r="DO456" s="2" t="s">
        <v>3</v>
      </c>
      <c r="DP456" s="2">
        <f t="shared" si="4369"/>
        <v>0</v>
      </c>
      <c r="DQ456" s="2">
        <f t="shared" ref="DQ456:DR456" si="7580">K456*$I456+AF456*$AD456+BA456*$AY456</f>
        <v>0</v>
      </c>
      <c r="DR456" s="2">
        <f t="shared" si="7580"/>
        <v>0</v>
      </c>
      <c r="DS456" s="2">
        <f t="shared" ref="DS456:DX456" si="7581">(M456*$I456+AH456*$AD456+BC456*$AY456)/100</f>
        <v>0</v>
      </c>
      <c r="DT456" s="2">
        <f t="shared" si="7581"/>
        <v>0</v>
      </c>
      <c r="DU456" s="2">
        <f t="shared" si="7581"/>
        <v>0</v>
      </c>
      <c r="DV456" s="2">
        <f t="shared" si="7581"/>
        <v>0</v>
      </c>
      <c r="DW456" s="2">
        <f t="shared" si="7581"/>
        <v>1.3999999999999998E-3</v>
      </c>
      <c r="DX456" s="2">
        <f t="shared" si="7581"/>
        <v>0</v>
      </c>
      <c r="DY456" s="2">
        <f t="shared" ref="DY456:EC456" si="7582">S456*$I456+AN456*$AD456+BI456*$AY456</f>
        <v>0</v>
      </c>
      <c r="DZ456" s="2">
        <f t="shared" si="7582"/>
        <v>0</v>
      </c>
      <c r="EA456" s="2">
        <f t="shared" si="7582"/>
        <v>0</v>
      </c>
      <c r="EB456" s="2">
        <f t="shared" si="7582"/>
        <v>0</v>
      </c>
      <c r="EC456" s="2">
        <f t="shared" si="7582"/>
        <v>0</v>
      </c>
      <c r="ED456" s="2">
        <f t="shared" ref="ED456:EE456" si="7583">(X456*$I456+AS456*$AD456+BN456*$AY456)/100</f>
        <v>0</v>
      </c>
      <c r="EE456" s="2">
        <f t="shared" si="7583"/>
        <v>0</v>
      </c>
      <c r="EF456" s="2"/>
      <c r="EG456" s="2">
        <f t="shared" si="4374"/>
        <v>0</v>
      </c>
      <c r="EH456" s="2">
        <f t="shared" si="4375"/>
        <v>0</v>
      </c>
      <c r="EI456" s="39">
        <f t="shared" si="4376"/>
        <v>0</v>
      </c>
      <c r="EJ456" s="39">
        <f t="shared" ref="EJ456:EK456" si="7584">EJ$1*DQ456/1000000</f>
        <v>0</v>
      </c>
      <c r="EK456" s="39">
        <f t="shared" si="7584"/>
        <v>0</v>
      </c>
      <c r="EL456" s="39">
        <f t="shared" ref="EL456:EQ456" si="7585">EL$1*DS456</f>
        <v>0</v>
      </c>
      <c r="EM456" s="39">
        <f t="shared" si="7585"/>
        <v>0</v>
      </c>
      <c r="EN456" s="39">
        <f t="shared" si="7585"/>
        <v>0</v>
      </c>
      <c r="EO456" s="39">
        <f t="shared" si="7585"/>
        <v>0</v>
      </c>
      <c r="EP456" s="39">
        <f t="shared" si="7585"/>
        <v>18.359599999999997</v>
      </c>
      <c r="EQ456" s="39">
        <f t="shared" si="7585"/>
        <v>0</v>
      </c>
      <c r="ER456" s="39">
        <f t="shared" ref="ER456:EV456" si="7586">ER$1*DY456/1000000</f>
        <v>0</v>
      </c>
      <c r="ES456" s="39">
        <f t="shared" si="7586"/>
        <v>0</v>
      </c>
      <c r="ET456" s="39">
        <f t="shared" si="7586"/>
        <v>0</v>
      </c>
      <c r="EU456" s="39">
        <f t="shared" si="7586"/>
        <v>0</v>
      </c>
      <c r="EV456" s="39">
        <f t="shared" si="7586"/>
        <v>0</v>
      </c>
      <c r="EW456" s="39">
        <f t="shared" ref="EW456:EX456" si="7587">EW$1*ED456</f>
        <v>0</v>
      </c>
      <c r="EX456" s="39">
        <f t="shared" si="7587"/>
        <v>0</v>
      </c>
      <c r="EY456" s="2"/>
      <c r="EZ456" s="39">
        <f t="shared" si="4381"/>
        <v>0</v>
      </c>
      <c r="FA456" s="39">
        <f t="shared" si="4382"/>
        <v>0</v>
      </c>
      <c r="FB456" s="2">
        <f t="shared" si="4383"/>
        <v>0</v>
      </c>
      <c r="FC456" s="2">
        <f t="shared" ref="FC456:FD456" si="7588">BV456*$BT456+CQ456*$CO456</f>
        <v>0</v>
      </c>
      <c r="FD456" s="2">
        <f t="shared" si="7588"/>
        <v>0</v>
      </c>
      <c r="FE456" s="2">
        <f t="shared" ref="FE456:FJ456" si="7589">(BX456*$BT456+CS456*$CO456)/100</f>
        <v>0</v>
      </c>
      <c r="FF456" s="2">
        <f t="shared" si="7589"/>
        <v>0</v>
      </c>
      <c r="FG456" s="2">
        <f t="shared" si="7589"/>
        <v>0</v>
      </c>
      <c r="FH456" s="2">
        <f t="shared" si="7589"/>
        <v>0</v>
      </c>
      <c r="FI456" s="2">
        <f t="shared" si="7589"/>
        <v>0</v>
      </c>
      <c r="FJ456" s="2">
        <f t="shared" si="7589"/>
        <v>0</v>
      </c>
      <c r="FK456" s="2">
        <f t="shared" ref="FK456:FO456" si="7590">CD456*$BT456+CY456*$CO456</f>
        <v>0</v>
      </c>
      <c r="FL456" s="2">
        <f t="shared" si="7590"/>
        <v>0</v>
      </c>
      <c r="FM456" s="2">
        <f t="shared" si="7590"/>
        <v>0</v>
      </c>
      <c r="FN456" s="2">
        <f t="shared" si="7590"/>
        <v>0</v>
      </c>
      <c r="FO456" s="2">
        <f t="shared" si="7590"/>
        <v>0</v>
      </c>
      <c r="FP456" s="2">
        <f t="shared" ref="FP456:FQ456" si="7591">(CI456*$BT456+DD456*$CO456)/100</f>
        <v>0</v>
      </c>
      <c r="FQ456" s="2">
        <f t="shared" si="7591"/>
        <v>0</v>
      </c>
      <c r="FR456" s="2"/>
      <c r="FS456" s="2">
        <f t="shared" si="4388"/>
        <v>0</v>
      </c>
      <c r="FT456" s="2">
        <f t="shared" si="4389"/>
        <v>0</v>
      </c>
      <c r="FU456" s="39">
        <f t="shared" si="4390"/>
        <v>0</v>
      </c>
      <c r="FV456" s="39">
        <f t="shared" ref="FV456:FW456" si="7592">FV$1*FC456/1000000</f>
        <v>0</v>
      </c>
      <c r="FW456" s="39">
        <f t="shared" si="7592"/>
        <v>0</v>
      </c>
      <c r="FX456" s="39">
        <f t="shared" ref="FX456:GC456" si="7593">FX$1*FE456</f>
        <v>0</v>
      </c>
      <c r="FY456" s="39">
        <f t="shared" si="7593"/>
        <v>0</v>
      </c>
      <c r="FZ456" s="39">
        <f t="shared" si="7593"/>
        <v>0</v>
      </c>
      <c r="GA456" s="39">
        <f t="shared" si="7593"/>
        <v>0</v>
      </c>
      <c r="GB456" s="39">
        <f t="shared" si="7593"/>
        <v>0</v>
      </c>
      <c r="GC456" s="39">
        <f t="shared" si="7593"/>
        <v>0</v>
      </c>
      <c r="GD456" s="39">
        <f t="shared" ref="GD456:GH456" si="7594">GD$1*FK456/1000000</f>
        <v>0</v>
      </c>
      <c r="GE456" s="39">
        <f t="shared" si="7594"/>
        <v>0</v>
      </c>
      <c r="GF456" s="39">
        <f t="shared" si="7594"/>
        <v>0</v>
      </c>
      <c r="GG456" s="39">
        <f t="shared" si="7594"/>
        <v>0</v>
      </c>
      <c r="GH456" s="39">
        <f t="shared" si="7594"/>
        <v>0</v>
      </c>
      <c r="GI456" s="39">
        <f t="shared" ref="GI456:GJ456" si="7595">GI$1*FP456</f>
        <v>0</v>
      </c>
      <c r="GJ456" s="39">
        <f t="shared" si="7595"/>
        <v>0</v>
      </c>
      <c r="GK456" s="2"/>
      <c r="GL456" s="39">
        <f t="shared" si="4395"/>
        <v>0</v>
      </c>
      <c r="GM456" s="39">
        <f t="shared" si="4396"/>
        <v>0</v>
      </c>
      <c r="GN456" s="2" t="s">
        <v>3</v>
      </c>
      <c r="GO456" s="2">
        <f t="shared" si="4397"/>
        <v>0.1</v>
      </c>
      <c r="GP456" s="2">
        <f t="shared" si="4398"/>
        <v>1.3999999999999997</v>
      </c>
      <c r="GQ456" s="15">
        <f t="shared" si="4399"/>
        <v>1.3999999999999997</v>
      </c>
      <c r="GR456" s="15">
        <f t="shared" si="4400"/>
        <v>18.359599999999997</v>
      </c>
      <c r="GS456" s="15">
        <f t="shared" si="4401"/>
        <v>183.59599999999995</v>
      </c>
      <c r="GT456" s="2">
        <f t="shared" si="4402"/>
        <v>0</v>
      </c>
      <c r="GU456" s="2">
        <f t="shared" si="4403"/>
        <v>0</v>
      </c>
      <c r="GV456" s="2">
        <f t="shared" si="4404"/>
        <v>1.3999999999999997</v>
      </c>
      <c r="GW456" s="2">
        <f t="shared" si="4405"/>
        <v>0</v>
      </c>
      <c r="GX456" s="2"/>
      <c r="GY456" s="2"/>
      <c r="GZ456" s="2"/>
      <c r="HA456" s="2"/>
      <c r="HB456" s="2">
        <f t="shared" si="4406"/>
        <v>0</v>
      </c>
      <c r="HC456" s="2">
        <f t="shared" si="4407"/>
        <v>0</v>
      </c>
      <c r="HD456" s="2" t="s">
        <v>3</v>
      </c>
      <c r="HE456" s="2" t="s">
        <v>89</v>
      </c>
      <c r="HF456" s="2" t="s">
        <v>90</v>
      </c>
      <c r="HG456" s="2"/>
      <c r="HH456" s="2"/>
      <c r="HI456" s="2" t="s">
        <v>81</v>
      </c>
      <c r="HJ456" s="2" t="s">
        <v>3</v>
      </c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 t="s">
        <v>3</v>
      </c>
    </row>
    <row r="457" spans="1:268" ht="15.75" customHeight="1" x14ac:dyDescent="0.2">
      <c r="A457" s="16" t="s">
        <v>475</v>
      </c>
      <c r="B457" s="2" t="s">
        <v>99</v>
      </c>
      <c r="C457" s="2"/>
      <c r="D457" s="2"/>
      <c r="E457" s="2" t="s">
        <v>78</v>
      </c>
      <c r="F457" s="2" t="s">
        <v>476</v>
      </c>
      <c r="G457" s="2" t="s">
        <v>477</v>
      </c>
      <c r="H457" s="2" t="s">
        <v>348</v>
      </c>
      <c r="I457" s="2">
        <v>0</v>
      </c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>
        <v>0</v>
      </c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>
        <v>14.3</v>
      </c>
      <c r="AZ457" s="19">
        <v>2.1700000000000001E-2</v>
      </c>
      <c r="BA457" s="2"/>
      <c r="BB457" s="2"/>
      <c r="BC457" s="2"/>
      <c r="BD457" s="2"/>
      <c r="BE457" s="2"/>
      <c r="BF457" s="2"/>
      <c r="BG457" s="19">
        <v>6.6600000000000006E-2</v>
      </c>
      <c r="BH457" s="19">
        <v>2.0799999999999999E-2</v>
      </c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>
        <v>0</v>
      </c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>
        <v>0</v>
      </c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 t="s">
        <v>81</v>
      </c>
      <c r="DK457" s="2" t="s">
        <v>81</v>
      </c>
      <c r="DL457" s="2">
        <f t="shared" si="4367"/>
        <v>6.6600000000000006E-2</v>
      </c>
      <c r="DM457" s="2">
        <f t="shared" si="4368"/>
        <v>2.0799999999999999E-2</v>
      </c>
      <c r="DN457" s="2" t="s">
        <v>478</v>
      </c>
      <c r="DO457" s="2" t="s">
        <v>3</v>
      </c>
      <c r="DP457" s="2">
        <f t="shared" si="4369"/>
        <v>3.1031000000000001E-3</v>
      </c>
      <c r="DQ457" s="2">
        <f t="shared" ref="DQ457:DR457" si="7596">K457*$I457+AF457*$AD457+BA457*$AY457</f>
        <v>0</v>
      </c>
      <c r="DR457" s="2">
        <f t="shared" si="7596"/>
        <v>0</v>
      </c>
      <c r="DS457" s="2">
        <f t="shared" ref="DS457:DX457" si="7597">(M457*$I457+AH457*$AD457+BC457*$AY457)/100</f>
        <v>0</v>
      </c>
      <c r="DT457" s="2">
        <f t="shared" si="7597"/>
        <v>0</v>
      </c>
      <c r="DU457" s="2">
        <f t="shared" si="7597"/>
        <v>0</v>
      </c>
      <c r="DV457" s="2">
        <f t="shared" si="7597"/>
        <v>0</v>
      </c>
      <c r="DW457" s="2">
        <f t="shared" si="7597"/>
        <v>9.5238000000000007E-3</v>
      </c>
      <c r="DX457" s="2">
        <f t="shared" si="7597"/>
        <v>2.9743999999999999E-3</v>
      </c>
      <c r="DY457" s="2">
        <f t="shared" ref="DY457:EC457" si="7598">S457*$I457+AN457*$AD457+BI457*$AY457</f>
        <v>0</v>
      </c>
      <c r="DZ457" s="2">
        <f t="shared" si="7598"/>
        <v>0</v>
      </c>
      <c r="EA457" s="2">
        <f t="shared" si="7598"/>
        <v>0</v>
      </c>
      <c r="EB457" s="2">
        <f t="shared" si="7598"/>
        <v>0</v>
      </c>
      <c r="EC457" s="2">
        <f t="shared" si="7598"/>
        <v>0</v>
      </c>
      <c r="ED457" s="2">
        <f t="shared" ref="ED457:EE457" si="7599">(X457*$I457+AS457*$AD457+BN457*$AY457)/100</f>
        <v>0</v>
      </c>
      <c r="EE457" s="2">
        <f t="shared" si="7599"/>
        <v>0</v>
      </c>
      <c r="EF457" s="2"/>
      <c r="EG457" s="2">
        <f t="shared" si="4374"/>
        <v>0</v>
      </c>
      <c r="EH457" s="2">
        <f t="shared" si="4375"/>
        <v>0</v>
      </c>
      <c r="EI457" s="39">
        <f t="shared" si="4376"/>
        <v>20.249639009599999</v>
      </c>
      <c r="EJ457" s="39">
        <f t="shared" ref="EJ457:EK457" si="7600">EJ$1*DQ457/1000000</f>
        <v>0</v>
      </c>
      <c r="EK457" s="39">
        <f t="shared" si="7600"/>
        <v>0</v>
      </c>
      <c r="EL457" s="39">
        <f t="shared" ref="EL457:EQ457" si="7601">EL$1*DS457</f>
        <v>0</v>
      </c>
      <c r="EM457" s="39">
        <f t="shared" si="7601"/>
        <v>0</v>
      </c>
      <c r="EN457" s="39">
        <f t="shared" si="7601"/>
        <v>0</v>
      </c>
      <c r="EO457" s="39">
        <f t="shared" si="7601"/>
        <v>0</v>
      </c>
      <c r="EP457" s="39">
        <f t="shared" si="7601"/>
        <v>124.89511320000001</v>
      </c>
      <c r="EQ457" s="39">
        <f t="shared" si="7601"/>
        <v>215.99951218559997</v>
      </c>
      <c r="ER457" s="39">
        <f t="shared" ref="ER457:EV457" si="7602">ER$1*DY457/1000000</f>
        <v>0</v>
      </c>
      <c r="ES457" s="39">
        <f t="shared" si="7602"/>
        <v>0</v>
      </c>
      <c r="ET457" s="39">
        <f t="shared" si="7602"/>
        <v>0</v>
      </c>
      <c r="EU457" s="39">
        <f t="shared" si="7602"/>
        <v>0</v>
      </c>
      <c r="EV457" s="39">
        <f t="shared" si="7602"/>
        <v>0</v>
      </c>
      <c r="EW457" s="39">
        <f t="shared" ref="EW457:EX457" si="7603">EW$1*ED457</f>
        <v>0</v>
      </c>
      <c r="EX457" s="39">
        <f t="shared" si="7603"/>
        <v>0</v>
      </c>
      <c r="EY457" s="2"/>
      <c r="EZ457" s="39">
        <f t="shared" si="4381"/>
        <v>0</v>
      </c>
      <c r="FA457" s="39">
        <f t="shared" si="4382"/>
        <v>0</v>
      </c>
      <c r="FB457" s="2">
        <f t="shared" si="4383"/>
        <v>0</v>
      </c>
      <c r="FC457" s="2">
        <f t="shared" ref="FC457:FD457" si="7604">BV457*$BT457+CQ457*$CO457</f>
        <v>0</v>
      </c>
      <c r="FD457" s="2">
        <f t="shared" si="7604"/>
        <v>0</v>
      </c>
      <c r="FE457" s="2">
        <f t="shared" ref="FE457:FJ457" si="7605">(BX457*$BT457+CS457*$CO457)/100</f>
        <v>0</v>
      </c>
      <c r="FF457" s="2">
        <f t="shared" si="7605"/>
        <v>0</v>
      </c>
      <c r="FG457" s="2">
        <f t="shared" si="7605"/>
        <v>0</v>
      </c>
      <c r="FH457" s="2">
        <f t="shared" si="7605"/>
        <v>0</v>
      </c>
      <c r="FI457" s="2">
        <f t="shared" si="7605"/>
        <v>0</v>
      </c>
      <c r="FJ457" s="2">
        <f t="shared" si="7605"/>
        <v>0</v>
      </c>
      <c r="FK457" s="2">
        <f t="shared" ref="FK457:FO457" si="7606">CD457*$BT457+CY457*$CO457</f>
        <v>0</v>
      </c>
      <c r="FL457" s="2">
        <f t="shared" si="7606"/>
        <v>0</v>
      </c>
      <c r="FM457" s="2">
        <f t="shared" si="7606"/>
        <v>0</v>
      </c>
      <c r="FN457" s="2">
        <f t="shared" si="7606"/>
        <v>0</v>
      </c>
      <c r="FO457" s="2">
        <f t="shared" si="7606"/>
        <v>0</v>
      </c>
      <c r="FP457" s="2">
        <f t="shared" ref="FP457:FQ457" si="7607">(CI457*$BT457+DD457*$CO457)/100</f>
        <v>0</v>
      </c>
      <c r="FQ457" s="2">
        <f t="shared" si="7607"/>
        <v>0</v>
      </c>
      <c r="FR457" s="2"/>
      <c r="FS457" s="2">
        <f t="shared" si="4388"/>
        <v>0</v>
      </c>
      <c r="FT457" s="2">
        <f t="shared" si="4389"/>
        <v>0</v>
      </c>
      <c r="FU457" s="39">
        <f t="shared" si="4390"/>
        <v>0</v>
      </c>
      <c r="FV457" s="39">
        <f t="shared" ref="FV457:FW457" si="7608">FV$1*FC457/1000000</f>
        <v>0</v>
      </c>
      <c r="FW457" s="39">
        <f t="shared" si="7608"/>
        <v>0</v>
      </c>
      <c r="FX457" s="39">
        <f t="shared" ref="FX457:GC457" si="7609">FX$1*FE457</f>
        <v>0</v>
      </c>
      <c r="FY457" s="39">
        <f t="shared" si="7609"/>
        <v>0</v>
      </c>
      <c r="FZ457" s="39">
        <f t="shared" si="7609"/>
        <v>0</v>
      </c>
      <c r="GA457" s="39">
        <f t="shared" si="7609"/>
        <v>0</v>
      </c>
      <c r="GB457" s="39">
        <f t="shared" si="7609"/>
        <v>0</v>
      </c>
      <c r="GC457" s="39">
        <f t="shared" si="7609"/>
        <v>0</v>
      </c>
      <c r="GD457" s="39">
        <f t="shared" ref="GD457:GH457" si="7610">GD$1*FK457/1000000</f>
        <v>0</v>
      </c>
      <c r="GE457" s="39">
        <f t="shared" si="7610"/>
        <v>0</v>
      </c>
      <c r="GF457" s="39">
        <f t="shared" si="7610"/>
        <v>0</v>
      </c>
      <c r="GG457" s="39">
        <f t="shared" si="7610"/>
        <v>0</v>
      </c>
      <c r="GH457" s="39">
        <f t="shared" si="7610"/>
        <v>0</v>
      </c>
      <c r="GI457" s="39">
        <f t="shared" ref="GI457:GJ457" si="7611">GI$1*FP457</f>
        <v>0</v>
      </c>
      <c r="GJ457" s="39">
        <f t="shared" si="7611"/>
        <v>0</v>
      </c>
      <c r="GK457" s="2"/>
      <c r="GL457" s="39">
        <f t="shared" si="4395"/>
        <v>0</v>
      </c>
      <c r="GM457" s="39">
        <f t="shared" si="4396"/>
        <v>0</v>
      </c>
      <c r="GN457" s="2" t="s">
        <v>3</v>
      </c>
      <c r="GO457" s="2">
        <f t="shared" si="4397"/>
        <v>14.3</v>
      </c>
      <c r="GP457" s="19">
        <f t="shared" si="4398"/>
        <v>6.6600000000000006E-2</v>
      </c>
      <c r="GQ457" s="15">
        <f t="shared" si="4399"/>
        <v>9.5238000000000014</v>
      </c>
      <c r="GR457" s="15">
        <f t="shared" si="4400"/>
        <v>361.14426439519997</v>
      </c>
      <c r="GS457" s="15">
        <f t="shared" si="4401"/>
        <v>25.254843663999996</v>
      </c>
      <c r="GT457" s="2">
        <f t="shared" si="4402"/>
        <v>0</v>
      </c>
      <c r="GU457" s="2">
        <f t="shared" si="4403"/>
        <v>0</v>
      </c>
      <c r="GV457" s="2">
        <f t="shared" si="4404"/>
        <v>9.5238000000000014</v>
      </c>
      <c r="GW457" s="2">
        <f t="shared" si="4405"/>
        <v>0</v>
      </c>
      <c r="GX457" s="2"/>
      <c r="GY457" s="2"/>
      <c r="GZ457" s="2"/>
      <c r="HA457" s="2"/>
      <c r="HB457" s="2">
        <f t="shared" si="4406"/>
        <v>0</v>
      </c>
      <c r="HC457" s="2">
        <f t="shared" si="4407"/>
        <v>0</v>
      </c>
      <c r="HD457" s="2" t="s">
        <v>3</v>
      </c>
      <c r="HE457" s="2" t="s">
        <v>89</v>
      </c>
      <c r="HF457" s="2" t="s">
        <v>90</v>
      </c>
      <c r="HG457" s="2"/>
      <c r="HH457" s="2" t="s">
        <v>479</v>
      </c>
      <c r="HI457" s="2" t="s">
        <v>81</v>
      </c>
      <c r="HJ457" s="2" t="s">
        <v>3</v>
      </c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 t="s">
        <v>3</v>
      </c>
    </row>
    <row r="458" spans="1:268" ht="15.75" customHeight="1" x14ac:dyDescent="0.2">
      <c r="A458" s="16" t="s">
        <v>870</v>
      </c>
      <c r="B458" s="2" t="s">
        <v>120</v>
      </c>
      <c r="C458" s="2"/>
      <c r="D458" s="2"/>
      <c r="E458" s="2" t="s">
        <v>179</v>
      </c>
      <c r="F458" s="2" t="s">
        <v>871</v>
      </c>
      <c r="G458" s="2"/>
      <c r="H458" s="2" t="s">
        <v>181</v>
      </c>
      <c r="I458" s="2">
        <v>0</v>
      </c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>
        <f>0.524+1.459</f>
        <v>1.9830000000000001</v>
      </c>
      <c r="AE458" s="4">
        <f>(0.6*0.524+0.7*1.459)/AD458</f>
        <v>0.67357539082198692</v>
      </c>
      <c r="AF458" s="2"/>
      <c r="AG458" s="2"/>
      <c r="AH458" s="2"/>
      <c r="AI458" s="2"/>
      <c r="AJ458" s="2"/>
      <c r="AK458" s="2"/>
      <c r="AL458" s="4">
        <f>(0.6*0.524+0.5*1.459)/AD458</f>
        <v>0.52642460917801315</v>
      </c>
      <c r="AM458" s="2">
        <v>0.04</v>
      </c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>
        <f>1.305+1.865</f>
        <v>3.17</v>
      </c>
      <c r="AZ458" s="4">
        <f>(0.64*1.305+0.49*1.865)/AY458</f>
        <v>0.55175078864353311</v>
      </c>
      <c r="BA458" s="2"/>
      <c r="BB458" s="2"/>
      <c r="BC458" s="2"/>
      <c r="BD458" s="2"/>
      <c r="BE458" s="2"/>
      <c r="BF458" s="2"/>
      <c r="BG458" s="4">
        <f>(0.47*1.305+0.43*1.865)/AY458</f>
        <v>0.44646687697160875</v>
      </c>
      <c r="BH458" s="2">
        <v>0.04</v>
      </c>
      <c r="BI458" s="2"/>
      <c r="BJ458" s="4">
        <f>(0.62*2.069)/AY458</f>
        <v>0.40466246056782335</v>
      </c>
      <c r="BK458" s="2"/>
      <c r="BL458" s="2"/>
      <c r="BM458" s="2"/>
      <c r="BN458" s="2"/>
      <c r="BO458" s="2"/>
      <c r="BP458" s="2"/>
      <c r="BQ458" s="2"/>
      <c r="BR458" s="2"/>
      <c r="BS458" s="2"/>
      <c r="BT458" s="2">
        <v>0</v>
      </c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>
        <v>0</v>
      </c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 t="s">
        <v>81</v>
      </c>
      <c r="DK458" s="2" t="s">
        <v>81</v>
      </c>
      <c r="DL458" s="2">
        <f t="shared" si="4367"/>
        <v>0.47723656122646996</v>
      </c>
      <c r="DM458" s="2">
        <f t="shared" si="4368"/>
        <v>3.9999999999999994E-2</v>
      </c>
      <c r="DN458" s="2" t="s">
        <v>175</v>
      </c>
      <c r="DO458" s="2" t="s">
        <v>3</v>
      </c>
      <c r="DP458" s="2">
        <f t="shared" si="4369"/>
        <v>3.08475E-2</v>
      </c>
      <c r="DQ458" s="2">
        <f t="shared" ref="DQ458:DR458" si="7612">K458*$I458+AF458*$AD458+BA458*$AY458</f>
        <v>0</v>
      </c>
      <c r="DR458" s="2">
        <f t="shared" si="7612"/>
        <v>0</v>
      </c>
      <c r="DS458" s="2">
        <f t="shared" ref="DS458:DX458" si="7613">(M458*$I458+AH458*$AD458+BC458*$AY458)/100</f>
        <v>0</v>
      </c>
      <c r="DT458" s="2">
        <f t="shared" si="7613"/>
        <v>0</v>
      </c>
      <c r="DU458" s="2">
        <f t="shared" si="7613"/>
        <v>0</v>
      </c>
      <c r="DV458" s="2">
        <f t="shared" si="7613"/>
        <v>0</v>
      </c>
      <c r="DW458" s="2">
        <f t="shared" si="7613"/>
        <v>2.4591999999999999E-2</v>
      </c>
      <c r="DX458" s="2">
        <f t="shared" si="7613"/>
        <v>2.0612E-3</v>
      </c>
      <c r="DY458" s="2">
        <f t="shared" ref="DY458:EC458" si="7614">S458*$I458+AN458*$AD458+BI458*$AY458</f>
        <v>0</v>
      </c>
      <c r="DZ458" s="2">
        <f t="shared" si="7614"/>
        <v>1.28278</v>
      </c>
      <c r="EA458" s="2">
        <f t="shared" si="7614"/>
        <v>0</v>
      </c>
      <c r="EB458" s="2">
        <f t="shared" si="7614"/>
        <v>0</v>
      </c>
      <c r="EC458" s="2">
        <f t="shared" si="7614"/>
        <v>0</v>
      </c>
      <c r="ED458" s="2">
        <f t="shared" ref="ED458:EE458" si="7615">(X458*$I458+AS458*$AD458+BN458*$AY458)/100</f>
        <v>0</v>
      </c>
      <c r="EE458" s="2">
        <f t="shared" si="7615"/>
        <v>0</v>
      </c>
      <c r="EF458" s="2"/>
      <c r="EG458" s="2">
        <f t="shared" si="4374"/>
        <v>0</v>
      </c>
      <c r="EH458" s="2">
        <f t="shared" si="4375"/>
        <v>0</v>
      </c>
      <c r="EI458" s="39">
        <f t="shared" si="4376"/>
        <v>201.29893956000001</v>
      </c>
      <c r="EJ458" s="39">
        <f t="shared" ref="EJ458:EK458" si="7616">EJ$1*DQ458/1000000</f>
        <v>0</v>
      </c>
      <c r="EK458" s="39">
        <f t="shared" si="7616"/>
        <v>0</v>
      </c>
      <c r="EL458" s="39">
        <f t="shared" ref="EL458:EQ458" si="7617">EL$1*DS458</f>
        <v>0</v>
      </c>
      <c r="EM458" s="39">
        <f t="shared" si="7617"/>
        <v>0</v>
      </c>
      <c r="EN458" s="39">
        <f t="shared" si="7617"/>
        <v>0</v>
      </c>
      <c r="EO458" s="39">
        <f t="shared" si="7617"/>
        <v>0</v>
      </c>
      <c r="EP458" s="39">
        <f t="shared" si="7617"/>
        <v>322.49948799999999</v>
      </c>
      <c r="EQ458" s="39">
        <f t="shared" si="7617"/>
        <v>149.68336286879997</v>
      </c>
      <c r="ER458" s="39">
        <f t="shared" ref="ER458:EV458" si="7618">ER$1*DY458/1000000</f>
        <v>0</v>
      </c>
      <c r="ES458" s="39">
        <f t="shared" si="7618"/>
        <v>42.749571556270098</v>
      </c>
      <c r="ET458" s="39">
        <f t="shared" si="7618"/>
        <v>0</v>
      </c>
      <c r="EU458" s="39">
        <f t="shared" si="7618"/>
        <v>0</v>
      </c>
      <c r="EV458" s="39">
        <f t="shared" si="7618"/>
        <v>0</v>
      </c>
      <c r="EW458" s="39">
        <f t="shared" ref="EW458:EX458" si="7619">EW$1*ED458</f>
        <v>0</v>
      </c>
      <c r="EX458" s="39">
        <f t="shared" si="7619"/>
        <v>0</v>
      </c>
      <c r="EY458" s="2"/>
      <c r="EZ458" s="39">
        <f t="shared" si="4381"/>
        <v>0</v>
      </c>
      <c r="FA458" s="39">
        <f t="shared" si="4382"/>
        <v>0</v>
      </c>
      <c r="FB458" s="2">
        <f t="shared" si="4383"/>
        <v>0</v>
      </c>
      <c r="FC458" s="2">
        <f t="shared" ref="FC458:FD458" si="7620">BV458*$BT458+CQ458*$CO458</f>
        <v>0</v>
      </c>
      <c r="FD458" s="2">
        <f t="shared" si="7620"/>
        <v>0</v>
      </c>
      <c r="FE458" s="2">
        <f t="shared" ref="FE458:FJ458" si="7621">(BX458*$BT458+CS458*$CO458)/100</f>
        <v>0</v>
      </c>
      <c r="FF458" s="2">
        <f t="shared" si="7621"/>
        <v>0</v>
      </c>
      <c r="FG458" s="2">
        <f t="shared" si="7621"/>
        <v>0</v>
      </c>
      <c r="FH458" s="2">
        <f t="shared" si="7621"/>
        <v>0</v>
      </c>
      <c r="FI458" s="2">
        <f t="shared" si="7621"/>
        <v>0</v>
      </c>
      <c r="FJ458" s="2">
        <f t="shared" si="7621"/>
        <v>0</v>
      </c>
      <c r="FK458" s="2">
        <f t="shared" ref="FK458:FO458" si="7622">CD458*$BT458+CY458*$CO458</f>
        <v>0</v>
      </c>
      <c r="FL458" s="2">
        <f t="shared" si="7622"/>
        <v>0</v>
      </c>
      <c r="FM458" s="2">
        <f t="shared" si="7622"/>
        <v>0</v>
      </c>
      <c r="FN458" s="2">
        <f t="shared" si="7622"/>
        <v>0</v>
      </c>
      <c r="FO458" s="2">
        <f t="shared" si="7622"/>
        <v>0</v>
      </c>
      <c r="FP458" s="2">
        <f t="shared" ref="FP458:FQ458" si="7623">(CI458*$BT458+DD458*$CO458)/100</f>
        <v>0</v>
      </c>
      <c r="FQ458" s="2">
        <f t="shared" si="7623"/>
        <v>0</v>
      </c>
      <c r="FR458" s="2"/>
      <c r="FS458" s="2">
        <f t="shared" si="4388"/>
        <v>0</v>
      </c>
      <c r="FT458" s="2">
        <f t="shared" si="4389"/>
        <v>0</v>
      </c>
      <c r="FU458" s="39">
        <f t="shared" si="4390"/>
        <v>0</v>
      </c>
      <c r="FV458" s="39">
        <f t="shared" ref="FV458:FW458" si="7624">FV$1*FC458/1000000</f>
        <v>0</v>
      </c>
      <c r="FW458" s="39">
        <f t="shared" si="7624"/>
        <v>0</v>
      </c>
      <c r="FX458" s="39">
        <f t="shared" ref="FX458:GC458" si="7625">FX$1*FE458</f>
        <v>0</v>
      </c>
      <c r="FY458" s="39">
        <f t="shared" si="7625"/>
        <v>0</v>
      </c>
      <c r="FZ458" s="39">
        <f t="shared" si="7625"/>
        <v>0</v>
      </c>
      <c r="GA458" s="39">
        <f t="shared" si="7625"/>
        <v>0</v>
      </c>
      <c r="GB458" s="39">
        <f t="shared" si="7625"/>
        <v>0</v>
      </c>
      <c r="GC458" s="39">
        <f t="shared" si="7625"/>
        <v>0</v>
      </c>
      <c r="GD458" s="39">
        <f t="shared" ref="GD458:GH458" si="7626">GD$1*FK458/1000000</f>
        <v>0</v>
      </c>
      <c r="GE458" s="39">
        <f t="shared" si="7626"/>
        <v>0</v>
      </c>
      <c r="GF458" s="39">
        <f t="shared" si="7626"/>
        <v>0</v>
      </c>
      <c r="GG458" s="39">
        <f t="shared" si="7626"/>
        <v>0</v>
      </c>
      <c r="GH458" s="39">
        <f t="shared" si="7626"/>
        <v>0</v>
      </c>
      <c r="GI458" s="39">
        <f t="shared" ref="GI458:GJ458" si="7627">GI$1*FP458</f>
        <v>0</v>
      </c>
      <c r="GJ458" s="39">
        <f t="shared" si="7627"/>
        <v>0</v>
      </c>
      <c r="GK458" s="2"/>
      <c r="GL458" s="39">
        <f t="shared" si="4395"/>
        <v>0</v>
      </c>
      <c r="GM458" s="39">
        <f t="shared" si="4396"/>
        <v>0</v>
      </c>
      <c r="GN458" s="2" t="s">
        <v>3</v>
      </c>
      <c r="GO458" s="2">
        <f t="shared" si="4397"/>
        <v>5.1530000000000005</v>
      </c>
      <c r="GP458" s="4">
        <f t="shared" si="4398"/>
        <v>0.47723656122646996</v>
      </c>
      <c r="GQ458" s="15">
        <f t="shared" si="4399"/>
        <v>24.592000000000002</v>
      </c>
      <c r="GR458" s="15">
        <f t="shared" si="4400"/>
        <v>716.23136198507007</v>
      </c>
      <c r="GS458" s="15">
        <f t="shared" si="4401"/>
        <v>138.9930840258238</v>
      </c>
      <c r="GT458" s="2">
        <f t="shared" si="4402"/>
        <v>0</v>
      </c>
      <c r="GU458" s="2">
        <f t="shared" si="4403"/>
        <v>10.439</v>
      </c>
      <c r="GV458" s="2">
        <f t="shared" si="4404"/>
        <v>14.152999999999997</v>
      </c>
      <c r="GW458" s="2">
        <f t="shared" si="4405"/>
        <v>0</v>
      </c>
      <c r="GX458" s="2"/>
      <c r="GY458" s="2"/>
      <c r="GZ458" s="2"/>
      <c r="HA458" s="2"/>
      <c r="HB458" s="2">
        <f t="shared" si="4406"/>
        <v>0</v>
      </c>
      <c r="HC458" s="2">
        <f t="shared" si="4407"/>
        <v>0</v>
      </c>
      <c r="HD458" s="2" t="s">
        <v>3</v>
      </c>
      <c r="HE458" s="2" t="s">
        <v>89</v>
      </c>
      <c r="HF458" s="2" t="s">
        <v>90</v>
      </c>
      <c r="HG458" s="2"/>
      <c r="HH458" s="2"/>
      <c r="HI458" s="2" t="s">
        <v>81</v>
      </c>
      <c r="HJ458" s="2" t="s">
        <v>3</v>
      </c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 t="s">
        <v>3</v>
      </c>
    </row>
    <row r="459" spans="1:268" ht="15.75" customHeight="1" x14ac:dyDescent="0.2">
      <c r="A459" s="16" t="s">
        <v>1223</v>
      </c>
      <c r="B459" s="2" t="s">
        <v>120</v>
      </c>
      <c r="C459" s="2"/>
      <c r="D459" s="2"/>
      <c r="E459" s="2"/>
      <c r="F459" s="2" t="s">
        <v>536</v>
      </c>
      <c r="G459" s="2"/>
      <c r="H459" s="2"/>
      <c r="I459" s="2">
        <v>0</v>
      </c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>
        <v>124</v>
      </c>
      <c r="AE459" s="2">
        <v>0.27</v>
      </c>
      <c r="AF459" s="2"/>
      <c r="AG459" s="2"/>
      <c r="AH459" s="2"/>
      <c r="AI459" s="2"/>
      <c r="AJ459" s="2"/>
      <c r="AK459" s="2"/>
      <c r="AL459" s="2">
        <v>0.23</v>
      </c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>
        <v>11.3</v>
      </c>
      <c r="AZ459" s="2">
        <v>0.3</v>
      </c>
      <c r="BA459" s="2"/>
      <c r="BB459" s="2"/>
      <c r="BC459" s="2"/>
      <c r="BD459" s="2"/>
      <c r="BE459" s="2"/>
      <c r="BF459" s="2"/>
      <c r="BG459" s="2">
        <v>0.27</v>
      </c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>
        <v>0</v>
      </c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>
        <v>0</v>
      </c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 t="s">
        <v>81</v>
      </c>
      <c r="DK459" s="2"/>
      <c r="DL459" s="2">
        <f t="shared" si="4367"/>
        <v>0.23334072431633407</v>
      </c>
      <c r="DM459" s="2">
        <f t="shared" si="4368"/>
        <v>0</v>
      </c>
      <c r="DN459" s="2" t="s">
        <v>1222</v>
      </c>
      <c r="DO459" s="2" t="s">
        <v>3</v>
      </c>
      <c r="DP459" s="2">
        <f t="shared" si="4369"/>
        <v>0.36870000000000003</v>
      </c>
      <c r="DQ459" s="2">
        <f t="shared" ref="DQ459:DR459" si="7628">K459*$I459+AF459*$AD459+BA459*$AY459</f>
        <v>0</v>
      </c>
      <c r="DR459" s="2">
        <f t="shared" si="7628"/>
        <v>0</v>
      </c>
      <c r="DS459" s="2">
        <f t="shared" ref="DS459:DX459" si="7629">(M459*$I459+AH459*$AD459+BC459*$AY459)/100</f>
        <v>0</v>
      </c>
      <c r="DT459" s="2">
        <f t="shared" si="7629"/>
        <v>0</v>
      </c>
      <c r="DU459" s="2">
        <f t="shared" si="7629"/>
        <v>0</v>
      </c>
      <c r="DV459" s="2">
        <f t="shared" si="7629"/>
        <v>0</v>
      </c>
      <c r="DW459" s="2">
        <f t="shared" si="7629"/>
        <v>0.31570999999999999</v>
      </c>
      <c r="DX459" s="2">
        <f t="shared" si="7629"/>
        <v>0</v>
      </c>
      <c r="DY459" s="2">
        <f t="shared" ref="DY459:EC459" si="7630">S459*$I459+AN459*$AD459+BI459*$AY459</f>
        <v>0</v>
      </c>
      <c r="DZ459" s="2">
        <f t="shared" si="7630"/>
        <v>0</v>
      </c>
      <c r="EA459" s="2">
        <f t="shared" si="7630"/>
        <v>0</v>
      </c>
      <c r="EB459" s="2">
        <f t="shared" si="7630"/>
        <v>0</v>
      </c>
      <c r="EC459" s="2">
        <f t="shared" si="7630"/>
        <v>0</v>
      </c>
      <c r="ED459" s="2">
        <f t="shared" ref="ED459:EE459" si="7631">(X459*$I459+AS459*$AD459+BN459*$AY459)/100</f>
        <v>0</v>
      </c>
      <c r="EE459" s="2">
        <f t="shared" si="7631"/>
        <v>0</v>
      </c>
      <c r="EF459" s="2"/>
      <c r="EG459" s="2">
        <f t="shared" si="4374"/>
        <v>0</v>
      </c>
      <c r="EH459" s="2">
        <f t="shared" si="4375"/>
        <v>0</v>
      </c>
      <c r="EI459" s="39">
        <f t="shared" si="4376"/>
        <v>2405.9946192000002</v>
      </c>
      <c r="EJ459" s="39">
        <f t="shared" ref="EJ459:EK459" si="7632">EJ$1*DQ459/1000000</f>
        <v>0</v>
      </c>
      <c r="EK459" s="39">
        <f t="shared" si="7632"/>
        <v>0</v>
      </c>
      <c r="EL459" s="39">
        <f t="shared" ref="EL459:EQ459" si="7633">EL$1*DS459</f>
        <v>0</v>
      </c>
      <c r="EM459" s="39">
        <f t="shared" si="7633"/>
        <v>0</v>
      </c>
      <c r="EN459" s="39">
        <f t="shared" si="7633"/>
        <v>0</v>
      </c>
      <c r="EO459" s="39">
        <f t="shared" si="7633"/>
        <v>0</v>
      </c>
      <c r="EP459" s="39">
        <f t="shared" si="7633"/>
        <v>4140.2209400000002</v>
      </c>
      <c r="EQ459" s="39">
        <f t="shared" si="7633"/>
        <v>0</v>
      </c>
      <c r="ER459" s="39">
        <f t="shared" ref="ER459:EV459" si="7634">ER$1*DY459/1000000</f>
        <v>0</v>
      </c>
      <c r="ES459" s="39">
        <f t="shared" si="7634"/>
        <v>0</v>
      </c>
      <c r="ET459" s="39">
        <f t="shared" si="7634"/>
        <v>0</v>
      </c>
      <c r="EU459" s="39">
        <f t="shared" si="7634"/>
        <v>0</v>
      </c>
      <c r="EV459" s="39">
        <f t="shared" si="7634"/>
        <v>0</v>
      </c>
      <c r="EW459" s="39">
        <f t="shared" ref="EW459:EX459" si="7635">EW$1*ED459</f>
        <v>0</v>
      </c>
      <c r="EX459" s="39">
        <f t="shared" si="7635"/>
        <v>0</v>
      </c>
      <c r="EY459" s="2"/>
      <c r="EZ459" s="39">
        <f t="shared" si="4381"/>
        <v>0</v>
      </c>
      <c r="FA459" s="39">
        <f t="shared" si="4382"/>
        <v>0</v>
      </c>
      <c r="FB459" s="2">
        <f t="shared" si="4383"/>
        <v>0</v>
      </c>
      <c r="FC459" s="2">
        <f t="shared" ref="FC459:FD459" si="7636">BV459*$BT459+CQ459*$CO459</f>
        <v>0</v>
      </c>
      <c r="FD459" s="2">
        <f t="shared" si="7636"/>
        <v>0</v>
      </c>
      <c r="FE459" s="2">
        <f t="shared" ref="FE459:FJ459" si="7637">(BX459*$BT459+CS459*$CO459)/100</f>
        <v>0</v>
      </c>
      <c r="FF459" s="2">
        <f t="shared" si="7637"/>
        <v>0</v>
      </c>
      <c r="FG459" s="2">
        <f t="shared" si="7637"/>
        <v>0</v>
      </c>
      <c r="FH459" s="2">
        <f t="shared" si="7637"/>
        <v>0</v>
      </c>
      <c r="FI459" s="2">
        <f t="shared" si="7637"/>
        <v>0</v>
      </c>
      <c r="FJ459" s="2">
        <f t="shared" si="7637"/>
        <v>0</v>
      </c>
      <c r="FK459" s="2">
        <f t="shared" ref="FK459:FO459" si="7638">CD459*$BT459+CY459*$CO459</f>
        <v>0</v>
      </c>
      <c r="FL459" s="2">
        <f t="shared" si="7638"/>
        <v>0</v>
      </c>
      <c r="FM459" s="2">
        <f t="shared" si="7638"/>
        <v>0</v>
      </c>
      <c r="FN459" s="2">
        <f t="shared" si="7638"/>
        <v>0</v>
      </c>
      <c r="FO459" s="2">
        <f t="shared" si="7638"/>
        <v>0</v>
      </c>
      <c r="FP459" s="2">
        <f t="shared" ref="FP459:FQ459" si="7639">(CI459*$BT459+DD459*$CO459)/100</f>
        <v>0</v>
      </c>
      <c r="FQ459" s="2">
        <f t="shared" si="7639"/>
        <v>0</v>
      </c>
      <c r="FR459" s="2"/>
      <c r="FS459" s="2">
        <f t="shared" si="4388"/>
        <v>0</v>
      </c>
      <c r="FT459" s="2">
        <f t="shared" si="4389"/>
        <v>0</v>
      </c>
      <c r="FU459" s="39">
        <f t="shared" si="4390"/>
        <v>0</v>
      </c>
      <c r="FV459" s="39">
        <f t="shared" ref="FV459:FW459" si="7640">FV$1*FC459/1000000</f>
        <v>0</v>
      </c>
      <c r="FW459" s="39">
        <f t="shared" si="7640"/>
        <v>0</v>
      </c>
      <c r="FX459" s="39">
        <f t="shared" ref="FX459:GC459" si="7641">FX$1*FE459</f>
        <v>0</v>
      </c>
      <c r="FY459" s="39">
        <f t="shared" si="7641"/>
        <v>0</v>
      </c>
      <c r="FZ459" s="39">
        <f t="shared" si="7641"/>
        <v>0</v>
      </c>
      <c r="GA459" s="39">
        <f t="shared" si="7641"/>
        <v>0</v>
      </c>
      <c r="GB459" s="39">
        <f t="shared" si="7641"/>
        <v>0</v>
      </c>
      <c r="GC459" s="39">
        <f t="shared" si="7641"/>
        <v>0</v>
      </c>
      <c r="GD459" s="39">
        <f t="shared" ref="GD459:GH459" si="7642">GD$1*FK459/1000000</f>
        <v>0</v>
      </c>
      <c r="GE459" s="39">
        <f t="shared" si="7642"/>
        <v>0</v>
      </c>
      <c r="GF459" s="39">
        <f t="shared" si="7642"/>
        <v>0</v>
      </c>
      <c r="GG459" s="39">
        <f t="shared" si="7642"/>
        <v>0</v>
      </c>
      <c r="GH459" s="39">
        <f t="shared" si="7642"/>
        <v>0</v>
      </c>
      <c r="GI459" s="39">
        <f t="shared" ref="GI459:GJ459" si="7643">GI$1*FP459</f>
        <v>0</v>
      </c>
      <c r="GJ459" s="39">
        <f t="shared" si="7643"/>
        <v>0</v>
      </c>
      <c r="GK459" s="2"/>
      <c r="GL459" s="39">
        <f t="shared" si="4395"/>
        <v>0</v>
      </c>
      <c r="GM459" s="39">
        <f t="shared" si="4396"/>
        <v>0</v>
      </c>
      <c r="GN459" s="2" t="s">
        <v>3</v>
      </c>
      <c r="GO459" s="2">
        <f t="shared" si="4397"/>
        <v>135.30000000000001</v>
      </c>
      <c r="GP459" s="4">
        <f t="shared" si="4398"/>
        <v>0.23334072431633407</v>
      </c>
      <c r="GQ459" s="15">
        <f t="shared" si="4399"/>
        <v>315.70999999999998</v>
      </c>
      <c r="GR459" s="15">
        <f t="shared" si="4400"/>
        <v>6546.2155591999999</v>
      </c>
      <c r="GS459" s="15">
        <f t="shared" si="4401"/>
        <v>48.382967917220988</v>
      </c>
      <c r="GT459" s="2">
        <f t="shared" si="4402"/>
        <v>0</v>
      </c>
      <c r="GU459" s="2">
        <f t="shared" si="4403"/>
        <v>285.2</v>
      </c>
      <c r="GV459" s="2">
        <f t="shared" si="4404"/>
        <v>30.510000000000005</v>
      </c>
      <c r="GW459" s="2">
        <f t="shared" si="4405"/>
        <v>0</v>
      </c>
      <c r="GX459" s="2"/>
      <c r="GY459" s="2"/>
      <c r="GZ459" s="2"/>
      <c r="HA459" s="2"/>
      <c r="HB459" s="2">
        <f t="shared" si="4406"/>
        <v>0</v>
      </c>
      <c r="HC459" s="2">
        <f t="shared" si="4407"/>
        <v>0</v>
      </c>
      <c r="HD459" s="2" t="s">
        <v>3</v>
      </c>
      <c r="HE459" s="2" t="s">
        <v>89</v>
      </c>
      <c r="HF459" s="2" t="s">
        <v>90</v>
      </c>
      <c r="HG459" s="2"/>
      <c r="HH459" s="2"/>
      <c r="HI459" s="2" t="s">
        <v>81</v>
      </c>
      <c r="HJ459" s="2" t="s">
        <v>3</v>
      </c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 t="s">
        <v>3</v>
      </c>
    </row>
    <row r="460" spans="1:268" ht="15.75" customHeight="1" x14ac:dyDescent="0.2">
      <c r="A460" s="16" t="s">
        <v>631</v>
      </c>
      <c r="B460" s="2" t="s">
        <v>99</v>
      </c>
      <c r="C460" s="2"/>
      <c r="D460" s="2"/>
      <c r="E460" s="2"/>
      <c r="F460" s="2" t="s">
        <v>632</v>
      </c>
      <c r="G460" s="2"/>
      <c r="H460" s="2"/>
      <c r="I460" s="2">
        <v>4.4640000000000004</v>
      </c>
      <c r="J460" s="2">
        <v>0.23</v>
      </c>
      <c r="K460" s="2"/>
      <c r="L460" s="2"/>
      <c r="M460" s="2"/>
      <c r="N460" s="2"/>
      <c r="O460" s="2"/>
      <c r="P460" s="2"/>
      <c r="Q460" s="2">
        <v>0.42</v>
      </c>
      <c r="R460" s="2">
        <v>0.01</v>
      </c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>
        <v>2.6749999999999998</v>
      </c>
      <c r="AE460" s="4">
        <v>0.5</v>
      </c>
      <c r="AF460" s="2"/>
      <c r="AG460" s="2"/>
      <c r="AH460" s="2"/>
      <c r="AI460" s="2"/>
      <c r="AJ460" s="2"/>
      <c r="AK460" s="2"/>
      <c r="AL460" s="2">
        <v>0.96</v>
      </c>
      <c r="AM460" s="2">
        <v>0.02</v>
      </c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>
        <v>0.11799999999999999</v>
      </c>
      <c r="AZ460" s="2">
        <v>0.88</v>
      </c>
      <c r="BA460" s="2"/>
      <c r="BB460" s="2"/>
      <c r="BC460" s="2"/>
      <c r="BD460" s="2"/>
      <c r="BE460" s="2"/>
      <c r="BF460" s="2"/>
      <c r="BG460" s="2">
        <v>1.38</v>
      </c>
      <c r="BH460" s="2">
        <v>3.0000000000000001E-3</v>
      </c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>
        <v>0</v>
      </c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>
        <v>0</v>
      </c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 t="s">
        <v>81</v>
      </c>
      <c r="DK460" s="2" t="s">
        <v>81</v>
      </c>
      <c r="DL460" s="2">
        <f t="shared" si="4367"/>
        <v>0.63465894997933026</v>
      </c>
      <c r="DM460" s="2">
        <f t="shared" si="4368"/>
        <v>1.3572275044784345E-2</v>
      </c>
      <c r="DN460" s="2" t="s">
        <v>82</v>
      </c>
      <c r="DO460" s="2" t="s">
        <v>3</v>
      </c>
      <c r="DP460" s="2">
        <f t="shared" si="4369"/>
        <v>2.46806E-2</v>
      </c>
      <c r="DQ460" s="2">
        <f t="shared" ref="DQ460:DR460" si="7644">K460*$I460+AF460*$AD460+BA460*$AY460</f>
        <v>0</v>
      </c>
      <c r="DR460" s="2">
        <f t="shared" si="7644"/>
        <v>0</v>
      </c>
      <c r="DS460" s="2">
        <f t="shared" ref="DS460:DX460" si="7645">(M460*$I460+AH460*$AD460+BC460*$AY460)/100</f>
        <v>0</v>
      </c>
      <c r="DT460" s="2">
        <f t="shared" si="7645"/>
        <v>0</v>
      </c>
      <c r="DU460" s="2">
        <f t="shared" si="7645"/>
        <v>0</v>
      </c>
      <c r="DV460" s="2">
        <f t="shared" si="7645"/>
        <v>0</v>
      </c>
      <c r="DW460" s="2">
        <f t="shared" si="7645"/>
        <v>4.60572E-2</v>
      </c>
      <c r="DX460" s="2">
        <f t="shared" si="7645"/>
        <v>9.849399999999999E-4</v>
      </c>
      <c r="DY460" s="2">
        <f t="shared" ref="DY460:EC460" si="7646">S460*$I460+AN460*$AD460+BI460*$AY460</f>
        <v>0</v>
      </c>
      <c r="DZ460" s="2">
        <f t="shared" si="7646"/>
        <v>0</v>
      </c>
      <c r="EA460" s="2">
        <f t="shared" si="7646"/>
        <v>0</v>
      </c>
      <c r="EB460" s="2">
        <f t="shared" si="7646"/>
        <v>0</v>
      </c>
      <c r="EC460" s="2">
        <f t="shared" si="7646"/>
        <v>0</v>
      </c>
      <c r="ED460" s="2">
        <f t="shared" ref="ED460:EE460" si="7647">(X460*$I460+AS460*$AD460+BN460*$AY460)/100</f>
        <v>0</v>
      </c>
      <c r="EE460" s="2">
        <f t="shared" si="7647"/>
        <v>0</v>
      </c>
      <c r="EF460" s="2"/>
      <c r="EG460" s="2">
        <f t="shared" si="4374"/>
        <v>0</v>
      </c>
      <c r="EH460" s="2">
        <f t="shared" si="4375"/>
        <v>0</v>
      </c>
      <c r="EI460" s="39">
        <f t="shared" si="4376"/>
        <v>161.05611824959999</v>
      </c>
      <c r="EJ460" s="39">
        <f t="shared" ref="EJ460:EK460" si="7648">EJ$1*DQ460/1000000</f>
        <v>0</v>
      </c>
      <c r="EK460" s="39">
        <f t="shared" si="7648"/>
        <v>0</v>
      </c>
      <c r="EL460" s="39">
        <f t="shared" ref="EL460:EQ460" si="7649">EL$1*DS460</f>
        <v>0</v>
      </c>
      <c r="EM460" s="39">
        <f t="shared" si="7649"/>
        <v>0</v>
      </c>
      <c r="EN460" s="39">
        <f t="shared" si="7649"/>
        <v>0</v>
      </c>
      <c r="EO460" s="39">
        <f t="shared" si="7649"/>
        <v>0</v>
      </c>
      <c r="EP460" s="39">
        <f t="shared" si="7649"/>
        <v>603.99412080000002</v>
      </c>
      <c r="EQ460" s="39">
        <f t="shared" si="7649"/>
        <v>71.525873968559978</v>
      </c>
      <c r="ER460" s="39">
        <f t="shared" ref="ER460:EV460" si="7650">ER$1*DY460/1000000</f>
        <v>0</v>
      </c>
      <c r="ES460" s="39">
        <f t="shared" si="7650"/>
        <v>0</v>
      </c>
      <c r="ET460" s="39">
        <f t="shared" si="7650"/>
        <v>0</v>
      </c>
      <c r="EU460" s="39">
        <f t="shared" si="7650"/>
        <v>0</v>
      </c>
      <c r="EV460" s="39">
        <f t="shared" si="7650"/>
        <v>0</v>
      </c>
      <c r="EW460" s="39">
        <f t="shared" ref="EW460:EX460" si="7651">EW$1*ED460</f>
        <v>0</v>
      </c>
      <c r="EX460" s="39">
        <f t="shared" si="7651"/>
        <v>0</v>
      </c>
      <c r="EY460" s="2"/>
      <c r="EZ460" s="39">
        <f t="shared" si="4381"/>
        <v>0</v>
      </c>
      <c r="FA460" s="39">
        <f t="shared" si="4382"/>
        <v>0</v>
      </c>
      <c r="FB460" s="2">
        <f t="shared" si="4383"/>
        <v>0</v>
      </c>
      <c r="FC460" s="2">
        <f t="shared" ref="FC460:FD460" si="7652">BV460*$BT460+CQ460*$CO460</f>
        <v>0</v>
      </c>
      <c r="FD460" s="2">
        <f t="shared" si="7652"/>
        <v>0</v>
      </c>
      <c r="FE460" s="2">
        <f t="shared" ref="FE460:FJ460" si="7653">(BX460*$BT460+CS460*$CO460)/100</f>
        <v>0</v>
      </c>
      <c r="FF460" s="2">
        <f t="shared" si="7653"/>
        <v>0</v>
      </c>
      <c r="FG460" s="2">
        <f t="shared" si="7653"/>
        <v>0</v>
      </c>
      <c r="FH460" s="2">
        <f t="shared" si="7653"/>
        <v>0</v>
      </c>
      <c r="FI460" s="2">
        <f t="shared" si="7653"/>
        <v>0</v>
      </c>
      <c r="FJ460" s="2">
        <f t="shared" si="7653"/>
        <v>0</v>
      </c>
      <c r="FK460" s="2">
        <f t="shared" ref="FK460:FO460" si="7654">CD460*$BT460+CY460*$CO460</f>
        <v>0</v>
      </c>
      <c r="FL460" s="2">
        <f t="shared" si="7654"/>
        <v>0</v>
      </c>
      <c r="FM460" s="2">
        <f t="shared" si="7654"/>
        <v>0</v>
      </c>
      <c r="FN460" s="2">
        <f t="shared" si="7654"/>
        <v>0</v>
      </c>
      <c r="FO460" s="2">
        <f t="shared" si="7654"/>
        <v>0</v>
      </c>
      <c r="FP460" s="2">
        <f t="shared" ref="FP460:FQ460" si="7655">(CI460*$BT460+DD460*$CO460)/100</f>
        <v>0</v>
      </c>
      <c r="FQ460" s="2">
        <f t="shared" si="7655"/>
        <v>0</v>
      </c>
      <c r="FR460" s="2"/>
      <c r="FS460" s="2">
        <f t="shared" si="4388"/>
        <v>0</v>
      </c>
      <c r="FT460" s="2">
        <f t="shared" si="4389"/>
        <v>0</v>
      </c>
      <c r="FU460" s="39">
        <f t="shared" si="4390"/>
        <v>0</v>
      </c>
      <c r="FV460" s="39">
        <f t="shared" ref="FV460:FW460" si="7656">FV$1*FC460/1000000</f>
        <v>0</v>
      </c>
      <c r="FW460" s="39">
        <f t="shared" si="7656"/>
        <v>0</v>
      </c>
      <c r="FX460" s="39">
        <f t="shared" ref="FX460:GC460" si="7657">FX$1*FE460</f>
        <v>0</v>
      </c>
      <c r="FY460" s="39">
        <f t="shared" si="7657"/>
        <v>0</v>
      </c>
      <c r="FZ460" s="39">
        <f t="shared" si="7657"/>
        <v>0</v>
      </c>
      <c r="GA460" s="39">
        <f t="shared" si="7657"/>
        <v>0</v>
      </c>
      <c r="GB460" s="39">
        <f t="shared" si="7657"/>
        <v>0</v>
      </c>
      <c r="GC460" s="39">
        <f t="shared" si="7657"/>
        <v>0</v>
      </c>
      <c r="GD460" s="39">
        <f t="shared" ref="GD460:GH460" si="7658">GD$1*FK460/1000000</f>
        <v>0</v>
      </c>
      <c r="GE460" s="39">
        <f t="shared" si="7658"/>
        <v>0</v>
      </c>
      <c r="GF460" s="39">
        <f t="shared" si="7658"/>
        <v>0</v>
      </c>
      <c r="GG460" s="39">
        <f t="shared" si="7658"/>
        <v>0</v>
      </c>
      <c r="GH460" s="39">
        <f t="shared" si="7658"/>
        <v>0</v>
      </c>
      <c r="GI460" s="39">
        <f t="shared" ref="GI460:GJ460" si="7659">GI$1*FP460</f>
        <v>0</v>
      </c>
      <c r="GJ460" s="39">
        <f t="shared" si="7659"/>
        <v>0</v>
      </c>
      <c r="GK460" s="2"/>
      <c r="GL460" s="39">
        <f t="shared" si="4395"/>
        <v>0</v>
      </c>
      <c r="GM460" s="39">
        <f t="shared" si="4396"/>
        <v>0</v>
      </c>
      <c r="GN460" s="2" t="s">
        <v>3</v>
      </c>
      <c r="GO460" s="2">
        <f t="shared" si="4397"/>
        <v>7.2570000000000006</v>
      </c>
      <c r="GP460" s="4">
        <f t="shared" si="4398"/>
        <v>0.63465894997933026</v>
      </c>
      <c r="GQ460" s="15">
        <f t="shared" si="4399"/>
        <v>46.057200000000002</v>
      </c>
      <c r="GR460" s="15">
        <f t="shared" si="4400"/>
        <v>836.57611301815996</v>
      </c>
      <c r="GS460" s="15">
        <f t="shared" si="4401"/>
        <v>115.27850530772494</v>
      </c>
      <c r="GT460" s="2">
        <f t="shared" si="4402"/>
        <v>18.748800000000003</v>
      </c>
      <c r="GU460" s="2">
        <f t="shared" si="4403"/>
        <v>25.679999999999996</v>
      </c>
      <c r="GV460" s="2">
        <f t="shared" si="4404"/>
        <v>1.6283999999999998</v>
      </c>
      <c r="GW460" s="2">
        <f t="shared" si="4405"/>
        <v>0</v>
      </c>
      <c r="GX460" s="2"/>
      <c r="GY460" s="2"/>
      <c r="GZ460" s="2"/>
      <c r="HA460" s="2"/>
      <c r="HB460" s="2">
        <f t="shared" si="4406"/>
        <v>0</v>
      </c>
      <c r="HC460" s="2">
        <f t="shared" si="4407"/>
        <v>0</v>
      </c>
      <c r="HD460" s="2" t="s">
        <v>3</v>
      </c>
      <c r="HE460" s="2" t="s">
        <v>89</v>
      </c>
      <c r="HF460" s="2" t="s">
        <v>90</v>
      </c>
      <c r="HG460" s="2"/>
      <c r="HH460" s="2"/>
      <c r="HI460" s="2" t="s">
        <v>81</v>
      </c>
      <c r="HJ460" s="2" t="s">
        <v>3</v>
      </c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 t="s">
        <v>3</v>
      </c>
    </row>
    <row r="461" spans="1:268" ht="15.75" customHeight="1" x14ac:dyDescent="0.2">
      <c r="A461" s="16" t="s">
        <v>1086</v>
      </c>
      <c r="B461" s="2" t="s">
        <v>99</v>
      </c>
      <c r="C461" s="2"/>
      <c r="D461" s="2"/>
      <c r="E461" s="2"/>
      <c r="F461" s="2" t="s">
        <v>1087</v>
      </c>
      <c r="G461" s="2"/>
      <c r="H461" s="2"/>
      <c r="I461" s="2">
        <v>0</v>
      </c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>
        <v>14.159000000000001</v>
      </c>
      <c r="AE461" s="4">
        <v>0.2</v>
      </c>
      <c r="AF461" s="2">
        <v>0.03</v>
      </c>
      <c r="AG461" s="2"/>
      <c r="AH461" s="2"/>
      <c r="AI461" s="2"/>
      <c r="AJ461" s="2"/>
      <c r="AK461" s="2"/>
      <c r="AL461" s="2">
        <v>0.24</v>
      </c>
      <c r="AM461" s="2">
        <v>0.02</v>
      </c>
      <c r="AN461" s="2">
        <v>0.11</v>
      </c>
      <c r="AO461" s="2">
        <v>0.28999999999999998</v>
      </c>
      <c r="AP461" s="2">
        <v>0.01</v>
      </c>
      <c r="AQ461" s="2"/>
      <c r="AR461" s="2"/>
      <c r="AS461" s="2"/>
      <c r="AT461" s="2"/>
      <c r="AU461" s="2"/>
      <c r="AV461" s="2"/>
      <c r="AW461" s="2"/>
      <c r="AX461" s="2"/>
      <c r="AY461" s="2">
        <v>26.48</v>
      </c>
      <c r="AZ461" s="2">
        <v>0.18</v>
      </c>
      <c r="BA461" s="2">
        <v>0.03</v>
      </c>
      <c r="BB461" s="2"/>
      <c r="BC461" s="2"/>
      <c r="BD461" s="2"/>
      <c r="BE461" s="2"/>
      <c r="BF461" s="2"/>
      <c r="BG461" s="2">
        <v>0.24</v>
      </c>
      <c r="BH461" s="2">
        <v>0.01</v>
      </c>
      <c r="BI461" s="2">
        <v>0.09</v>
      </c>
      <c r="BJ461" s="2">
        <v>0.31</v>
      </c>
      <c r="BK461" s="2">
        <v>0.01</v>
      </c>
      <c r="BL461" s="2"/>
      <c r="BM461" s="2"/>
      <c r="BN461" s="2"/>
      <c r="BO461" s="2"/>
      <c r="BP461" s="2"/>
      <c r="BQ461" s="2"/>
      <c r="BR461" s="2"/>
      <c r="BS461" s="2"/>
      <c r="BT461" s="2">
        <v>0</v>
      </c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>
        <v>0</v>
      </c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 t="s">
        <v>81</v>
      </c>
      <c r="DK461" s="2" t="s">
        <v>81</v>
      </c>
      <c r="DL461" s="2">
        <f t="shared" si="4367"/>
        <v>0.24</v>
      </c>
      <c r="DM461" s="2">
        <f t="shared" si="4368"/>
        <v>1.3484091636113096E-2</v>
      </c>
      <c r="DN461" s="2" t="s">
        <v>1088</v>
      </c>
      <c r="DO461" s="2" t="s">
        <v>3</v>
      </c>
      <c r="DP461" s="2">
        <f t="shared" si="4369"/>
        <v>7.5982000000000008E-2</v>
      </c>
      <c r="DQ461" s="2">
        <f t="shared" ref="DQ461:DR461" si="7660">K461*$I461+AF461*$AD461+BA461*$AY461</f>
        <v>1.2191700000000001</v>
      </c>
      <c r="DR461" s="2">
        <f t="shared" si="7660"/>
        <v>0</v>
      </c>
      <c r="DS461" s="2">
        <f t="shared" ref="DS461:DX461" si="7661">(M461*$I461+AH461*$AD461+BC461*$AY461)/100</f>
        <v>0</v>
      </c>
      <c r="DT461" s="2">
        <f t="shared" si="7661"/>
        <v>0</v>
      </c>
      <c r="DU461" s="2">
        <f t="shared" si="7661"/>
        <v>0</v>
      </c>
      <c r="DV461" s="2">
        <f t="shared" si="7661"/>
        <v>0</v>
      </c>
      <c r="DW461" s="2">
        <f t="shared" si="7661"/>
        <v>9.7533600000000012E-2</v>
      </c>
      <c r="DX461" s="2">
        <f t="shared" si="7661"/>
        <v>5.4798000000000017E-3</v>
      </c>
      <c r="DY461" s="2">
        <f t="shared" ref="DY461:EC461" si="7662">S461*$I461+AN461*$AD461+BI461*$AY461</f>
        <v>3.94069</v>
      </c>
      <c r="DZ461" s="2">
        <f t="shared" si="7662"/>
        <v>12.314910000000001</v>
      </c>
      <c r="EA461" s="2">
        <f t="shared" si="7662"/>
        <v>0.40639000000000003</v>
      </c>
      <c r="EB461" s="2">
        <f t="shared" si="7662"/>
        <v>0</v>
      </c>
      <c r="EC461" s="2">
        <f t="shared" si="7662"/>
        <v>0</v>
      </c>
      <c r="ED461" s="2">
        <f t="shared" ref="ED461:EE461" si="7663">(X461*$I461+AS461*$AD461+BN461*$AY461)/100</f>
        <v>0</v>
      </c>
      <c r="EE461" s="2">
        <f t="shared" si="7663"/>
        <v>0</v>
      </c>
      <c r="EF461" s="2"/>
      <c r="EG461" s="2">
        <f t="shared" si="4374"/>
        <v>0</v>
      </c>
      <c r="EH461" s="2">
        <f t="shared" si="4375"/>
        <v>0</v>
      </c>
      <c r="EI461" s="39">
        <f t="shared" si="4376"/>
        <v>495.82935491200004</v>
      </c>
      <c r="EJ461" s="39">
        <f t="shared" ref="EJ461:EK461" si="7664">EJ$1*DQ461/1000000</f>
        <v>49.86444501607717</v>
      </c>
      <c r="EK461" s="39">
        <f t="shared" si="7664"/>
        <v>0</v>
      </c>
      <c r="EL461" s="39">
        <f t="shared" ref="EL461:EQ461" si="7665">EL$1*DS461</f>
        <v>0</v>
      </c>
      <c r="EM461" s="39">
        <f t="shared" si="7665"/>
        <v>0</v>
      </c>
      <c r="EN461" s="39">
        <f t="shared" si="7665"/>
        <v>0</v>
      </c>
      <c r="EO461" s="39">
        <f t="shared" si="7665"/>
        <v>0</v>
      </c>
      <c r="EP461" s="39">
        <f t="shared" si="7665"/>
        <v>1279.0556304000002</v>
      </c>
      <c r="EQ461" s="39">
        <f t="shared" si="7665"/>
        <v>397.94046761520008</v>
      </c>
      <c r="ER461" s="39">
        <f t="shared" ref="ER461:EV461" si="7666">ER$1*DY461/1000000</f>
        <v>111.84210403215432</v>
      </c>
      <c r="ES461" s="39">
        <f t="shared" si="7666"/>
        <v>410.40328525080389</v>
      </c>
      <c r="ET461" s="39">
        <f t="shared" si="7666"/>
        <v>29.078445884244378</v>
      </c>
      <c r="EU461" s="39">
        <f t="shared" si="7666"/>
        <v>0</v>
      </c>
      <c r="EV461" s="39">
        <f t="shared" si="7666"/>
        <v>0</v>
      </c>
      <c r="EW461" s="39">
        <f t="shared" ref="EW461:EX461" si="7667">EW$1*ED461</f>
        <v>0</v>
      </c>
      <c r="EX461" s="39">
        <f t="shared" si="7667"/>
        <v>0</v>
      </c>
      <c r="EY461" s="2"/>
      <c r="EZ461" s="39">
        <f t="shared" si="4381"/>
        <v>0</v>
      </c>
      <c r="FA461" s="39">
        <f t="shared" si="4382"/>
        <v>0</v>
      </c>
      <c r="FB461" s="2">
        <f t="shared" si="4383"/>
        <v>0</v>
      </c>
      <c r="FC461" s="2">
        <f t="shared" ref="FC461:FD461" si="7668">BV461*$BT461+CQ461*$CO461</f>
        <v>0</v>
      </c>
      <c r="FD461" s="2">
        <f t="shared" si="7668"/>
        <v>0</v>
      </c>
      <c r="FE461" s="2">
        <f t="shared" ref="FE461:FJ461" si="7669">(BX461*$BT461+CS461*$CO461)/100</f>
        <v>0</v>
      </c>
      <c r="FF461" s="2">
        <f t="shared" si="7669"/>
        <v>0</v>
      </c>
      <c r="FG461" s="2">
        <f t="shared" si="7669"/>
        <v>0</v>
      </c>
      <c r="FH461" s="2">
        <f t="shared" si="7669"/>
        <v>0</v>
      </c>
      <c r="FI461" s="2">
        <f t="shared" si="7669"/>
        <v>0</v>
      </c>
      <c r="FJ461" s="2">
        <f t="shared" si="7669"/>
        <v>0</v>
      </c>
      <c r="FK461" s="2">
        <f t="shared" ref="FK461:FO461" si="7670">CD461*$BT461+CY461*$CO461</f>
        <v>0</v>
      </c>
      <c r="FL461" s="2">
        <f t="shared" si="7670"/>
        <v>0</v>
      </c>
      <c r="FM461" s="2">
        <f t="shared" si="7670"/>
        <v>0</v>
      </c>
      <c r="FN461" s="2">
        <f t="shared" si="7670"/>
        <v>0</v>
      </c>
      <c r="FO461" s="2">
        <f t="shared" si="7670"/>
        <v>0</v>
      </c>
      <c r="FP461" s="2">
        <f t="shared" ref="FP461:FQ461" si="7671">(CI461*$BT461+DD461*$CO461)/100</f>
        <v>0</v>
      </c>
      <c r="FQ461" s="2">
        <f t="shared" si="7671"/>
        <v>0</v>
      </c>
      <c r="FR461" s="2"/>
      <c r="FS461" s="2">
        <f t="shared" si="4388"/>
        <v>0</v>
      </c>
      <c r="FT461" s="2">
        <f t="shared" si="4389"/>
        <v>0</v>
      </c>
      <c r="FU461" s="39">
        <f t="shared" si="4390"/>
        <v>0</v>
      </c>
      <c r="FV461" s="39">
        <f t="shared" ref="FV461:FW461" si="7672">FV$1*FC461/1000000</f>
        <v>0</v>
      </c>
      <c r="FW461" s="39">
        <f t="shared" si="7672"/>
        <v>0</v>
      </c>
      <c r="FX461" s="39">
        <f t="shared" ref="FX461:GC461" si="7673">FX$1*FE461</f>
        <v>0</v>
      </c>
      <c r="FY461" s="39">
        <f t="shared" si="7673"/>
        <v>0</v>
      </c>
      <c r="FZ461" s="39">
        <f t="shared" si="7673"/>
        <v>0</v>
      </c>
      <c r="GA461" s="39">
        <f t="shared" si="7673"/>
        <v>0</v>
      </c>
      <c r="GB461" s="39">
        <f t="shared" si="7673"/>
        <v>0</v>
      </c>
      <c r="GC461" s="39">
        <f t="shared" si="7673"/>
        <v>0</v>
      </c>
      <c r="GD461" s="39">
        <f t="shared" ref="GD461:GH461" si="7674">GD$1*FK461/1000000</f>
        <v>0</v>
      </c>
      <c r="GE461" s="39">
        <f t="shared" si="7674"/>
        <v>0</v>
      </c>
      <c r="GF461" s="39">
        <f t="shared" si="7674"/>
        <v>0</v>
      </c>
      <c r="GG461" s="39">
        <f t="shared" si="7674"/>
        <v>0</v>
      </c>
      <c r="GH461" s="39">
        <f t="shared" si="7674"/>
        <v>0</v>
      </c>
      <c r="GI461" s="39">
        <f t="shared" ref="GI461:GJ461" si="7675">GI$1*FP461</f>
        <v>0</v>
      </c>
      <c r="GJ461" s="39">
        <f t="shared" si="7675"/>
        <v>0</v>
      </c>
      <c r="GK461" s="2"/>
      <c r="GL461" s="39">
        <f t="shared" si="4395"/>
        <v>0</v>
      </c>
      <c r="GM461" s="39">
        <f t="shared" si="4396"/>
        <v>0</v>
      </c>
      <c r="GN461" s="2" t="s">
        <v>3</v>
      </c>
      <c r="GO461" s="4">
        <f t="shared" si="4397"/>
        <v>40.639000000000003</v>
      </c>
      <c r="GP461" s="2">
        <f t="shared" si="4398"/>
        <v>0.24</v>
      </c>
      <c r="GQ461" s="15">
        <f t="shared" si="4399"/>
        <v>97.533599999999993</v>
      </c>
      <c r="GR461" s="15">
        <f t="shared" si="4400"/>
        <v>2774.0137331104797</v>
      </c>
      <c r="GS461" s="15">
        <f t="shared" si="4401"/>
        <v>68.259891560089557</v>
      </c>
      <c r="GT461" s="2">
        <f t="shared" si="4402"/>
        <v>0</v>
      </c>
      <c r="GU461" s="2">
        <f t="shared" si="4403"/>
        <v>33.9816</v>
      </c>
      <c r="GV461" s="2">
        <f t="shared" si="4404"/>
        <v>63.552</v>
      </c>
      <c r="GW461" s="2">
        <f t="shared" si="4405"/>
        <v>0</v>
      </c>
      <c r="GX461" s="2"/>
      <c r="GY461" s="2"/>
      <c r="GZ461" s="2"/>
      <c r="HA461" s="2"/>
      <c r="HB461" s="2">
        <f t="shared" si="4406"/>
        <v>0</v>
      </c>
      <c r="HC461" s="2">
        <f t="shared" si="4407"/>
        <v>0</v>
      </c>
      <c r="HD461" s="2" t="s">
        <v>3</v>
      </c>
      <c r="HE461" s="2" t="s">
        <v>89</v>
      </c>
      <c r="HF461" s="2" t="s">
        <v>90</v>
      </c>
      <c r="HG461" s="2"/>
      <c r="HH461" s="2"/>
      <c r="HI461" s="2" t="s">
        <v>81</v>
      </c>
      <c r="HJ461" s="2" t="s">
        <v>3</v>
      </c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 t="s">
        <v>3</v>
      </c>
    </row>
    <row r="462" spans="1:268" ht="15.75" customHeight="1" x14ac:dyDescent="0.2">
      <c r="A462" s="16" t="s">
        <v>331</v>
      </c>
      <c r="B462" s="2" t="s">
        <v>99</v>
      </c>
      <c r="C462" s="2"/>
      <c r="D462" s="2"/>
      <c r="E462" s="2"/>
      <c r="F462" s="2" t="s">
        <v>79</v>
      </c>
      <c r="G462" s="2"/>
      <c r="H462" s="2"/>
      <c r="I462" s="2">
        <v>0</v>
      </c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>
        <v>0</v>
      </c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>
        <v>143</v>
      </c>
      <c r="AZ462" s="2">
        <v>0.22</v>
      </c>
      <c r="BA462" s="2"/>
      <c r="BB462" s="2"/>
      <c r="BC462" s="2"/>
      <c r="BD462" s="2"/>
      <c r="BE462" s="2"/>
      <c r="BF462" s="2"/>
      <c r="BG462" s="2">
        <v>0.28999999999999998</v>
      </c>
      <c r="BH462" s="2">
        <v>1.4999999999999999E-2</v>
      </c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>
        <v>0</v>
      </c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>
        <v>0</v>
      </c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 t="s">
        <v>81</v>
      </c>
      <c r="DK462" s="2" t="s">
        <v>81</v>
      </c>
      <c r="DL462" s="2">
        <f t="shared" si="4367"/>
        <v>0.28999999999999998</v>
      </c>
      <c r="DM462" s="2">
        <f t="shared" si="4368"/>
        <v>1.4999999999999999E-2</v>
      </c>
      <c r="DN462" s="2" t="s">
        <v>280</v>
      </c>
      <c r="DO462" s="2" t="s">
        <v>3</v>
      </c>
      <c r="DP462" s="2">
        <f t="shared" si="4369"/>
        <v>0.31459999999999999</v>
      </c>
      <c r="DQ462" s="2">
        <f t="shared" ref="DQ462:DR462" si="7676">K462*$I462+AF462*$AD462+BA462*$AY462</f>
        <v>0</v>
      </c>
      <c r="DR462" s="2">
        <f t="shared" si="7676"/>
        <v>0</v>
      </c>
      <c r="DS462" s="2">
        <f t="shared" ref="DS462:DX462" si="7677">(M462*$I462+AH462*$AD462+BC462*$AY462)/100</f>
        <v>0</v>
      </c>
      <c r="DT462" s="2">
        <f t="shared" si="7677"/>
        <v>0</v>
      </c>
      <c r="DU462" s="2">
        <f t="shared" si="7677"/>
        <v>0</v>
      </c>
      <c r="DV462" s="2">
        <f t="shared" si="7677"/>
        <v>0</v>
      </c>
      <c r="DW462" s="2">
        <f t="shared" si="7677"/>
        <v>0.41470000000000001</v>
      </c>
      <c r="DX462" s="2">
        <f t="shared" si="7677"/>
        <v>2.145E-2</v>
      </c>
      <c r="DY462" s="2">
        <f t="shared" ref="DY462:EC462" si="7678">S462*$I462+AN462*$AD462+BI462*$AY462</f>
        <v>0</v>
      </c>
      <c r="DZ462" s="2">
        <f t="shared" si="7678"/>
        <v>0</v>
      </c>
      <c r="EA462" s="2">
        <f t="shared" si="7678"/>
        <v>0</v>
      </c>
      <c r="EB462" s="2">
        <f t="shared" si="7678"/>
        <v>0</v>
      </c>
      <c r="EC462" s="2">
        <f t="shared" si="7678"/>
        <v>0</v>
      </c>
      <c r="ED462" s="2">
        <f t="shared" ref="ED462:EE462" si="7679">(X462*$I462+AS462*$AD462+BN462*$AY462)/100</f>
        <v>0</v>
      </c>
      <c r="EE462" s="2">
        <f t="shared" si="7679"/>
        <v>0</v>
      </c>
      <c r="EF462" s="2"/>
      <c r="EG462" s="2">
        <f t="shared" si="4374"/>
        <v>0</v>
      </c>
      <c r="EH462" s="2">
        <f t="shared" si="4375"/>
        <v>0</v>
      </c>
      <c r="EI462" s="39">
        <f t="shared" si="4376"/>
        <v>2052.9587935999998</v>
      </c>
      <c r="EJ462" s="39">
        <f t="shared" ref="EJ462:EK462" si="7680">EJ$1*DQ462/1000000</f>
        <v>0</v>
      </c>
      <c r="EK462" s="39">
        <f t="shared" si="7680"/>
        <v>0</v>
      </c>
      <c r="EL462" s="39">
        <f t="shared" ref="EL462:EQ462" si="7681">EL$1*DS462</f>
        <v>0</v>
      </c>
      <c r="EM462" s="39">
        <f t="shared" si="7681"/>
        <v>0</v>
      </c>
      <c r="EN462" s="39">
        <f t="shared" si="7681"/>
        <v>0</v>
      </c>
      <c r="EO462" s="39">
        <f t="shared" si="7681"/>
        <v>0</v>
      </c>
      <c r="EP462" s="39">
        <f t="shared" si="7681"/>
        <v>5438.3757999999998</v>
      </c>
      <c r="EQ462" s="39">
        <f t="shared" si="7681"/>
        <v>1557.6887897999998</v>
      </c>
      <c r="ER462" s="39">
        <f t="shared" ref="ER462:EV462" si="7682">ER$1*DY462/1000000</f>
        <v>0</v>
      </c>
      <c r="ES462" s="39">
        <f t="shared" si="7682"/>
        <v>0</v>
      </c>
      <c r="ET462" s="39">
        <f t="shared" si="7682"/>
        <v>0</v>
      </c>
      <c r="EU462" s="39">
        <f t="shared" si="7682"/>
        <v>0</v>
      </c>
      <c r="EV462" s="39">
        <f t="shared" si="7682"/>
        <v>0</v>
      </c>
      <c r="EW462" s="39">
        <f t="shared" ref="EW462:EX462" si="7683">EW$1*ED462</f>
        <v>0</v>
      </c>
      <c r="EX462" s="39">
        <f t="shared" si="7683"/>
        <v>0</v>
      </c>
      <c r="EY462" s="2"/>
      <c r="EZ462" s="39">
        <f t="shared" si="4381"/>
        <v>0</v>
      </c>
      <c r="FA462" s="39">
        <f t="shared" si="4382"/>
        <v>0</v>
      </c>
      <c r="FB462" s="2">
        <f t="shared" si="4383"/>
        <v>0</v>
      </c>
      <c r="FC462" s="2">
        <f t="shared" ref="FC462:FD462" si="7684">BV462*$BT462+CQ462*$CO462</f>
        <v>0</v>
      </c>
      <c r="FD462" s="2">
        <f t="shared" si="7684"/>
        <v>0</v>
      </c>
      <c r="FE462" s="2">
        <f t="shared" ref="FE462:FJ462" si="7685">(BX462*$BT462+CS462*$CO462)/100</f>
        <v>0</v>
      </c>
      <c r="FF462" s="2">
        <f t="shared" si="7685"/>
        <v>0</v>
      </c>
      <c r="FG462" s="2">
        <f t="shared" si="7685"/>
        <v>0</v>
      </c>
      <c r="FH462" s="2">
        <f t="shared" si="7685"/>
        <v>0</v>
      </c>
      <c r="FI462" s="2">
        <f t="shared" si="7685"/>
        <v>0</v>
      </c>
      <c r="FJ462" s="2">
        <f t="shared" si="7685"/>
        <v>0</v>
      </c>
      <c r="FK462" s="2">
        <f t="shared" ref="FK462:FO462" si="7686">CD462*$BT462+CY462*$CO462</f>
        <v>0</v>
      </c>
      <c r="FL462" s="2">
        <f t="shared" si="7686"/>
        <v>0</v>
      </c>
      <c r="FM462" s="2">
        <f t="shared" si="7686"/>
        <v>0</v>
      </c>
      <c r="FN462" s="2">
        <f t="shared" si="7686"/>
        <v>0</v>
      </c>
      <c r="FO462" s="2">
        <f t="shared" si="7686"/>
        <v>0</v>
      </c>
      <c r="FP462" s="2">
        <f t="shared" ref="FP462:FQ462" si="7687">(CI462*$BT462+DD462*$CO462)/100</f>
        <v>0</v>
      </c>
      <c r="FQ462" s="2">
        <f t="shared" si="7687"/>
        <v>0</v>
      </c>
      <c r="FR462" s="2"/>
      <c r="FS462" s="2">
        <f t="shared" si="4388"/>
        <v>0</v>
      </c>
      <c r="FT462" s="2">
        <f t="shared" si="4389"/>
        <v>0</v>
      </c>
      <c r="FU462" s="39">
        <f t="shared" si="4390"/>
        <v>0</v>
      </c>
      <c r="FV462" s="39">
        <f t="shared" ref="FV462:FW462" si="7688">FV$1*FC462/1000000</f>
        <v>0</v>
      </c>
      <c r="FW462" s="39">
        <f t="shared" si="7688"/>
        <v>0</v>
      </c>
      <c r="FX462" s="39">
        <f t="shared" ref="FX462:GC462" si="7689">FX$1*FE462</f>
        <v>0</v>
      </c>
      <c r="FY462" s="39">
        <f t="shared" si="7689"/>
        <v>0</v>
      </c>
      <c r="FZ462" s="39">
        <f t="shared" si="7689"/>
        <v>0</v>
      </c>
      <c r="GA462" s="39">
        <f t="shared" si="7689"/>
        <v>0</v>
      </c>
      <c r="GB462" s="39">
        <f t="shared" si="7689"/>
        <v>0</v>
      </c>
      <c r="GC462" s="39">
        <f t="shared" si="7689"/>
        <v>0</v>
      </c>
      <c r="GD462" s="39">
        <f t="shared" ref="GD462:GH462" si="7690">GD$1*FK462/1000000</f>
        <v>0</v>
      </c>
      <c r="GE462" s="39">
        <f t="shared" si="7690"/>
        <v>0</v>
      </c>
      <c r="GF462" s="39">
        <f t="shared" si="7690"/>
        <v>0</v>
      </c>
      <c r="GG462" s="39">
        <f t="shared" si="7690"/>
        <v>0</v>
      </c>
      <c r="GH462" s="39">
        <f t="shared" si="7690"/>
        <v>0</v>
      </c>
      <c r="GI462" s="39">
        <f t="shared" ref="GI462:GJ462" si="7691">GI$1*FP462</f>
        <v>0</v>
      </c>
      <c r="GJ462" s="39">
        <f t="shared" si="7691"/>
        <v>0</v>
      </c>
      <c r="GK462" s="2"/>
      <c r="GL462" s="39">
        <f t="shared" si="4395"/>
        <v>0</v>
      </c>
      <c r="GM462" s="39">
        <f t="shared" si="4396"/>
        <v>0</v>
      </c>
      <c r="GN462" s="2" t="s">
        <v>3</v>
      </c>
      <c r="GO462" s="2">
        <f t="shared" si="4397"/>
        <v>143</v>
      </c>
      <c r="GP462" s="2">
        <f t="shared" si="4398"/>
        <v>0.28999999999999998</v>
      </c>
      <c r="GQ462" s="15">
        <f t="shared" si="4399"/>
        <v>414.7</v>
      </c>
      <c r="GR462" s="15">
        <f t="shared" si="4400"/>
        <v>9049.0233833999991</v>
      </c>
      <c r="GS462" s="15">
        <f t="shared" si="4401"/>
        <v>63.279883799999993</v>
      </c>
      <c r="GT462" s="2">
        <f t="shared" si="4402"/>
        <v>0</v>
      </c>
      <c r="GU462" s="2">
        <f t="shared" si="4403"/>
        <v>0</v>
      </c>
      <c r="GV462" s="2">
        <f t="shared" si="4404"/>
        <v>414.7</v>
      </c>
      <c r="GW462" s="2">
        <f t="shared" si="4405"/>
        <v>0</v>
      </c>
      <c r="GX462" s="2"/>
      <c r="GY462" s="2"/>
      <c r="GZ462" s="2"/>
      <c r="HA462" s="2"/>
      <c r="HB462" s="2">
        <f t="shared" si="4406"/>
        <v>0</v>
      </c>
      <c r="HC462" s="2">
        <f t="shared" si="4407"/>
        <v>0</v>
      </c>
      <c r="HD462" s="2" t="s">
        <v>3</v>
      </c>
      <c r="HE462" s="2" t="s">
        <v>89</v>
      </c>
      <c r="HF462" s="2" t="s">
        <v>90</v>
      </c>
      <c r="HG462" s="2"/>
      <c r="HH462" s="2"/>
      <c r="HI462" s="2" t="s">
        <v>81</v>
      </c>
      <c r="HJ462" s="2" t="s">
        <v>3</v>
      </c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 t="s">
        <v>3</v>
      </c>
    </row>
    <row r="463" spans="1:268" ht="15.75" customHeight="1" x14ac:dyDescent="0.2">
      <c r="A463" s="16" t="s">
        <v>459</v>
      </c>
      <c r="B463" s="2" t="s">
        <v>99</v>
      </c>
      <c r="C463" s="2"/>
      <c r="D463" s="2"/>
      <c r="E463" s="2"/>
      <c r="F463" s="2" t="s">
        <v>79</v>
      </c>
      <c r="G463" s="2"/>
      <c r="H463" s="2"/>
      <c r="I463" s="2">
        <v>0</v>
      </c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>
        <v>0</v>
      </c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>
        <v>260.5</v>
      </c>
      <c r="AZ463" s="2">
        <v>0.11</v>
      </c>
      <c r="BA463" s="2">
        <v>7.0999999999999994E-2</v>
      </c>
      <c r="BB463" s="2"/>
      <c r="BC463" s="2"/>
      <c r="BD463" s="2"/>
      <c r="BE463" s="2"/>
      <c r="BF463" s="2"/>
      <c r="BG463" s="2">
        <v>7.0000000000000007E-2</v>
      </c>
      <c r="BH463" s="2"/>
      <c r="BI463" s="2">
        <f t="shared" ref="BI463:BJ463" si="7692">(1.371-0.071)*0.5</f>
        <v>0.65</v>
      </c>
      <c r="BJ463" s="2">
        <f t="shared" si="7692"/>
        <v>0.65</v>
      </c>
      <c r="BK463" s="2"/>
      <c r="BL463" s="2"/>
      <c r="BM463" s="2"/>
      <c r="BN463" s="2"/>
      <c r="BO463" s="2"/>
      <c r="BP463" s="2"/>
      <c r="BQ463" s="2"/>
      <c r="BR463" s="2"/>
      <c r="BS463" s="2"/>
      <c r="BT463" s="2">
        <v>0</v>
      </c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>
        <v>0</v>
      </c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 t="s">
        <v>81</v>
      </c>
      <c r="DK463" s="2"/>
      <c r="DL463" s="2">
        <f t="shared" si="4367"/>
        <v>7.0000000000000007E-2</v>
      </c>
      <c r="DM463" s="2">
        <f t="shared" si="4368"/>
        <v>0</v>
      </c>
      <c r="DN463" s="2" t="s">
        <v>101</v>
      </c>
      <c r="DO463" s="2" t="s">
        <v>3</v>
      </c>
      <c r="DP463" s="2">
        <f t="shared" si="4369"/>
        <v>0.28655000000000003</v>
      </c>
      <c r="DQ463" s="2">
        <f t="shared" ref="DQ463:DR463" si="7693">K463*$I463+AF463*$AD463+BA463*$AY463</f>
        <v>18.4955</v>
      </c>
      <c r="DR463" s="2">
        <f t="shared" si="7693"/>
        <v>0</v>
      </c>
      <c r="DS463" s="2">
        <f t="shared" ref="DS463:DX463" si="7694">(M463*$I463+AH463*$AD463+BC463*$AY463)/100</f>
        <v>0</v>
      </c>
      <c r="DT463" s="2">
        <f t="shared" si="7694"/>
        <v>0</v>
      </c>
      <c r="DU463" s="2">
        <f t="shared" si="7694"/>
        <v>0</v>
      </c>
      <c r="DV463" s="2">
        <f t="shared" si="7694"/>
        <v>0</v>
      </c>
      <c r="DW463" s="2">
        <f t="shared" si="7694"/>
        <v>0.18235000000000004</v>
      </c>
      <c r="DX463" s="2">
        <f t="shared" si="7694"/>
        <v>0</v>
      </c>
      <c r="DY463" s="2">
        <f t="shared" ref="DY463:EC463" si="7695">S463*$I463+AN463*$AD463+BI463*$AY463</f>
        <v>169.32500000000002</v>
      </c>
      <c r="DZ463" s="2">
        <f t="shared" si="7695"/>
        <v>169.32500000000002</v>
      </c>
      <c r="EA463" s="2">
        <f t="shared" si="7695"/>
        <v>0</v>
      </c>
      <c r="EB463" s="2">
        <f t="shared" si="7695"/>
        <v>0</v>
      </c>
      <c r="EC463" s="2">
        <f t="shared" si="7695"/>
        <v>0</v>
      </c>
      <c r="ED463" s="2">
        <f t="shared" ref="ED463:EE463" si="7696">(X463*$I463+AS463*$AD463+BN463*$AY463)/100</f>
        <v>0</v>
      </c>
      <c r="EE463" s="2">
        <f t="shared" si="7696"/>
        <v>0</v>
      </c>
      <c r="EF463" s="2"/>
      <c r="EG463" s="2">
        <f t="shared" si="4374"/>
        <v>0</v>
      </c>
      <c r="EH463" s="2">
        <f t="shared" si="4375"/>
        <v>0</v>
      </c>
      <c r="EI463" s="39">
        <f t="shared" si="4376"/>
        <v>1869.9152648000002</v>
      </c>
      <c r="EJ463" s="39">
        <f t="shared" ref="EJ463:EK463" si="7697">EJ$1*DQ463/1000000</f>
        <v>756.47189710610928</v>
      </c>
      <c r="EK463" s="39">
        <f t="shared" si="7697"/>
        <v>0</v>
      </c>
      <c r="EL463" s="39">
        <f t="shared" ref="EL463:EQ463" si="7698">EL$1*DS463</f>
        <v>0</v>
      </c>
      <c r="EM463" s="39">
        <f t="shared" si="7698"/>
        <v>0</v>
      </c>
      <c r="EN463" s="39">
        <f t="shared" si="7698"/>
        <v>0</v>
      </c>
      <c r="EO463" s="39">
        <f t="shared" si="7698"/>
        <v>0</v>
      </c>
      <c r="EP463" s="39">
        <f t="shared" si="7698"/>
        <v>2391.3379000000004</v>
      </c>
      <c r="EQ463" s="39">
        <f t="shared" si="7698"/>
        <v>0</v>
      </c>
      <c r="ER463" s="39">
        <f t="shared" ref="ER463:EV463" si="7699">ER$1*DY463/1000000</f>
        <v>4805.6721704180063</v>
      </c>
      <c r="ES463" s="39">
        <f t="shared" si="7699"/>
        <v>5642.878127009647</v>
      </c>
      <c r="ET463" s="39">
        <f t="shared" si="7699"/>
        <v>0</v>
      </c>
      <c r="EU463" s="39">
        <f t="shared" si="7699"/>
        <v>0</v>
      </c>
      <c r="EV463" s="39">
        <f t="shared" si="7699"/>
        <v>0</v>
      </c>
      <c r="EW463" s="39">
        <f t="shared" ref="EW463:EX463" si="7700">EW$1*ED463</f>
        <v>0</v>
      </c>
      <c r="EX463" s="39">
        <f t="shared" si="7700"/>
        <v>0</v>
      </c>
      <c r="EY463" s="2"/>
      <c r="EZ463" s="39">
        <f t="shared" si="4381"/>
        <v>0</v>
      </c>
      <c r="FA463" s="39">
        <f t="shared" si="4382"/>
        <v>0</v>
      </c>
      <c r="FB463" s="2">
        <f t="shared" si="4383"/>
        <v>0</v>
      </c>
      <c r="FC463" s="2">
        <f t="shared" ref="FC463:FD463" si="7701">BV463*$BT463+CQ463*$CO463</f>
        <v>0</v>
      </c>
      <c r="FD463" s="2">
        <f t="shared" si="7701"/>
        <v>0</v>
      </c>
      <c r="FE463" s="2">
        <f t="shared" ref="FE463:FJ463" si="7702">(BX463*$BT463+CS463*$CO463)/100</f>
        <v>0</v>
      </c>
      <c r="FF463" s="2">
        <f t="shared" si="7702"/>
        <v>0</v>
      </c>
      <c r="FG463" s="2">
        <f t="shared" si="7702"/>
        <v>0</v>
      </c>
      <c r="FH463" s="2">
        <f t="shared" si="7702"/>
        <v>0</v>
      </c>
      <c r="FI463" s="2">
        <f t="shared" si="7702"/>
        <v>0</v>
      </c>
      <c r="FJ463" s="2">
        <f t="shared" si="7702"/>
        <v>0</v>
      </c>
      <c r="FK463" s="2">
        <f t="shared" ref="FK463:FO463" si="7703">CD463*$BT463+CY463*$CO463</f>
        <v>0</v>
      </c>
      <c r="FL463" s="2">
        <f t="shared" si="7703"/>
        <v>0</v>
      </c>
      <c r="FM463" s="2">
        <f t="shared" si="7703"/>
        <v>0</v>
      </c>
      <c r="FN463" s="2">
        <f t="shared" si="7703"/>
        <v>0</v>
      </c>
      <c r="FO463" s="2">
        <f t="shared" si="7703"/>
        <v>0</v>
      </c>
      <c r="FP463" s="2">
        <f t="shared" ref="FP463:FQ463" si="7704">(CI463*$BT463+DD463*$CO463)/100</f>
        <v>0</v>
      </c>
      <c r="FQ463" s="2">
        <f t="shared" si="7704"/>
        <v>0</v>
      </c>
      <c r="FR463" s="2"/>
      <c r="FS463" s="2">
        <f t="shared" si="4388"/>
        <v>0</v>
      </c>
      <c r="FT463" s="2">
        <f t="shared" si="4389"/>
        <v>0</v>
      </c>
      <c r="FU463" s="39">
        <f t="shared" si="4390"/>
        <v>0</v>
      </c>
      <c r="FV463" s="39">
        <f t="shared" ref="FV463:FW463" si="7705">FV$1*FC463/1000000</f>
        <v>0</v>
      </c>
      <c r="FW463" s="39">
        <f t="shared" si="7705"/>
        <v>0</v>
      </c>
      <c r="FX463" s="39">
        <f t="shared" ref="FX463:GC463" si="7706">FX$1*FE463</f>
        <v>0</v>
      </c>
      <c r="FY463" s="39">
        <f t="shared" si="7706"/>
        <v>0</v>
      </c>
      <c r="FZ463" s="39">
        <f t="shared" si="7706"/>
        <v>0</v>
      </c>
      <c r="GA463" s="39">
        <f t="shared" si="7706"/>
        <v>0</v>
      </c>
      <c r="GB463" s="39">
        <f t="shared" si="7706"/>
        <v>0</v>
      </c>
      <c r="GC463" s="39">
        <f t="shared" si="7706"/>
        <v>0</v>
      </c>
      <c r="GD463" s="39">
        <f t="shared" ref="GD463:GH463" si="7707">GD$1*FK463/1000000</f>
        <v>0</v>
      </c>
      <c r="GE463" s="39">
        <f t="shared" si="7707"/>
        <v>0</v>
      </c>
      <c r="GF463" s="39">
        <f t="shared" si="7707"/>
        <v>0</v>
      </c>
      <c r="GG463" s="39">
        <f t="shared" si="7707"/>
        <v>0</v>
      </c>
      <c r="GH463" s="39">
        <f t="shared" si="7707"/>
        <v>0</v>
      </c>
      <c r="GI463" s="39">
        <f t="shared" ref="GI463:GJ463" si="7708">GI$1*FP463</f>
        <v>0</v>
      </c>
      <c r="GJ463" s="39">
        <f t="shared" si="7708"/>
        <v>0</v>
      </c>
      <c r="GK463" s="2"/>
      <c r="GL463" s="39">
        <f t="shared" si="4395"/>
        <v>0</v>
      </c>
      <c r="GM463" s="39">
        <f t="shared" si="4396"/>
        <v>0</v>
      </c>
      <c r="GN463" s="2" t="s">
        <v>3</v>
      </c>
      <c r="GO463" s="2">
        <f t="shared" si="4397"/>
        <v>260.5</v>
      </c>
      <c r="GP463" s="2">
        <f t="shared" si="4398"/>
        <v>7.0000000000000007E-2</v>
      </c>
      <c r="GQ463" s="15">
        <f t="shared" si="4399"/>
        <v>182.35</v>
      </c>
      <c r="GR463" s="15">
        <f t="shared" si="4400"/>
        <v>15466.275359333762</v>
      </c>
      <c r="GS463" s="15">
        <f t="shared" si="4401"/>
        <v>59.371498500321543</v>
      </c>
      <c r="GT463" s="2">
        <f t="shared" si="4402"/>
        <v>0</v>
      </c>
      <c r="GU463" s="2">
        <f t="shared" si="4403"/>
        <v>0</v>
      </c>
      <c r="GV463" s="2">
        <f t="shared" si="4404"/>
        <v>182.35000000000002</v>
      </c>
      <c r="GW463" s="2">
        <f t="shared" si="4405"/>
        <v>0</v>
      </c>
      <c r="GX463" s="2"/>
      <c r="GY463" s="2"/>
      <c r="GZ463" s="2"/>
      <c r="HA463" s="2"/>
      <c r="HB463" s="2">
        <f t="shared" si="4406"/>
        <v>0</v>
      </c>
      <c r="HC463" s="2">
        <f t="shared" si="4407"/>
        <v>0</v>
      </c>
      <c r="HD463" s="2" t="s">
        <v>3</v>
      </c>
      <c r="HE463" s="2" t="s">
        <v>89</v>
      </c>
      <c r="HF463" s="2" t="s">
        <v>90</v>
      </c>
      <c r="HG463" s="2"/>
      <c r="HH463" s="2"/>
      <c r="HI463" s="2" t="s">
        <v>81</v>
      </c>
      <c r="HJ463" s="2" t="s">
        <v>3</v>
      </c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 t="s">
        <v>3</v>
      </c>
    </row>
    <row r="464" spans="1:268" ht="15.75" customHeight="1" x14ac:dyDescent="0.2">
      <c r="A464" s="16" t="s">
        <v>982</v>
      </c>
      <c r="B464" s="2" t="s">
        <v>99</v>
      </c>
      <c r="C464" s="2"/>
      <c r="D464" s="2"/>
      <c r="E464" s="2"/>
      <c r="F464" s="2" t="s">
        <v>79</v>
      </c>
      <c r="G464" s="2"/>
      <c r="H464" s="2"/>
      <c r="I464" s="2">
        <v>1.103</v>
      </c>
      <c r="J464" s="2">
        <v>0.17</v>
      </c>
      <c r="K464" s="2">
        <v>0.26400000000000001</v>
      </c>
      <c r="L464" s="2"/>
      <c r="M464" s="2"/>
      <c r="N464" s="2"/>
      <c r="O464" s="2"/>
      <c r="P464" s="2"/>
      <c r="Q464" s="2">
        <v>0.23</v>
      </c>
      <c r="R464" s="2"/>
      <c r="S464" s="4">
        <f>(6.685-0.264)*0.4</f>
        <v>2.5684</v>
      </c>
      <c r="T464" s="4">
        <f>(6.685-0.264)*0.6</f>
        <v>3.8525999999999994</v>
      </c>
      <c r="U464" s="2"/>
      <c r="V464" s="2"/>
      <c r="W464" s="2"/>
      <c r="X464" s="2"/>
      <c r="Y464" s="2"/>
      <c r="Z464" s="2"/>
      <c r="AA464" s="2"/>
      <c r="AB464" s="2"/>
      <c r="AC464" s="2"/>
      <c r="AD464" s="2">
        <v>0</v>
      </c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>
        <v>0</v>
      </c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>
        <v>1.103</v>
      </c>
      <c r="BU464" s="2">
        <v>0.17</v>
      </c>
      <c r="BV464" s="2">
        <v>0.26400000000000001</v>
      </c>
      <c r="BW464" s="2"/>
      <c r="BX464" s="2"/>
      <c r="BY464" s="2"/>
      <c r="BZ464" s="2"/>
      <c r="CA464" s="2"/>
      <c r="CB464" s="2">
        <v>0.23</v>
      </c>
      <c r="CC464" s="2"/>
      <c r="CD464" s="4">
        <f>(6.685-0.264)*0.4</f>
        <v>2.5684</v>
      </c>
      <c r="CE464" s="4">
        <f>(6.685-0.264)*0.6</f>
        <v>3.8525999999999994</v>
      </c>
      <c r="CF464" s="2"/>
      <c r="CG464" s="2"/>
      <c r="CH464" s="2"/>
      <c r="CI464" s="2"/>
      <c r="CJ464" s="2"/>
      <c r="CK464" s="2"/>
      <c r="CL464" s="2"/>
      <c r="CM464" s="2"/>
      <c r="CN464" s="2"/>
      <c r="CO464" s="2">
        <v>0</v>
      </c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 t="s">
        <v>81</v>
      </c>
      <c r="DK464" s="2"/>
      <c r="DL464" s="2">
        <f t="shared" si="4367"/>
        <v>0.23000000000000004</v>
      </c>
      <c r="DM464" s="2">
        <f t="shared" si="4368"/>
        <v>0</v>
      </c>
      <c r="DN464" s="2" t="s">
        <v>101</v>
      </c>
      <c r="DO464" s="2" t="s">
        <v>3</v>
      </c>
      <c r="DP464" s="2">
        <f t="shared" si="4369"/>
        <v>1.8751000000000002E-3</v>
      </c>
      <c r="DQ464" s="2">
        <f t="shared" ref="DQ464:DR464" si="7709">K464*$I464+AF464*$AD464+BA464*$AY464</f>
        <v>0.29119200000000001</v>
      </c>
      <c r="DR464" s="2">
        <f t="shared" si="7709"/>
        <v>0</v>
      </c>
      <c r="DS464" s="2">
        <f t="shared" ref="DS464:DX464" si="7710">(M464*$I464+AH464*$AD464+BC464*$AY464)/100</f>
        <v>0</v>
      </c>
      <c r="DT464" s="2">
        <f t="shared" si="7710"/>
        <v>0</v>
      </c>
      <c r="DU464" s="2">
        <f t="shared" si="7710"/>
        <v>0</v>
      </c>
      <c r="DV464" s="2">
        <f t="shared" si="7710"/>
        <v>0</v>
      </c>
      <c r="DW464" s="2">
        <f t="shared" si="7710"/>
        <v>2.5369000000000004E-3</v>
      </c>
      <c r="DX464" s="2">
        <f t="shared" si="7710"/>
        <v>0</v>
      </c>
      <c r="DY464" s="2">
        <f t="shared" ref="DY464:EC464" si="7711">S464*$I464+AN464*$AD464+BI464*$AY464</f>
        <v>2.8329452000000002</v>
      </c>
      <c r="DZ464" s="2">
        <f t="shared" si="7711"/>
        <v>4.2494177999999989</v>
      </c>
      <c r="EA464" s="2">
        <f t="shared" si="7711"/>
        <v>0</v>
      </c>
      <c r="EB464" s="2">
        <f t="shared" si="7711"/>
        <v>0</v>
      </c>
      <c r="EC464" s="2">
        <f t="shared" si="7711"/>
        <v>0</v>
      </c>
      <c r="ED464" s="2">
        <f t="shared" ref="ED464:EE464" si="7712">(X464*$I464+AS464*$AD464+BN464*$AY464)/100</f>
        <v>0</v>
      </c>
      <c r="EE464" s="2">
        <f t="shared" si="7712"/>
        <v>0</v>
      </c>
      <c r="EF464" s="2"/>
      <c r="EG464" s="2">
        <f t="shared" si="4374"/>
        <v>0</v>
      </c>
      <c r="EH464" s="2">
        <f t="shared" si="4375"/>
        <v>0</v>
      </c>
      <c r="EI464" s="39">
        <f t="shared" si="4376"/>
        <v>12.236182561600002</v>
      </c>
      <c r="EJ464" s="39">
        <f t="shared" ref="EJ464:EK464" si="7713">EJ$1*DQ464/1000000</f>
        <v>11.909846430868166</v>
      </c>
      <c r="EK464" s="39">
        <f t="shared" si="7713"/>
        <v>0</v>
      </c>
      <c r="EL464" s="39">
        <f t="shared" ref="EL464:EQ464" si="7714">EL$1*DS464</f>
        <v>0</v>
      </c>
      <c r="EM464" s="39">
        <f t="shared" si="7714"/>
        <v>0</v>
      </c>
      <c r="EN464" s="39">
        <f t="shared" si="7714"/>
        <v>0</v>
      </c>
      <c r="EO464" s="39">
        <f t="shared" si="7714"/>
        <v>0</v>
      </c>
      <c r="EP464" s="39">
        <f t="shared" si="7714"/>
        <v>33.268906600000001</v>
      </c>
      <c r="EQ464" s="39">
        <f t="shared" si="7714"/>
        <v>0</v>
      </c>
      <c r="ER464" s="39">
        <f t="shared" ref="ER464:EV464" si="7715">ER$1*DY464/1000000</f>
        <v>80.40281061839228</v>
      </c>
      <c r="ES464" s="39">
        <f t="shared" si="7715"/>
        <v>141.61492252263662</v>
      </c>
      <c r="ET464" s="39">
        <f t="shared" si="7715"/>
        <v>0</v>
      </c>
      <c r="EU464" s="39">
        <f t="shared" si="7715"/>
        <v>0</v>
      </c>
      <c r="EV464" s="39">
        <f t="shared" si="7715"/>
        <v>0</v>
      </c>
      <c r="EW464" s="39">
        <f t="shared" ref="EW464:EX464" si="7716">EW$1*ED464</f>
        <v>0</v>
      </c>
      <c r="EX464" s="39">
        <f t="shared" si="7716"/>
        <v>0</v>
      </c>
      <c r="EY464" s="2"/>
      <c r="EZ464" s="39">
        <f t="shared" si="4381"/>
        <v>0</v>
      </c>
      <c r="FA464" s="39">
        <f t="shared" si="4382"/>
        <v>0</v>
      </c>
      <c r="FB464" s="2">
        <f t="shared" si="4383"/>
        <v>1.8751000000000002E-3</v>
      </c>
      <c r="FC464" s="2">
        <f t="shared" ref="FC464:FD464" si="7717">BV464*$BT464+CQ464*$CO464</f>
        <v>0.29119200000000001</v>
      </c>
      <c r="FD464" s="2">
        <f t="shared" si="7717"/>
        <v>0</v>
      </c>
      <c r="FE464" s="2">
        <f t="shared" ref="FE464:FJ464" si="7718">(BX464*$BT464+CS464*$CO464)/100</f>
        <v>0</v>
      </c>
      <c r="FF464" s="2">
        <f t="shared" si="7718"/>
        <v>0</v>
      </c>
      <c r="FG464" s="2">
        <f t="shared" si="7718"/>
        <v>0</v>
      </c>
      <c r="FH464" s="2">
        <f t="shared" si="7718"/>
        <v>0</v>
      </c>
      <c r="FI464" s="2">
        <f t="shared" si="7718"/>
        <v>2.5369000000000004E-3</v>
      </c>
      <c r="FJ464" s="2">
        <f t="shared" si="7718"/>
        <v>0</v>
      </c>
      <c r="FK464" s="2">
        <f t="shared" ref="FK464:FO464" si="7719">CD464*$BT464+CY464*$CO464</f>
        <v>2.8329452000000002</v>
      </c>
      <c r="FL464" s="2">
        <f t="shared" si="7719"/>
        <v>4.2494177999999989</v>
      </c>
      <c r="FM464" s="2">
        <f t="shared" si="7719"/>
        <v>0</v>
      </c>
      <c r="FN464" s="2">
        <f t="shared" si="7719"/>
        <v>0</v>
      </c>
      <c r="FO464" s="2">
        <f t="shared" si="7719"/>
        <v>0</v>
      </c>
      <c r="FP464" s="2">
        <f t="shared" ref="FP464:FQ464" si="7720">(CI464*$BT464+DD464*$CO464)/100</f>
        <v>0</v>
      </c>
      <c r="FQ464" s="2">
        <f t="shared" si="7720"/>
        <v>0</v>
      </c>
      <c r="FR464" s="2"/>
      <c r="FS464" s="2">
        <f t="shared" si="4388"/>
        <v>0</v>
      </c>
      <c r="FT464" s="2">
        <f t="shared" si="4389"/>
        <v>0</v>
      </c>
      <c r="FU464" s="39">
        <f t="shared" si="4390"/>
        <v>12.236182561600002</v>
      </c>
      <c r="FV464" s="39">
        <f t="shared" ref="FV464:FW464" si="7721">FV$1*FC464/1000000</f>
        <v>11.909846430868166</v>
      </c>
      <c r="FW464" s="39">
        <f t="shared" si="7721"/>
        <v>0</v>
      </c>
      <c r="FX464" s="39">
        <f t="shared" ref="FX464:GC464" si="7722">FX$1*FE464</f>
        <v>0</v>
      </c>
      <c r="FY464" s="39">
        <f t="shared" si="7722"/>
        <v>0</v>
      </c>
      <c r="FZ464" s="39">
        <f t="shared" si="7722"/>
        <v>0</v>
      </c>
      <c r="GA464" s="39">
        <f t="shared" si="7722"/>
        <v>0</v>
      </c>
      <c r="GB464" s="39">
        <f t="shared" si="7722"/>
        <v>33.268906600000001</v>
      </c>
      <c r="GC464" s="39">
        <f t="shared" si="7722"/>
        <v>0</v>
      </c>
      <c r="GD464" s="39">
        <f t="shared" ref="GD464:GH464" si="7723">GD$1*FK464/1000000</f>
        <v>80.40281061839228</v>
      </c>
      <c r="GE464" s="39">
        <f t="shared" si="7723"/>
        <v>141.61492252263662</v>
      </c>
      <c r="GF464" s="39">
        <f t="shared" si="7723"/>
        <v>0</v>
      </c>
      <c r="GG464" s="39">
        <f t="shared" si="7723"/>
        <v>0</v>
      </c>
      <c r="GH464" s="39">
        <f t="shared" si="7723"/>
        <v>0</v>
      </c>
      <c r="GI464" s="39">
        <f t="shared" ref="GI464:GJ464" si="7724">GI$1*FP464</f>
        <v>0</v>
      </c>
      <c r="GJ464" s="39">
        <f t="shared" si="7724"/>
        <v>0</v>
      </c>
      <c r="GK464" s="2"/>
      <c r="GL464" s="39">
        <f t="shared" si="4395"/>
        <v>0</v>
      </c>
      <c r="GM464" s="39">
        <f t="shared" si="4396"/>
        <v>0</v>
      </c>
      <c r="GN464" s="2" t="s">
        <v>3</v>
      </c>
      <c r="GO464" s="2">
        <f t="shared" si="4397"/>
        <v>1.103</v>
      </c>
      <c r="GP464" s="2">
        <f t="shared" si="4398"/>
        <v>0.23000000000000004</v>
      </c>
      <c r="GQ464" s="15">
        <f t="shared" si="4399"/>
        <v>2.5369000000000006</v>
      </c>
      <c r="GR464" s="15">
        <f t="shared" si="4400"/>
        <v>279.43266873349705</v>
      </c>
      <c r="GS464" s="15">
        <f t="shared" si="4401"/>
        <v>253.33877491704175</v>
      </c>
      <c r="GT464" s="2">
        <f t="shared" si="4402"/>
        <v>2.5369000000000002</v>
      </c>
      <c r="GU464" s="2">
        <f t="shared" si="4403"/>
        <v>0</v>
      </c>
      <c r="GV464" s="2">
        <f t="shared" si="4404"/>
        <v>0</v>
      </c>
      <c r="GW464" s="2">
        <f t="shared" si="4405"/>
        <v>1.103</v>
      </c>
      <c r="GX464" s="4">
        <f t="shared" ref="GX464:GX465" si="7725">(BT464*CB464+CO464*CW464)/GW464</f>
        <v>0.23000000000000004</v>
      </c>
      <c r="GY464" s="15">
        <f t="shared" ref="GY464:GY465" si="7726">1000*GW464*GX464/100</f>
        <v>2.5369000000000006</v>
      </c>
      <c r="GZ464" s="15">
        <f t="shared" ref="GZ464:GZ465" si="7727">SUM(FU464:GM464)</f>
        <v>279.43266873349705</v>
      </c>
      <c r="HA464" s="15">
        <f t="shared" ref="HA464:HA465" si="7728">GZ464/GW464</f>
        <v>253.33877491704175</v>
      </c>
      <c r="HB464" s="2">
        <f t="shared" si="4406"/>
        <v>2.5369000000000002</v>
      </c>
      <c r="HC464" s="2">
        <f t="shared" si="4407"/>
        <v>0</v>
      </c>
      <c r="HD464" s="2" t="s">
        <v>3</v>
      </c>
      <c r="HE464" s="2" t="s">
        <v>89</v>
      </c>
      <c r="HF464" s="2" t="s">
        <v>90</v>
      </c>
      <c r="HG464" s="2"/>
      <c r="HH464" s="2"/>
      <c r="HI464" s="2" t="s">
        <v>81</v>
      </c>
      <c r="HJ464" s="2" t="s">
        <v>3</v>
      </c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 t="s">
        <v>3</v>
      </c>
    </row>
    <row r="465" spans="1:268" ht="15.75" customHeight="1" x14ac:dyDescent="0.2">
      <c r="A465" s="16" t="s">
        <v>983</v>
      </c>
      <c r="B465" s="2" t="s">
        <v>99</v>
      </c>
      <c r="C465" s="2"/>
      <c r="D465" s="2"/>
      <c r="E465" s="2"/>
      <c r="F465" s="2" t="s">
        <v>79</v>
      </c>
      <c r="G465" s="2"/>
      <c r="H465" s="2"/>
      <c r="I465" s="2">
        <v>12.712999999999999</v>
      </c>
      <c r="J465" s="2">
        <v>0.16</v>
      </c>
      <c r="K465" s="2">
        <v>0.14899999999999999</v>
      </c>
      <c r="L465" s="2"/>
      <c r="M465" s="2"/>
      <c r="N465" s="2"/>
      <c r="O465" s="2"/>
      <c r="P465" s="2"/>
      <c r="Q465" s="2">
        <v>0.12</v>
      </c>
      <c r="R465" s="2"/>
      <c r="S465" s="4">
        <f>(3.652-0.149)*0.4</f>
        <v>1.4012000000000002</v>
      </c>
      <c r="T465" s="4">
        <f>(3.652-0.149)*0.6</f>
        <v>2.1017999999999999</v>
      </c>
      <c r="U465" s="2"/>
      <c r="V465" s="2"/>
      <c r="W465" s="2"/>
      <c r="X465" s="2"/>
      <c r="Y465" s="2"/>
      <c r="Z465" s="2"/>
      <c r="AA465" s="2"/>
      <c r="AB465" s="2"/>
      <c r="AC465" s="2"/>
      <c r="AD465" s="2">
        <v>0</v>
      </c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>
        <v>0</v>
      </c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>
        <v>12.712999999999999</v>
      </c>
      <c r="BU465" s="2">
        <v>0.16</v>
      </c>
      <c r="BV465" s="2">
        <v>0.14899999999999999</v>
      </c>
      <c r="BW465" s="2"/>
      <c r="BX465" s="2"/>
      <c r="BY465" s="2"/>
      <c r="BZ465" s="2"/>
      <c r="CA465" s="2"/>
      <c r="CB465" s="2">
        <v>0.12</v>
      </c>
      <c r="CC465" s="2"/>
      <c r="CD465" s="4">
        <f>(3.652-0.149)*0.4</f>
        <v>1.4012000000000002</v>
      </c>
      <c r="CE465" s="4">
        <f>(3.652-0.149)*0.6</f>
        <v>2.1017999999999999</v>
      </c>
      <c r="CF465" s="2"/>
      <c r="CG465" s="2"/>
      <c r="CH465" s="2"/>
      <c r="CI465" s="2"/>
      <c r="CJ465" s="2"/>
      <c r="CK465" s="2"/>
      <c r="CL465" s="2"/>
      <c r="CM465" s="2"/>
      <c r="CN465" s="2"/>
      <c r="CO465" s="2">
        <v>0</v>
      </c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 t="s">
        <v>81</v>
      </c>
      <c r="DK465" s="2"/>
      <c r="DL465" s="2">
        <f t="shared" si="4367"/>
        <v>0.12</v>
      </c>
      <c r="DM465" s="2">
        <f t="shared" si="4368"/>
        <v>0</v>
      </c>
      <c r="DN465" s="2" t="s">
        <v>101</v>
      </c>
      <c r="DO465" s="2" t="s">
        <v>3</v>
      </c>
      <c r="DP465" s="2">
        <f t="shared" si="4369"/>
        <v>2.0340799999999999E-2</v>
      </c>
      <c r="DQ465" s="2">
        <f t="shared" ref="DQ465:DR465" si="7729">K465*$I465+AF465*$AD465+BA465*$AY465</f>
        <v>1.8942369999999997</v>
      </c>
      <c r="DR465" s="2">
        <f t="shared" si="7729"/>
        <v>0</v>
      </c>
      <c r="DS465" s="2">
        <f t="shared" ref="DS465:DX465" si="7730">(M465*$I465+AH465*$AD465+BC465*$AY465)/100</f>
        <v>0</v>
      </c>
      <c r="DT465" s="2">
        <f t="shared" si="7730"/>
        <v>0</v>
      </c>
      <c r="DU465" s="2">
        <f t="shared" si="7730"/>
        <v>0</v>
      </c>
      <c r="DV465" s="2">
        <f t="shared" si="7730"/>
        <v>0</v>
      </c>
      <c r="DW465" s="2">
        <f t="shared" si="7730"/>
        <v>1.5255599999999998E-2</v>
      </c>
      <c r="DX465" s="2">
        <f t="shared" si="7730"/>
        <v>0</v>
      </c>
      <c r="DY465" s="2">
        <f t="shared" ref="DY465:EC465" si="7731">S465*$I465+AN465*$AD465+BI465*$AY465</f>
        <v>17.813455600000001</v>
      </c>
      <c r="DZ465" s="2">
        <f t="shared" si="7731"/>
        <v>26.720183399999996</v>
      </c>
      <c r="EA465" s="2">
        <f t="shared" si="7731"/>
        <v>0</v>
      </c>
      <c r="EB465" s="2">
        <f t="shared" si="7731"/>
        <v>0</v>
      </c>
      <c r="EC465" s="2">
        <f t="shared" si="7731"/>
        <v>0</v>
      </c>
      <c r="ED465" s="2">
        <f t="shared" ref="ED465:EE465" si="7732">(X465*$I465+AS465*$AD465+BN465*$AY465)/100</f>
        <v>0</v>
      </c>
      <c r="EE465" s="2">
        <f t="shared" si="7732"/>
        <v>0</v>
      </c>
      <c r="EF465" s="2"/>
      <c r="EG465" s="2">
        <f t="shared" si="4374"/>
        <v>0</v>
      </c>
      <c r="EH465" s="2">
        <f t="shared" si="4375"/>
        <v>0</v>
      </c>
      <c r="EI465" s="39">
        <f t="shared" si="4376"/>
        <v>132.73624993280001</v>
      </c>
      <c r="EJ465" s="39">
        <f t="shared" ref="EJ465:EK465" si="7733">EJ$1*DQ465/1000000</f>
        <v>77.474902379421209</v>
      </c>
      <c r="EK465" s="39">
        <f t="shared" si="7733"/>
        <v>0</v>
      </c>
      <c r="EL465" s="39">
        <f t="shared" ref="EL465:EQ465" si="7734">EL$1*DS465</f>
        <v>0</v>
      </c>
      <c r="EM465" s="39">
        <f t="shared" si="7734"/>
        <v>0</v>
      </c>
      <c r="EN465" s="39">
        <f t="shared" si="7734"/>
        <v>0</v>
      </c>
      <c r="EO465" s="39">
        <f t="shared" si="7734"/>
        <v>0</v>
      </c>
      <c r="EP465" s="39">
        <f t="shared" si="7734"/>
        <v>200.06193839999997</v>
      </c>
      <c r="EQ465" s="39">
        <f t="shared" si="7734"/>
        <v>0</v>
      </c>
      <c r="ER465" s="39">
        <f t="shared" ref="ER465:EV465" si="7735">ER$1*DY465/1000000</f>
        <v>505.5699266847588</v>
      </c>
      <c r="ES465" s="39">
        <f t="shared" si="7735"/>
        <v>890.46944312739538</v>
      </c>
      <c r="ET465" s="39">
        <f t="shared" si="7735"/>
        <v>0</v>
      </c>
      <c r="EU465" s="39">
        <f t="shared" si="7735"/>
        <v>0</v>
      </c>
      <c r="EV465" s="39">
        <f t="shared" si="7735"/>
        <v>0</v>
      </c>
      <c r="EW465" s="39">
        <f t="shared" ref="EW465:EX465" si="7736">EW$1*ED465</f>
        <v>0</v>
      </c>
      <c r="EX465" s="39">
        <f t="shared" si="7736"/>
        <v>0</v>
      </c>
      <c r="EY465" s="2"/>
      <c r="EZ465" s="39">
        <f t="shared" si="4381"/>
        <v>0</v>
      </c>
      <c r="FA465" s="39">
        <f t="shared" si="4382"/>
        <v>0</v>
      </c>
      <c r="FB465" s="2">
        <f t="shared" si="4383"/>
        <v>2.0340799999999999E-2</v>
      </c>
      <c r="FC465" s="2">
        <f t="shared" ref="FC465:FD465" si="7737">BV465*$BT465+CQ465*$CO465</f>
        <v>1.8942369999999997</v>
      </c>
      <c r="FD465" s="2">
        <f t="shared" si="7737"/>
        <v>0</v>
      </c>
      <c r="FE465" s="2">
        <f t="shared" ref="FE465:FJ465" si="7738">(BX465*$BT465+CS465*$CO465)/100</f>
        <v>0</v>
      </c>
      <c r="FF465" s="2">
        <f t="shared" si="7738"/>
        <v>0</v>
      </c>
      <c r="FG465" s="2">
        <f t="shared" si="7738"/>
        <v>0</v>
      </c>
      <c r="FH465" s="2">
        <f t="shared" si="7738"/>
        <v>0</v>
      </c>
      <c r="FI465" s="2">
        <f t="shared" si="7738"/>
        <v>1.5255599999999998E-2</v>
      </c>
      <c r="FJ465" s="2">
        <f t="shared" si="7738"/>
        <v>0</v>
      </c>
      <c r="FK465" s="2">
        <f t="shared" ref="FK465:FO465" si="7739">CD465*$BT465+CY465*$CO465</f>
        <v>17.813455600000001</v>
      </c>
      <c r="FL465" s="2">
        <f t="shared" si="7739"/>
        <v>26.720183399999996</v>
      </c>
      <c r="FM465" s="2">
        <f t="shared" si="7739"/>
        <v>0</v>
      </c>
      <c r="FN465" s="2">
        <f t="shared" si="7739"/>
        <v>0</v>
      </c>
      <c r="FO465" s="2">
        <f t="shared" si="7739"/>
        <v>0</v>
      </c>
      <c r="FP465" s="2">
        <f t="shared" ref="FP465:FQ465" si="7740">(CI465*$BT465+DD465*$CO465)/100</f>
        <v>0</v>
      </c>
      <c r="FQ465" s="2">
        <f t="shared" si="7740"/>
        <v>0</v>
      </c>
      <c r="FR465" s="2"/>
      <c r="FS465" s="2">
        <f t="shared" si="4388"/>
        <v>0</v>
      </c>
      <c r="FT465" s="2">
        <f t="shared" si="4389"/>
        <v>0</v>
      </c>
      <c r="FU465" s="39">
        <f t="shared" si="4390"/>
        <v>132.73624993280001</v>
      </c>
      <c r="FV465" s="39">
        <f t="shared" ref="FV465:FW465" si="7741">FV$1*FC465/1000000</f>
        <v>77.474902379421209</v>
      </c>
      <c r="FW465" s="39">
        <f t="shared" si="7741"/>
        <v>0</v>
      </c>
      <c r="FX465" s="39">
        <f t="shared" ref="FX465:GC465" si="7742">FX$1*FE465</f>
        <v>0</v>
      </c>
      <c r="FY465" s="39">
        <f t="shared" si="7742"/>
        <v>0</v>
      </c>
      <c r="FZ465" s="39">
        <f t="shared" si="7742"/>
        <v>0</v>
      </c>
      <c r="GA465" s="39">
        <f t="shared" si="7742"/>
        <v>0</v>
      </c>
      <c r="GB465" s="39">
        <f t="shared" si="7742"/>
        <v>200.06193839999997</v>
      </c>
      <c r="GC465" s="39">
        <f t="shared" si="7742"/>
        <v>0</v>
      </c>
      <c r="GD465" s="39">
        <f t="shared" ref="GD465:GH465" si="7743">GD$1*FK465/1000000</f>
        <v>505.5699266847588</v>
      </c>
      <c r="GE465" s="39">
        <f t="shared" si="7743"/>
        <v>890.46944312739538</v>
      </c>
      <c r="GF465" s="39">
        <f t="shared" si="7743"/>
        <v>0</v>
      </c>
      <c r="GG465" s="39">
        <f t="shared" si="7743"/>
        <v>0</v>
      </c>
      <c r="GH465" s="39">
        <f t="shared" si="7743"/>
        <v>0</v>
      </c>
      <c r="GI465" s="39">
        <f t="shared" ref="GI465:GJ465" si="7744">GI$1*FP465</f>
        <v>0</v>
      </c>
      <c r="GJ465" s="39">
        <f t="shared" si="7744"/>
        <v>0</v>
      </c>
      <c r="GK465" s="2"/>
      <c r="GL465" s="39">
        <f t="shared" si="4395"/>
        <v>0</v>
      </c>
      <c r="GM465" s="39">
        <f t="shared" si="4396"/>
        <v>0</v>
      </c>
      <c r="GN465" s="2" t="s">
        <v>3</v>
      </c>
      <c r="GO465" s="4">
        <f t="shared" si="4397"/>
        <v>12.712999999999999</v>
      </c>
      <c r="GP465" s="2">
        <f t="shared" si="4398"/>
        <v>0.12</v>
      </c>
      <c r="GQ465" s="15">
        <f t="shared" si="4399"/>
        <v>15.255599999999999</v>
      </c>
      <c r="GR465" s="15">
        <f t="shared" si="4400"/>
        <v>1806.3124605243754</v>
      </c>
      <c r="GS465" s="15">
        <f t="shared" si="4401"/>
        <v>142.08388740064308</v>
      </c>
      <c r="GT465" s="2">
        <f t="shared" si="4402"/>
        <v>15.255599999999998</v>
      </c>
      <c r="GU465" s="2">
        <f t="shared" si="4403"/>
        <v>0</v>
      </c>
      <c r="GV465" s="2">
        <f t="shared" si="4404"/>
        <v>0</v>
      </c>
      <c r="GW465" s="2">
        <f t="shared" si="4405"/>
        <v>12.712999999999999</v>
      </c>
      <c r="GX465" s="4">
        <f t="shared" si="7725"/>
        <v>0.12</v>
      </c>
      <c r="GY465" s="15">
        <f t="shared" si="7726"/>
        <v>15.255599999999999</v>
      </c>
      <c r="GZ465" s="15">
        <f t="shared" si="7727"/>
        <v>1806.3124605243754</v>
      </c>
      <c r="HA465" s="15">
        <f t="shared" si="7728"/>
        <v>142.08388740064308</v>
      </c>
      <c r="HB465" s="2">
        <f t="shared" si="4406"/>
        <v>15.255599999999998</v>
      </c>
      <c r="HC465" s="2">
        <f t="shared" si="4407"/>
        <v>0</v>
      </c>
      <c r="HD465" s="2" t="s">
        <v>3</v>
      </c>
      <c r="HE465" s="2" t="s">
        <v>89</v>
      </c>
      <c r="HF465" s="2" t="s">
        <v>90</v>
      </c>
      <c r="HG465" s="2"/>
      <c r="HH465" s="2"/>
      <c r="HI465" s="2" t="s">
        <v>81</v>
      </c>
      <c r="HJ465" s="2" t="s">
        <v>3</v>
      </c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 t="s">
        <v>3</v>
      </c>
    </row>
    <row r="466" spans="1:268" ht="15.75" customHeight="1" x14ac:dyDescent="0.2">
      <c r="A466" s="16" t="s">
        <v>812</v>
      </c>
      <c r="B466" s="2" t="s">
        <v>99</v>
      </c>
      <c r="C466" s="2"/>
      <c r="D466" s="2"/>
      <c r="E466" s="2" t="s">
        <v>78</v>
      </c>
      <c r="F466" s="2" t="s">
        <v>813</v>
      </c>
      <c r="G466" s="2"/>
      <c r="H466" s="2" t="s">
        <v>181</v>
      </c>
      <c r="I466" s="2">
        <v>0</v>
      </c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>
        <v>0</v>
      </c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>
        <v>9.4E-2</v>
      </c>
      <c r="AZ466" s="15">
        <v>1</v>
      </c>
      <c r="BA466" s="2"/>
      <c r="BB466" s="2"/>
      <c r="BC466" s="2"/>
      <c r="BD466" s="2"/>
      <c r="BE466" s="2"/>
      <c r="BF466" s="2"/>
      <c r="BG466" s="2">
        <v>0.8</v>
      </c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>
        <v>0</v>
      </c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>
        <v>0</v>
      </c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 t="s">
        <v>100</v>
      </c>
      <c r="DK466" s="2"/>
      <c r="DL466" s="2">
        <f t="shared" si="4367"/>
        <v>0.8</v>
      </c>
      <c r="DM466" s="2">
        <f t="shared" si="4368"/>
        <v>0</v>
      </c>
      <c r="DN466" s="2" t="s">
        <v>814</v>
      </c>
      <c r="DO466" s="2" t="s">
        <v>3</v>
      </c>
      <c r="DP466" s="2">
        <f t="shared" si="4369"/>
        <v>9.3999999999999997E-4</v>
      </c>
      <c r="DQ466" s="2">
        <f t="shared" ref="DQ466:DR466" si="7745">K466*$I466+AF466*$AD466+BA466*$AY466</f>
        <v>0</v>
      </c>
      <c r="DR466" s="2">
        <f t="shared" si="7745"/>
        <v>0</v>
      </c>
      <c r="DS466" s="2">
        <f t="shared" ref="DS466:DX466" si="7746">(M466*$I466+AH466*$AD466+BC466*$AY466)/100</f>
        <v>0</v>
      </c>
      <c r="DT466" s="2">
        <f t="shared" si="7746"/>
        <v>0</v>
      </c>
      <c r="DU466" s="2">
        <f t="shared" si="7746"/>
        <v>0</v>
      </c>
      <c r="DV466" s="2">
        <f t="shared" si="7746"/>
        <v>0</v>
      </c>
      <c r="DW466" s="2">
        <f t="shared" si="7746"/>
        <v>7.5200000000000006E-4</v>
      </c>
      <c r="DX466" s="2">
        <f t="shared" si="7746"/>
        <v>0</v>
      </c>
      <c r="DY466" s="2">
        <f t="shared" ref="DY466:EC466" si="7747">S466*$I466+AN466*$AD466+BI466*$AY466</f>
        <v>0</v>
      </c>
      <c r="DZ466" s="2">
        <f t="shared" si="7747"/>
        <v>0</v>
      </c>
      <c r="EA466" s="2">
        <f t="shared" si="7747"/>
        <v>0</v>
      </c>
      <c r="EB466" s="2">
        <f t="shared" si="7747"/>
        <v>0</v>
      </c>
      <c r="EC466" s="2">
        <f t="shared" si="7747"/>
        <v>0</v>
      </c>
      <c r="ED466" s="2">
        <f t="shared" ref="ED466:EE466" si="7748">(X466*$I466+AS466*$AD466+BN466*$AY466)/100</f>
        <v>0</v>
      </c>
      <c r="EE466" s="2">
        <f t="shared" si="7748"/>
        <v>0</v>
      </c>
      <c r="EF466" s="2"/>
      <c r="EG466" s="2">
        <f t="shared" si="4374"/>
        <v>0</v>
      </c>
      <c r="EH466" s="2">
        <f t="shared" si="4375"/>
        <v>0</v>
      </c>
      <c r="EI466" s="39">
        <f t="shared" si="4376"/>
        <v>6.1340790399999996</v>
      </c>
      <c r="EJ466" s="39">
        <f t="shared" ref="EJ466:EK466" si="7749">EJ$1*DQ466/1000000</f>
        <v>0</v>
      </c>
      <c r="EK466" s="39">
        <f t="shared" si="7749"/>
        <v>0</v>
      </c>
      <c r="EL466" s="39">
        <f t="shared" ref="EL466:EQ466" si="7750">EL$1*DS466</f>
        <v>0</v>
      </c>
      <c r="EM466" s="39">
        <f t="shared" si="7750"/>
        <v>0</v>
      </c>
      <c r="EN466" s="39">
        <f t="shared" si="7750"/>
        <v>0</v>
      </c>
      <c r="EO466" s="39">
        <f t="shared" si="7750"/>
        <v>0</v>
      </c>
      <c r="EP466" s="39">
        <f t="shared" si="7750"/>
        <v>9.8617280000000012</v>
      </c>
      <c r="EQ466" s="39">
        <f t="shared" si="7750"/>
        <v>0</v>
      </c>
      <c r="ER466" s="39">
        <f t="shared" ref="ER466:EV466" si="7751">ER$1*DY466/1000000</f>
        <v>0</v>
      </c>
      <c r="ES466" s="39">
        <f t="shared" si="7751"/>
        <v>0</v>
      </c>
      <c r="ET466" s="39">
        <f t="shared" si="7751"/>
        <v>0</v>
      </c>
      <c r="EU466" s="39">
        <f t="shared" si="7751"/>
        <v>0</v>
      </c>
      <c r="EV466" s="39">
        <f t="shared" si="7751"/>
        <v>0</v>
      </c>
      <c r="EW466" s="39">
        <f t="shared" ref="EW466:EX466" si="7752">EW$1*ED466</f>
        <v>0</v>
      </c>
      <c r="EX466" s="39">
        <f t="shared" si="7752"/>
        <v>0</v>
      </c>
      <c r="EY466" s="2"/>
      <c r="EZ466" s="39">
        <f t="shared" si="4381"/>
        <v>0</v>
      </c>
      <c r="FA466" s="39">
        <f t="shared" si="4382"/>
        <v>0</v>
      </c>
      <c r="FB466" s="2">
        <f t="shared" si="4383"/>
        <v>0</v>
      </c>
      <c r="FC466" s="2">
        <f t="shared" ref="FC466:FD466" si="7753">BV466*$BT466+CQ466*$CO466</f>
        <v>0</v>
      </c>
      <c r="FD466" s="2">
        <f t="shared" si="7753"/>
        <v>0</v>
      </c>
      <c r="FE466" s="2">
        <f t="shared" ref="FE466:FJ466" si="7754">(BX466*$BT466+CS466*$CO466)/100</f>
        <v>0</v>
      </c>
      <c r="FF466" s="2">
        <f t="shared" si="7754"/>
        <v>0</v>
      </c>
      <c r="FG466" s="2">
        <f t="shared" si="7754"/>
        <v>0</v>
      </c>
      <c r="FH466" s="2">
        <f t="shared" si="7754"/>
        <v>0</v>
      </c>
      <c r="FI466" s="2">
        <f t="shared" si="7754"/>
        <v>0</v>
      </c>
      <c r="FJ466" s="2">
        <f t="shared" si="7754"/>
        <v>0</v>
      </c>
      <c r="FK466" s="2">
        <f t="shared" ref="FK466:FO466" si="7755">CD466*$BT466+CY466*$CO466</f>
        <v>0</v>
      </c>
      <c r="FL466" s="2">
        <f t="shared" si="7755"/>
        <v>0</v>
      </c>
      <c r="FM466" s="2">
        <f t="shared" si="7755"/>
        <v>0</v>
      </c>
      <c r="FN466" s="2">
        <f t="shared" si="7755"/>
        <v>0</v>
      </c>
      <c r="FO466" s="2">
        <f t="shared" si="7755"/>
        <v>0</v>
      </c>
      <c r="FP466" s="2">
        <f t="shared" ref="FP466:FQ466" si="7756">(CI466*$BT466+DD466*$CO466)/100</f>
        <v>0</v>
      </c>
      <c r="FQ466" s="2">
        <f t="shared" si="7756"/>
        <v>0</v>
      </c>
      <c r="FR466" s="2"/>
      <c r="FS466" s="2">
        <f t="shared" si="4388"/>
        <v>0</v>
      </c>
      <c r="FT466" s="2">
        <f t="shared" si="4389"/>
        <v>0</v>
      </c>
      <c r="FU466" s="39">
        <f t="shared" si="4390"/>
        <v>0</v>
      </c>
      <c r="FV466" s="39">
        <f t="shared" ref="FV466:FW466" si="7757">FV$1*FC466/1000000</f>
        <v>0</v>
      </c>
      <c r="FW466" s="39">
        <f t="shared" si="7757"/>
        <v>0</v>
      </c>
      <c r="FX466" s="39">
        <f t="shared" ref="FX466:GC466" si="7758">FX$1*FE466</f>
        <v>0</v>
      </c>
      <c r="FY466" s="39">
        <f t="shared" si="7758"/>
        <v>0</v>
      </c>
      <c r="FZ466" s="39">
        <f t="shared" si="7758"/>
        <v>0</v>
      </c>
      <c r="GA466" s="39">
        <f t="shared" si="7758"/>
        <v>0</v>
      </c>
      <c r="GB466" s="39">
        <f t="shared" si="7758"/>
        <v>0</v>
      </c>
      <c r="GC466" s="39">
        <f t="shared" si="7758"/>
        <v>0</v>
      </c>
      <c r="GD466" s="39">
        <f t="shared" ref="GD466:GH466" si="7759">GD$1*FK466/1000000</f>
        <v>0</v>
      </c>
      <c r="GE466" s="39">
        <f t="shared" si="7759"/>
        <v>0</v>
      </c>
      <c r="GF466" s="39">
        <f t="shared" si="7759"/>
        <v>0</v>
      </c>
      <c r="GG466" s="39">
        <f t="shared" si="7759"/>
        <v>0</v>
      </c>
      <c r="GH466" s="39">
        <f t="shared" si="7759"/>
        <v>0</v>
      </c>
      <c r="GI466" s="39">
        <f t="shared" ref="GI466:GJ466" si="7760">GI$1*FP466</f>
        <v>0</v>
      </c>
      <c r="GJ466" s="39">
        <f t="shared" si="7760"/>
        <v>0</v>
      </c>
      <c r="GK466" s="2"/>
      <c r="GL466" s="39">
        <f t="shared" si="4395"/>
        <v>0</v>
      </c>
      <c r="GM466" s="39">
        <f t="shared" si="4396"/>
        <v>0</v>
      </c>
      <c r="GN466" s="2" t="s">
        <v>3</v>
      </c>
      <c r="GO466" s="2">
        <f t="shared" si="4397"/>
        <v>9.4E-2</v>
      </c>
      <c r="GP466" s="2">
        <f t="shared" si="4398"/>
        <v>0.8</v>
      </c>
      <c r="GQ466" s="15">
        <f t="shared" si="4399"/>
        <v>0.752</v>
      </c>
      <c r="GR466" s="15">
        <f t="shared" si="4400"/>
        <v>15.995807040000001</v>
      </c>
      <c r="GS466" s="15">
        <f t="shared" si="4401"/>
        <v>170.16816</v>
      </c>
      <c r="GT466" s="2">
        <f t="shared" si="4402"/>
        <v>0</v>
      </c>
      <c r="GU466" s="2">
        <f t="shared" si="4403"/>
        <v>0</v>
      </c>
      <c r="GV466" s="2">
        <f t="shared" si="4404"/>
        <v>0.752</v>
      </c>
      <c r="GW466" s="2">
        <f t="shared" si="4405"/>
        <v>0</v>
      </c>
      <c r="GX466" s="2"/>
      <c r="GY466" s="2"/>
      <c r="GZ466" s="2"/>
      <c r="HA466" s="2"/>
      <c r="HB466" s="2">
        <f t="shared" si="4406"/>
        <v>0</v>
      </c>
      <c r="HC466" s="2">
        <f t="shared" si="4407"/>
        <v>0</v>
      </c>
      <c r="HD466" s="2" t="s">
        <v>3</v>
      </c>
      <c r="HE466" s="2" t="s">
        <v>89</v>
      </c>
      <c r="HF466" s="2" t="s">
        <v>815</v>
      </c>
      <c r="HG466" s="2"/>
      <c r="HH466" s="2"/>
      <c r="HI466" s="2" t="s">
        <v>100</v>
      </c>
      <c r="HJ466" s="2" t="s">
        <v>3</v>
      </c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 t="s">
        <v>3</v>
      </c>
    </row>
    <row r="467" spans="1:268" ht="15.75" customHeight="1" x14ac:dyDescent="0.2">
      <c r="A467" s="16" t="s">
        <v>170</v>
      </c>
      <c r="B467" s="2" t="s">
        <v>99</v>
      </c>
      <c r="C467" s="2"/>
      <c r="D467" s="2"/>
      <c r="E467" s="2"/>
      <c r="F467" s="2" t="s">
        <v>171</v>
      </c>
      <c r="G467" s="2"/>
      <c r="H467" s="2"/>
      <c r="I467" s="2">
        <v>0</v>
      </c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>
        <v>0</v>
      </c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>
        <v>133.43</v>
      </c>
      <c r="AZ467" s="4">
        <v>0.10798927886436387</v>
      </c>
      <c r="BA467" s="4">
        <v>9.3515517999999992E-2</v>
      </c>
      <c r="BB467" s="2"/>
      <c r="BC467" s="2"/>
      <c r="BD467" s="2"/>
      <c r="BE467" s="2"/>
      <c r="BF467" s="2"/>
      <c r="BG467" s="4">
        <v>0.20463110206781226</v>
      </c>
      <c r="BH467" s="2"/>
      <c r="BI467" s="4">
        <v>0.56108131600000011</v>
      </c>
      <c r="BJ467" s="4">
        <v>0.68540330000000005</v>
      </c>
      <c r="BK467" s="2"/>
      <c r="BL467" s="2"/>
      <c r="BM467" s="2"/>
      <c r="BN467" s="2"/>
      <c r="BO467" s="2"/>
      <c r="BP467" s="2"/>
      <c r="BQ467" s="2"/>
      <c r="BR467" s="2"/>
      <c r="BS467" s="2"/>
      <c r="BT467" s="2">
        <v>0</v>
      </c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>
        <v>0</v>
      </c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 t="s">
        <v>100</v>
      </c>
      <c r="DK467" s="2"/>
      <c r="DL467" s="2">
        <f t="shared" si="4367"/>
        <v>0.20463110206781226</v>
      </c>
      <c r="DM467" s="2">
        <f t="shared" si="4368"/>
        <v>0</v>
      </c>
      <c r="DN467" s="2" t="s">
        <v>172</v>
      </c>
      <c r="DO467" s="2" t="s">
        <v>3</v>
      </c>
      <c r="DP467" s="2">
        <f t="shared" si="4369"/>
        <v>0.14409009478872073</v>
      </c>
      <c r="DQ467" s="2">
        <f t="shared" ref="DQ467:DR467" si="7761">K467*$I467+AF467*$AD467+BA467*$AY467</f>
        <v>12.47777556674</v>
      </c>
      <c r="DR467" s="2">
        <f t="shared" si="7761"/>
        <v>0</v>
      </c>
      <c r="DS467" s="2">
        <f t="shared" ref="DS467:DX467" si="7762">(M467*$I467+AH467*$AD467+BC467*$AY467)/100</f>
        <v>0</v>
      </c>
      <c r="DT467" s="2">
        <f t="shared" si="7762"/>
        <v>0</v>
      </c>
      <c r="DU467" s="2">
        <f t="shared" si="7762"/>
        <v>0</v>
      </c>
      <c r="DV467" s="2">
        <f t="shared" si="7762"/>
        <v>0</v>
      </c>
      <c r="DW467" s="2">
        <f t="shared" si="7762"/>
        <v>0.27303927948908191</v>
      </c>
      <c r="DX467" s="2">
        <f t="shared" si="7762"/>
        <v>0</v>
      </c>
      <c r="DY467" s="2">
        <f t="shared" ref="DY467:EC467" si="7763">S467*$I467+AN467*$AD467+BI467*$AY467</f>
        <v>74.865079993880016</v>
      </c>
      <c r="DZ467" s="2">
        <f t="shared" si="7763"/>
        <v>91.453362319000007</v>
      </c>
      <c r="EA467" s="2">
        <f t="shared" si="7763"/>
        <v>0</v>
      </c>
      <c r="EB467" s="2">
        <f t="shared" si="7763"/>
        <v>0</v>
      </c>
      <c r="EC467" s="2">
        <f t="shared" si="7763"/>
        <v>0</v>
      </c>
      <c r="ED467" s="2">
        <f t="shared" ref="ED467:EE467" si="7764">(X467*$I467+AS467*$AD467+BN467*$AY467)/100</f>
        <v>0</v>
      </c>
      <c r="EE467" s="2">
        <f t="shared" si="7764"/>
        <v>0</v>
      </c>
      <c r="EF467" s="2"/>
      <c r="EG467" s="2">
        <f t="shared" si="4374"/>
        <v>0</v>
      </c>
      <c r="EH467" s="2">
        <f t="shared" si="4375"/>
        <v>0</v>
      </c>
      <c r="EI467" s="39">
        <f t="shared" si="4376"/>
        <v>940.27662799479265</v>
      </c>
      <c r="EJ467" s="39">
        <f t="shared" ref="EJ467:EK467" si="7765">EJ$1*DQ467/1000000</f>
        <v>510.34503282615043</v>
      </c>
      <c r="EK467" s="39">
        <f t="shared" si="7765"/>
        <v>0</v>
      </c>
      <c r="EL467" s="39">
        <f t="shared" ref="EL467:EQ467" si="7766">EL$1*DS467</f>
        <v>0</v>
      </c>
      <c r="EM467" s="39">
        <f t="shared" si="7766"/>
        <v>0</v>
      </c>
      <c r="EN467" s="39">
        <f t="shared" si="7766"/>
        <v>0</v>
      </c>
      <c r="EO467" s="39">
        <f t="shared" si="7766"/>
        <v>0</v>
      </c>
      <c r="EP467" s="39">
        <f t="shared" si="7766"/>
        <v>3580.6371112198203</v>
      </c>
      <c r="EQ467" s="39">
        <f t="shared" si="7766"/>
        <v>0</v>
      </c>
      <c r="ER467" s="39">
        <f t="shared" ref="ER467:EV467" si="7767">ER$1*DY467/1000000</f>
        <v>2124.7720741928661</v>
      </c>
      <c r="ES467" s="39">
        <f t="shared" si="7767"/>
        <v>3047.7494632887842</v>
      </c>
      <c r="ET467" s="39">
        <f t="shared" si="7767"/>
        <v>0</v>
      </c>
      <c r="EU467" s="39">
        <f t="shared" si="7767"/>
        <v>0</v>
      </c>
      <c r="EV467" s="39">
        <f t="shared" si="7767"/>
        <v>0</v>
      </c>
      <c r="EW467" s="39">
        <f t="shared" ref="EW467:EX467" si="7768">EW$1*ED467</f>
        <v>0</v>
      </c>
      <c r="EX467" s="39">
        <f t="shared" si="7768"/>
        <v>0</v>
      </c>
      <c r="EY467" s="2"/>
      <c r="EZ467" s="39">
        <f t="shared" si="4381"/>
        <v>0</v>
      </c>
      <c r="FA467" s="39">
        <f t="shared" si="4382"/>
        <v>0</v>
      </c>
      <c r="FB467" s="2">
        <f t="shared" si="4383"/>
        <v>0</v>
      </c>
      <c r="FC467" s="2">
        <f t="shared" ref="FC467:FD467" si="7769">BV467*$BT467+CQ467*$CO467</f>
        <v>0</v>
      </c>
      <c r="FD467" s="2">
        <f t="shared" si="7769"/>
        <v>0</v>
      </c>
      <c r="FE467" s="2">
        <f t="shared" ref="FE467:FJ467" si="7770">(BX467*$BT467+CS467*$CO467)/100</f>
        <v>0</v>
      </c>
      <c r="FF467" s="2">
        <f t="shared" si="7770"/>
        <v>0</v>
      </c>
      <c r="FG467" s="2">
        <f t="shared" si="7770"/>
        <v>0</v>
      </c>
      <c r="FH467" s="2">
        <f t="shared" si="7770"/>
        <v>0</v>
      </c>
      <c r="FI467" s="2">
        <f t="shared" si="7770"/>
        <v>0</v>
      </c>
      <c r="FJ467" s="2">
        <f t="shared" si="7770"/>
        <v>0</v>
      </c>
      <c r="FK467" s="2">
        <f t="shared" ref="FK467:FO467" si="7771">CD467*$BT467+CY467*$CO467</f>
        <v>0</v>
      </c>
      <c r="FL467" s="2">
        <f t="shared" si="7771"/>
        <v>0</v>
      </c>
      <c r="FM467" s="2">
        <f t="shared" si="7771"/>
        <v>0</v>
      </c>
      <c r="FN467" s="2">
        <f t="shared" si="7771"/>
        <v>0</v>
      </c>
      <c r="FO467" s="2">
        <f t="shared" si="7771"/>
        <v>0</v>
      </c>
      <c r="FP467" s="2">
        <f t="shared" ref="FP467:FQ467" si="7772">(CI467*$BT467+DD467*$CO467)/100</f>
        <v>0</v>
      </c>
      <c r="FQ467" s="2">
        <f t="shared" si="7772"/>
        <v>0</v>
      </c>
      <c r="FR467" s="2"/>
      <c r="FS467" s="2">
        <f t="shared" si="4388"/>
        <v>0</v>
      </c>
      <c r="FT467" s="2">
        <f t="shared" si="4389"/>
        <v>0</v>
      </c>
      <c r="FU467" s="39">
        <f t="shared" si="4390"/>
        <v>0</v>
      </c>
      <c r="FV467" s="39">
        <f t="shared" ref="FV467:FW467" si="7773">FV$1*FC467/1000000</f>
        <v>0</v>
      </c>
      <c r="FW467" s="39">
        <f t="shared" si="7773"/>
        <v>0</v>
      </c>
      <c r="FX467" s="39">
        <f t="shared" ref="FX467:GC467" si="7774">FX$1*FE467</f>
        <v>0</v>
      </c>
      <c r="FY467" s="39">
        <f t="shared" si="7774"/>
        <v>0</v>
      </c>
      <c r="FZ467" s="39">
        <f t="shared" si="7774"/>
        <v>0</v>
      </c>
      <c r="GA467" s="39">
        <f t="shared" si="7774"/>
        <v>0</v>
      </c>
      <c r="GB467" s="39">
        <f t="shared" si="7774"/>
        <v>0</v>
      </c>
      <c r="GC467" s="39">
        <f t="shared" si="7774"/>
        <v>0</v>
      </c>
      <c r="GD467" s="39">
        <f t="shared" ref="GD467:GH467" si="7775">GD$1*FK467/1000000</f>
        <v>0</v>
      </c>
      <c r="GE467" s="39">
        <f t="shared" si="7775"/>
        <v>0</v>
      </c>
      <c r="GF467" s="39">
        <f t="shared" si="7775"/>
        <v>0</v>
      </c>
      <c r="GG467" s="39">
        <f t="shared" si="7775"/>
        <v>0</v>
      </c>
      <c r="GH467" s="39">
        <f t="shared" si="7775"/>
        <v>0</v>
      </c>
      <c r="GI467" s="39">
        <f t="shared" ref="GI467:GJ467" si="7776">GI$1*FP467</f>
        <v>0</v>
      </c>
      <c r="GJ467" s="39">
        <f t="shared" si="7776"/>
        <v>0</v>
      </c>
      <c r="GK467" s="2"/>
      <c r="GL467" s="39">
        <f t="shared" si="4395"/>
        <v>0</v>
      </c>
      <c r="GM467" s="39">
        <f t="shared" si="4396"/>
        <v>0</v>
      </c>
      <c r="GN467" s="2" t="s">
        <v>3</v>
      </c>
      <c r="GO467" s="15">
        <f t="shared" si="4397"/>
        <v>133.43</v>
      </c>
      <c r="GP467" s="4">
        <f t="shared" si="4398"/>
        <v>0.20463110206781226</v>
      </c>
      <c r="GQ467" s="15">
        <f t="shared" si="4399"/>
        <v>273.03927948908188</v>
      </c>
      <c r="GR467" s="15">
        <f t="shared" si="4400"/>
        <v>10203.780309522414</v>
      </c>
      <c r="GS467" s="15">
        <f t="shared" si="4401"/>
        <v>76.472909462058112</v>
      </c>
      <c r="GT467" s="2">
        <f t="shared" si="4402"/>
        <v>0</v>
      </c>
      <c r="GU467" s="2">
        <f t="shared" si="4403"/>
        <v>0</v>
      </c>
      <c r="GV467" s="2">
        <f t="shared" si="4404"/>
        <v>273.03927948908193</v>
      </c>
      <c r="GW467" s="2">
        <f t="shared" si="4405"/>
        <v>0</v>
      </c>
      <c r="GX467" s="2"/>
      <c r="GY467" s="2"/>
      <c r="GZ467" s="2"/>
      <c r="HA467" s="2"/>
      <c r="HB467" s="2">
        <f t="shared" si="4406"/>
        <v>0</v>
      </c>
      <c r="HC467" s="2">
        <f t="shared" si="4407"/>
        <v>0</v>
      </c>
      <c r="HD467" s="2" t="s">
        <v>3</v>
      </c>
      <c r="HE467" s="2" t="s">
        <v>89</v>
      </c>
      <c r="HF467" s="2" t="s">
        <v>90</v>
      </c>
      <c r="HG467" s="2" t="s">
        <v>162</v>
      </c>
      <c r="HH467" s="2" t="s">
        <v>130</v>
      </c>
      <c r="HI467" s="2" t="s">
        <v>100</v>
      </c>
      <c r="HJ467" s="2" t="s">
        <v>3</v>
      </c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 t="s">
        <v>3</v>
      </c>
    </row>
    <row r="468" spans="1:268" ht="15.75" customHeight="1" x14ac:dyDescent="0.2">
      <c r="A468" s="16" t="s">
        <v>98</v>
      </c>
      <c r="B468" s="2" t="s">
        <v>99</v>
      </c>
      <c r="C468" s="2"/>
      <c r="D468" s="2"/>
      <c r="E468" s="2"/>
      <c r="F468" s="2" t="s">
        <v>79</v>
      </c>
      <c r="G468" s="2"/>
      <c r="H468" s="2"/>
      <c r="I468" s="2">
        <v>0</v>
      </c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>
        <v>0</v>
      </c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18">
        <v>2773.79</v>
      </c>
      <c r="AZ468" s="2"/>
      <c r="BA468" s="2"/>
      <c r="BB468" s="2"/>
      <c r="BC468" s="2"/>
      <c r="BD468" s="2"/>
      <c r="BE468" s="2"/>
      <c r="BF468" s="2"/>
      <c r="BG468" s="2">
        <v>0.28999999999999998</v>
      </c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>
        <v>0</v>
      </c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>
        <v>0</v>
      </c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 t="s">
        <v>100</v>
      </c>
      <c r="DK468" s="2"/>
      <c r="DL468" s="2">
        <f t="shared" si="4367"/>
        <v>0.28999999999999998</v>
      </c>
      <c r="DM468" s="2">
        <f t="shared" si="4368"/>
        <v>0</v>
      </c>
      <c r="DN468" s="2" t="s">
        <v>101</v>
      </c>
      <c r="DO468" s="2" t="s">
        <v>3</v>
      </c>
      <c r="DP468" s="2">
        <f t="shared" si="4369"/>
        <v>0</v>
      </c>
      <c r="DQ468" s="2">
        <f t="shared" ref="DQ468:DR468" si="7777">K468*$I468+AF468*$AD468+BA468*$AY468</f>
        <v>0</v>
      </c>
      <c r="DR468" s="2">
        <f t="shared" si="7777"/>
        <v>0</v>
      </c>
      <c r="DS468" s="2">
        <f t="shared" ref="DS468:DX468" si="7778">(M468*$I468+AH468*$AD468+BC468*$AY468)/100</f>
        <v>0</v>
      </c>
      <c r="DT468" s="2">
        <f t="shared" si="7778"/>
        <v>0</v>
      </c>
      <c r="DU468" s="2">
        <f t="shared" si="7778"/>
        <v>0</v>
      </c>
      <c r="DV468" s="2">
        <f t="shared" si="7778"/>
        <v>0</v>
      </c>
      <c r="DW468" s="2">
        <f t="shared" si="7778"/>
        <v>8.0439910000000001</v>
      </c>
      <c r="DX468" s="2">
        <f t="shared" si="7778"/>
        <v>0</v>
      </c>
      <c r="DY468" s="2">
        <f t="shared" ref="DY468:EC468" si="7779">S468*$I468+AN468*$AD468+BI468*$AY468</f>
        <v>0</v>
      </c>
      <c r="DZ468" s="2">
        <f t="shared" si="7779"/>
        <v>0</v>
      </c>
      <c r="EA468" s="2">
        <f t="shared" si="7779"/>
        <v>0</v>
      </c>
      <c r="EB468" s="2">
        <f t="shared" si="7779"/>
        <v>0</v>
      </c>
      <c r="EC468" s="2">
        <f t="shared" si="7779"/>
        <v>0</v>
      </c>
      <c r="ED468" s="2">
        <f t="shared" ref="ED468:EE468" si="7780">(X468*$I468+AS468*$AD468+BN468*$AY468)/100</f>
        <v>0</v>
      </c>
      <c r="EE468" s="2">
        <f t="shared" si="7780"/>
        <v>0</v>
      </c>
      <c r="EF468" s="2"/>
      <c r="EG468" s="2">
        <f t="shared" si="4374"/>
        <v>0</v>
      </c>
      <c r="EH468" s="2">
        <f t="shared" si="4375"/>
        <v>0</v>
      </c>
      <c r="EI468" s="39">
        <f t="shared" si="4376"/>
        <v>0</v>
      </c>
      <c r="EJ468" s="39">
        <f t="shared" ref="EJ468:EK468" si="7781">EJ$1*DQ468/1000000</f>
        <v>0</v>
      </c>
      <c r="EK468" s="39">
        <f t="shared" si="7781"/>
        <v>0</v>
      </c>
      <c r="EL468" s="39">
        <f t="shared" ref="EL468:EQ468" si="7782">EL$1*DS468</f>
        <v>0</v>
      </c>
      <c r="EM468" s="39">
        <f t="shared" si="7782"/>
        <v>0</v>
      </c>
      <c r="EN468" s="39">
        <f t="shared" si="7782"/>
        <v>0</v>
      </c>
      <c r="EO468" s="39">
        <f t="shared" si="7782"/>
        <v>0</v>
      </c>
      <c r="EP468" s="39">
        <f t="shared" si="7782"/>
        <v>105488.89797400001</v>
      </c>
      <c r="EQ468" s="39">
        <f t="shared" si="7782"/>
        <v>0</v>
      </c>
      <c r="ER468" s="39">
        <f t="shared" ref="ER468:EV468" si="7783">ER$1*DY468/1000000</f>
        <v>0</v>
      </c>
      <c r="ES468" s="39">
        <f t="shared" si="7783"/>
        <v>0</v>
      </c>
      <c r="ET468" s="39">
        <f t="shared" si="7783"/>
        <v>0</v>
      </c>
      <c r="EU468" s="39">
        <f t="shared" si="7783"/>
        <v>0</v>
      </c>
      <c r="EV468" s="39">
        <f t="shared" si="7783"/>
        <v>0</v>
      </c>
      <c r="EW468" s="39">
        <f t="shared" ref="EW468:EX468" si="7784">EW$1*ED468</f>
        <v>0</v>
      </c>
      <c r="EX468" s="39">
        <f t="shared" si="7784"/>
        <v>0</v>
      </c>
      <c r="EY468" s="2"/>
      <c r="EZ468" s="39">
        <f t="shared" si="4381"/>
        <v>0</v>
      </c>
      <c r="FA468" s="39">
        <f t="shared" si="4382"/>
        <v>0</v>
      </c>
      <c r="FB468" s="2">
        <f t="shared" si="4383"/>
        <v>0</v>
      </c>
      <c r="FC468" s="2">
        <f t="shared" ref="FC468:FD468" si="7785">BV468*$BT468+CQ468*$CO468</f>
        <v>0</v>
      </c>
      <c r="FD468" s="2">
        <f t="shared" si="7785"/>
        <v>0</v>
      </c>
      <c r="FE468" s="2">
        <f t="shared" ref="FE468:FJ468" si="7786">(BX468*$BT468+CS468*$CO468)/100</f>
        <v>0</v>
      </c>
      <c r="FF468" s="2">
        <f t="shared" si="7786"/>
        <v>0</v>
      </c>
      <c r="FG468" s="2">
        <f t="shared" si="7786"/>
        <v>0</v>
      </c>
      <c r="FH468" s="2">
        <f t="shared" si="7786"/>
        <v>0</v>
      </c>
      <c r="FI468" s="2">
        <f t="shared" si="7786"/>
        <v>0</v>
      </c>
      <c r="FJ468" s="2">
        <f t="shared" si="7786"/>
        <v>0</v>
      </c>
      <c r="FK468" s="2">
        <f t="shared" ref="FK468:FO468" si="7787">CD468*$BT468+CY468*$CO468</f>
        <v>0</v>
      </c>
      <c r="FL468" s="2">
        <f t="shared" si="7787"/>
        <v>0</v>
      </c>
      <c r="FM468" s="2">
        <f t="shared" si="7787"/>
        <v>0</v>
      </c>
      <c r="FN468" s="2">
        <f t="shared" si="7787"/>
        <v>0</v>
      </c>
      <c r="FO468" s="2">
        <f t="shared" si="7787"/>
        <v>0</v>
      </c>
      <c r="FP468" s="2">
        <f t="shared" ref="FP468:FQ468" si="7788">(CI468*$BT468+DD468*$CO468)/100</f>
        <v>0</v>
      </c>
      <c r="FQ468" s="2">
        <f t="shared" si="7788"/>
        <v>0</v>
      </c>
      <c r="FR468" s="2"/>
      <c r="FS468" s="2">
        <f t="shared" si="4388"/>
        <v>0</v>
      </c>
      <c r="FT468" s="2">
        <f t="shared" si="4389"/>
        <v>0</v>
      </c>
      <c r="FU468" s="39">
        <f t="shared" si="4390"/>
        <v>0</v>
      </c>
      <c r="FV468" s="39">
        <f t="shared" ref="FV468:FW468" si="7789">FV$1*FC468/1000000</f>
        <v>0</v>
      </c>
      <c r="FW468" s="39">
        <f t="shared" si="7789"/>
        <v>0</v>
      </c>
      <c r="FX468" s="39">
        <f t="shared" ref="FX468:GC468" si="7790">FX$1*FE468</f>
        <v>0</v>
      </c>
      <c r="FY468" s="39">
        <f t="shared" si="7790"/>
        <v>0</v>
      </c>
      <c r="FZ468" s="39">
        <f t="shared" si="7790"/>
        <v>0</v>
      </c>
      <c r="GA468" s="39">
        <f t="shared" si="7790"/>
        <v>0</v>
      </c>
      <c r="GB468" s="39">
        <f t="shared" si="7790"/>
        <v>0</v>
      </c>
      <c r="GC468" s="39">
        <f t="shared" si="7790"/>
        <v>0</v>
      </c>
      <c r="GD468" s="39">
        <f t="shared" ref="GD468:GH468" si="7791">GD$1*FK468/1000000</f>
        <v>0</v>
      </c>
      <c r="GE468" s="39">
        <f t="shared" si="7791"/>
        <v>0</v>
      </c>
      <c r="GF468" s="39">
        <f t="shared" si="7791"/>
        <v>0</v>
      </c>
      <c r="GG468" s="39">
        <f t="shared" si="7791"/>
        <v>0</v>
      </c>
      <c r="GH468" s="39">
        <f t="shared" si="7791"/>
        <v>0</v>
      </c>
      <c r="GI468" s="39">
        <f t="shared" ref="GI468:GJ468" si="7792">GI$1*FP468</f>
        <v>0</v>
      </c>
      <c r="GJ468" s="39">
        <f t="shared" si="7792"/>
        <v>0</v>
      </c>
      <c r="GK468" s="2"/>
      <c r="GL468" s="39">
        <f t="shared" si="4395"/>
        <v>0</v>
      </c>
      <c r="GM468" s="39">
        <f t="shared" si="4396"/>
        <v>0</v>
      </c>
      <c r="GN468" s="2" t="s">
        <v>3</v>
      </c>
      <c r="GO468" s="18">
        <f t="shared" si="4397"/>
        <v>2773.79</v>
      </c>
      <c r="GP468" s="2">
        <f t="shared" si="4398"/>
        <v>0.28999999999999998</v>
      </c>
      <c r="GQ468" s="18">
        <f t="shared" si="4399"/>
        <v>8043.991</v>
      </c>
      <c r="GR468" s="15">
        <f t="shared" si="4400"/>
        <v>105488.89797400001</v>
      </c>
      <c r="GS468" s="15">
        <f t="shared" si="4401"/>
        <v>38.0306</v>
      </c>
      <c r="GT468" s="2">
        <f t="shared" si="4402"/>
        <v>0</v>
      </c>
      <c r="GU468" s="2">
        <f t="shared" si="4403"/>
        <v>0</v>
      </c>
      <c r="GV468" s="2">
        <f t="shared" si="4404"/>
        <v>8043.991</v>
      </c>
      <c r="GW468" s="2">
        <f t="shared" si="4405"/>
        <v>0</v>
      </c>
      <c r="GX468" s="2"/>
      <c r="GY468" s="2"/>
      <c r="GZ468" s="2"/>
      <c r="HA468" s="2"/>
      <c r="HB468" s="2">
        <f t="shared" si="4406"/>
        <v>0</v>
      </c>
      <c r="HC468" s="2">
        <f t="shared" si="4407"/>
        <v>0</v>
      </c>
      <c r="HD468" s="2" t="s">
        <v>3</v>
      </c>
      <c r="HE468" s="2" t="s">
        <v>89</v>
      </c>
      <c r="HF468" s="2" t="s">
        <v>90</v>
      </c>
      <c r="HG468" s="2" t="s">
        <v>91</v>
      </c>
      <c r="HH468" s="2" t="s">
        <v>102</v>
      </c>
      <c r="HI468" s="2" t="s">
        <v>100</v>
      </c>
      <c r="HJ468" s="2" t="s">
        <v>3</v>
      </c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 t="s">
        <v>3</v>
      </c>
    </row>
    <row r="469" spans="1:268" ht="15.75" customHeight="1" x14ac:dyDescent="0.2">
      <c r="A469" s="16" t="s">
        <v>770</v>
      </c>
      <c r="B469" s="2" t="s">
        <v>99</v>
      </c>
      <c r="C469" s="2"/>
      <c r="D469" s="2"/>
      <c r="E469" s="2"/>
      <c r="F469" s="2" t="s">
        <v>771</v>
      </c>
      <c r="G469" s="2"/>
      <c r="H469" s="2"/>
      <c r="I469" s="2">
        <v>0</v>
      </c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>
        <v>0</v>
      </c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4">
        <v>13.8407</v>
      </c>
      <c r="AZ469" s="19">
        <v>0.14000000000000001</v>
      </c>
      <c r="BA469" s="2">
        <v>0.14299999999999999</v>
      </c>
      <c r="BB469" s="2"/>
      <c r="BC469" s="2"/>
      <c r="BD469" s="2"/>
      <c r="BE469" s="2"/>
      <c r="BF469" s="2"/>
      <c r="BG469" s="2">
        <v>0.121</v>
      </c>
      <c r="BH469" s="2"/>
      <c r="BI469" s="2">
        <v>0.52700000000000002</v>
      </c>
      <c r="BJ469" s="2">
        <v>3.2170000000000001</v>
      </c>
      <c r="BK469" s="2"/>
      <c r="BL469" s="2"/>
      <c r="BM469" s="2"/>
      <c r="BN469" s="2"/>
      <c r="BO469" s="2"/>
      <c r="BP469" s="2"/>
      <c r="BQ469" s="2"/>
      <c r="BR469" s="2"/>
      <c r="BS469" s="2"/>
      <c r="BT469" s="2">
        <v>0</v>
      </c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>
        <v>0</v>
      </c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 t="s">
        <v>100</v>
      </c>
      <c r="DK469" s="2"/>
      <c r="DL469" s="2">
        <f t="shared" si="4367"/>
        <v>0.12099999999999998</v>
      </c>
      <c r="DM469" s="2">
        <f t="shared" si="4368"/>
        <v>0</v>
      </c>
      <c r="DN469" s="2" t="s">
        <v>772</v>
      </c>
      <c r="DO469" s="2" t="s">
        <v>3</v>
      </c>
      <c r="DP469" s="2">
        <f t="shared" si="4369"/>
        <v>1.9376980000000002E-2</v>
      </c>
      <c r="DQ469" s="2">
        <f t="shared" ref="DQ469:DR469" si="7793">K469*$I469+AF469*$AD469+BA469*$AY469</f>
        <v>1.9792200999999998</v>
      </c>
      <c r="DR469" s="2">
        <f t="shared" si="7793"/>
        <v>0</v>
      </c>
      <c r="DS469" s="2">
        <f t="shared" ref="DS469:DX469" si="7794">(M469*$I469+AH469*$AD469+BC469*$AY469)/100</f>
        <v>0</v>
      </c>
      <c r="DT469" s="2">
        <f t="shared" si="7794"/>
        <v>0</v>
      </c>
      <c r="DU469" s="2">
        <f t="shared" si="7794"/>
        <v>0</v>
      </c>
      <c r="DV469" s="2">
        <f t="shared" si="7794"/>
        <v>0</v>
      </c>
      <c r="DW469" s="2">
        <f t="shared" si="7794"/>
        <v>1.6747247E-2</v>
      </c>
      <c r="DX469" s="2">
        <f t="shared" si="7794"/>
        <v>0</v>
      </c>
      <c r="DY469" s="2">
        <f t="shared" ref="DY469:EC469" si="7795">S469*$I469+AN469*$AD469+BI469*$AY469</f>
        <v>7.2940488999999999</v>
      </c>
      <c r="DZ469" s="2">
        <f t="shared" si="7795"/>
        <v>44.525531900000004</v>
      </c>
      <c r="EA469" s="2">
        <f t="shared" si="7795"/>
        <v>0</v>
      </c>
      <c r="EB469" s="2">
        <f t="shared" si="7795"/>
        <v>0</v>
      </c>
      <c r="EC469" s="2">
        <f t="shared" si="7795"/>
        <v>0</v>
      </c>
      <c r="ED469" s="2">
        <f t="shared" ref="ED469:EE469" si="7796">(X469*$I469+AS469*$AD469+BN469*$AY469)/100</f>
        <v>0</v>
      </c>
      <c r="EE469" s="2">
        <f t="shared" si="7796"/>
        <v>0</v>
      </c>
      <c r="EF469" s="2"/>
      <c r="EG469" s="2">
        <f t="shared" si="4374"/>
        <v>0</v>
      </c>
      <c r="EH469" s="2">
        <f t="shared" si="4375"/>
        <v>0</v>
      </c>
      <c r="EI469" s="39">
        <f t="shared" si="4376"/>
        <v>126.44673071968002</v>
      </c>
      <c r="EJ469" s="39">
        <f t="shared" ref="EJ469:EK469" si="7797">EJ$1*DQ469/1000000</f>
        <v>80.950738495176836</v>
      </c>
      <c r="EK469" s="39">
        <f t="shared" si="7797"/>
        <v>0</v>
      </c>
      <c r="EL469" s="39">
        <f t="shared" ref="EL469:EQ469" si="7798">EL$1*DS469</f>
        <v>0</v>
      </c>
      <c r="EM469" s="39">
        <f t="shared" si="7798"/>
        <v>0</v>
      </c>
      <c r="EN469" s="39">
        <f t="shared" si="7798"/>
        <v>0</v>
      </c>
      <c r="EO469" s="39">
        <f t="shared" si="7798"/>
        <v>0</v>
      </c>
      <c r="EP469" s="39">
        <f t="shared" si="7798"/>
        <v>219.62339715799999</v>
      </c>
      <c r="EQ469" s="39">
        <f t="shared" si="7798"/>
        <v>0</v>
      </c>
      <c r="ER469" s="39">
        <f t="shared" ref="ER469:EV469" si="7799">ER$1*DY469/1000000</f>
        <v>207.01495826604497</v>
      </c>
      <c r="ES469" s="39">
        <f t="shared" si="7799"/>
        <v>1483.8455635728942</v>
      </c>
      <c r="ET469" s="39">
        <f t="shared" si="7799"/>
        <v>0</v>
      </c>
      <c r="EU469" s="39">
        <f t="shared" si="7799"/>
        <v>0</v>
      </c>
      <c r="EV469" s="39">
        <f t="shared" si="7799"/>
        <v>0</v>
      </c>
      <c r="EW469" s="39">
        <f t="shared" ref="EW469:EX469" si="7800">EW$1*ED469</f>
        <v>0</v>
      </c>
      <c r="EX469" s="39">
        <f t="shared" si="7800"/>
        <v>0</v>
      </c>
      <c r="EY469" s="2"/>
      <c r="EZ469" s="39">
        <f t="shared" si="4381"/>
        <v>0</v>
      </c>
      <c r="FA469" s="39">
        <f t="shared" si="4382"/>
        <v>0</v>
      </c>
      <c r="FB469" s="2">
        <f t="shared" si="4383"/>
        <v>0</v>
      </c>
      <c r="FC469" s="2">
        <f t="shared" ref="FC469:FD469" si="7801">BV469*$BT469+CQ469*$CO469</f>
        <v>0</v>
      </c>
      <c r="FD469" s="2">
        <f t="shared" si="7801"/>
        <v>0</v>
      </c>
      <c r="FE469" s="2">
        <f t="shared" ref="FE469:FJ469" si="7802">(BX469*$BT469+CS469*$CO469)/100</f>
        <v>0</v>
      </c>
      <c r="FF469" s="2">
        <f t="shared" si="7802"/>
        <v>0</v>
      </c>
      <c r="FG469" s="2">
        <f t="shared" si="7802"/>
        <v>0</v>
      </c>
      <c r="FH469" s="2">
        <f t="shared" si="7802"/>
        <v>0</v>
      </c>
      <c r="FI469" s="2">
        <f t="shared" si="7802"/>
        <v>0</v>
      </c>
      <c r="FJ469" s="2">
        <f t="shared" si="7802"/>
        <v>0</v>
      </c>
      <c r="FK469" s="2">
        <f t="shared" ref="FK469:FO469" si="7803">CD469*$BT469+CY469*$CO469</f>
        <v>0</v>
      </c>
      <c r="FL469" s="2">
        <f t="shared" si="7803"/>
        <v>0</v>
      </c>
      <c r="FM469" s="2">
        <f t="shared" si="7803"/>
        <v>0</v>
      </c>
      <c r="FN469" s="2">
        <f t="shared" si="7803"/>
        <v>0</v>
      </c>
      <c r="FO469" s="2">
        <f t="shared" si="7803"/>
        <v>0</v>
      </c>
      <c r="FP469" s="2">
        <f t="shared" ref="FP469:FQ469" si="7804">(CI469*$BT469+DD469*$CO469)/100</f>
        <v>0</v>
      </c>
      <c r="FQ469" s="2">
        <f t="shared" si="7804"/>
        <v>0</v>
      </c>
      <c r="FR469" s="2"/>
      <c r="FS469" s="2">
        <f t="shared" si="4388"/>
        <v>0</v>
      </c>
      <c r="FT469" s="2">
        <f t="shared" si="4389"/>
        <v>0</v>
      </c>
      <c r="FU469" s="39">
        <f t="shared" si="4390"/>
        <v>0</v>
      </c>
      <c r="FV469" s="39">
        <f t="shared" ref="FV469:FW469" si="7805">FV$1*FC469/1000000</f>
        <v>0</v>
      </c>
      <c r="FW469" s="39">
        <f t="shared" si="7805"/>
        <v>0</v>
      </c>
      <c r="FX469" s="39">
        <f t="shared" ref="FX469:GC469" si="7806">FX$1*FE469</f>
        <v>0</v>
      </c>
      <c r="FY469" s="39">
        <f t="shared" si="7806"/>
        <v>0</v>
      </c>
      <c r="FZ469" s="39">
        <f t="shared" si="7806"/>
        <v>0</v>
      </c>
      <c r="GA469" s="39">
        <f t="shared" si="7806"/>
        <v>0</v>
      </c>
      <c r="GB469" s="39">
        <f t="shared" si="7806"/>
        <v>0</v>
      </c>
      <c r="GC469" s="39">
        <f t="shared" si="7806"/>
        <v>0</v>
      </c>
      <c r="GD469" s="39">
        <f t="shared" ref="GD469:GH469" si="7807">GD$1*FK469/1000000</f>
        <v>0</v>
      </c>
      <c r="GE469" s="39">
        <f t="shared" si="7807"/>
        <v>0</v>
      </c>
      <c r="GF469" s="39">
        <f t="shared" si="7807"/>
        <v>0</v>
      </c>
      <c r="GG469" s="39">
        <f t="shared" si="7807"/>
        <v>0</v>
      </c>
      <c r="GH469" s="39">
        <f t="shared" si="7807"/>
        <v>0</v>
      </c>
      <c r="GI469" s="39">
        <f t="shared" ref="GI469:GJ469" si="7808">GI$1*FP469</f>
        <v>0</v>
      </c>
      <c r="GJ469" s="39">
        <f t="shared" si="7808"/>
        <v>0</v>
      </c>
      <c r="GK469" s="2"/>
      <c r="GL469" s="39">
        <f t="shared" si="4395"/>
        <v>0</v>
      </c>
      <c r="GM469" s="39">
        <f t="shared" si="4396"/>
        <v>0</v>
      </c>
      <c r="GN469" s="2" t="s">
        <v>3</v>
      </c>
      <c r="GO469" s="4">
        <f t="shared" si="4397"/>
        <v>13.8407</v>
      </c>
      <c r="GP469" s="4">
        <f t="shared" si="4398"/>
        <v>0.12099999999999998</v>
      </c>
      <c r="GQ469" s="15">
        <f t="shared" si="4399"/>
        <v>16.747246999999998</v>
      </c>
      <c r="GR469" s="15">
        <f t="shared" si="4400"/>
        <v>2117.8813882117961</v>
      </c>
      <c r="GS469" s="15">
        <f t="shared" si="4401"/>
        <v>153.01837249646306</v>
      </c>
      <c r="GT469" s="2">
        <f t="shared" si="4402"/>
        <v>0</v>
      </c>
      <c r="GU469" s="2">
        <f t="shared" si="4403"/>
        <v>0</v>
      </c>
      <c r="GV469" s="2">
        <f t="shared" si="4404"/>
        <v>16.747246999999998</v>
      </c>
      <c r="GW469" s="2">
        <f t="shared" si="4405"/>
        <v>0</v>
      </c>
      <c r="GX469" s="2"/>
      <c r="GY469" s="2"/>
      <c r="GZ469" s="2"/>
      <c r="HA469" s="2"/>
      <c r="HB469" s="2">
        <f t="shared" si="4406"/>
        <v>0</v>
      </c>
      <c r="HC469" s="2">
        <f t="shared" si="4407"/>
        <v>0</v>
      </c>
      <c r="HD469" s="2" t="s">
        <v>3</v>
      </c>
      <c r="HE469" s="2" t="s">
        <v>89</v>
      </c>
      <c r="HF469" s="2" t="s">
        <v>90</v>
      </c>
      <c r="HG469" s="2" t="s">
        <v>91</v>
      </c>
      <c r="HH469" s="2"/>
      <c r="HI469" s="2" t="s">
        <v>100</v>
      </c>
      <c r="HJ469" s="2" t="s">
        <v>3</v>
      </c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 t="s">
        <v>3</v>
      </c>
    </row>
    <row r="470" spans="1:268" ht="15.75" customHeight="1" x14ac:dyDescent="0.2">
      <c r="A470" s="16" t="s">
        <v>856</v>
      </c>
      <c r="B470" s="2" t="s">
        <v>99</v>
      </c>
      <c r="C470" s="2"/>
      <c r="D470" s="2"/>
      <c r="E470" s="2"/>
      <c r="F470" s="2" t="s">
        <v>79</v>
      </c>
      <c r="G470" s="22"/>
      <c r="H470" s="2"/>
      <c r="I470" s="2">
        <v>0</v>
      </c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>
        <v>0</v>
      </c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3">
        <f>145*0.9072</f>
        <v>131.54400000000001</v>
      </c>
      <c r="AZ470" s="2">
        <v>0.28999999999999998</v>
      </c>
      <c r="BA470" s="2"/>
      <c r="BB470" s="2"/>
      <c r="BC470" s="2"/>
      <c r="BD470" s="2"/>
      <c r="BE470" s="2"/>
      <c r="BF470" s="2"/>
      <c r="BG470" s="2">
        <v>0.31</v>
      </c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>
        <v>0</v>
      </c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>
        <v>0</v>
      </c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 t="s">
        <v>100</v>
      </c>
      <c r="DK470" s="2"/>
      <c r="DL470" s="2">
        <f t="shared" si="4367"/>
        <v>0.31</v>
      </c>
      <c r="DM470" s="2">
        <f t="shared" si="4368"/>
        <v>0</v>
      </c>
      <c r="DN470" s="2" t="s">
        <v>857</v>
      </c>
      <c r="DO470" s="2" t="s">
        <v>3</v>
      </c>
      <c r="DP470" s="2">
        <f t="shared" si="4369"/>
        <v>0.38147759999999997</v>
      </c>
      <c r="DQ470" s="2">
        <f t="shared" ref="DQ470:DR470" si="7809">K470*$I470+AF470*$AD470+BA470*$AY470</f>
        <v>0</v>
      </c>
      <c r="DR470" s="2">
        <f t="shared" si="7809"/>
        <v>0</v>
      </c>
      <c r="DS470" s="2">
        <f t="shared" ref="DS470:DX470" si="7810">(M470*$I470+AH470*$AD470+BC470*$AY470)/100</f>
        <v>0</v>
      </c>
      <c r="DT470" s="2">
        <f t="shared" si="7810"/>
        <v>0</v>
      </c>
      <c r="DU470" s="2">
        <f t="shared" si="7810"/>
        <v>0</v>
      </c>
      <c r="DV470" s="2">
        <f t="shared" si="7810"/>
        <v>0</v>
      </c>
      <c r="DW470" s="2">
        <f t="shared" si="7810"/>
        <v>0.40778640000000005</v>
      </c>
      <c r="DX470" s="2">
        <f t="shared" si="7810"/>
        <v>0</v>
      </c>
      <c r="DY470" s="2">
        <f t="shared" ref="DY470:EC470" si="7811">S470*$I470+AN470*$AD470+BI470*$AY470</f>
        <v>0</v>
      </c>
      <c r="DZ470" s="2">
        <f t="shared" si="7811"/>
        <v>0</v>
      </c>
      <c r="EA470" s="2">
        <f t="shared" si="7811"/>
        <v>0</v>
      </c>
      <c r="EB470" s="2">
        <f t="shared" si="7811"/>
        <v>0</v>
      </c>
      <c r="EC470" s="2">
        <f t="shared" si="7811"/>
        <v>0</v>
      </c>
      <c r="ED470" s="2">
        <f t="shared" ref="ED470:EE470" si="7812">(X470*$I470+AS470*$AD470+BN470*$AY470)/100</f>
        <v>0</v>
      </c>
      <c r="EE470" s="2">
        <f t="shared" si="7812"/>
        <v>0</v>
      </c>
      <c r="EF470" s="2"/>
      <c r="EG470" s="2">
        <f t="shared" si="4374"/>
        <v>0</v>
      </c>
      <c r="EH470" s="2">
        <f t="shared" si="4375"/>
        <v>0</v>
      </c>
      <c r="EI470" s="39">
        <f t="shared" si="4376"/>
        <v>2489.3763302016</v>
      </c>
      <c r="EJ470" s="39">
        <f t="shared" ref="EJ470:EK470" si="7813">EJ$1*DQ470/1000000</f>
        <v>0</v>
      </c>
      <c r="EK470" s="39">
        <f t="shared" si="7813"/>
        <v>0</v>
      </c>
      <c r="EL470" s="39">
        <f t="shared" ref="EL470:EQ470" si="7814">EL$1*DS470</f>
        <v>0</v>
      </c>
      <c r="EM470" s="39">
        <f t="shared" si="7814"/>
        <v>0</v>
      </c>
      <c r="EN470" s="39">
        <f t="shared" si="7814"/>
        <v>0</v>
      </c>
      <c r="EO470" s="39">
        <f t="shared" si="7814"/>
        <v>0</v>
      </c>
      <c r="EP470" s="39">
        <f t="shared" si="7814"/>
        <v>5347.710849600001</v>
      </c>
      <c r="EQ470" s="39">
        <f t="shared" si="7814"/>
        <v>0</v>
      </c>
      <c r="ER470" s="39">
        <f t="shared" ref="ER470:EV470" si="7815">ER$1*DY470/1000000</f>
        <v>0</v>
      </c>
      <c r="ES470" s="39">
        <f t="shared" si="7815"/>
        <v>0</v>
      </c>
      <c r="ET470" s="39">
        <f t="shared" si="7815"/>
        <v>0</v>
      </c>
      <c r="EU470" s="39">
        <f t="shared" si="7815"/>
        <v>0</v>
      </c>
      <c r="EV470" s="39">
        <f t="shared" si="7815"/>
        <v>0</v>
      </c>
      <c r="EW470" s="39">
        <f t="shared" ref="EW470:EX470" si="7816">EW$1*ED470</f>
        <v>0</v>
      </c>
      <c r="EX470" s="39">
        <f t="shared" si="7816"/>
        <v>0</v>
      </c>
      <c r="EY470" s="2"/>
      <c r="EZ470" s="39">
        <f t="shared" si="4381"/>
        <v>0</v>
      </c>
      <c r="FA470" s="39">
        <f t="shared" si="4382"/>
        <v>0</v>
      </c>
      <c r="FB470" s="2">
        <f t="shared" si="4383"/>
        <v>0</v>
      </c>
      <c r="FC470" s="2">
        <f t="shared" ref="FC470:FD470" si="7817">BV470*$BT470+CQ470*$CO470</f>
        <v>0</v>
      </c>
      <c r="FD470" s="2">
        <f t="shared" si="7817"/>
        <v>0</v>
      </c>
      <c r="FE470" s="2">
        <f t="shared" ref="FE470:FJ470" si="7818">(BX470*$BT470+CS470*$CO470)/100</f>
        <v>0</v>
      </c>
      <c r="FF470" s="2">
        <f t="shared" si="7818"/>
        <v>0</v>
      </c>
      <c r="FG470" s="2">
        <f t="shared" si="7818"/>
        <v>0</v>
      </c>
      <c r="FH470" s="2">
        <f t="shared" si="7818"/>
        <v>0</v>
      </c>
      <c r="FI470" s="2">
        <f t="shared" si="7818"/>
        <v>0</v>
      </c>
      <c r="FJ470" s="2">
        <f t="shared" si="7818"/>
        <v>0</v>
      </c>
      <c r="FK470" s="2">
        <f t="shared" ref="FK470:FO470" si="7819">CD470*$BT470+CY470*$CO470</f>
        <v>0</v>
      </c>
      <c r="FL470" s="2">
        <f t="shared" si="7819"/>
        <v>0</v>
      </c>
      <c r="FM470" s="2">
        <f t="shared" si="7819"/>
        <v>0</v>
      </c>
      <c r="FN470" s="2">
        <f t="shared" si="7819"/>
        <v>0</v>
      </c>
      <c r="FO470" s="2">
        <f t="shared" si="7819"/>
        <v>0</v>
      </c>
      <c r="FP470" s="2">
        <f t="shared" ref="FP470:FQ470" si="7820">(CI470*$BT470+DD470*$CO470)/100</f>
        <v>0</v>
      </c>
      <c r="FQ470" s="2">
        <f t="shared" si="7820"/>
        <v>0</v>
      </c>
      <c r="FR470" s="2"/>
      <c r="FS470" s="2">
        <f t="shared" si="4388"/>
        <v>0</v>
      </c>
      <c r="FT470" s="2">
        <f t="shared" si="4389"/>
        <v>0</v>
      </c>
      <c r="FU470" s="39">
        <f t="shared" si="4390"/>
        <v>0</v>
      </c>
      <c r="FV470" s="39">
        <f t="shared" ref="FV470:FW470" si="7821">FV$1*FC470/1000000</f>
        <v>0</v>
      </c>
      <c r="FW470" s="39">
        <f t="shared" si="7821"/>
        <v>0</v>
      </c>
      <c r="FX470" s="39">
        <f t="shared" ref="FX470:GC470" si="7822">FX$1*FE470</f>
        <v>0</v>
      </c>
      <c r="FY470" s="39">
        <f t="shared" si="7822"/>
        <v>0</v>
      </c>
      <c r="FZ470" s="39">
        <f t="shared" si="7822"/>
        <v>0</v>
      </c>
      <c r="GA470" s="39">
        <f t="shared" si="7822"/>
        <v>0</v>
      </c>
      <c r="GB470" s="39">
        <f t="shared" si="7822"/>
        <v>0</v>
      </c>
      <c r="GC470" s="39">
        <f t="shared" si="7822"/>
        <v>0</v>
      </c>
      <c r="GD470" s="39">
        <f t="shared" ref="GD470:GH470" si="7823">GD$1*FK470/1000000</f>
        <v>0</v>
      </c>
      <c r="GE470" s="39">
        <f t="shared" si="7823"/>
        <v>0</v>
      </c>
      <c r="GF470" s="39">
        <f t="shared" si="7823"/>
        <v>0</v>
      </c>
      <c r="GG470" s="39">
        <f t="shared" si="7823"/>
        <v>0</v>
      </c>
      <c r="GH470" s="39">
        <f t="shared" si="7823"/>
        <v>0</v>
      </c>
      <c r="GI470" s="39">
        <f t="shared" ref="GI470:GJ470" si="7824">GI$1*FP470</f>
        <v>0</v>
      </c>
      <c r="GJ470" s="39">
        <f t="shared" si="7824"/>
        <v>0</v>
      </c>
      <c r="GK470" s="2"/>
      <c r="GL470" s="39">
        <f t="shared" si="4395"/>
        <v>0</v>
      </c>
      <c r="GM470" s="39">
        <f t="shared" si="4396"/>
        <v>0</v>
      </c>
      <c r="GN470" s="2" t="s">
        <v>3</v>
      </c>
      <c r="GO470" s="15">
        <f t="shared" si="4397"/>
        <v>131.54400000000001</v>
      </c>
      <c r="GP470" s="2">
        <f t="shared" si="4398"/>
        <v>0.31</v>
      </c>
      <c r="GQ470" s="15">
        <f t="shared" si="4399"/>
        <v>407.78640000000001</v>
      </c>
      <c r="GR470" s="15">
        <f t="shared" si="4400"/>
        <v>7837.0871798016015</v>
      </c>
      <c r="GS470" s="15">
        <f t="shared" si="4401"/>
        <v>59.577686400000005</v>
      </c>
      <c r="GT470" s="2">
        <f t="shared" si="4402"/>
        <v>0</v>
      </c>
      <c r="GU470" s="2">
        <f t="shared" si="4403"/>
        <v>0</v>
      </c>
      <c r="GV470" s="2">
        <f t="shared" si="4404"/>
        <v>407.78640000000001</v>
      </c>
      <c r="GW470" s="2">
        <f t="shared" si="4405"/>
        <v>0</v>
      </c>
      <c r="GX470" s="2"/>
      <c r="GY470" s="2"/>
      <c r="GZ470" s="2"/>
      <c r="HA470" s="2"/>
      <c r="HB470" s="2">
        <f t="shared" si="4406"/>
        <v>0</v>
      </c>
      <c r="HC470" s="2">
        <f t="shared" si="4407"/>
        <v>0</v>
      </c>
      <c r="HD470" s="2" t="s">
        <v>3</v>
      </c>
      <c r="HE470" s="2" t="s">
        <v>89</v>
      </c>
      <c r="HF470" s="2" t="s">
        <v>90</v>
      </c>
      <c r="HG470" s="2" t="s">
        <v>91</v>
      </c>
      <c r="HH470" s="2"/>
      <c r="HI470" s="2" t="s">
        <v>100</v>
      </c>
      <c r="HJ470" s="2" t="s">
        <v>3</v>
      </c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 t="s">
        <v>3</v>
      </c>
    </row>
    <row r="471" spans="1:268" ht="15.75" customHeight="1" x14ac:dyDescent="0.2">
      <c r="A471" s="16" t="s">
        <v>955</v>
      </c>
      <c r="B471" s="2" t="s">
        <v>99</v>
      </c>
      <c r="C471" s="2"/>
      <c r="D471" s="2"/>
      <c r="E471" s="2"/>
      <c r="F471" s="2" t="s">
        <v>79</v>
      </c>
      <c r="G471" s="22"/>
      <c r="H471" s="2"/>
      <c r="I471" s="2">
        <v>0</v>
      </c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>
        <v>0</v>
      </c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3">
        <f>60*0.9072</f>
        <v>54.432000000000002</v>
      </c>
      <c r="AZ471" s="2">
        <v>0.52</v>
      </c>
      <c r="BA471" s="2"/>
      <c r="BB471" s="2"/>
      <c r="BC471" s="2"/>
      <c r="BD471" s="2"/>
      <c r="BE471" s="2"/>
      <c r="BF471" s="2"/>
      <c r="BG471" s="2">
        <v>0.59</v>
      </c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>
        <v>0</v>
      </c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>
        <v>0</v>
      </c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 t="s">
        <v>100</v>
      </c>
      <c r="DK471" s="2"/>
      <c r="DL471" s="2">
        <f t="shared" si="4367"/>
        <v>0.59</v>
      </c>
      <c r="DM471" s="2">
        <f t="shared" si="4368"/>
        <v>0</v>
      </c>
      <c r="DN471" s="2" t="s">
        <v>857</v>
      </c>
      <c r="DO471" s="2" t="s">
        <v>3</v>
      </c>
      <c r="DP471" s="2">
        <f t="shared" si="4369"/>
        <v>0.28304640000000003</v>
      </c>
      <c r="DQ471" s="2">
        <f t="shared" ref="DQ471:DR471" si="7825">K471*$I471+AF471*$AD471+BA471*$AY471</f>
        <v>0</v>
      </c>
      <c r="DR471" s="2">
        <f t="shared" si="7825"/>
        <v>0</v>
      </c>
      <c r="DS471" s="2">
        <f t="shared" ref="DS471:DX471" si="7826">(M471*$I471+AH471*$AD471+BC471*$AY471)/100</f>
        <v>0</v>
      </c>
      <c r="DT471" s="2">
        <f t="shared" si="7826"/>
        <v>0</v>
      </c>
      <c r="DU471" s="2">
        <f t="shared" si="7826"/>
        <v>0</v>
      </c>
      <c r="DV471" s="2">
        <f t="shared" si="7826"/>
        <v>0</v>
      </c>
      <c r="DW471" s="2">
        <f t="shared" si="7826"/>
        <v>0.32114880000000001</v>
      </c>
      <c r="DX471" s="2">
        <f t="shared" si="7826"/>
        <v>0</v>
      </c>
      <c r="DY471" s="2">
        <f t="shared" ref="DY471:EC471" si="7827">S471*$I471+AN471*$AD471+BI471*$AY471</f>
        <v>0</v>
      </c>
      <c r="DZ471" s="2">
        <f t="shared" si="7827"/>
        <v>0</v>
      </c>
      <c r="EA471" s="2">
        <f t="shared" si="7827"/>
        <v>0</v>
      </c>
      <c r="EB471" s="2">
        <f t="shared" si="7827"/>
        <v>0</v>
      </c>
      <c r="EC471" s="2">
        <f t="shared" si="7827"/>
        <v>0</v>
      </c>
      <c r="ED471" s="2">
        <f t="shared" ref="ED471:EE471" si="7828">(X471*$I471+AS471*$AD471+BN471*$AY471)/100</f>
        <v>0</v>
      </c>
      <c r="EE471" s="2">
        <f t="shared" si="7828"/>
        <v>0</v>
      </c>
      <c r="EF471" s="2"/>
      <c r="EG471" s="2">
        <f t="shared" si="4374"/>
        <v>0</v>
      </c>
      <c r="EH471" s="2">
        <f t="shared" si="4375"/>
        <v>0</v>
      </c>
      <c r="EI471" s="39">
        <f t="shared" si="4376"/>
        <v>1847.0521165824002</v>
      </c>
      <c r="EJ471" s="39">
        <f t="shared" ref="EJ471:EK471" si="7829">EJ$1*DQ471/1000000</f>
        <v>0</v>
      </c>
      <c r="EK471" s="39">
        <f t="shared" si="7829"/>
        <v>0</v>
      </c>
      <c r="EL471" s="39">
        <f t="shared" ref="EL471:EQ471" si="7830">EL$1*DS471</f>
        <v>0</v>
      </c>
      <c r="EM471" s="39">
        <f t="shared" si="7830"/>
        <v>0</v>
      </c>
      <c r="EN471" s="39">
        <f t="shared" si="7830"/>
        <v>0</v>
      </c>
      <c r="EO471" s="39">
        <f t="shared" si="7830"/>
        <v>0</v>
      </c>
      <c r="EP471" s="39">
        <f t="shared" si="7830"/>
        <v>4211.5453631999999</v>
      </c>
      <c r="EQ471" s="39">
        <f t="shared" si="7830"/>
        <v>0</v>
      </c>
      <c r="ER471" s="39">
        <f t="shared" ref="ER471:EV471" si="7831">ER$1*DY471/1000000</f>
        <v>0</v>
      </c>
      <c r="ES471" s="39">
        <f t="shared" si="7831"/>
        <v>0</v>
      </c>
      <c r="ET471" s="39">
        <f t="shared" si="7831"/>
        <v>0</v>
      </c>
      <c r="EU471" s="39">
        <f t="shared" si="7831"/>
        <v>0</v>
      </c>
      <c r="EV471" s="39">
        <f t="shared" si="7831"/>
        <v>0</v>
      </c>
      <c r="EW471" s="39">
        <f t="shared" ref="EW471:EX471" si="7832">EW$1*ED471</f>
        <v>0</v>
      </c>
      <c r="EX471" s="39">
        <f t="shared" si="7832"/>
        <v>0</v>
      </c>
      <c r="EY471" s="2"/>
      <c r="EZ471" s="39">
        <f t="shared" si="4381"/>
        <v>0</v>
      </c>
      <c r="FA471" s="39">
        <f t="shared" si="4382"/>
        <v>0</v>
      </c>
      <c r="FB471" s="2">
        <f t="shared" si="4383"/>
        <v>0</v>
      </c>
      <c r="FC471" s="2">
        <f t="shared" ref="FC471:FD471" si="7833">BV471*$BT471+CQ471*$CO471</f>
        <v>0</v>
      </c>
      <c r="FD471" s="2">
        <f t="shared" si="7833"/>
        <v>0</v>
      </c>
      <c r="FE471" s="2">
        <f t="shared" ref="FE471:FJ471" si="7834">(BX471*$BT471+CS471*$CO471)/100</f>
        <v>0</v>
      </c>
      <c r="FF471" s="2">
        <f t="shared" si="7834"/>
        <v>0</v>
      </c>
      <c r="FG471" s="2">
        <f t="shared" si="7834"/>
        <v>0</v>
      </c>
      <c r="FH471" s="2">
        <f t="shared" si="7834"/>
        <v>0</v>
      </c>
      <c r="FI471" s="2">
        <f t="shared" si="7834"/>
        <v>0</v>
      </c>
      <c r="FJ471" s="2">
        <f t="shared" si="7834"/>
        <v>0</v>
      </c>
      <c r="FK471" s="2">
        <f t="shared" ref="FK471:FO471" si="7835">CD471*$BT471+CY471*$CO471</f>
        <v>0</v>
      </c>
      <c r="FL471" s="2">
        <f t="shared" si="7835"/>
        <v>0</v>
      </c>
      <c r="FM471" s="2">
        <f t="shared" si="7835"/>
        <v>0</v>
      </c>
      <c r="FN471" s="2">
        <f t="shared" si="7835"/>
        <v>0</v>
      </c>
      <c r="FO471" s="2">
        <f t="shared" si="7835"/>
        <v>0</v>
      </c>
      <c r="FP471" s="2">
        <f t="shared" ref="FP471:FQ471" si="7836">(CI471*$BT471+DD471*$CO471)/100</f>
        <v>0</v>
      </c>
      <c r="FQ471" s="2">
        <f t="shared" si="7836"/>
        <v>0</v>
      </c>
      <c r="FR471" s="2"/>
      <c r="FS471" s="2">
        <f t="shared" si="4388"/>
        <v>0</v>
      </c>
      <c r="FT471" s="2">
        <f t="shared" si="4389"/>
        <v>0</v>
      </c>
      <c r="FU471" s="39">
        <f t="shared" si="4390"/>
        <v>0</v>
      </c>
      <c r="FV471" s="39">
        <f t="shared" ref="FV471:FW471" si="7837">FV$1*FC471/1000000</f>
        <v>0</v>
      </c>
      <c r="FW471" s="39">
        <f t="shared" si="7837"/>
        <v>0</v>
      </c>
      <c r="FX471" s="39">
        <f t="shared" ref="FX471:GC471" si="7838">FX$1*FE471</f>
        <v>0</v>
      </c>
      <c r="FY471" s="39">
        <f t="shared" si="7838"/>
        <v>0</v>
      </c>
      <c r="FZ471" s="39">
        <f t="shared" si="7838"/>
        <v>0</v>
      </c>
      <c r="GA471" s="39">
        <f t="shared" si="7838"/>
        <v>0</v>
      </c>
      <c r="GB471" s="39">
        <f t="shared" si="7838"/>
        <v>0</v>
      </c>
      <c r="GC471" s="39">
        <f t="shared" si="7838"/>
        <v>0</v>
      </c>
      <c r="GD471" s="39">
        <f t="shared" ref="GD471:GH471" si="7839">GD$1*FK471/1000000</f>
        <v>0</v>
      </c>
      <c r="GE471" s="39">
        <f t="shared" si="7839"/>
        <v>0</v>
      </c>
      <c r="GF471" s="39">
        <f t="shared" si="7839"/>
        <v>0</v>
      </c>
      <c r="GG471" s="39">
        <f t="shared" si="7839"/>
        <v>0</v>
      </c>
      <c r="GH471" s="39">
        <f t="shared" si="7839"/>
        <v>0</v>
      </c>
      <c r="GI471" s="39">
        <f t="shared" ref="GI471:GJ471" si="7840">GI$1*FP471</f>
        <v>0</v>
      </c>
      <c r="GJ471" s="39">
        <f t="shared" si="7840"/>
        <v>0</v>
      </c>
      <c r="GK471" s="2"/>
      <c r="GL471" s="39">
        <f t="shared" si="4395"/>
        <v>0</v>
      </c>
      <c r="GM471" s="39">
        <f t="shared" si="4396"/>
        <v>0</v>
      </c>
      <c r="GN471" s="2" t="s">
        <v>3</v>
      </c>
      <c r="GO471" s="4">
        <f t="shared" si="4397"/>
        <v>54.432000000000002</v>
      </c>
      <c r="GP471" s="2">
        <f t="shared" si="4398"/>
        <v>0.59</v>
      </c>
      <c r="GQ471" s="15">
        <f t="shared" si="4399"/>
        <v>321.14879999999999</v>
      </c>
      <c r="GR471" s="15">
        <f t="shared" si="4400"/>
        <v>6058.5974797824001</v>
      </c>
      <c r="GS471" s="15">
        <f t="shared" si="4401"/>
        <v>111.3058032</v>
      </c>
      <c r="GT471" s="2">
        <f t="shared" si="4402"/>
        <v>0</v>
      </c>
      <c r="GU471" s="2">
        <f t="shared" si="4403"/>
        <v>0</v>
      </c>
      <c r="GV471" s="2">
        <f t="shared" si="4404"/>
        <v>321.14879999999999</v>
      </c>
      <c r="GW471" s="2">
        <f t="shared" si="4405"/>
        <v>0</v>
      </c>
      <c r="GX471" s="2"/>
      <c r="GY471" s="2"/>
      <c r="GZ471" s="2"/>
      <c r="HA471" s="2"/>
      <c r="HB471" s="2">
        <f t="shared" si="4406"/>
        <v>0</v>
      </c>
      <c r="HC471" s="2">
        <f t="shared" si="4407"/>
        <v>0</v>
      </c>
      <c r="HD471" s="2" t="s">
        <v>3</v>
      </c>
      <c r="HE471" s="2" t="s">
        <v>89</v>
      </c>
      <c r="HF471" s="2" t="s">
        <v>90</v>
      </c>
      <c r="HG471" s="2" t="s">
        <v>91</v>
      </c>
      <c r="HH471" s="2"/>
      <c r="HI471" s="2" t="s">
        <v>100</v>
      </c>
      <c r="HJ471" s="2" t="s">
        <v>3</v>
      </c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 t="s">
        <v>3</v>
      </c>
    </row>
    <row r="472" spans="1:268" ht="15.75" customHeight="1" x14ac:dyDescent="0.2">
      <c r="A472" s="16" t="s">
        <v>298</v>
      </c>
      <c r="B472" s="2" t="s">
        <v>99</v>
      </c>
      <c r="C472" s="2"/>
      <c r="D472" s="2"/>
      <c r="E472" s="2"/>
      <c r="F472" s="2" t="s">
        <v>79</v>
      </c>
      <c r="G472" s="2"/>
      <c r="H472" s="2"/>
      <c r="I472" s="2">
        <v>0</v>
      </c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>
        <v>0</v>
      </c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>
        <v>200</v>
      </c>
      <c r="AZ472" s="2">
        <v>0.13</v>
      </c>
      <c r="BA472" s="2"/>
      <c r="BB472" s="2"/>
      <c r="BC472" s="2"/>
      <c r="BD472" s="2"/>
      <c r="BE472" s="2"/>
      <c r="BF472" s="2"/>
      <c r="BG472" s="4">
        <v>0.2</v>
      </c>
      <c r="BH472" s="2">
        <v>1.6E-2</v>
      </c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>
        <v>0</v>
      </c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>
        <v>0</v>
      </c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 t="s">
        <v>100</v>
      </c>
      <c r="DK472" s="2" t="s">
        <v>100</v>
      </c>
      <c r="DL472" s="2">
        <f t="shared" si="4367"/>
        <v>0.2</v>
      </c>
      <c r="DM472" s="2">
        <f t="shared" si="4368"/>
        <v>1.6E-2</v>
      </c>
      <c r="DN472" s="2" t="s">
        <v>299</v>
      </c>
      <c r="DO472" s="2" t="s">
        <v>3</v>
      </c>
      <c r="DP472" s="2">
        <f t="shared" si="4369"/>
        <v>0.26</v>
      </c>
      <c r="DQ472" s="2">
        <f t="shared" ref="DQ472:DR472" si="7841">K472*$I472+AF472*$AD472+BA472*$AY472</f>
        <v>0</v>
      </c>
      <c r="DR472" s="2">
        <f t="shared" si="7841"/>
        <v>0</v>
      </c>
      <c r="DS472" s="2">
        <f t="shared" ref="DS472:DX472" si="7842">(M472*$I472+AH472*$AD472+BC472*$AY472)/100</f>
        <v>0</v>
      </c>
      <c r="DT472" s="2">
        <f t="shared" si="7842"/>
        <v>0</v>
      </c>
      <c r="DU472" s="2">
        <f t="shared" si="7842"/>
        <v>0</v>
      </c>
      <c r="DV472" s="2">
        <f t="shared" si="7842"/>
        <v>0</v>
      </c>
      <c r="DW472" s="2">
        <f t="shared" si="7842"/>
        <v>0.4</v>
      </c>
      <c r="DX472" s="2">
        <f t="shared" si="7842"/>
        <v>3.2000000000000001E-2</v>
      </c>
      <c r="DY472" s="2">
        <f t="shared" ref="DY472:EC472" si="7843">S472*$I472+AN472*$AD472+BI472*$AY472</f>
        <v>0</v>
      </c>
      <c r="DZ472" s="2">
        <f t="shared" si="7843"/>
        <v>0</v>
      </c>
      <c r="EA472" s="2">
        <f t="shared" si="7843"/>
        <v>0</v>
      </c>
      <c r="EB472" s="2">
        <f t="shared" si="7843"/>
        <v>0</v>
      </c>
      <c r="EC472" s="2">
        <f t="shared" si="7843"/>
        <v>0</v>
      </c>
      <c r="ED472" s="2">
        <f t="shared" ref="ED472:EE472" si="7844">(X472*$I472+AS472*$AD472+BN472*$AY472)/100</f>
        <v>0</v>
      </c>
      <c r="EE472" s="2">
        <f t="shared" si="7844"/>
        <v>0</v>
      </c>
      <c r="EF472" s="2"/>
      <c r="EG472" s="2">
        <f t="shared" si="4374"/>
        <v>0</v>
      </c>
      <c r="EH472" s="2">
        <f t="shared" si="4375"/>
        <v>0</v>
      </c>
      <c r="EI472" s="39">
        <f t="shared" si="4376"/>
        <v>1696.6601600000001</v>
      </c>
      <c r="EJ472" s="39">
        <f t="shared" ref="EJ472:EK472" si="7845">EJ$1*DQ472/1000000</f>
        <v>0</v>
      </c>
      <c r="EK472" s="39">
        <f t="shared" si="7845"/>
        <v>0</v>
      </c>
      <c r="EL472" s="39">
        <f t="shared" ref="EL472:EQ472" si="7846">EL$1*DS472</f>
        <v>0</v>
      </c>
      <c r="EM472" s="39">
        <f t="shared" si="7846"/>
        <v>0</v>
      </c>
      <c r="EN472" s="39">
        <f t="shared" si="7846"/>
        <v>0</v>
      </c>
      <c r="EO472" s="39">
        <f t="shared" si="7846"/>
        <v>0</v>
      </c>
      <c r="EP472" s="39">
        <f t="shared" si="7846"/>
        <v>5245.6</v>
      </c>
      <c r="EQ472" s="39">
        <f t="shared" si="7846"/>
        <v>2323.8247679999999</v>
      </c>
      <c r="ER472" s="39">
        <f t="shared" ref="ER472:EV472" si="7847">ER$1*DY472/1000000</f>
        <v>0</v>
      </c>
      <c r="ES472" s="39">
        <f t="shared" si="7847"/>
        <v>0</v>
      </c>
      <c r="ET472" s="39">
        <f t="shared" si="7847"/>
        <v>0</v>
      </c>
      <c r="EU472" s="39">
        <f t="shared" si="7847"/>
        <v>0</v>
      </c>
      <c r="EV472" s="39">
        <f t="shared" si="7847"/>
        <v>0</v>
      </c>
      <c r="EW472" s="39">
        <f t="shared" ref="EW472:EX472" si="7848">EW$1*ED472</f>
        <v>0</v>
      </c>
      <c r="EX472" s="39">
        <f t="shared" si="7848"/>
        <v>0</v>
      </c>
      <c r="EY472" s="2"/>
      <c r="EZ472" s="39">
        <f t="shared" si="4381"/>
        <v>0</v>
      </c>
      <c r="FA472" s="39">
        <f t="shared" si="4382"/>
        <v>0</v>
      </c>
      <c r="FB472" s="2">
        <f t="shared" si="4383"/>
        <v>0</v>
      </c>
      <c r="FC472" s="2">
        <f t="shared" ref="FC472:FD472" si="7849">BV472*$BT472+CQ472*$CO472</f>
        <v>0</v>
      </c>
      <c r="FD472" s="2">
        <f t="shared" si="7849"/>
        <v>0</v>
      </c>
      <c r="FE472" s="2">
        <f t="shared" ref="FE472:FJ472" si="7850">(BX472*$BT472+CS472*$CO472)/100</f>
        <v>0</v>
      </c>
      <c r="FF472" s="2">
        <f t="shared" si="7850"/>
        <v>0</v>
      </c>
      <c r="FG472" s="2">
        <f t="shared" si="7850"/>
        <v>0</v>
      </c>
      <c r="FH472" s="2">
        <f t="shared" si="7850"/>
        <v>0</v>
      </c>
      <c r="FI472" s="2">
        <f t="shared" si="7850"/>
        <v>0</v>
      </c>
      <c r="FJ472" s="2">
        <f t="shared" si="7850"/>
        <v>0</v>
      </c>
      <c r="FK472" s="2">
        <f t="shared" ref="FK472:FO472" si="7851">CD472*$BT472+CY472*$CO472</f>
        <v>0</v>
      </c>
      <c r="FL472" s="2">
        <f t="shared" si="7851"/>
        <v>0</v>
      </c>
      <c r="FM472" s="2">
        <f t="shared" si="7851"/>
        <v>0</v>
      </c>
      <c r="FN472" s="2">
        <f t="shared" si="7851"/>
        <v>0</v>
      </c>
      <c r="FO472" s="2">
        <f t="shared" si="7851"/>
        <v>0</v>
      </c>
      <c r="FP472" s="2">
        <f t="shared" ref="FP472:FQ472" si="7852">(CI472*$BT472+DD472*$CO472)/100</f>
        <v>0</v>
      </c>
      <c r="FQ472" s="2">
        <f t="shared" si="7852"/>
        <v>0</v>
      </c>
      <c r="FR472" s="2"/>
      <c r="FS472" s="2">
        <f t="shared" si="4388"/>
        <v>0</v>
      </c>
      <c r="FT472" s="2">
        <f t="shared" si="4389"/>
        <v>0</v>
      </c>
      <c r="FU472" s="39">
        <f t="shared" si="4390"/>
        <v>0</v>
      </c>
      <c r="FV472" s="39">
        <f t="shared" ref="FV472:FW472" si="7853">FV$1*FC472/1000000</f>
        <v>0</v>
      </c>
      <c r="FW472" s="39">
        <f t="shared" si="7853"/>
        <v>0</v>
      </c>
      <c r="FX472" s="39">
        <f t="shared" ref="FX472:GC472" si="7854">FX$1*FE472</f>
        <v>0</v>
      </c>
      <c r="FY472" s="39">
        <f t="shared" si="7854"/>
        <v>0</v>
      </c>
      <c r="FZ472" s="39">
        <f t="shared" si="7854"/>
        <v>0</v>
      </c>
      <c r="GA472" s="39">
        <f t="shared" si="7854"/>
        <v>0</v>
      </c>
      <c r="GB472" s="39">
        <f t="shared" si="7854"/>
        <v>0</v>
      </c>
      <c r="GC472" s="39">
        <f t="shared" si="7854"/>
        <v>0</v>
      </c>
      <c r="GD472" s="39">
        <f t="shared" ref="GD472:GH472" si="7855">GD$1*FK472/1000000</f>
        <v>0</v>
      </c>
      <c r="GE472" s="39">
        <f t="shared" si="7855"/>
        <v>0</v>
      </c>
      <c r="GF472" s="39">
        <f t="shared" si="7855"/>
        <v>0</v>
      </c>
      <c r="GG472" s="39">
        <f t="shared" si="7855"/>
        <v>0</v>
      </c>
      <c r="GH472" s="39">
        <f t="shared" si="7855"/>
        <v>0</v>
      </c>
      <c r="GI472" s="39">
        <f t="shared" ref="GI472:GJ472" si="7856">GI$1*FP472</f>
        <v>0</v>
      </c>
      <c r="GJ472" s="39">
        <f t="shared" si="7856"/>
        <v>0</v>
      </c>
      <c r="GK472" s="2"/>
      <c r="GL472" s="39">
        <f t="shared" si="4395"/>
        <v>0</v>
      </c>
      <c r="GM472" s="39">
        <f t="shared" si="4396"/>
        <v>0</v>
      </c>
      <c r="GN472" s="2" t="s">
        <v>3</v>
      </c>
      <c r="GO472" s="2">
        <f t="shared" si="4397"/>
        <v>200</v>
      </c>
      <c r="GP472" s="2">
        <f t="shared" si="4398"/>
        <v>0.2</v>
      </c>
      <c r="GQ472" s="15">
        <f t="shared" si="4399"/>
        <v>400</v>
      </c>
      <c r="GR472" s="15">
        <f t="shared" si="4400"/>
        <v>9266.0849280000002</v>
      </c>
      <c r="GS472" s="15">
        <f t="shared" si="4401"/>
        <v>46.330424640000004</v>
      </c>
      <c r="GT472" s="2">
        <f t="shared" si="4402"/>
        <v>0</v>
      </c>
      <c r="GU472" s="2">
        <f t="shared" si="4403"/>
        <v>0</v>
      </c>
      <c r="GV472" s="2">
        <f t="shared" si="4404"/>
        <v>400</v>
      </c>
      <c r="GW472" s="2">
        <f t="shared" si="4405"/>
        <v>0</v>
      </c>
      <c r="GX472" s="2"/>
      <c r="GY472" s="2"/>
      <c r="GZ472" s="2"/>
      <c r="HA472" s="2"/>
      <c r="HB472" s="2">
        <f t="shared" si="4406"/>
        <v>0</v>
      </c>
      <c r="HC472" s="2">
        <f t="shared" si="4407"/>
        <v>0</v>
      </c>
      <c r="HD472" s="2" t="s">
        <v>3</v>
      </c>
      <c r="HE472" s="2" t="s">
        <v>89</v>
      </c>
      <c r="HF472" s="2" t="s">
        <v>90</v>
      </c>
      <c r="HG472" s="2"/>
      <c r="HH472" s="2"/>
      <c r="HI472" s="2" t="s">
        <v>100</v>
      </c>
      <c r="HJ472" s="2" t="s">
        <v>3</v>
      </c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 t="s">
        <v>3</v>
      </c>
    </row>
    <row r="473" spans="1:268" ht="15.75" customHeight="1" x14ac:dyDescent="0.2">
      <c r="A473" s="16" t="s">
        <v>152</v>
      </c>
      <c r="B473" s="2" t="s">
        <v>99</v>
      </c>
      <c r="C473" s="2"/>
      <c r="D473" s="2"/>
      <c r="E473" s="2"/>
      <c r="F473" s="2" t="s">
        <v>153</v>
      </c>
      <c r="G473" s="2"/>
      <c r="H473" s="2"/>
      <c r="I473" s="2">
        <v>0</v>
      </c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>
        <v>0</v>
      </c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>
        <v>3.09</v>
      </c>
      <c r="AZ473" s="2">
        <v>1.02</v>
      </c>
      <c r="BA473" s="2"/>
      <c r="BB473" s="2"/>
      <c r="BC473" s="2"/>
      <c r="BD473" s="2"/>
      <c r="BE473" s="2"/>
      <c r="BF473" s="2"/>
      <c r="BG473" s="2">
        <v>1.1200000000000001</v>
      </c>
      <c r="BH473" s="19">
        <v>6.6199999999999995E-2</v>
      </c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>
        <v>0</v>
      </c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>
        <v>0</v>
      </c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 t="s">
        <v>100</v>
      </c>
      <c r="DK473" s="2" t="s">
        <v>100</v>
      </c>
      <c r="DL473" s="2">
        <f t="shared" si="4367"/>
        <v>1.1200000000000001</v>
      </c>
      <c r="DM473" s="2">
        <f t="shared" si="4368"/>
        <v>6.6199999999999995E-2</v>
      </c>
      <c r="DN473" s="2" t="s">
        <v>154</v>
      </c>
      <c r="DO473" s="2" t="s">
        <v>3</v>
      </c>
      <c r="DP473" s="2">
        <f t="shared" si="4369"/>
        <v>3.1517999999999997E-2</v>
      </c>
      <c r="DQ473" s="2">
        <f t="shared" ref="DQ473:DR473" si="7857">K473*$I473+AF473*$AD473+BA473*$AY473</f>
        <v>0</v>
      </c>
      <c r="DR473" s="2">
        <f t="shared" si="7857"/>
        <v>0</v>
      </c>
      <c r="DS473" s="2">
        <f t="shared" ref="DS473:DX473" si="7858">(M473*$I473+AH473*$AD473+BC473*$AY473)/100</f>
        <v>0</v>
      </c>
      <c r="DT473" s="2">
        <f t="shared" si="7858"/>
        <v>0</v>
      </c>
      <c r="DU473" s="2">
        <f t="shared" si="7858"/>
        <v>0</v>
      </c>
      <c r="DV473" s="2">
        <f t="shared" si="7858"/>
        <v>0</v>
      </c>
      <c r="DW473" s="2">
        <f t="shared" si="7858"/>
        <v>3.4608E-2</v>
      </c>
      <c r="DX473" s="2">
        <f t="shared" si="7858"/>
        <v>2.0455799999999995E-3</v>
      </c>
      <c r="DY473" s="2">
        <f t="shared" ref="DY473:EC473" si="7859">S473*$I473+AN473*$AD473+BI473*$AY473</f>
        <v>0</v>
      </c>
      <c r="DZ473" s="2">
        <f t="shared" si="7859"/>
        <v>0</v>
      </c>
      <c r="EA473" s="2">
        <f t="shared" si="7859"/>
        <v>0</v>
      </c>
      <c r="EB473" s="2">
        <f t="shared" si="7859"/>
        <v>0</v>
      </c>
      <c r="EC473" s="2">
        <f t="shared" si="7859"/>
        <v>0</v>
      </c>
      <c r="ED473" s="2">
        <f t="shared" ref="ED473:EE473" si="7860">(X473*$I473+AS473*$AD473+BN473*$AY473)/100</f>
        <v>0</v>
      </c>
      <c r="EE473" s="2">
        <f t="shared" si="7860"/>
        <v>0</v>
      </c>
      <c r="EF473" s="2"/>
      <c r="EG473" s="2">
        <f t="shared" si="4374"/>
        <v>0</v>
      </c>
      <c r="EH473" s="2">
        <f t="shared" si="4375"/>
        <v>0</v>
      </c>
      <c r="EI473" s="39">
        <f t="shared" si="4376"/>
        <v>205.67436508799997</v>
      </c>
      <c r="EJ473" s="39">
        <f t="shared" ref="EJ473:EK473" si="7861">EJ$1*DQ473/1000000</f>
        <v>0</v>
      </c>
      <c r="EK473" s="39">
        <f t="shared" si="7861"/>
        <v>0</v>
      </c>
      <c r="EL473" s="39">
        <f t="shared" ref="EL473:EQ473" si="7862">EL$1*DS473</f>
        <v>0</v>
      </c>
      <c r="EM473" s="39">
        <f t="shared" si="7862"/>
        <v>0</v>
      </c>
      <c r="EN473" s="39">
        <f t="shared" si="7862"/>
        <v>0</v>
      </c>
      <c r="EO473" s="39">
        <f t="shared" si="7862"/>
        <v>0</v>
      </c>
      <c r="EP473" s="39">
        <f t="shared" si="7862"/>
        <v>453.849312</v>
      </c>
      <c r="EQ473" s="39">
        <f t="shared" si="7862"/>
        <v>148.54904590391993</v>
      </c>
      <c r="ER473" s="39">
        <f t="shared" ref="ER473:EV473" si="7863">ER$1*DY473/1000000</f>
        <v>0</v>
      </c>
      <c r="ES473" s="39">
        <f t="shared" si="7863"/>
        <v>0</v>
      </c>
      <c r="ET473" s="39">
        <f t="shared" si="7863"/>
        <v>0</v>
      </c>
      <c r="EU473" s="39">
        <f t="shared" si="7863"/>
        <v>0</v>
      </c>
      <c r="EV473" s="39">
        <f t="shared" si="7863"/>
        <v>0</v>
      </c>
      <c r="EW473" s="39">
        <f t="shared" ref="EW473:EX473" si="7864">EW$1*ED473</f>
        <v>0</v>
      </c>
      <c r="EX473" s="39">
        <f t="shared" si="7864"/>
        <v>0</v>
      </c>
      <c r="EY473" s="2"/>
      <c r="EZ473" s="39">
        <f t="shared" si="4381"/>
        <v>0</v>
      </c>
      <c r="FA473" s="39">
        <f t="shared" si="4382"/>
        <v>0</v>
      </c>
      <c r="FB473" s="2">
        <f t="shared" si="4383"/>
        <v>0</v>
      </c>
      <c r="FC473" s="2">
        <f t="shared" ref="FC473:FD473" si="7865">BV473*$BT473+CQ473*$CO473</f>
        <v>0</v>
      </c>
      <c r="FD473" s="2">
        <f t="shared" si="7865"/>
        <v>0</v>
      </c>
      <c r="FE473" s="2">
        <f t="shared" ref="FE473:FJ473" si="7866">(BX473*$BT473+CS473*$CO473)/100</f>
        <v>0</v>
      </c>
      <c r="FF473" s="2">
        <f t="shared" si="7866"/>
        <v>0</v>
      </c>
      <c r="FG473" s="2">
        <f t="shared" si="7866"/>
        <v>0</v>
      </c>
      <c r="FH473" s="2">
        <f t="shared" si="7866"/>
        <v>0</v>
      </c>
      <c r="FI473" s="2">
        <f t="shared" si="7866"/>
        <v>0</v>
      </c>
      <c r="FJ473" s="2">
        <f t="shared" si="7866"/>
        <v>0</v>
      </c>
      <c r="FK473" s="2">
        <f t="shared" ref="FK473:FO473" si="7867">CD473*$BT473+CY473*$CO473</f>
        <v>0</v>
      </c>
      <c r="FL473" s="2">
        <f t="shared" si="7867"/>
        <v>0</v>
      </c>
      <c r="FM473" s="2">
        <f t="shared" si="7867"/>
        <v>0</v>
      </c>
      <c r="FN473" s="2">
        <f t="shared" si="7867"/>
        <v>0</v>
      </c>
      <c r="FO473" s="2">
        <f t="shared" si="7867"/>
        <v>0</v>
      </c>
      <c r="FP473" s="2">
        <f t="shared" ref="FP473:FQ473" si="7868">(CI473*$BT473+DD473*$CO473)/100</f>
        <v>0</v>
      </c>
      <c r="FQ473" s="2">
        <f t="shared" si="7868"/>
        <v>0</v>
      </c>
      <c r="FR473" s="2"/>
      <c r="FS473" s="2">
        <f t="shared" si="4388"/>
        <v>0</v>
      </c>
      <c r="FT473" s="2">
        <f t="shared" si="4389"/>
        <v>0</v>
      </c>
      <c r="FU473" s="39">
        <f t="shared" si="4390"/>
        <v>0</v>
      </c>
      <c r="FV473" s="39">
        <f t="shared" ref="FV473:FW473" si="7869">FV$1*FC473/1000000</f>
        <v>0</v>
      </c>
      <c r="FW473" s="39">
        <f t="shared" si="7869"/>
        <v>0</v>
      </c>
      <c r="FX473" s="39">
        <f t="shared" ref="FX473:GC473" si="7870">FX$1*FE473</f>
        <v>0</v>
      </c>
      <c r="FY473" s="39">
        <f t="shared" si="7870"/>
        <v>0</v>
      </c>
      <c r="FZ473" s="39">
        <f t="shared" si="7870"/>
        <v>0</v>
      </c>
      <c r="GA473" s="39">
        <f t="shared" si="7870"/>
        <v>0</v>
      </c>
      <c r="GB473" s="39">
        <f t="shared" si="7870"/>
        <v>0</v>
      </c>
      <c r="GC473" s="39">
        <f t="shared" si="7870"/>
        <v>0</v>
      </c>
      <c r="GD473" s="39">
        <f t="shared" ref="GD473:GH473" si="7871">GD$1*FK473/1000000</f>
        <v>0</v>
      </c>
      <c r="GE473" s="39">
        <f t="shared" si="7871"/>
        <v>0</v>
      </c>
      <c r="GF473" s="39">
        <f t="shared" si="7871"/>
        <v>0</v>
      </c>
      <c r="GG473" s="39">
        <f t="shared" si="7871"/>
        <v>0</v>
      </c>
      <c r="GH473" s="39">
        <f t="shared" si="7871"/>
        <v>0</v>
      </c>
      <c r="GI473" s="39">
        <f t="shared" ref="GI473:GJ473" si="7872">GI$1*FP473</f>
        <v>0</v>
      </c>
      <c r="GJ473" s="39">
        <f t="shared" si="7872"/>
        <v>0</v>
      </c>
      <c r="GK473" s="2"/>
      <c r="GL473" s="39">
        <f t="shared" si="4395"/>
        <v>0</v>
      </c>
      <c r="GM473" s="39">
        <f t="shared" si="4396"/>
        <v>0</v>
      </c>
      <c r="GN473" s="2" t="s">
        <v>3</v>
      </c>
      <c r="GO473" s="2">
        <f t="shared" si="4397"/>
        <v>3.09</v>
      </c>
      <c r="GP473" s="2">
        <f t="shared" si="4398"/>
        <v>1.1200000000000001</v>
      </c>
      <c r="GQ473" s="15">
        <f t="shared" si="4399"/>
        <v>34.608000000000004</v>
      </c>
      <c r="GR473" s="15">
        <f t="shared" si="4400"/>
        <v>808.07272299191993</v>
      </c>
      <c r="GS473" s="15">
        <f t="shared" si="4401"/>
        <v>261.51220808799997</v>
      </c>
      <c r="GT473" s="2">
        <f t="shared" si="4402"/>
        <v>0</v>
      </c>
      <c r="GU473" s="2">
        <f t="shared" si="4403"/>
        <v>0</v>
      </c>
      <c r="GV473" s="2">
        <f t="shared" si="4404"/>
        <v>34.608000000000004</v>
      </c>
      <c r="GW473" s="2">
        <f t="shared" si="4405"/>
        <v>0</v>
      </c>
      <c r="GX473" s="2"/>
      <c r="GY473" s="2"/>
      <c r="GZ473" s="2"/>
      <c r="HA473" s="2"/>
      <c r="HB473" s="2">
        <f t="shared" si="4406"/>
        <v>0</v>
      </c>
      <c r="HC473" s="2">
        <f t="shared" si="4407"/>
        <v>0</v>
      </c>
      <c r="HD473" s="2" t="s">
        <v>3</v>
      </c>
      <c r="HE473" s="2" t="s">
        <v>89</v>
      </c>
      <c r="HF473" s="2" t="s">
        <v>90</v>
      </c>
      <c r="HG473" s="2"/>
      <c r="HH473" s="2"/>
      <c r="HI473" s="2" t="s">
        <v>100</v>
      </c>
      <c r="HJ473" s="2" t="s">
        <v>3</v>
      </c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 t="s">
        <v>3</v>
      </c>
    </row>
    <row r="474" spans="1:268" ht="15.75" customHeight="1" x14ac:dyDescent="0.2">
      <c r="A474" s="16" t="s">
        <v>321</v>
      </c>
      <c r="B474" s="2" t="s">
        <v>99</v>
      </c>
      <c r="C474" s="2"/>
      <c r="D474" s="2"/>
      <c r="E474" s="2"/>
      <c r="F474" s="2" t="s">
        <v>79</v>
      </c>
      <c r="G474" s="2"/>
      <c r="H474" s="2"/>
      <c r="I474" s="2">
        <v>0</v>
      </c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>
        <v>0</v>
      </c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>
        <v>2</v>
      </c>
      <c r="AZ474" s="2">
        <v>0.75</v>
      </c>
      <c r="BA474" s="2"/>
      <c r="BB474" s="2"/>
      <c r="BC474" s="2"/>
      <c r="BD474" s="2"/>
      <c r="BE474" s="2"/>
      <c r="BF474" s="2"/>
      <c r="BG474" s="2">
        <v>0.33</v>
      </c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>
        <v>0</v>
      </c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>
        <v>0</v>
      </c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 t="s">
        <v>100</v>
      </c>
      <c r="DK474" s="2"/>
      <c r="DL474" s="2">
        <f t="shared" si="4367"/>
        <v>0.33</v>
      </c>
      <c r="DM474" s="2">
        <f t="shared" si="4368"/>
        <v>0</v>
      </c>
      <c r="DN474" s="2" t="s">
        <v>322</v>
      </c>
      <c r="DO474" s="2" t="s">
        <v>3</v>
      </c>
      <c r="DP474" s="2">
        <f t="shared" si="4369"/>
        <v>1.4999999999999999E-2</v>
      </c>
      <c r="DQ474" s="2">
        <f t="shared" ref="DQ474:DR474" si="7873">K474*$I474+AF474*$AD474+BA474*$AY474</f>
        <v>0</v>
      </c>
      <c r="DR474" s="2">
        <f t="shared" si="7873"/>
        <v>0</v>
      </c>
      <c r="DS474" s="2">
        <f t="shared" ref="DS474:DX474" si="7874">(M474*$I474+AH474*$AD474+BC474*$AY474)/100</f>
        <v>0</v>
      </c>
      <c r="DT474" s="2">
        <f t="shared" si="7874"/>
        <v>0</v>
      </c>
      <c r="DU474" s="2">
        <f t="shared" si="7874"/>
        <v>0</v>
      </c>
      <c r="DV474" s="2">
        <f t="shared" si="7874"/>
        <v>0</v>
      </c>
      <c r="DW474" s="2">
        <f t="shared" si="7874"/>
        <v>6.6E-3</v>
      </c>
      <c r="DX474" s="2">
        <f t="shared" si="7874"/>
        <v>0</v>
      </c>
      <c r="DY474" s="2">
        <f t="shared" ref="DY474:EC474" si="7875">S474*$I474+AN474*$AD474+BI474*$AY474</f>
        <v>0</v>
      </c>
      <c r="DZ474" s="2">
        <f t="shared" si="7875"/>
        <v>0</v>
      </c>
      <c r="EA474" s="2">
        <f t="shared" si="7875"/>
        <v>0</v>
      </c>
      <c r="EB474" s="2">
        <f t="shared" si="7875"/>
        <v>0</v>
      </c>
      <c r="EC474" s="2">
        <f t="shared" si="7875"/>
        <v>0</v>
      </c>
      <c r="ED474" s="2">
        <f t="shared" ref="ED474:EE474" si="7876">(X474*$I474+AS474*$AD474+BN474*$AY474)/100</f>
        <v>0</v>
      </c>
      <c r="EE474" s="2">
        <f t="shared" si="7876"/>
        <v>0</v>
      </c>
      <c r="EF474" s="2"/>
      <c r="EG474" s="2">
        <f t="shared" si="4374"/>
        <v>0</v>
      </c>
      <c r="EH474" s="2">
        <f t="shared" si="4375"/>
        <v>0</v>
      </c>
      <c r="EI474" s="39">
        <f t="shared" si="4376"/>
        <v>97.884239999999991</v>
      </c>
      <c r="EJ474" s="39">
        <f t="shared" ref="EJ474:EK474" si="7877">EJ$1*DQ474/1000000</f>
        <v>0</v>
      </c>
      <c r="EK474" s="39">
        <f t="shared" si="7877"/>
        <v>0</v>
      </c>
      <c r="EL474" s="39">
        <f t="shared" ref="EL474:EQ474" si="7878">EL$1*DS474</f>
        <v>0</v>
      </c>
      <c r="EM474" s="39">
        <f t="shared" si="7878"/>
        <v>0</v>
      </c>
      <c r="EN474" s="39">
        <f t="shared" si="7878"/>
        <v>0</v>
      </c>
      <c r="EO474" s="39">
        <f t="shared" si="7878"/>
        <v>0</v>
      </c>
      <c r="EP474" s="39">
        <f t="shared" si="7878"/>
        <v>86.552400000000006</v>
      </c>
      <c r="EQ474" s="39">
        <f t="shared" si="7878"/>
        <v>0</v>
      </c>
      <c r="ER474" s="39">
        <f t="shared" ref="ER474:EV474" si="7879">ER$1*DY474/1000000</f>
        <v>0</v>
      </c>
      <c r="ES474" s="39">
        <f t="shared" si="7879"/>
        <v>0</v>
      </c>
      <c r="ET474" s="39">
        <f t="shared" si="7879"/>
        <v>0</v>
      </c>
      <c r="EU474" s="39">
        <f t="shared" si="7879"/>
        <v>0</v>
      </c>
      <c r="EV474" s="39">
        <f t="shared" si="7879"/>
        <v>0</v>
      </c>
      <c r="EW474" s="39">
        <f t="shared" ref="EW474:EX474" si="7880">EW$1*ED474</f>
        <v>0</v>
      </c>
      <c r="EX474" s="39">
        <f t="shared" si="7880"/>
        <v>0</v>
      </c>
      <c r="EY474" s="2"/>
      <c r="EZ474" s="39">
        <f t="shared" si="4381"/>
        <v>0</v>
      </c>
      <c r="FA474" s="39">
        <f t="shared" si="4382"/>
        <v>0</v>
      </c>
      <c r="FB474" s="2">
        <f t="shared" si="4383"/>
        <v>0</v>
      </c>
      <c r="FC474" s="2">
        <f t="shared" ref="FC474:FD474" si="7881">BV474*$BT474+CQ474*$CO474</f>
        <v>0</v>
      </c>
      <c r="FD474" s="2">
        <f t="shared" si="7881"/>
        <v>0</v>
      </c>
      <c r="FE474" s="2">
        <f t="shared" ref="FE474:FJ474" si="7882">(BX474*$BT474+CS474*$CO474)/100</f>
        <v>0</v>
      </c>
      <c r="FF474" s="2">
        <f t="shared" si="7882"/>
        <v>0</v>
      </c>
      <c r="FG474" s="2">
        <f t="shared" si="7882"/>
        <v>0</v>
      </c>
      <c r="FH474" s="2">
        <f t="shared" si="7882"/>
        <v>0</v>
      </c>
      <c r="FI474" s="2">
        <f t="shared" si="7882"/>
        <v>0</v>
      </c>
      <c r="FJ474" s="2">
        <f t="shared" si="7882"/>
        <v>0</v>
      </c>
      <c r="FK474" s="2">
        <f t="shared" ref="FK474:FO474" si="7883">CD474*$BT474+CY474*$CO474</f>
        <v>0</v>
      </c>
      <c r="FL474" s="2">
        <f t="shared" si="7883"/>
        <v>0</v>
      </c>
      <c r="FM474" s="2">
        <f t="shared" si="7883"/>
        <v>0</v>
      </c>
      <c r="FN474" s="2">
        <f t="shared" si="7883"/>
        <v>0</v>
      </c>
      <c r="FO474" s="2">
        <f t="shared" si="7883"/>
        <v>0</v>
      </c>
      <c r="FP474" s="2">
        <f t="shared" ref="FP474:FQ474" si="7884">(CI474*$BT474+DD474*$CO474)/100</f>
        <v>0</v>
      </c>
      <c r="FQ474" s="2">
        <f t="shared" si="7884"/>
        <v>0</v>
      </c>
      <c r="FR474" s="2"/>
      <c r="FS474" s="2">
        <f t="shared" si="4388"/>
        <v>0</v>
      </c>
      <c r="FT474" s="2">
        <f t="shared" si="4389"/>
        <v>0</v>
      </c>
      <c r="FU474" s="39">
        <f t="shared" si="4390"/>
        <v>0</v>
      </c>
      <c r="FV474" s="39">
        <f t="shared" ref="FV474:FW474" si="7885">FV$1*FC474/1000000</f>
        <v>0</v>
      </c>
      <c r="FW474" s="39">
        <f t="shared" si="7885"/>
        <v>0</v>
      </c>
      <c r="FX474" s="39">
        <f t="shared" ref="FX474:GC474" si="7886">FX$1*FE474</f>
        <v>0</v>
      </c>
      <c r="FY474" s="39">
        <f t="shared" si="7886"/>
        <v>0</v>
      </c>
      <c r="FZ474" s="39">
        <f t="shared" si="7886"/>
        <v>0</v>
      </c>
      <c r="GA474" s="39">
        <f t="shared" si="7886"/>
        <v>0</v>
      </c>
      <c r="GB474" s="39">
        <f t="shared" si="7886"/>
        <v>0</v>
      </c>
      <c r="GC474" s="39">
        <f t="shared" si="7886"/>
        <v>0</v>
      </c>
      <c r="GD474" s="39">
        <f t="shared" ref="GD474:GH474" si="7887">GD$1*FK474/1000000</f>
        <v>0</v>
      </c>
      <c r="GE474" s="39">
        <f t="shared" si="7887"/>
        <v>0</v>
      </c>
      <c r="GF474" s="39">
        <f t="shared" si="7887"/>
        <v>0</v>
      </c>
      <c r="GG474" s="39">
        <f t="shared" si="7887"/>
        <v>0</v>
      </c>
      <c r="GH474" s="39">
        <f t="shared" si="7887"/>
        <v>0</v>
      </c>
      <c r="GI474" s="39">
        <f t="shared" ref="GI474:GJ474" si="7888">GI$1*FP474</f>
        <v>0</v>
      </c>
      <c r="GJ474" s="39">
        <f t="shared" si="7888"/>
        <v>0</v>
      </c>
      <c r="GK474" s="2"/>
      <c r="GL474" s="39">
        <f t="shared" si="4395"/>
        <v>0</v>
      </c>
      <c r="GM474" s="39">
        <f t="shared" si="4396"/>
        <v>0</v>
      </c>
      <c r="GN474" s="2" t="s">
        <v>3</v>
      </c>
      <c r="GO474" s="2">
        <f t="shared" si="4397"/>
        <v>2</v>
      </c>
      <c r="GP474" s="2">
        <f t="shared" si="4398"/>
        <v>0.33</v>
      </c>
      <c r="GQ474" s="15">
        <f t="shared" si="4399"/>
        <v>6.6</v>
      </c>
      <c r="GR474" s="15">
        <f t="shared" si="4400"/>
        <v>184.43664000000001</v>
      </c>
      <c r="GS474" s="15">
        <f t="shared" si="4401"/>
        <v>92.218320000000006</v>
      </c>
      <c r="GT474" s="2">
        <f t="shared" si="4402"/>
        <v>0</v>
      </c>
      <c r="GU474" s="2">
        <f t="shared" si="4403"/>
        <v>0</v>
      </c>
      <c r="GV474" s="2">
        <f t="shared" si="4404"/>
        <v>6.6</v>
      </c>
      <c r="GW474" s="2">
        <f t="shared" si="4405"/>
        <v>0</v>
      </c>
      <c r="GX474" s="2"/>
      <c r="GY474" s="2"/>
      <c r="GZ474" s="2"/>
      <c r="HA474" s="2"/>
      <c r="HB474" s="2">
        <f t="shared" si="4406"/>
        <v>0</v>
      </c>
      <c r="HC474" s="2">
        <f t="shared" si="4407"/>
        <v>0</v>
      </c>
      <c r="HD474" s="2" t="s">
        <v>3</v>
      </c>
      <c r="HE474" s="2" t="s">
        <v>89</v>
      </c>
      <c r="HF474" s="2" t="s">
        <v>90</v>
      </c>
      <c r="HG474" s="2"/>
      <c r="HH474" s="2"/>
      <c r="HI474" s="2" t="s">
        <v>100</v>
      </c>
      <c r="HJ474" s="2" t="s">
        <v>3</v>
      </c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 t="s">
        <v>3</v>
      </c>
    </row>
    <row r="475" spans="1:268" ht="15.75" customHeight="1" x14ac:dyDescent="0.2">
      <c r="A475" s="16" t="s">
        <v>1303</v>
      </c>
      <c r="B475" s="2" t="s">
        <v>99</v>
      </c>
      <c r="C475" s="2"/>
      <c r="D475" s="2"/>
      <c r="E475" s="2"/>
      <c r="F475" s="2" t="s">
        <v>1304</v>
      </c>
      <c r="G475" s="2"/>
      <c r="H475" s="2"/>
      <c r="I475" s="2">
        <v>0</v>
      </c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>
        <v>0</v>
      </c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>
        <v>1.01</v>
      </c>
      <c r="AZ475" s="2">
        <v>0.5</v>
      </c>
      <c r="BA475" s="2"/>
      <c r="BB475" s="2"/>
      <c r="BC475" s="2"/>
      <c r="BD475" s="2"/>
      <c r="BE475" s="2"/>
      <c r="BF475" s="2"/>
      <c r="BG475" s="2">
        <v>1.2</v>
      </c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>
        <v>0</v>
      </c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>
        <v>0</v>
      </c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 t="s">
        <v>100</v>
      </c>
      <c r="DK475" s="2"/>
      <c r="DL475" s="2">
        <f t="shared" si="4367"/>
        <v>1.2</v>
      </c>
      <c r="DM475" s="2">
        <f t="shared" si="4368"/>
        <v>0</v>
      </c>
      <c r="DN475" s="2" t="s">
        <v>1305</v>
      </c>
      <c r="DO475" s="2" t="s">
        <v>3</v>
      </c>
      <c r="DP475" s="2">
        <f t="shared" si="4369"/>
        <v>5.0499999999999998E-3</v>
      </c>
      <c r="DQ475" s="2">
        <f t="shared" ref="DQ475:DR475" si="7889">K475*$I475+AF475*$AD475+BA475*$AY475</f>
        <v>0</v>
      </c>
      <c r="DR475" s="2">
        <f t="shared" si="7889"/>
        <v>0</v>
      </c>
      <c r="DS475" s="2">
        <f t="shared" ref="DS475:DX475" si="7890">(M475*$I475+AH475*$AD475+BC475*$AY475)/100</f>
        <v>0</v>
      </c>
      <c r="DT475" s="2">
        <f t="shared" si="7890"/>
        <v>0</v>
      </c>
      <c r="DU475" s="2">
        <f t="shared" si="7890"/>
        <v>0</v>
      </c>
      <c r="DV475" s="2">
        <f t="shared" si="7890"/>
        <v>0</v>
      </c>
      <c r="DW475" s="2">
        <f t="shared" si="7890"/>
        <v>1.2119999999999999E-2</v>
      </c>
      <c r="DX475" s="2">
        <f t="shared" si="7890"/>
        <v>0</v>
      </c>
      <c r="DY475" s="2">
        <f t="shared" ref="DY475:EC475" si="7891">S475*$I475+AN475*$AD475+BI475*$AY475</f>
        <v>0</v>
      </c>
      <c r="DZ475" s="2">
        <f t="shared" si="7891"/>
        <v>0</v>
      </c>
      <c r="EA475" s="2">
        <f t="shared" si="7891"/>
        <v>0</v>
      </c>
      <c r="EB475" s="2">
        <f t="shared" si="7891"/>
        <v>0</v>
      </c>
      <c r="EC475" s="2">
        <f t="shared" si="7891"/>
        <v>0</v>
      </c>
      <c r="ED475" s="2">
        <f t="shared" ref="ED475:EE475" si="7892">(X475*$I475+AS475*$AD475+BN475*$AY475)/100</f>
        <v>0</v>
      </c>
      <c r="EE475" s="2">
        <f t="shared" si="7892"/>
        <v>0</v>
      </c>
      <c r="EF475" s="2"/>
      <c r="EG475" s="2">
        <f t="shared" si="4374"/>
        <v>0</v>
      </c>
      <c r="EH475" s="2">
        <f t="shared" si="4375"/>
        <v>0</v>
      </c>
      <c r="EI475" s="39">
        <f t="shared" si="4376"/>
        <v>32.954360799999996</v>
      </c>
      <c r="EJ475" s="39">
        <f t="shared" ref="EJ475:EK475" si="7893">EJ$1*DQ475/1000000</f>
        <v>0</v>
      </c>
      <c r="EK475" s="39">
        <f t="shared" si="7893"/>
        <v>0</v>
      </c>
      <c r="EL475" s="39">
        <f t="shared" ref="EL475:EQ475" si="7894">EL$1*DS475</f>
        <v>0</v>
      </c>
      <c r="EM475" s="39">
        <f t="shared" si="7894"/>
        <v>0</v>
      </c>
      <c r="EN475" s="39">
        <f t="shared" si="7894"/>
        <v>0</v>
      </c>
      <c r="EO475" s="39">
        <f t="shared" si="7894"/>
        <v>0</v>
      </c>
      <c r="EP475" s="39">
        <f t="shared" si="7894"/>
        <v>158.94167999999999</v>
      </c>
      <c r="EQ475" s="39">
        <f t="shared" si="7894"/>
        <v>0</v>
      </c>
      <c r="ER475" s="39">
        <f t="shared" ref="ER475:EV475" si="7895">ER$1*DY475/1000000</f>
        <v>0</v>
      </c>
      <c r="ES475" s="39">
        <f t="shared" si="7895"/>
        <v>0</v>
      </c>
      <c r="ET475" s="39">
        <f t="shared" si="7895"/>
        <v>0</v>
      </c>
      <c r="EU475" s="39">
        <f t="shared" si="7895"/>
        <v>0</v>
      </c>
      <c r="EV475" s="39">
        <f t="shared" si="7895"/>
        <v>0</v>
      </c>
      <c r="EW475" s="39">
        <f t="shared" ref="EW475:EX475" si="7896">EW$1*ED475</f>
        <v>0</v>
      </c>
      <c r="EX475" s="39">
        <f t="shared" si="7896"/>
        <v>0</v>
      </c>
      <c r="EY475" s="2"/>
      <c r="EZ475" s="39">
        <f t="shared" si="4381"/>
        <v>0</v>
      </c>
      <c r="FA475" s="39">
        <f t="shared" si="4382"/>
        <v>0</v>
      </c>
      <c r="FB475" s="2">
        <f t="shared" si="4383"/>
        <v>0</v>
      </c>
      <c r="FC475" s="2">
        <f t="shared" ref="FC475:FD475" si="7897">BV475*$BT475+CQ475*$CO475</f>
        <v>0</v>
      </c>
      <c r="FD475" s="2">
        <f t="shared" si="7897"/>
        <v>0</v>
      </c>
      <c r="FE475" s="2">
        <f t="shared" ref="FE475:FJ475" si="7898">(BX475*$BT475+CS475*$CO475)/100</f>
        <v>0</v>
      </c>
      <c r="FF475" s="2">
        <f t="shared" si="7898"/>
        <v>0</v>
      </c>
      <c r="FG475" s="2">
        <f t="shared" si="7898"/>
        <v>0</v>
      </c>
      <c r="FH475" s="2">
        <f t="shared" si="7898"/>
        <v>0</v>
      </c>
      <c r="FI475" s="2">
        <f t="shared" si="7898"/>
        <v>0</v>
      </c>
      <c r="FJ475" s="2">
        <f t="shared" si="7898"/>
        <v>0</v>
      </c>
      <c r="FK475" s="2">
        <f t="shared" ref="FK475:FO475" si="7899">CD475*$BT475+CY475*$CO475</f>
        <v>0</v>
      </c>
      <c r="FL475" s="2">
        <f t="shared" si="7899"/>
        <v>0</v>
      </c>
      <c r="FM475" s="2">
        <f t="shared" si="7899"/>
        <v>0</v>
      </c>
      <c r="FN475" s="2">
        <f t="shared" si="7899"/>
        <v>0</v>
      </c>
      <c r="FO475" s="2">
        <f t="shared" si="7899"/>
        <v>0</v>
      </c>
      <c r="FP475" s="2">
        <f t="shared" ref="FP475:FQ475" si="7900">(CI475*$BT475+DD475*$CO475)/100</f>
        <v>0</v>
      </c>
      <c r="FQ475" s="2">
        <f t="shared" si="7900"/>
        <v>0</v>
      </c>
      <c r="FR475" s="2"/>
      <c r="FS475" s="2">
        <f t="shared" si="4388"/>
        <v>0</v>
      </c>
      <c r="FT475" s="2">
        <f t="shared" si="4389"/>
        <v>0</v>
      </c>
      <c r="FU475" s="39">
        <f t="shared" si="4390"/>
        <v>0</v>
      </c>
      <c r="FV475" s="39">
        <f t="shared" ref="FV475:FW475" si="7901">FV$1*FC475/1000000</f>
        <v>0</v>
      </c>
      <c r="FW475" s="39">
        <f t="shared" si="7901"/>
        <v>0</v>
      </c>
      <c r="FX475" s="39">
        <f t="shared" ref="FX475:GC475" si="7902">FX$1*FE475</f>
        <v>0</v>
      </c>
      <c r="FY475" s="39">
        <f t="shared" si="7902"/>
        <v>0</v>
      </c>
      <c r="FZ475" s="39">
        <f t="shared" si="7902"/>
        <v>0</v>
      </c>
      <c r="GA475" s="39">
        <f t="shared" si="7902"/>
        <v>0</v>
      </c>
      <c r="GB475" s="39">
        <f t="shared" si="7902"/>
        <v>0</v>
      </c>
      <c r="GC475" s="39">
        <f t="shared" si="7902"/>
        <v>0</v>
      </c>
      <c r="GD475" s="39">
        <f t="shared" ref="GD475:GH475" si="7903">GD$1*FK475/1000000</f>
        <v>0</v>
      </c>
      <c r="GE475" s="39">
        <f t="shared" si="7903"/>
        <v>0</v>
      </c>
      <c r="GF475" s="39">
        <f t="shared" si="7903"/>
        <v>0</v>
      </c>
      <c r="GG475" s="39">
        <f t="shared" si="7903"/>
        <v>0</v>
      </c>
      <c r="GH475" s="39">
        <f t="shared" si="7903"/>
        <v>0</v>
      </c>
      <c r="GI475" s="39">
        <f t="shared" ref="GI475:GJ475" si="7904">GI$1*FP475</f>
        <v>0</v>
      </c>
      <c r="GJ475" s="39">
        <f t="shared" si="7904"/>
        <v>0</v>
      </c>
      <c r="GK475" s="2"/>
      <c r="GL475" s="39">
        <f t="shared" si="4395"/>
        <v>0</v>
      </c>
      <c r="GM475" s="39">
        <f t="shared" si="4396"/>
        <v>0</v>
      </c>
      <c r="GN475" s="2" t="s">
        <v>3</v>
      </c>
      <c r="GO475" s="2">
        <f t="shared" si="4397"/>
        <v>1.01</v>
      </c>
      <c r="GP475" s="2">
        <f t="shared" si="4398"/>
        <v>1.2</v>
      </c>
      <c r="GQ475" s="15">
        <f t="shared" si="4399"/>
        <v>12.12</v>
      </c>
      <c r="GR475" s="15">
        <f t="shared" si="4400"/>
        <v>191.89604079999998</v>
      </c>
      <c r="GS475" s="15">
        <f t="shared" si="4401"/>
        <v>189.99607999999998</v>
      </c>
      <c r="GT475" s="2">
        <f t="shared" si="4402"/>
        <v>0</v>
      </c>
      <c r="GU475" s="2">
        <f t="shared" si="4403"/>
        <v>0</v>
      </c>
      <c r="GV475" s="2">
        <f t="shared" si="4404"/>
        <v>12.12</v>
      </c>
      <c r="GW475" s="2">
        <f t="shared" si="4405"/>
        <v>0</v>
      </c>
      <c r="GX475" s="2"/>
      <c r="GY475" s="2"/>
      <c r="GZ475" s="2"/>
      <c r="HA475" s="2"/>
      <c r="HB475" s="2">
        <f t="shared" si="4406"/>
        <v>0</v>
      </c>
      <c r="HC475" s="2">
        <f t="shared" si="4407"/>
        <v>0</v>
      </c>
      <c r="HD475" s="2" t="s">
        <v>3</v>
      </c>
      <c r="HE475" s="2" t="s">
        <v>89</v>
      </c>
      <c r="HF475" s="2" t="s">
        <v>90</v>
      </c>
      <c r="HG475" s="2"/>
      <c r="HH475" s="2"/>
      <c r="HI475" s="2" t="s">
        <v>100</v>
      </c>
      <c r="HJ475" s="2" t="s">
        <v>3</v>
      </c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 t="s">
        <v>3</v>
      </c>
    </row>
    <row r="476" spans="1:268" ht="15.75" customHeight="1" x14ac:dyDescent="0.2">
      <c r="A476" s="16" t="s">
        <v>1300</v>
      </c>
      <c r="B476" s="2" t="s">
        <v>99</v>
      </c>
      <c r="C476" s="2"/>
      <c r="D476" s="2"/>
      <c r="E476" s="2"/>
      <c r="F476" s="2" t="s">
        <v>1301</v>
      </c>
      <c r="G476" s="2"/>
      <c r="H476" s="2"/>
      <c r="I476" s="2">
        <v>0</v>
      </c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>
        <v>0</v>
      </c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19">
        <v>0.17239599999999999</v>
      </c>
      <c r="AZ476" s="2">
        <v>0.26</v>
      </c>
      <c r="BA476" s="2"/>
      <c r="BB476" s="2"/>
      <c r="BC476" s="2"/>
      <c r="BD476" s="2"/>
      <c r="BE476" s="2"/>
      <c r="BF476" s="2"/>
      <c r="BG476" s="2">
        <v>0.62</v>
      </c>
      <c r="BH476" s="2">
        <v>0.02</v>
      </c>
      <c r="BI476" s="4">
        <f>0.009*31.1</f>
        <v>0.27989999999999998</v>
      </c>
      <c r="BJ476" s="4">
        <f>0.03*31.1</f>
        <v>0.93300000000000005</v>
      </c>
      <c r="BK476" s="2"/>
      <c r="BL476" s="2"/>
      <c r="BM476" s="2"/>
      <c r="BN476" s="2"/>
      <c r="BO476" s="2"/>
      <c r="BP476" s="2"/>
      <c r="BQ476" s="2"/>
      <c r="BR476" s="2"/>
      <c r="BS476" s="2"/>
      <c r="BT476" s="2">
        <v>0</v>
      </c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>
        <v>0</v>
      </c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 t="s">
        <v>100</v>
      </c>
      <c r="DK476" s="2" t="s">
        <v>100</v>
      </c>
      <c r="DL476" s="2">
        <f t="shared" si="4367"/>
        <v>0.62</v>
      </c>
      <c r="DM476" s="2">
        <f t="shared" si="4368"/>
        <v>0.02</v>
      </c>
      <c r="DN476" s="2" t="s">
        <v>1302</v>
      </c>
      <c r="DO476" s="2" t="s">
        <v>3</v>
      </c>
      <c r="DP476" s="2">
        <f t="shared" si="4369"/>
        <v>4.4822960000000001E-4</v>
      </c>
      <c r="DQ476" s="2">
        <f t="shared" ref="DQ476:DR476" si="7905">K476*$I476+AF476*$AD476+BA476*$AY476</f>
        <v>0</v>
      </c>
      <c r="DR476" s="2">
        <f t="shared" si="7905"/>
        <v>0</v>
      </c>
      <c r="DS476" s="2">
        <f t="shared" ref="DS476:DX476" si="7906">(M476*$I476+AH476*$AD476+BC476*$AY476)/100</f>
        <v>0</v>
      </c>
      <c r="DT476" s="2">
        <f t="shared" si="7906"/>
        <v>0</v>
      </c>
      <c r="DU476" s="2">
        <f t="shared" si="7906"/>
        <v>0</v>
      </c>
      <c r="DV476" s="2">
        <f t="shared" si="7906"/>
        <v>0</v>
      </c>
      <c r="DW476" s="2">
        <f t="shared" si="7906"/>
        <v>1.0688551999999999E-3</v>
      </c>
      <c r="DX476" s="2">
        <f t="shared" si="7906"/>
        <v>3.44792E-5</v>
      </c>
      <c r="DY476" s="2">
        <f t="shared" ref="DY476:EC476" si="7907">S476*$I476+AN476*$AD476+BI476*$AY476</f>
        <v>4.8253640399999992E-2</v>
      </c>
      <c r="DZ476" s="2">
        <f t="shared" si="7907"/>
        <v>0.16084546799999999</v>
      </c>
      <c r="EA476" s="2">
        <f t="shared" si="7907"/>
        <v>0</v>
      </c>
      <c r="EB476" s="2">
        <f t="shared" si="7907"/>
        <v>0</v>
      </c>
      <c r="EC476" s="2">
        <f t="shared" si="7907"/>
        <v>0</v>
      </c>
      <c r="ED476" s="2">
        <f t="shared" ref="ED476:EE476" si="7908">(X476*$I476+AS476*$AD476+BN476*$AY476)/100</f>
        <v>0</v>
      </c>
      <c r="EE476" s="2">
        <f t="shared" si="7908"/>
        <v>0</v>
      </c>
      <c r="EF476" s="2"/>
      <c r="EG476" s="2">
        <f t="shared" si="4374"/>
        <v>0</v>
      </c>
      <c r="EH476" s="2">
        <f t="shared" si="4375"/>
        <v>0</v>
      </c>
      <c r="EI476" s="39">
        <f t="shared" si="4376"/>
        <v>2.9249742494336002</v>
      </c>
      <c r="EJ476" s="39">
        <f t="shared" ref="EJ476:EK476" si="7909">EJ$1*DQ476/1000000</f>
        <v>0</v>
      </c>
      <c r="EK476" s="39">
        <f t="shared" si="7909"/>
        <v>0</v>
      </c>
      <c r="EL476" s="39">
        <f t="shared" ref="EL476:EQ476" si="7910">EL$1*DS476</f>
        <v>0</v>
      </c>
      <c r="EM476" s="39">
        <f t="shared" si="7910"/>
        <v>0</v>
      </c>
      <c r="EN476" s="39">
        <f t="shared" si="7910"/>
        <v>0</v>
      </c>
      <c r="EO476" s="39">
        <f t="shared" si="7910"/>
        <v>0</v>
      </c>
      <c r="EP476" s="39">
        <f t="shared" si="7910"/>
        <v>14.016967092799998</v>
      </c>
      <c r="EQ476" s="39">
        <f t="shared" si="7910"/>
        <v>2.5038630919007998</v>
      </c>
      <c r="ER476" s="39">
        <f t="shared" ref="ER476:EV476" si="7911">ER$1*DY476/1000000</f>
        <v>1.3695034802399995</v>
      </c>
      <c r="ES476" s="39">
        <f t="shared" si="7911"/>
        <v>5.3602915884</v>
      </c>
      <c r="ET476" s="39">
        <f t="shared" si="7911"/>
        <v>0</v>
      </c>
      <c r="EU476" s="39">
        <f t="shared" si="7911"/>
        <v>0</v>
      </c>
      <c r="EV476" s="39">
        <f t="shared" si="7911"/>
        <v>0</v>
      </c>
      <c r="EW476" s="39">
        <f t="shared" ref="EW476:EX476" si="7912">EW$1*ED476</f>
        <v>0</v>
      </c>
      <c r="EX476" s="39">
        <f t="shared" si="7912"/>
        <v>0</v>
      </c>
      <c r="EY476" s="2"/>
      <c r="EZ476" s="39">
        <f t="shared" si="4381"/>
        <v>0</v>
      </c>
      <c r="FA476" s="39">
        <f t="shared" si="4382"/>
        <v>0</v>
      </c>
      <c r="FB476" s="2">
        <f t="shared" si="4383"/>
        <v>0</v>
      </c>
      <c r="FC476" s="2">
        <f t="shared" ref="FC476:FD476" si="7913">BV476*$BT476+CQ476*$CO476</f>
        <v>0</v>
      </c>
      <c r="FD476" s="2">
        <f t="shared" si="7913"/>
        <v>0</v>
      </c>
      <c r="FE476" s="2">
        <f t="shared" ref="FE476:FJ476" si="7914">(BX476*$BT476+CS476*$CO476)/100</f>
        <v>0</v>
      </c>
      <c r="FF476" s="2">
        <f t="shared" si="7914"/>
        <v>0</v>
      </c>
      <c r="FG476" s="2">
        <f t="shared" si="7914"/>
        <v>0</v>
      </c>
      <c r="FH476" s="2">
        <f t="shared" si="7914"/>
        <v>0</v>
      </c>
      <c r="FI476" s="2">
        <f t="shared" si="7914"/>
        <v>0</v>
      </c>
      <c r="FJ476" s="2">
        <f t="shared" si="7914"/>
        <v>0</v>
      </c>
      <c r="FK476" s="2">
        <f t="shared" ref="FK476:FO476" si="7915">CD476*$BT476+CY476*$CO476</f>
        <v>0</v>
      </c>
      <c r="FL476" s="2">
        <f t="shared" si="7915"/>
        <v>0</v>
      </c>
      <c r="FM476" s="2">
        <f t="shared" si="7915"/>
        <v>0</v>
      </c>
      <c r="FN476" s="2">
        <f t="shared" si="7915"/>
        <v>0</v>
      </c>
      <c r="FO476" s="2">
        <f t="shared" si="7915"/>
        <v>0</v>
      </c>
      <c r="FP476" s="2">
        <f t="shared" ref="FP476:FQ476" si="7916">(CI476*$BT476+DD476*$CO476)/100</f>
        <v>0</v>
      </c>
      <c r="FQ476" s="2">
        <f t="shared" si="7916"/>
        <v>0</v>
      </c>
      <c r="FR476" s="2"/>
      <c r="FS476" s="2">
        <f t="shared" si="4388"/>
        <v>0</v>
      </c>
      <c r="FT476" s="2">
        <f t="shared" si="4389"/>
        <v>0</v>
      </c>
      <c r="FU476" s="39">
        <f t="shared" si="4390"/>
        <v>0</v>
      </c>
      <c r="FV476" s="39">
        <f t="shared" ref="FV476:FW476" si="7917">FV$1*FC476/1000000</f>
        <v>0</v>
      </c>
      <c r="FW476" s="39">
        <f t="shared" si="7917"/>
        <v>0</v>
      </c>
      <c r="FX476" s="39">
        <f t="shared" ref="FX476:GC476" si="7918">FX$1*FE476</f>
        <v>0</v>
      </c>
      <c r="FY476" s="39">
        <f t="shared" si="7918"/>
        <v>0</v>
      </c>
      <c r="FZ476" s="39">
        <f t="shared" si="7918"/>
        <v>0</v>
      </c>
      <c r="GA476" s="39">
        <f t="shared" si="7918"/>
        <v>0</v>
      </c>
      <c r="GB476" s="39">
        <f t="shared" si="7918"/>
        <v>0</v>
      </c>
      <c r="GC476" s="39">
        <f t="shared" si="7918"/>
        <v>0</v>
      </c>
      <c r="GD476" s="39">
        <f t="shared" ref="GD476:GH476" si="7919">GD$1*FK476/1000000</f>
        <v>0</v>
      </c>
      <c r="GE476" s="39">
        <f t="shared" si="7919"/>
        <v>0</v>
      </c>
      <c r="GF476" s="39">
        <f t="shared" si="7919"/>
        <v>0</v>
      </c>
      <c r="GG476" s="39">
        <f t="shared" si="7919"/>
        <v>0</v>
      </c>
      <c r="GH476" s="39">
        <f t="shared" si="7919"/>
        <v>0</v>
      </c>
      <c r="GI476" s="39">
        <f t="shared" ref="GI476:GJ476" si="7920">GI$1*FP476</f>
        <v>0</v>
      </c>
      <c r="GJ476" s="39">
        <f t="shared" si="7920"/>
        <v>0</v>
      </c>
      <c r="GK476" s="2"/>
      <c r="GL476" s="39">
        <f t="shared" si="4395"/>
        <v>0</v>
      </c>
      <c r="GM476" s="39">
        <f t="shared" si="4396"/>
        <v>0</v>
      </c>
      <c r="GN476" s="2" t="s">
        <v>3</v>
      </c>
      <c r="GO476" s="19">
        <f t="shared" si="4397"/>
        <v>0.17239599999999999</v>
      </c>
      <c r="GP476" s="2">
        <f t="shared" si="4398"/>
        <v>0.62</v>
      </c>
      <c r="GQ476" s="15">
        <f t="shared" si="4399"/>
        <v>1.0688551999999998</v>
      </c>
      <c r="GR476" s="15">
        <f t="shared" si="4400"/>
        <v>26.175599502774396</v>
      </c>
      <c r="GS476" s="15">
        <f t="shared" si="4401"/>
        <v>151.83414639999998</v>
      </c>
      <c r="GT476" s="2">
        <f t="shared" si="4402"/>
        <v>0</v>
      </c>
      <c r="GU476" s="2">
        <f t="shared" si="4403"/>
        <v>0</v>
      </c>
      <c r="GV476" s="2">
        <f t="shared" si="4404"/>
        <v>1.0688552</v>
      </c>
      <c r="GW476" s="2">
        <f t="shared" si="4405"/>
        <v>0</v>
      </c>
      <c r="GX476" s="2"/>
      <c r="GY476" s="2"/>
      <c r="GZ476" s="2"/>
      <c r="HA476" s="2"/>
      <c r="HB476" s="2">
        <f t="shared" si="4406"/>
        <v>0</v>
      </c>
      <c r="HC476" s="2">
        <f t="shared" si="4407"/>
        <v>0</v>
      </c>
      <c r="HD476" s="2" t="s">
        <v>3</v>
      </c>
      <c r="HE476" s="2" t="s">
        <v>89</v>
      </c>
      <c r="HF476" s="2" t="s">
        <v>90</v>
      </c>
      <c r="HG476" s="2"/>
      <c r="HH476" s="2"/>
      <c r="HI476" s="2" t="s">
        <v>100</v>
      </c>
      <c r="HJ476" s="2" t="s">
        <v>3</v>
      </c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 t="s">
        <v>3</v>
      </c>
    </row>
    <row r="477" spans="1:268" ht="15.75" customHeight="1" x14ac:dyDescent="0.2">
      <c r="A477" s="32" t="s">
        <v>716</v>
      </c>
      <c r="B477" s="2" t="s">
        <v>99</v>
      </c>
      <c r="C477" s="2"/>
      <c r="D477" s="2"/>
      <c r="E477" s="2"/>
      <c r="F477" s="2" t="s">
        <v>79</v>
      </c>
      <c r="G477" s="2"/>
      <c r="H477" s="2"/>
      <c r="I477" s="2">
        <v>0</v>
      </c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>
        <v>0</v>
      </c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>
        <v>4</v>
      </c>
      <c r="AZ477" s="2"/>
      <c r="BA477" s="2"/>
      <c r="BB477" s="2"/>
      <c r="BC477" s="2"/>
      <c r="BD477" s="2"/>
      <c r="BE477" s="2"/>
      <c r="BF477" s="2"/>
      <c r="BG477" s="2">
        <v>0.5</v>
      </c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>
        <v>0</v>
      </c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>
        <v>0</v>
      </c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 t="s">
        <v>100</v>
      </c>
      <c r="DK477" s="2"/>
      <c r="DL477" s="2">
        <f t="shared" si="4367"/>
        <v>0.5</v>
      </c>
      <c r="DM477" s="2">
        <f t="shared" si="4368"/>
        <v>0</v>
      </c>
      <c r="DN477" s="2" t="s">
        <v>132</v>
      </c>
      <c r="DO477" s="2" t="s">
        <v>3</v>
      </c>
      <c r="DP477" s="2">
        <f t="shared" si="4369"/>
        <v>0</v>
      </c>
      <c r="DQ477" s="2">
        <f t="shared" ref="DQ477:DR477" si="7921">K477*$I477+AF477*$AD477+BA477*$AY477</f>
        <v>0</v>
      </c>
      <c r="DR477" s="2">
        <f t="shared" si="7921"/>
        <v>0</v>
      </c>
      <c r="DS477" s="2">
        <f t="shared" ref="DS477:DX477" si="7922">(M477*$I477+AH477*$AD477+BC477*$AY477)/100</f>
        <v>0</v>
      </c>
      <c r="DT477" s="2">
        <f t="shared" si="7922"/>
        <v>0</v>
      </c>
      <c r="DU477" s="2">
        <f t="shared" si="7922"/>
        <v>0</v>
      </c>
      <c r="DV477" s="2">
        <f t="shared" si="7922"/>
        <v>0</v>
      </c>
      <c r="DW477" s="2">
        <f t="shared" si="7922"/>
        <v>0.02</v>
      </c>
      <c r="DX477" s="2">
        <f t="shared" si="7922"/>
        <v>0</v>
      </c>
      <c r="DY477" s="2">
        <f t="shared" ref="DY477:EC477" si="7923">S477*$I477+AN477*$AD477+BI477*$AY477</f>
        <v>0</v>
      </c>
      <c r="DZ477" s="2">
        <f t="shared" si="7923"/>
        <v>0</v>
      </c>
      <c r="EA477" s="2">
        <f t="shared" si="7923"/>
        <v>0</v>
      </c>
      <c r="EB477" s="2">
        <f t="shared" si="7923"/>
        <v>0</v>
      </c>
      <c r="EC477" s="2">
        <f t="shared" si="7923"/>
        <v>0</v>
      </c>
      <c r="ED477" s="2">
        <f t="shared" ref="ED477:EE477" si="7924">(X477*$I477+AS477*$AD477+BN477*$AY477)/100</f>
        <v>0</v>
      </c>
      <c r="EE477" s="2">
        <f t="shared" si="7924"/>
        <v>0</v>
      </c>
      <c r="EF477" s="2"/>
      <c r="EG477" s="2">
        <f t="shared" si="4374"/>
        <v>0</v>
      </c>
      <c r="EH477" s="2">
        <f t="shared" si="4375"/>
        <v>0</v>
      </c>
      <c r="EI477" s="39">
        <f t="shared" si="4376"/>
        <v>0</v>
      </c>
      <c r="EJ477" s="39">
        <f t="shared" ref="EJ477:EK477" si="7925">EJ$1*DQ477/1000000</f>
        <v>0</v>
      </c>
      <c r="EK477" s="39">
        <f t="shared" si="7925"/>
        <v>0</v>
      </c>
      <c r="EL477" s="39">
        <f t="shared" ref="EL477:EQ477" si="7926">EL$1*DS477</f>
        <v>0</v>
      </c>
      <c r="EM477" s="39">
        <f t="shared" si="7926"/>
        <v>0</v>
      </c>
      <c r="EN477" s="39">
        <f t="shared" si="7926"/>
        <v>0</v>
      </c>
      <c r="EO477" s="39">
        <f t="shared" si="7926"/>
        <v>0</v>
      </c>
      <c r="EP477" s="39">
        <f t="shared" si="7926"/>
        <v>262.28000000000003</v>
      </c>
      <c r="EQ477" s="39">
        <f t="shared" si="7926"/>
        <v>0</v>
      </c>
      <c r="ER477" s="39">
        <f t="shared" ref="ER477:EV477" si="7927">ER$1*DY477/1000000</f>
        <v>0</v>
      </c>
      <c r="ES477" s="39">
        <f t="shared" si="7927"/>
        <v>0</v>
      </c>
      <c r="ET477" s="39">
        <f t="shared" si="7927"/>
        <v>0</v>
      </c>
      <c r="EU477" s="39">
        <f t="shared" si="7927"/>
        <v>0</v>
      </c>
      <c r="EV477" s="39">
        <f t="shared" si="7927"/>
        <v>0</v>
      </c>
      <c r="EW477" s="39">
        <f t="shared" ref="EW477:EX477" si="7928">EW$1*ED477</f>
        <v>0</v>
      </c>
      <c r="EX477" s="39">
        <f t="shared" si="7928"/>
        <v>0</v>
      </c>
      <c r="EY477" s="2"/>
      <c r="EZ477" s="39">
        <f t="shared" si="4381"/>
        <v>0</v>
      </c>
      <c r="FA477" s="39">
        <f t="shared" si="4382"/>
        <v>0</v>
      </c>
      <c r="FB477" s="2">
        <f t="shared" si="4383"/>
        <v>0</v>
      </c>
      <c r="FC477" s="2">
        <f t="shared" ref="FC477:FD477" si="7929">BV477*$BT477+CQ477*$CO477</f>
        <v>0</v>
      </c>
      <c r="FD477" s="2">
        <f t="shared" si="7929"/>
        <v>0</v>
      </c>
      <c r="FE477" s="2">
        <f t="shared" ref="FE477:FJ477" si="7930">(BX477*$BT477+CS477*$CO477)/100</f>
        <v>0</v>
      </c>
      <c r="FF477" s="2">
        <f t="shared" si="7930"/>
        <v>0</v>
      </c>
      <c r="FG477" s="2">
        <f t="shared" si="7930"/>
        <v>0</v>
      </c>
      <c r="FH477" s="2">
        <f t="shared" si="7930"/>
        <v>0</v>
      </c>
      <c r="FI477" s="2">
        <f t="shared" si="7930"/>
        <v>0</v>
      </c>
      <c r="FJ477" s="2">
        <f t="shared" si="7930"/>
        <v>0</v>
      </c>
      <c r="FK477" s="2">
        <f t="shared" ref="FK477:FO477" si="7931">CD477*$BT477+CY477*$CO477</f>
        <v>0</v>
      </c>
      <c r="FL477" s="2">
        <f t="shared" si="7931"/>
        <v>0</v>
      </c>
      <c r="FM477" s="2">
        <f t="shared" si="7931"/>
        <v>0</v>
      </c>
      <c r="FN477" s="2">
        <f t="shared" si="7931"/>
        <v>0</v>
      </c>
      <c r="FO477" s="2">
        <f t="shared" si="7931"/>
        <v>0</v>
      </c>
      <c r="FP477" s="2">
        <f t="shared" ref="FP477:FQ477" si="7932">(CI477*$BT477+DD477*$CO477)/100</f>
        <v>0</v>
      </c>
      <c r="FQ477" s="2">
        <f t="shared" si="7932"/>
        <v>0</v>
      </c>
      <c r="FR477" s="2"/>
      <c r="FS477" s="2">
        <f t="shared" si="4388"/>
        <v>0</v>
      </c>
      <c r="FT477" s="2">
        <f t="shared" si="4389"/>
        <v>0</v>
      </c>
      <c r="FU477" s="39">
        <f t="shared" si="4390"/>
        <v>0</v>
      </c>
      <c r="FV477" s="39">
        <f t="shared" ref="FV477:FW477" si="7933">FV$1*FC477/1000000</f>
        <v>0</v>
      </c>
      <c r="FW477" s="39">
        <f t="shared" si="7933"/>
        <v>0</v>
      </c>
      <c r="FX477" s="39">
        <f t="shared" ref="FX477:GC477" si="7934">FX$1*FE477</f>
        <v>0</v>
      </c>
      <c r="FY477" s="39">
        <f t="shared" si="7934"/>
        <v>0</v>
      </c>
      <c r="FZ477" s="39">
        <f t="shared" si="7934"/>
        <v>0</v>
      </c>
      <c r="GA477" s="39">
        <f t="shared" si="7934"/>
        <v>0</v>
      </c>
      <c r="GB477" s="39">
        <f t="shared" si="7934"/>
        <v>0</v>
      </c>
      <c r="GC477" s="39">
        <f t="shared" si="7934"/>
        <v>0</v>
      </c>
      <c r="GD477" s="39">
        <f t="shared" ref="GD477:GH477" si="7935">GD$1*FK477/1000000</f>
        <v>0</v>
      </c>
      <c r="GE477" s="39">
        <f t="shared" si="7935"/>
        <v>0</v>
      </c>
      <c r="GF477" s="39">
        <f t="shared" si="7935"/>
        <v>0</v>
      </c>
      <c r="GG477" s="39">
        <f t="shared" si="7935"/>
        <v>0</v>
      </c>
      <c r="GH477" s="39">
        <f t="shared" si="7935"/>
        <v>0</v>
      </c>
      <c r="GI477" s="39">
        <f t="shared" ref="GI477:GJ477" si="7936">GI$1*FP477</f>
        <v>0</v>
      </c>
      <c r="GJ477" s="39">
        <f t="shared" si="7936"/>
        <v>0</v>
      </c>
      <c r="GK477" s="2"/>
      <c r="GL477" s="39">
        <f t="shared" si="4395"/>
        <v>0</v>
      </c>
      <c r="GM477" s="39">
        <f t="shared" si="4396"/>
        <v>0</v>
      </c>
      <c r="GN477" s="2" t="s">
        <v>3</v>
      </c>
      <c r="GO477" s="2">
        <f t="shared" si="4397"/>
        <v>4</v>
      </c>
      <c r="GP477" s="2">
        <f t="shared" si="4398"/>
        <v>0.5</v>
      </c>
      <c r="GQ477" s="15">
        <f t="shared" si="4399"/>
        <v>20</v>
      </c>
      <c r="GR477" s="15">
        <f t="shared" si="4400"/>
        <v>262.28000000000003</v>
      </c>
      <c r="GS477" s="15">
        <f t="shared" si="4401"/>
        <v>65.570000000000007</v>
      </c>
      <c r="GT477" s="2">
        <f t="shared" si="4402"/>
        <v>0</v>
      </c>
      <c r="GU477" s="2">
        <f t="shared" si="4403"/>
        <v>0</v>
      </c>
      <c r="GV477" s="2">
        <f t="shared" si="4404"/>
        <v>20</v>
      </c>
      <c r="GW477" s="2">
        <f t="shared" si="4405"/>
        <v>0</v>
      </c>
      <c r="GX477" s="2"/>
      <c r="GY477" s="2"/>
      <c r="GZ477" s="2"/>
      <c r="HA477" s="2"/>
      <c r="HB477" s="2">
        <f t="shared" si="4406"/>
        <v>0</v>
      </c>
      <c r="HC477" s="2">
        <f t="shared" si="4407"/>
        <v>0</v>
      </c>
      <c r="HD477" s="2" t="s">
        <v>3</v>
      </c>
      <c r="HE477" s="2" t="s">
        <v>89</v>
      </c>
      <c r="HF477" s="2" t="s">
        <v>90</v>
      </c>
      <c r="HG477" s="2"/>
      <c r="HH477" s="2"/>
      <c r="HI477" s="2" t="s">
        <v>100</v>
      </c>
      <c r="HJ477" s="2" t="s">
        <v>3</v>
      </c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 t="s">
        <v>3</v>
      </c>
    </row>
    <row r="478" spans="1:268" ht="15.75" customHeight="1" x14ac:dyDescent="0.2">
      <c r="A478" s="16" t="s">
        <v>844</v>
      </c>
      <c r="B478" s="2" t="s">
        <v>99</v>
      </c>
      <c r="C478" s="2"/>
      <c r="D478" s="2"/>
      <c r="E478" s="2"/>
      <c r="F478" s="2" t="s">
        <v>79</v>
      </c>
      <c r="G478" s="2"/>
      <c r="H478" s="2"/>
      <c r="I478" s="2">
        <v>0</v>
      </c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>
        <v>0</v>
      </c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>
        <v>13.1</v>
      </c>
      <c r="AZ478" s="2">
        <v>0.2</v>
      </c>
      <c r="BA478" s="2"/>
      <c r="BB478" s="2"/>
      <c r="BC478" s="2"/>
      <c r="BD478" s="2"/>
      <c r="BE478" s="2"/>
      <c r="BF478" s="2"/>
      <c r="BG478" s="2">
        <v>0.24</v>
      </c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>
        <v>0</v>
      </c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>
        <v>0</v>
      </c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 t="s">
        <v>100</v>
      </c>
      <c r="DK478" s="2"/>
      <c r="DL478" s="2">
        <f t="shared" si="4367"/>
        <v>0.24</v>
      </c>
      <c r="DM478" s="2">
        <f t="shared" si="4368"/>
        <v>0</v>
      </c>
      <c r="DN478" s="2" t="s">
        <v>132</v>
      </c>
      <c r="DO478" s="2" t="s">
        <v>3</v>
      </c>
      <c r="DP478" s="2">
        <f t="shared" si="4369"/>
        <v>2.6200000000000001E-2</v>
      </c>
      <c r="DQ478" s="2">
        <f t="shared" ref="DQ478:DR478" si="7937">K478*$I478+AF478*$AD478+BA478*$AY478</f>
        <v>0</v>
      </c>
      <c r="DR478" s="2">
        <f t="shared" si="7937"/>
        <v>0</v>
      </c>
      <c r="DS478" s="2">
        <f t="shared" ref="DS478:DX478" si="7938">(M478*$I478+AH478*$AD478+BC478*$AY478)/100</f>
        <v>0</v>
      </c>
      <c r="DT478" s="2">
        <f t="shared" si="7938"/>
        <v>0</v>
      </c>
      <c r="DU478" s="2">
        <f t="shared" si="7938"/>
        <v>0</v>
      </c>
      <c r="DV478" s="2">
        <f t="shared" si="7938"/>
        <v>0</v>
      </c>
      <c r="DW478" s="2">
        <f t="shared" si="7938"/>
        <v>3.1439999999999996E-2</v>
      </c>
      <c r="DX478" s="2">
        <f t="shared" si="7938"/>
        <v>0</v>
      </c>
      <c r="DY478" s="2">
        <f t="shared" ref="DY478:EC478" si="7939">S478*$I478+AN478*$AD478+BI478*$AY478</f>
        <v>0</v>
      </c>
      <c r="DZ478" s="2">
        <f t="shared" si="7939"/>
        <v>0</v>
      </c>
      <c r="EA478" s="2">
        <f t="shared" si="7939"/>
        <v>0</v>
      </c>
      <c r="EB478" s="2">
        <f t="shared" si="7939"/>
        <v>0</v>
      </c>
      <c r="EC478" s="2">
        <f t="shared" si="7939"/>
        <v>0</v>
      </c>
      <c r="ED478" s="2">
        <f t="shared" ref="ED478:EE478" si="7940">(X478*$I478+AS478*$AD478+BN478*$AY478)/100</f>
        <v>0</v>
      </c>
      <c r="EE478" s="2">
        <f t="shared" si="7940"/>
        <v>0</v>
      </c>
      <c r="EF478" s="2"/>
      <c r="EG478" s="2">
        <f t="shared" si="4374"/>
        <v>0</v>
      </c>
      <c r="EH478" s="2">
        <f t="shared" si="4375"/>
        <v>0</v>
      </c>
      <c r="EI478" s="39">
        <f t="shared" si="4376"/>
        <v>170.97113920000001</v>
      </c>
      <c r="EJ478" s="39">
        <f t="shared" ref="EJ478:EK478" si="7941">EJ$1*DQ478/1000000</f>
        <v>0</v>
      </c>
      <c r="EK478" s="39">
        <f t="shared" si="7941"/>
        <v>0</v>
      </c>
      <c r="EL478" s="39">
        <f t="shared" ref="EL478:EQ478" si="7942">EL$1*DS478</f>
        <v>0</v>
      </c>
      <c r="EM478" s="39">
        <f t="shared" si="7942"/>
        <v>0</v>
      </c>
      <c r="EN478" s="39">
        <f t="shared" si="7942"/>
        <v>0</v>
      </c>
      <c r="EO478" s="39">
        <f t="shared" si="7942"/>
        <v>0</v>
      </c>
      <c r="EP478" s="39">
        <f t="shared" si="7942"/>
        <v>412.30415999999997</v>
      </c>
      <c r="EQ478" s="39">
        <f t="shared" si="7942"/>
        <v>0</v>
      </c>
      <c r="ER478" s="39">
        <f t="shared" ref="ER478:EV478" si="7943">ER$1*DY478/1000000</f>
        <v>0</v>
      </c>
      <c r="ES478" s="39">
        <f t="shared" si="7943"/>
        <v>0</v>
      </c>
      <c r="ET478" s="39">
        <f t="shared" si="7943"/>
        <v>0</v>
      </c>
      <c r="EU478" s="39">
        <f t="shared" si="7943"/>
        <v>0</v>
      </c>
      <c r="EV478" s="39">
        <f t="shared" si="7943"/>
        <v>0</v>
      </c>
      <c r="EW478" s="39">
        <f t="shared" ref="EW478:EX478" si="7944">EW$1*ED478</f>
        <v>0</v>
      </c>
      <c r="EX478" s="39">
        <f t="shared" si="7944"/>
        <v>0</v>
      </c>
      <c r="EY478" s="2"/>
      <c r="EZ478" s="39">
        <f t="shared" si="4381"/>
        <v>0</v>
      </c>
      <c r="FA478" s="39">
        <f t="shared" si="4382"/>
        <v>0</v>
      </c>
      <c r="FB478" s="2">
        <f t="shared" si="4383"/>
        <v>0</v>
      </c>
      <c r="FC478" s="2">
        <f t="shared" ref="FC478:FD478" si="7945">BV478*$BT478+CQ478*$CO478</f>
        <v>0</v>
      </c>
      <c r="FD478" s="2">
        <f t="shared" si="7945"/>
        <v>0</v>
      </c>
      <c r="FE478" s="2">
        <f t="shared" ref="FE478:FJ478" si="7946">(BX478*$BT478+CS478*$CO478)/100</f>
        <v>0</v>
      </c>
      <c r="FF478" s="2">
        <f t="shared" si="7946"/>
        <v>0</v>
      </c>
      <c r="FG478" s="2">
        <f t="shared" si="7946"/>
        <v>0</v>
      </c>
      <c r="FH478" s="2">
        <f t="shared" si="7946"/>
        <v>0</v>
      </c>
      <c r="FI478" s="2">
        <f t="shared" si="7946"/>
        <v>0</v>
      </c>
      <c r="FJ478" s="2">
        <f t="shared" si="7946"/>
        <v>0</v>
      </c>
      <c r="FK478" s="2">
        <f t="shared" ref="FK478:FO478" si="7947">CD478*$BT478+CY478*$CO478</f>
        <v>0</v>
      </c>
      <c r="FL478" s="2">
        <f t="shared" si="7947"/>
        <v>0</v>
      </c>
      <c r="FM478" s="2">
        <f t="shared" si="7947"/>
        <v>0</v>
      </c>
      <c r="FN478" s="2">
        <f t="shared" si="7947"/>
        <v>0</v>
      </c>
      <c r="FO478" s="2">
        <f t="shared" si="7947"/>
        <v>0</v>
      </c>
      <c r="FP478" s="2">
        <f t="shared" ref="FP478:FQ478" si="7948">(CI478*$BT478+DD478*$CO478)/100</f>
        <v>0</v>
      </c>
      <c r="FQ478" s="2">
        <f t="shared" si="7948"/>
        <v>0</v>
      </c>
      <c r="FR478" s="2"/>
      <c r="FS478" s="2">
        <f t="shared" si="4388"/>
        <v>0</v>
      </c>
      <c r="FT478" s="2">
        <f t="shared" si="4389"/>
        <v>0</v>
      </c>
      <c r="FU478" s="39">
        <f t="shared" si="4390"/>
        <v>0</v>
      </c>
      <c r="FV478" s="39">
        <f t="shared" ref="FV478:FW478" si="7949">FV$1*FC478/1000000</f>
        <v>0</v>
      </c>
      <c r="FW478" s="39">
        <f t="shared" si="7949"/>
        <v>0</v>
      </c>
      <c r="FX478" s="39">
        <f t="shared" ref="FX478:GC478" si="7950">FX$1*FE478</f>
        <v>0</v>
      </c>
      <c r="FY478" s="39">
        <f t="shared" si="7950"/>
        <v>0</v>
      </c>
      <c r="FZ478" s="39">
        <f t="shared" si="7950"/>
        <v>0</v>
      </c>
      <c r="GA478" s="39">
        <f t="shared" si="7950"/>
        <v>0</v>
      </c>
      <c r="GB478" s="39">
        <f t="shared" si="7950"/>
        <v>0</v>
      </c>
      <c r="GC478" s="39">
        <f t="shared" si="7950"/>
        <v>0</v>
      </c>
      <c r="GD478" s="39">
        <f t="shared" ref="GD478:GH478" si="7951">GD$1*FK478/1000000</f>
        <v>0</v>
      </c>
      <c r="GE478" s="39">
        <f t="shared" si="7951"/>
        <v>0</v>
      </c>
      <c r="GF478" s="39">
        <f t="shared" si="7951"/>
        <v>0</v>
      </c>
      <c r="GG478" s="39">
        <f t="shared" si="7951"/>
        <v>0</v>
      </c>
      <c r="GH478" s="39">
        <f t="shared" si="7951"/>
        <v>0</v>
      </c>
      <c r="GI478" s="39">
        <f t="shared" ref="GI478:GJ478" si="7952">GI$1*FP478</f>
        <v>0</v>
      </c>
      <c r="GJ478" s="39">
        <f t="shared" si="7952"/>
        <v>0</v>
      </c>
      <c r="GK478" s="2"/>
      <c r="GL478" s="39">
        <f t="shared" si="4395"/>
        <v>0</v>
      </c>
      <c r="GM478" s="39">
        <f t="shared" si="4396"/>
        <v>0</v>
      </c>
      <c r="GN478" s="2" t="s">
        <v>3</v>
      </c>
      <c r="GO478" s="2">
        <f t="shared" si="4397"/>
        <v>13.1</v>
      </c>
      <c r="GP478" s="2">
        <f t="shared" si="4398"/>
        <v>0.24</v>
      </c>
      <c r="GQ478" s="15">
        <f t="shared" si="4399"/>
        <v>31.44</v>
      </c>
      <c r="GR478" s="15">
        <f t="shared" si="4400"/>
        <v>583.27529919999995</v>
      </c>
      <c r="GS478" s="15">
        <f t="shared" si="4401"/>
        <v>44.524831999999996</v>
      </c>
      <c r="GT478" s="2">
        <f t="shared" si="4402"/>
        <v>0</v>
      </c>
      <c r="GU478" s="2">
        <f t="shared" si="4403"/>
        <v>0</v>
      </c>
      <c r="GV478" s="2">
        <f t="shared" si="4404"/>
        <v>31.439999999999994</v>
      </c>
      <c r="GW478" s="2">
        <f t="shared" si="4405"/>
        <v>0</v>
      </c>
      <c r="GX478" s="2"/>
      <c r="GY478" s="2"/>
      <c r="GZ478" s="2"/>
      <c r="HA478" s="2"/>
      <c r="HB478" s="2">
        <f t="shared" si="4406"/>
        <v>0</v>
      </c>
      <c r="HC478" s="2">
        <f t="shared" si="4407"/>
        <v>0</v>
      </c>
      <c r="HD478" s="2" t="s">
        <v>3</v>
      </c>
      <c r="HE478" s="2" t="s">
        <v>89</v>
      </c>
      <c r="HF478" s="2" t="s">
        <v>90</v>
      </c>
      <c r="HG478" s="2"/>
      <c r="HH478" s="2"/>
      <c r="HI478" s="2" t="s">
        <v>100</v>
      </c>
      <c r="HJ478" s="2" t="s">
        <v>3</v>
      </c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 t="s">
        <v>3</v>
      </c>
    </row>
    <row r="479" spans="1:268" ht="15.75" customHeight="1" x14ac:dyDescent="0.2">
      <c r="A479" s="16" t="s">
        <v>845</v>
      </c>
      <c r="B479" s="2" t="s">
        <v>99</v>
      </c>
      <c r="C479" s="2"/>
      <c r="D479" s="2"/>
      <c r="E479" s="2"/>
      <c r="F479" s="2" t="s">
        <v>79</v>
      </c>
      <c r="G479" s="2"/>
      <c r="H479" s="2"/>
      <c r="I479" s="2">
        <v>0</v>
      </c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>
        <v>0</v>
      </c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>
        <v>8.16</v>
      </c>
      <c r="AZ479" s="2">
        <v>2.9</v>
      </c>
      <c r="BA479" s="2">
        <v>2.2000000000000002</v>
      </c>
      <c r="BB479" s="2">
        <v>5.2</v>
      </c>
      <c r="BC479" s="2"/>
      <c r="BD479" s="2"/>
      <c r="BE479" s="2"/>
      <c r="BF479" s="2"/>
      <c r="BG479" s="2">
        <v>5.0999999999999996</v>
      </c>
      <c r="BH479" s="2">
        <v>0.23</v>
      </c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>
        <v>0</v>
      </c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>
        <v>0</v>
      </c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 t="s">
        <v>100</v>
      </c>
      <c r="DK479" s="2" t="s">
        <v>100</v>
      </c>
      <c r="DL479" s="2">
        <f t="shared" si="4367"/>
        <v>5.0999999999999996</v>
      </c>
      <c r="DM479" s="2">
        <f t="shared" si="4368"/>
        <v>0.23</v>
      </c>
      <c r="DN479" s="2" t="s">
        <v>132</v>
      </c>
      <c r="DO479" s="2" t="s">
        <v>3</v>
      </c>
      <c r="DP479" s="2">
        <f t="shared" si="4369"/>
        <v>0.23663999999999999</v>
      </c>
      <c r="DQ479" s="2">
        <f t="shared" ref="DQ479:DR479" si="7953">K479*$I479+AF479*$AD479+BA479*$AY479</f>
        <v>17.952000000000002</v>
      </c>
      <c r="DR479" s="2">
        <f t="shared" si="7953"/>
        <v>42.432000000000002</v>
      </c>
      <c r="DS479" s="2">
        <f t="shared" ref="DS479:DX479" si="7954">(M479*$I479+AH479*$AD479+BC479*$AY479)/100</f>
        <v>0</v>
      </c>
      <c r="DT479" s="2">
        <f t="shared" si="7954"/>
        <v>0</v>
      </c>
      <c r="DU479" s="2">
        <f t="shared" si="7954"/>
        <v>0</v>
      </c>
      <c r="DV479" s="2">
        <f t="shared" si="7954"/>
        <v>0</v>
      </c>
      <c r="DW479" s="2">
        <f t="shared" si="7954"/>
        <v>0.41615999999999997</v>
      </c>
      <c r="DX479" s="2">
        <f t="shared" si="7954"/>
        <v>1.8768E-2</v>
      </c>
      <c r="DY479" s="2">
        <f t="shared" ref="DY479:EC479" si="7955">S479*$I479+AN479*$AD479+BI479*$AY479</f>
        <v>0</v>
      </c>
      <c r="DZ479" s="2">
        <f t="shared" si="7955"/>
        <v>0</v>
      </c>
      <c r="EA479" s="2">
        <f t="shared" si="7955"/>
        <v>0</v>
      </c>
      <c r="EB479" s="2">
        <f t="shared" si="7955"/>
        <v>0</v>
      </c>
      <c r="EC479" s="2">
        <f t="shared" si="7955"/>
        <v>0</v>
      </c>
      <c r="ED479" s="2">
        <f t="shared" ref="ED479:EE479" si="7956">(X479*$I479+AS479*$AD479+BN479*$AY479)/100</f>
        <v>0</v>
      </c>
      <c r="EE479" s="2">
        <f t="shared" si="7956"/>
        <v>0</v>
      </c>
      <c r="EF479" s="2"/>
      <c r="EG479" s="2">
        <f t="shared" si="4374"/>
        <v>0</v>
      </c>
      <c r="EH479" s="2">
        <f t="shared" si="4375"/>
        <v>0</v>
      </c>
      <c r="EI479" s="39">
        <f t="shared" si="4376"/>
        <v>1544.2217702399998</v>
      </c>
      <c r="EJ479" s="39">
        <f t="shared" ref="EJ479:EK479" si="7957">EJ$1*DQ479/1000000</f>
        <v>734.2425723472669</v>
      </c>
      <c r="EK479" s="39">
        <f t="shared" si="7957"/>
        <v>21.488874598070737</v>
      </c>
      <c r="EL479" s="39">
        <f t="shared" ref="EL479:EQ479" si="7958">EL$1*DS479</f>
        <v>0</v>
      </c>
      <c r="EM479" s="39">
        <f t="shared" si="7958"/>
        <v>0</v>
      </c>
      <c r="EN479" s="39">
        <f t="shared" si="7958"/>
        <v>0</v>
      </c>
      <c r="EO479" s="39">
        <f t="shared" si="7958"/>
        <v>0</v>
      </c>
      <c r="EP479" s="39">
        <f t="shared" si="7958"/>
        <v>5457.5222399999993</v>
      </c>
      <c r="EQ479" s="39">
        <f t="shared" si="7958"/>
        <v>1362.9232264319999</v>
      </c>
      <c r="ER479" s="39">
        <f t="shared" ref="ER479:EV479" si="7959">ER$1*DY479/1000000</f>
        <v>0</v>
      </c>
      <c r="ES479" s="39">
        <f t="shared" si="7959"/>
        <v>0</v>
      </c>
      <c r="ET479" s="39">
        <f t="shared" si="7959"/>
        <v>0</v>
      </c>
      <c r="EU479" s="39">
        <f t="shared" si="7959"/>
        <v>0</v>
      </c>
      <c r="EV479" s="39">
        <f t="shared" si="7959"/>
        <v>0</v>
      </c>
      <c r="EW479" s="39">
        <f t="shared" ref="EW479:EX479" si="7960">EW$1*ED479</f>
        <v>0</v>
      </c>
      <c r="EX479" s="39">
        <f t="shared" si="7960"/>
        <v>0</v>
      </c>
      <c r="EY479" s="2"/>
      <c r="EZ479" s="39">
        <f t="shared" si="4381"/>
        <v>0</v>
      </c>
      <c r="FA479" s="39">
        <f t="shared" si="4382"/>
        <v>0</v>
      </c>
      <c r="FB479" s="2">
        <f t="shared" si="4383"/>
        <v>0</v>
      </c>
      <c r="FC479" s="2">
        <f t="shared" ref="FC479:FD479" si="7961">BV479*$BT479+CQ479*$CO479</f>
        <v>0</v>
      </c>
      <c r="FD479" s="2">
        <f t="shared" si="7961"/>
        <v>0</v>
      </c>
      <c r="FE479" s="2">
        <f t="shared" ref="FE479:FJ479" si="7962">(BX479*$BT479+CS479*$CO479)/100</f>
        <v>0</v>
      </c>
      <c r="FF479" s="2">
        <f t="shared" si="7962"/>
        <v>0</v>
      </c>
      <c r="FG479" s="2">
        <f t="shared" si="7962"/>
        <v>0</v>
      </c>
      <c r="FH479" s="2">
        <f t="shared" si="7962"/>
        <v>0</v>
      </c>
      <c r="FI479" s="2">
        <f t="shared" si="7962"/>
        <v>0</v>
      </c>
      <c r="FJ479" s="2">
        <f t="shared" si="7962"/>
        <v>0</v>
      </c>
      <c r="FK479" s="2">
        <f t="shared" ref="FK479:FO479" si="7963">CD479*$BT479+CY479*$CO479</f>
        <v>0</v>
      </c>
      <c r="FL479" s="2">
        <f t="shared" si="7963"/>
        <v>0</v>
      </c>
      <c r="FM479" s="2">
        <f t="shared" si="7963"/>
        <v>0</v>
      </c>
      <c r="FN479" s="2">
        <f t="shared" si="7963"/>
        <v>0</v>
      </c>
      <c r="FO479" s="2">
        <f t="shared" si="7963"/>
        <v>0</v>
      </c>
      <c r="FP479" s="2">
        <f t="shared" ref="FP479:FQ479" si="7964">(CI479*$BT479+DD479*$CO479)/100</f>
        <v>0</v>
      </c>
      <c r="FQ479" s="2">
        <f t="shared" si="7964"/>
        <v>0</v>
      </c>
      <c r="FR479" s="2"/>
      <c r="FS479" s="2">
        <f t="shared" si="4388"/>
        <v>0</v>
      </c>
      <c r="FT479" s="2">
        <f t="shared" si="4389"/>
        <v>0</v>
      </c>
      <c r="FU479" s="39">
        <f t="shared" si="4390"/>
        <v>0</v>
      </c>
      <c r="FV479" s="39">
        <f t="shared" ref="FV479:FW479" si="7965">FV$1*FC479/1000000</f>
        <v>0</v>
      </c>
      <c r="FW479" s="39">
        <f t="shared" si="7965"/>
        <v>0</v>
      </c>
      <c r="FX479" s="39">
        <f t="shared" ref="FX479:GC479" si="7966">FX$1*FE479</f>
        <v>0</v>
      </c>
      <c r="FY479" s="39">
        <f t="shared" si="7966"/>
        <v>0</v>
      </c>
      <c r="FZ479" s="39">
        <f t="shared" si="7966"/>
        <v>0</v>
      </c>
      <c r="GA479" s="39">
        <f t="shared" si="7966"/>
        <v>0</v>
      </c>
      <c r="GB479" s="39">
        <f t="shared" si="7966"/>
        <v>0</v>
      </c>
      <c r="GC479" s="39">
        <f t="shared" si="7966"/>
        <v>0</v>
      </c>
      <c r="GD479" s="39">
        <f t="shared" ref="GD479:GH479" si="7967">GD$1*FK479/1000000</f>
        <v>0</v>
      </c>
      <c r="GE479" s="39">
        <f t="shared" si="7967"/>
        <v>0</v>
      </c>
      <c r="GF479" s="39">
        <f t="shared" si="7967"/>
        <v>0</v>
      </c>
      <c r="GG479" s="39">
        <f t="shared" si="7967"/>
        <v>0</v>
      </c>
      <c r="GH479" s="39">
        <f t="shared" si="7967"/>
        <v>0</v>
      </c>
      <c r="GI479" s="39">
        <f t="shared" ref="GI479:GJ479" si="7968">GI$1*FP479</f>
        <v>0</v>
      </c>
      <c r="GJ479" s="39">
        <f t="shared" si="7968"/>
        <v>0</v>
      </c>
      <c r="GK479" s="2"/>
      <c r="GL479" s="39">
        <f t="shared" si="4395"/>
        <v>0</v>
      </c>
      <c r="GM479" s="39">
        <f t="shared" si="4396"/>
        <v>0</v>
      </c>
      <c r="GN479" s="2" t="s">
        <v>3</v>
      </c>
      <c r="GO479" s="2">
        <f t="shared" si="4397"/>
        <v>8.16</v>
      </c>
      <c r="GP479" s="2">
        <f t="shared" si="4398"/>
        <v>5.0999999999999996</v>
      </c>
      <c r="GQ479" s="15">
        <f t="shared" si="4399"/>
        <v>416.16</v>
      </c>
      <c r="GR479" s="15">
        <f t="shared" si="4400"/>
        <v>9120.3986836173372</v>
      </c>
      <c r="GS479" s="15">
        <f t="shared" si="4401"/>
        <v>1117.6959171099677</v>
      </c>
      <c r="GT479" s="2">
        <f t="shared" si="4402"/>
        <v>0</v>
      </c>
      <c r="GU479" s="2">
        <f t="shared" si="4403"/>
        <v>0</v>
      </c>
      <c r="GV479" s="2">
        <f t="shared" si="4404"/>
        <v>416.16</v>
      </c>
      <c r="GW479" s="2">
        <f t="shared" si="4405"/>
        <v>0</v>
      </c>
      <c r="GX479" s="2"/>
      <c r="GY479" s="2"/>
      <c r="GZ479" s="2"/>
      <c r="HA479" s="2"/>
      <c r="HB479" s="2">
        <f t="shared" si="4406"/>
        <v>0</v>
      </c>
      <c r="HC479" s="2">
        <f t="shared" si="4407"/>
        <v>0</v>
      </c>
      <c r="HD479" s="2" t="s">
        <v>3</v>
      </c>
      <c r="HE479" s="2" t="s">
        <v>89</v>
      </c>
      <c r="HF479" s="2" t="s">
        <v>90</v>
      </c>
      <c r="HG479" s="2"/>
      <c r="HH479" s="2"/>
      <c r="HI479" s="2" t="s">
        <v>100</v>
      </c>
      <c r="HJ479" s="2" t="s">
        <v>3</v>
      </c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 t="s">
        <v>3</v>
      </c>
    </row>
    <row r="480" spans="1:268" ht="15.75" customHeight="1" x14ac:dyDescent="0.2">
      <c r="A480" s="16" t="s">
        <v>846</v>
      </c>
      <c r="B480" s="2" t="s">
        <v>99</v>
      </c>
      <c r="C480" s="2"/>
      <c r="D480" s="2"/>
      <c r="E480" s="2"/>
      <c r="F480" s="2" t="s">
        <v>79</v>
      </c>
      <c r="G480" s="2"/>
      <c r="H480" s="2"/>
      <c r="I480" s="2">
        <v>0</v>
      </c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>
        <v>0</v>
      </c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>
        <v>0.71</v>
      </c>
      <c r="AZ480" s="2">
        <v>2.06</v>
      </c>
      <c r="BA480" s="2">
        <v>2.2000000000000002</v>
      </c>
      <c r="BB480" s="2">
        <v>5.2</v>
      </c>
      <c r="BC480" s="2"/>
      <c r="BD480" s="2"/>
      <c r="BE480" s="2"/>
      <c r="BF480" s="2"/>
      <c r="BG480" s="2">
        <v>3.23</v>
      </c>
      <c r="BH480" s="2">
        <v>0.15</v>
      </c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>
        <v>0</v>
      </c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>
        <v>0</v>
      </c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 t="s">
        <v>100</v>
      </c>
      <c r="DK480" s="2" t="s">
        <v>100</v>
      </c>
      <c r="DL480" s="2">
        <f t="shared" si="4367"/>
        <v>3.23</v>
      </c>
      <c r="DM480" s="2">
        <f t="shared" si="4368"/>
        <v>0.15</v>
      </c>
      <c r="DN480" s="2" t="s">
        <v>132</v>
      </c>
      <c r="DO480" s="2" t="s">
        <v>3</v>
      </c>
      <c r="DP480" s="2">
        <f t="shared" si="4369"/>
        <v>1.4625999999999998E-2</v>
      </c>
      <c r="DQ480" s="2">
        <f t="shared" ref="DQ480:DR480" si="7969">K480*$I480+AF480*$AD480+BA480*$AY480</f>
        <v>1.5620000000000001</v>
      </c>
      <c r="DR480" s="2">
        <f t="shared" si="7969"/>
        <v>3.6919999999999997</v>
      </c>
      <c r="DS480" s="2">
        <f t="shared" ref="DS480:DX480" si="7970">(M480*$I480+AH480*$AD480+BC480*$AY480)/100</f>
        <v>0</v>
      </c>
      <c r="DT480" s="2">
        <f t="shared" si="7970"/>
        <v>0</v>
      </c>
      <c r="DU480" s="2">
        <f t="shared" si="7970"/>
        <v>0</v>
      </c>
      <c r="DV480" s="2">
        <f t="shared" si="7970"/>
        <v>0</v>
      </c>
      <c r="DW480" s="2">
        <f t="shared" si="7970"/>
        <v>2.2932999999999999E-2</v>
      </c>
      <c r="DX480" s="2">
        <f t="shared" si="7970"/>
        <v>1.065E-3</v>
      </c>
      <c r="DY480" s="2">
        <f t="shared" ref="DY480:EC480" si="7971">S480*$I480+AN480*$AD480+BI480*$AY480</f>
        <v>0</v>
      </c>
      <c r="DZ480" s="2">
        <f t="shared" si="7971"/>
        <v>0</v>
      </c>
      <c r="EA480" s="2">
        <f t="shared" si="7971"/>
        <v>0</v>
      </c>
      <c r="EB480" s="2">
        <f t="shared" si="7971"/>
        <v>0</v>
      </c>
      <c r="EC480" s="2">
        <f t="shared" si="7971"/>
        <v>0</v>
      </c>
      <c r="ED480" s="2">
        <f t="shared" ref="ED480:EE480" si="7972">(X480*$I480+AS480*$AD480+BN480*$AY480)/100</f>
        <v>0</v>
      </c>
      <c r="EE480" s="2">
        <f t="shared" si="7972"/>
        <v>0</v>
      </c>
      <c r="EF480" s="2"/>
      <c r="EG480" s="2">
        <f t="shared" si="4374"/>
        <v>0</v>
      </c>
      <c r="EH480" s="2">
        <f t="shared" si="4375"/>
        <v>0</v>
      </c>
      <c r="EI480" s="39">
        <f t="shared" si="4376"/>
        <v>95.443659615999991</v>
      </c>
      <c r="EJ480" s="39">
        <f t="shared" ref="EJ480:EK480" si="7973">EJ$1*DQ480/1000000</f>
        <v>63.886302250803858</v>
      </c>
      <c r="EK480" s="39">
        <f t="shared" si="7973"/>
        <v>1.8697427652733116</v>
      </c>
      <c r="EL480" s="39">
        <f t="shared" ref="EL480:EQ480" si="7974">EL$1*DS480</f>
        <v>0</v>
      </c>
      <c r="EM480" s="39">
        <f t="shared" si="7974"/>
        <v>0</v>
      </c>
      <c r="EN480" s="39">
        <f t="shared" si="7974"/>
        <v>0</v>
      </c>
      <c r="EO480" s="39">
        <f t="shared" si="7974"/>
        <v>0</v>
      </c>
      <c r="EP480" s="39">
        <f t="shared" si="7974"/>
        <v>300.74336199999999</v>
      </c>
      <c r="EQ480" s="39">
        <f t="shared" si="7974"/>
        <v>77.339793059999991</v>
      </c>
      <c r="ER480" s="39">
        <f t="shared" ref="ER480:EV480" si="7975">ER$1*DY480/1000000</f>
        <v>0</v>
      </c>
      <c r="ES480" s="39">
        <f t="shared" si="7975"/>
        <v>0</v>
      </c>
      <c r="ET480" s="39">
        <f t="shared" si="7975"/>
        <v>0</v>
      </c>
      <c r="EU480" s="39">
        <f t="shared" si="7975"/>
        <v>0</v>
      </c>
      <c r="EV480" s="39">
        <f t="shared" si="7975"/>
        <v>0</v>
      </c>
      <c r="EW480" s="39">
        <f t="shared" ref="EW480:EX480" si="7976">EW$1*ED480</f>
        <v>0</v>
      </c>
      <c r="EX480" s="39">
        <f t="shared" si="7976"/>
        <v>0</v>
      </c>
      <c r="EY480" s="2"/>
      <c r="EZ480" s="39">
        <f t="shared" si="4381"/>
        <v>0</v>
      </c>
      <c r="FA480" s="39">
        <f t="shared" si="4382"/>
        <v>0</v>
      </c>
      <c r="FB480" s="2">
        <f t="shared" si="4383"/>
        <v>0</v>
      </c>
      <c r="FC480" s="2">
        <f t="shared" ref="FC480:FD480" si="7977">BV480*$BT480+CQ480*$CO480</f>
        <v>0</v>
      </c>
      <c r="FD480" s="2">
        <f t="shared" si="7977"/>
        <v>0</v>
      </c>
      <c r="FE480" s="2">
        <f t="shared" ref="FE480:FJ480" si="7978">(BX480*$BT480+CS480*$CO480)/100</f>
        <v>0</v>
      </c>
      <c r="FF480" s="2">
        <f t="shared" si="7978"/>
        <v>0</v>
      </c>
      <c r="FG480" s="2">
        <f t="shared" si="7978"/>
        <v>0</v>
      </c>
      <c r="FH480" s="2">
        <f t="shared" si="7978"/>
        <v>0</v>
      </c>
      <c r="FI480" s="2">
        <f t="shared" si="7978"/>
        <v>0</v>
      </c>
      <c r="FJ480" s="2">
        <f t="shared" si="7978"/>
        <v>0</v>
      </c>
      <c r="FK480" s="2">
        <f t="shared" ref="FK480:FO480" si="7979">CD480*$BT480+CY480*$CO480</f>
        <v>0</v>
      </c>
      <c r="FL480" s="2">
        <f t="shared" si="7979"/>
        <v>0</v>
      </c>
      <c r="FM480" s="2">
        <f t="shared" si="7979"/>
        <v>0</v>
      </c>
      <c r="FN480" s="2">
        <f t="shared" si="7979"/>
        <v>0</v>
      </c>
      <c r="FO480" s="2">
        <f t="shared" si="7979"/>
        <v>0</v>
      </c>
      <c r="FP480" s="2">
        <f t="shared" ref="FP480:FQ480" si="7980">(CI480*$BT480+DD480*$CO480)/100</f>
        <v>0</v>
      </c>
      <c r="FQ480" s="2">
        <f t="shared" si="7980"/>
        <v>0</v>
      </c>
      <c r="FR480" s="2"/>
      <c r="FS480" s="2">
        <f t="shared" si="4388"/>
        <v>0</v>
      </c>
      <c r="FT480" s="2">
        <f t="shared" si="4389"/>
        <v>0</v>
      </c>
      <c r="FU480" s="39">
        <f t="shared" si="4390"/>
        <v>0</v>
      </c>
      <c r="FV480" s="39">
        <f t="shared" ref="FV480:FW480" si="7981">FV$1*FC480/1000000</f>
        <v>0</v>
      </c>
      <c r="FW480" s="39">
        <f t="shared" si="7981"/>
        <v>0</v>
      </c>
      <c r="FX480" s="39">
        <f t="shared" ref="FX480:GC480" si="7982">FX$1*FE480</f>
        <v>0</v>
      </c>
      <c r="FY480" s="39">
        <f t="shared" si="7982"/>
        <v>0</v>
      </c>
      <c r="FZ480" s="39">
        <f t="shared" si="7982"/>
        <v>0</v>
      </c>
      <c r="GA480" s="39">
        <f t="shared" si="7982"/>
        <v>0</v>
      </c>
      <c r="GB480" s="39">
        <f t="shared" si="7982"/>
        <v>0</v>
      </c>
      <c r="GC480" s="39">
        <f t="shared" si="7982"/>
        <v>0</v>
      </c>
      <c r="GD480" s="39">
        <f t="shared" ref="GD480:GH480" si="7983">GD$1*FK480/1000000</f>
        <v>0</v>
      </c>
      <c r="GE480" s="39">
        <f t="shared" si="7983"/>
        <v>0</v>
      </c>
      <c r="GF480" s="39">
        <f t="shared" si="7983"/>
        <v>0</v>
      </c>
      <c r="GG480" s="39">
        <f t="shared" si="7983"/>
        <v>0</v>
      </c>
      <c r="GH480" s="39">
        <f t="shared" si="7983"/>
        <v>0</v>
      </c>
      <c r="GI480" s="39">
        <f t="shared" ref="GI480:GJ480" si="7984">GI$1*FP480</f>
        <v>0</v>
      </c>
      <c r="GJ480" s="39">
        <f t="shared" si="7984"/>
        <v>0</v>
      </c>
      <c r="GK480" s="2"/>
      <c r="GL480" s="39">
        <f t="shared" si="4395"/>
        <v>0</v>
      </c>
      <c r="GM480" s="39">
        <f t="shared" si="4396"/>
        <v>0</v>
      </c>
      <c r="GN480" s="2" t="s">
        <v>3</v>
      </c>
      <c r="GO480" s="2">
        <f t="shared" si="4397"/>
        <v>0.71</v>
      </c>
      <c r="GP480" s="2">
        <f t="shared" si="4398"/>
        <v>3.23</v>
      </c>
      <c r="GQ480" s="15">
        <f t="shared" si="4399"/>
        <v>22.933000000000003</v>
      </c>
      <c r="GR480" s="15">
        <f t="shared" si="4400"/>
        <v>539.28285969207718</v>
      </c>
      <c r="GS480" s="15">
        <f t="shared" si="4401"/>
        <v>759.55332350996787</v>
      </c>
      <c r="GT480" s="2">
        <f t="shared" si="4402"/>
        <v>0</v>
      </c>
      <c r="GU480" s="2">
        <f t="shared" si="4403"/>
        <v>0</v>
      </c>
      <c r="GV480" s="2">
        <f t="shared" si="4404"/>
        <v>22.932999999999996</v>
      </c>
      <c r="GW480" s="2">
        <f t="shared" si="4405"/>
        <v>0</v>
      </c>
      <c r="GX480" s="2"/>
      <c r="GY480" s="2"/>
      <c r="GZ480" s="2"/>
      <c r="HA480" s="2"/>
      <c r="HB480" s="2">
        <f t="shared" si="4406"/>
        <v>0</v>
      </c>
      <c r="HC480" s="2">
        <f t="shared" si="4407"/>
        <v>0</v>
      </c>
      <c r="HD480" s="2" t="s">
        <v>3</v>
      </c>
      <c r="HE480" s="2" t="s">
        <v>89</v>
      </c>
      <c r="HF480" s="2" t="s">
        <v>90</v>
      </c>
      <c r="HG480" s="2"/>
      <c r="HH480" s="2"/>
      <c r="HI480" s="2" t="s">
        <v>100</v>
      </c>
      <c r="HJ480" s="2" t="s">
        <v>3</v>
      </c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 t="s">
        <v>3</v>
      </c>
    </row>
    <row r="481" spans="1:268" ht="15.75" customHeight="1" x14ac:dyDescent="0.2">
      <c r="A481" s="16" t="s">
        <v>847</v>
      </c>
      <c r="B481" s="2" t="s">
        <v>99</v>
      </c>
      <c r="C481" s="2"/>
      <c r="D481" s="2"/>
      <c r="E481" s="2"/>
      <c r="F481" s="2" t="s">
        <v>79</v>
      </c>
      <c r="G481" s="2"/>
      <c r="H481" s="2"/>
      <c r="I481" s="2">
        <v>0</v>
      </c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>
        <v>0</v>
      </c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>
        <v>131.19999999999999</v>
      </c>
      <c r="AZ481" s="2">
        <v>0.17</v>
      </c>
      <c r="BA481" s="2"/>
      <c r="BB481" s="2"/>
      <c r="BC481" s="2"/>
      <c r="BD481" s="2"/>
      <c r="BE481" s="2"/>
      <c r="BF481" s="2"/>
      <c r="BG481" s="2">
        <v>0.33</v>
      </c>
      <c r="BH481" s="2">
        <v>1.4E-2</v>
      </c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>
        <v>0</v>
      </c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>
        <v>0</v>
      </c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 t="s">
        <v>100</v>
      </c>
      <c r="DK481" s="2" t="s">
        <v>100</v>
      </c>
      <c r="DL481" s="2">
        <f t="shared" si="4367"/>
        <v>0.33</v>
      </c>
      <c r="DM481" s="2">
        <f t="shared" si="4368"/>
        <v>1.4E-2</v>
      </c>
      <c r="DN481" s="2" t="s">
        <v>132</v>
      </c>
      <c r="DO481" s="2" t="s">
        <v>3</v>
      </c>
      <c r="DP481" s="2">
        <f t="shared" si="4369"/>
        <v>0.22303999999999999</v>
      </c>
      <c r="DQ481" s="2">
        <f t="shared" ref="DQ481:DR481" si="7985">K481*$I481+AF481*$AD481+BA481*$AY481</f>
        <v>0</v>
      </c>
      <c r="DR481" s="2">
        <f t="shared" si="7985"/>
        <v>0</v>
      </c>
      <c r="DS481" s="2">
        <f t="shared" ref="DS481:DX481" si="7986">(M481*$I481+AH481*$AD481+BC481*$AY481)/100</f>
        <v>0</v>
      </c>
      <c r="DT481" s="2">
        <f t="shared" si="7986"/>
        <v>0</v>
      </c>
      <c r="DU481" s="2">
        <f t="shared" si="7986"/>
        <v>0</v>
      </c>
      <c r="DV481" s="2">
        <f t="shared" si="7986"/>
        <v>0</v>
      </c>
      <c r="DW481" s="2">
        <f t="shared" si="7986"/>
        <v>0.43296000000000001</v>
      </c>
      <c r="DX481" s="2">
        <f t="shared" si="7986"/>
        <v>1.8367999999999999E-2</v>
      </c>
      <c r="DY481" s="2">
        <f t="shared" ref="DY481:EC481" si="7987">S481*$I481+AN481*$AD481+BI481*$AY481</f>
        <v>0</v>
      </c>
      <c r="DZ481" s="2">
        <f t="shared" si="7987"/>
        <v>0</v>
      </c>
      <c r="EA481" s="2">
        <f t="shared" si="7987"/>
        <v>0</v>
      </c>
      <c r="EB481" s="2">
        <f t="shared" si="7987"/>
        <v>0</v>
      </c>
      <c r="EC481" s="2">
        <f t="shared" si="7987"/>
        <v>0</v>
      </c>
      <c r="ED481" s="2">
        <f t="shared" ref="ED481:EE481" si="7988">(X481*$I481+AS481*$AD481+BN481*$AY481)/100</f>
        <v>0</v>
      </c>
      <c r="EE481" s="2">
        <f t="shared" si="7988"/>
        <v>0</v>
      </c>
      <c r="EF481" s="2"/>
      <c r="EG481" s="2">
        <f t="shared" si="4374"/>
        <v>0</v>
      </c>
      <c r="EH481" s="2">
        <f t="shared" si="4375"/>
        <v>0</v>
      </c>
      <c r="EI481" s="39">
        <f t="shared" si="4376"/>
        <v>1455.4733926399999</v>
      </c>
      <c r="EJ481" s="39">
        <f t="shared" ref="EJ481:EK481" si="7989">EJ$1*DQ481/1000000</f>
        <v>0</v>
      </c>
      <c r="EK481" s="39">
        <f t="shared" si="7989"/>
        <v>0</v>
      </c>
      <c r="EL481" s="39">
        <f t="shared" ref="EL481:EQ481" si="7990">EL$1*DS481</f>
        <v>0</v>
      </c>
      <c r="EM481" s="39">
        <f t="shared" si="7990"/>
        <v>0</v>
      </c>
      <c r="EN481" s="39">
        <f t="shared" si="7990"/>
        <v>0</v>
      </c>
      <c r="EO481" s="39">
        <f t="shared" si="7990"/>
        <v>0</v>
      </c>
      <c r="EP481" s="39">
        <f t="shared" si="7990"/>
        <v>5677.8374400000002</v>
      </c>
      <c r="EQ481" s="39">
        <f t="shared" si="7990"/>
        <v>1333.8754168319997</v>
      </c>
      <c r="ER481" s="39">
        <f t="shared" ref="ER481:EV481" si="7991">ER$1*DY481/1000000</f>
        <v>0</v>
      </c>
      <c r="ES481" s="39">
        <f t="shared" si="7991"/>
        <v>0</v>
      </c>
      <c r="ET481" s="39">
        <f t="shared" si="7991"/>
        <v>0</v>
      </c>
      <c r="EU481" s="39">
        <f t="shared" si="7991"/>
        <v>0</v>
      </c>
      <c r="EV481" s="39">
        <f t="shared" si="7991"/>
        <v>0</v>
      </c>
      <c r="EW481" s="39">
        <f t="shared" ref="EW481:EX481" si="7992">EW$1*ED481</f>
        <v>0</v>
      </c>
      <c r="EX481" s="39">
        <f t="shared" si="7992"/>
        <v>0</v>
      </c>
      <c r="EY481" s="2"/>
      <c r="EZ481" s="39">
        <f t="shared" si="4381"/>
        <v>0</v>
      </c>
      <c r="FA481" s="39">
        <f t="shared" si="4382"/>
        <v>0</v>
      </c>
      <c r="FB481" s="2">
        <f t="shared" si="4383"/>
        <v>0</v>
      </c>
      <c r="FC481" s="2">
        <f t="shared" ref="FC481:FD481" si="7993">BV481*$BT481+CQ481*$CO481</f>
        <v>0</v>
      </c>
      <c r="FD481" s="2">
        <f t="shared" si="7993"/>
        <v>0</v>
      </c>
      <c r="FE481" s="2">
        <f t="shared" ref="FE481:FJ481" si="7994">(BX481*$BT481+CS481*$CO481)/100</f>
        <v>0</v>
      </c>
      <c r="FF481" s="2">
        <f t="shared" si="7994"/>
        <v>0</v>
      </c>
      <c r="FG481" s="2">
        <f t="shared" si="7994"/>
        <v>0</v>
      </c>
      <c r="FH481" s="2">
        <f t="shared" si="7994"/>
        <v>0</v>
      </c>
      <c r="FI481" s="2">
        <f t="shared" si="7994"/>
        <v>0</v>
      </c>
      <c r="FJ481" s="2">
        <f t="shared" si="7994"/>
        <v>0</v>
      </c>
      <c r="FK481" s="2">
        <f t="shared" ref="FK481:FO481" si="7995">CD481*$BT481+CY481*$CO481</f>
        <v>0</v>
      </c>
      <c r="FL481" s="2">
        <f t="shared" si="7995"/>
        <v>0</v>
      </c>
      <c r="FM481" s="2">
        <f t="shared" si="7995"/>
        <v>0</v>
      </c>
      <c r="FN481" s="2">
        <f t="shared" si="7995"/>
        <v>0</v>
      </c>
      <c r="FO481" s="2">
        <f t="shared" si="7995"/>
        <v>0</v>
      </c>
      <c r="FP481" s="2">
        <f t="shared" ref="FP481:FQ481" si="7996">(CI481*$BT481+DD481*$CO481)/100</f>
        <v>0</v>
      </c>
      <c r="FQ481" s="2">
        <f t="shared" si="7996"/>
        <v>0</v>
      </c>
      <c r="FR481" s="2"/>
      <c r="FS481" s="2">
        <f t="shared" si="4388"/>
        <v>0</v>
      </c>
      <c r="FT481" s="2">
        <f t="shared" si="4389"/>
        <v>0</v>
      </c>
      <c r="FU481" s="39">
        <f t="shared" si="4390"/>
        <v>0</v>
      </c>
      <c r="FV481" s="39">
        <f t="shared" ref="FV481:FW481" si="7997">FV$1*FC481/1000000</f>
        <v>0</v>
      </c>
      <c r="FW481" s="39">
        <f t="shared" si="7997"/>
        <v>0</v>
      </c>
      <c r="FX481" s="39">
        <f t="shared" ref="FX481:GC481" si="7998">FX$1*FE481</f>
        <v>0</v>
      </c>
      <c r="FY481" s="39">
        <f t="shared" si="7998"/>
        <v>0</v>
      </c>
      <c r="FZ481" s="39">
        <f t="shared" si="7998"/>
        <v>0</v>
      </c>
      <c r="GA481" s="39">
        <f t="shared" si="7998"/>
        <v>0</v>
      </c>
      <c r="GB481" s="39">
        <f t="shared" si="7998"/>
        <v>0</v>
      </c>
      <c r="GC481" s="39">
        <f t="shared" si="7998"/>
        <v>0</v>
      </c>
      <c r="GD481" s="39">
        <f t="shared" ref="GD481:GH481" si="7999">GD$1*FK481/1000000</f>
        <v>0</v>
      </c>
      <c r="GE481" s="39">
        <f t="shared" si="7999"/>
        <v>0</v>
      </c>
      <c r="GF481" s="39">
        <f t="shared" si="7999"/>
        <v>0</v>
      </c>
      <c r="GG481" s="39">
        <f t="shared" si="7999"/>
        <v>0</v>
      </c>
      <c r="GH481" s="39">
        <f t="shared" si="7999"/>
        <v>0</v>
      </c>
      <c r="GI481" s="39">
        <f t="shared" ref="GI481:GJ481" si="8000">GI$1*FP481</f>
        <v>0</v>
      </c>
      <c r="GJ481" s="39">
        <f t="shared" si="8000"/>
        <v>0</v>
      </c>
      <c r="GK481" s="2"/>
      <c r="GL481" s="39">
        <f t="shared" si="4395"/>
        <v>0</v>
      </c>
      <c r="GM481" s="39">
        <f t="shared" si="4396"/>
        <v>0</v>
      </c>
      <c r="GN481" s="2" t="s">
        <v>3</v>
      </c>
      <c r="GO481" s="2">
        <f t="shared" si="4397"/>
        <v>131.19999999999999</v>
      </c>
      <c r="GP481" s="2">
        <f t="shared" si="4398"/>
        <v>0.33</v>
      </c>
      <c r="GQ481" s="15">
        <f t="shared" si="4399"/>
        <v>432.96</v>
      </c>
      <c r="GR481" s="15">
        <f t="shared" si="4400"/>
        <v>8467.186249471999</v>
      </c>
      <c r="GS481" s="15">
        <f t="shared" si="4401"/>
        <v>64.536480560000001</v>
      </c>
      <c r="GT481" s="2">
        <f t="shared" si="4402"/>
        <v>0</v>
      </c>
      <c r="GU481" s="2">
        <f t="shared" si="4403"/>
        <v>0</v>
      </c>
      <c r="GV481" s="2">
        <f t="shared" si="4404"/>
        <v>432.96</v>
      </c>
      <c r="GW481" s="2">
        <f t="shared" si="4405"/>
        <v>0</v>
      </c>
      <c r="GX481" s="2"/>
      <c r="GY481" s="2"/>
      <c r="GZ481" s="2"/>
      <c r="HA481" s="2"/>
      <c r="HB481" s="2">
        <f t="shared" si="4406"/>
        <v>0</v>
      </c>
      <c r="HC481" s="2">
        <f t="shared" si="4407"/>
        <v>0</v>
      </c>
      <c r="HD481" s="2" t="s">
        <v>3</v>
      </c>
      <c r="HE481" s="2" t="s">
        <v>89</v>
      </c>
      <c r="HF481" s="2" t="s">
        <v>90</v>
      </c>
      <c r="HG481" s="2"/>
      <c r="HH481" s="2"/>
      <c r="HI481" s="2" t="s">
        <v>100</v>
      </c>
      <c r="HJ481" s="2" t="s">
        <v>3</v>
      </c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 t="s">
        <v>3</v>
      </c>
    </row>
    <row r="482" spans="1:268" ht="15.75" customHeight="1" x14ac:dyDescent="0.2">
      <c r="A482" s="16" t="s">
        <v>1206</v>
      </c>
      <c r="B482" s="2" t="s">
        <v>99</v>
      </c>
      <c r="C482" s="2"/>
      <c r="D482" s="2"/>
      <c r="E482" s="2"/>
      <c r="F482" s="2" t="s">
        <v>79</v>
      </c>
      <c r="G482" s="2"/>
      <c r="H482" s="2"/>
      <c r="I482" s="2">
        <v>0</v>
      </c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>
        <v>0</v>
      </c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>
        <v>5.18</v>
      </c>
      <c r="AZ482" s="2">
        <v>0.2</v>
      </c>
      <c r="BA482" s="2"/>
      <c r="BB482" s="2"/>
      <c r="BC482" s="2"/>
      <c r="BD482" s="2"/>
      <c r="BE482" s="2"/>
      <c r="BF482" s="2"/>
      <c r="BG482" s="2">
        <v>0.79</v>
      </c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>
        <v>0</v>
      </c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>
        <v>0</v>
      </c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 t="s">
        <v>100</v>
      </c>
      <c r="DK482" s="2"/>
      <c r="DL482" s="2">
        <f t="shared" si="4367"/>
        <v>0.79</v>
      </c>
      <c r="DM482" s="2">
        <f t="shared" si="4368"/>
        <v>0</v>
      </c>
      <c r="DN482" s="2" t="s">
        <v>132</v>
      </c>
      <c r="DO482" s="2" t="s">
        <v>3</v>
      </c>
      <c r="DP482" s="2">
        <f t="shared" si="4369"/>
        <v>1.0360000000000001E-2</v>
      </c>
      <c r="DQ482" s="2">
        <f t="shared" ref="DQ482:DR482" si="8001">K482*$I482+AF482*$AD482+BA482*$AY482</f>
        <v>0</v>
      </c>
      <c r="DR482" s="2">
        <f t="shared" si="8001"/>
        <v>0</v>
      </c>
      <c r="DS482" s="2">
        <f t="shared" ref="DS482:DX482" si="8002">(M482*$I482+AH482*$AD482+BC482*$AY482)/100</f>
        <v>0</v>
      </c>
      <c r="DT482" s="2">
        <f t="shared" si="8002"/>
        <v>0</v>
      </c>
      <c r="DU482" s="2">
        <f t="shared" si="8002"/>
        <v>0</v>
      </c>
      <c r="DV482" s="2">
        <f t="shared" si="8002"/>
        <v>0</v>
      </c>
      <c r="DW482" s="2">
        <f t="shared" si="8002"/>
        <v>4.0922E-2</v>
      </c>
      <c r="DX482" s="2">
        <f t="shared" si="8002"/>
        <v>0</v>
      </c>
      <c r="DY482" s="2">
        <f t="shared" ref="DY482:EC482" si="8003">S482*$I482+AN482*$AD482+BI482*$AY482</f>
        <v>0</v>
      </c>
      <c r="DZ482" s="2">
        <f t="shared" si="8003"/>
        <v>0</v>
      </c>
      <c r="EA482" s="2">
        <f t="shared" si="8003"/>
        <v>0</v>
      </c>
      <c r="EB482" s="2">
        <f t="shared" si="8003"/>
        <v>0</v>
      </c>
      <c r="EC482" s="2">
        <f t="shared" si="8003"/>
        <v>0</v>
      </c>
      <c r="ED482" s="2">
        <f t="shared" ref="ED482:EE482" si="8004">(X482*$I482+AS482*$AD482+BN482*$AY482)/100</f>
        <v>0</v>
      </c>
      <c r="EE482" s="2">
        <f t="shared" si="8004"/>
        <v>0</v>
      </c>
      <c r="EF482" s="2"/>
      <c r="EG482" s="2">
        <f t="shared" si="4374"/>
        <v>0</v>
      </c>
      <c r="EH482" s="2">
        <f t="shared" si="4375"/>
        <v>0</v>
      </c>
      <c r="EI482" s="39">
        <f t="shared" si="4376"/>
        <v>67.605381760000014</v>
      </c>
      <c r="EJ482" s="39">
        <f t="shared" ref="EJ482:EK482" si="8005">EJ$1*DQ482/1000000</f>
        <v>0</v>
      </c>
      <c r="EK482" s="39">
        <f t="shared" si="8005"/>
        <v>0</v>
      </c>
      <c r="EL482" s="39">
        <f t="shared" ref="EL482:EQ482" si="8006">EL$1*DS482</f>
        <v>0</v>
      </c>
      <c r="EM482" s="39">
        <f t="shared" si="8006"/>
        <v>0</v>
      </c>
      <c r="EN482" s="39">
        <f t="shared" si="8006"/>
        <v>0</v>
      </c>
      <c r="EO482" s="39">
        <f t="shared" si="8006"/>
        <v>0</v>
      </c>
      <c r="EP482" s="39">
        <f t="shared" si="8006"/>
        <v>536.65110800000002</v>
      </c>
      <c r="EQ482" s="39">
        <f t="shared" si="8006"/>
        <v>0</v>
      </c>
      <c r="ER482" s="39">
        <f t="shared" ref="ER482:EV482" si="8007">ER$1*DY482/1000000</f>
        <v>0</v>
      </c>
      <c r="ES482" s="39">
        <f t="shared" si="8007"/>
        <v>0</v>
      </c>
      <c r="ET482" s="39">
        <f t="shared" si="8007"/>
        <v>0</v>
      </c>
      <c r="EU482" s="39">
        <f t="shared" si="8007"/>
        <v>0</v>
      </c>
      <c r="EV482" s="39">
        <f t="shared" si="8007"/>
        <v>0</v>
      </c>
      <c r="EW482" s="39">
        <f t="shared" ref="EW482:EX482" si="8008">EW$1*ED482</f>
        <v>0</v>
      </c>
      <c r="EX482" s="39">
        <f t="shared" si="8008"/>
        <v>0</v>
      </c>
      <c r="EY482" s="2"/>
      <c r="EZ482" s="39">
        <f t="shared" si="4381"/>
        <v>0</v>
      </c>
      <c r="FA482" s="39">
        <f t="shared" si="4382"/>
        <v>0</v>
      </c>
      <c r="FB482" s="2">
        <f t="shared" si="4383"/>
        <v>0</v>
      </c>
      <c r="FC482" s="2">
        <f t="shared" ref="FC482:FD482" si="8009">BV482*$BT482+CQ482*$CO482</f>
        <v>0</v>
      </c>
      <c r="FD482" s="2">
        <f t="shared" si="8009"/>
        <v>0</v>
      </c>
      <c r="FE482" s="2">
        <f t="shared" ref="FE482:FJ482" si="8010">(BX482*$BT482+CS482*$CO482)/100</f>
        <v>0</v>
      </c>
      <c r="FF482" s="2">
        <f t="shared" si="8010"/>
        <v>0</v>
      </c>
      <c r="FG482" s="2">
        <f t="shared" si="8010"/>
        <v>0</v>
      </c>
      <c r="FH482" s="2">
        <f t="shared" si="8010"/>
        <v>0</v>
      </c>
      <c r="FI482" s="2">
        <f t="shared" si="8010"/>
        <v>0</v>
      </c>
      <c r="FJ482" s="2">
        <f t="shared" si="8010"/>
        <v>0</v>
      </c>
      <c r="FK482" s="2">
        <f t="shared" ref="FK482:FO482" si="8011">CD482*$BT482+CY482*$CO482</f>
        <v>0</v>
      </c>
      <c r="FL482" s="2">
        <f t="shared" si="8011"/>
        <v>0</v>
      </c>
      <c r="FM482" s="2">
        <f t="shared" si="8011"/>
        <v>0</v>
      </c>
      <c r="FN482" s="2">
        <f t="shared" si="8011"/>
        <v>0</v>
      </c>
      <c r="FO482" s="2">
        <f t="shared" si="8011"/>
        <v>0</v>
      </c>
      <c r="FP482" s="2">
        <f t="shared" ref="FP482:FQ482" si="8012">(CI482*$BT482+DD482*$CO482)/100</f>
        <v>0</v>
      </c>
      <c r="FQ482" s="2">
        <f t="shared" si="8012"/>
        <v>0</v>
      </c>
      <c r="FR482" s="2"/>
      <c r="FS482" s="2">
        <f t="shared" si="4388"/>
        <v>0</v>
      </c>
      <c r="FT482" s="2">
        <f t="shared" si="4389"/>
        <v>0</v>
      </c>
      <c r="FU482" s="39">
        <f t="shared" si="4390"/>
        <v>0</v>
      </c>
      <c r="FV482" s="39">
        <f t="shared" ref="FV482:FW482" si="8013">FV$1*FC482/1000000</f>
        <v>0</v>
      </c>
      <c r="FW482" s="39">
        <f t="shared" si="8013"/>
        <v>0</v>
      </c>
      <c r="FX482" s="39">
        <f t="shared" ref="FX482:GC482" si="8014">FX$1*FE482</f>
        <v>0</v>
      </c>
      <c r="FY482" s="39">
        <f t="shared" si="8014"/>
        <v>0</v>
      </c>
      <c r="FZ482" s="39">
        <f t="shared" si="8014"/>
        <v>0</v>
      </c>
      <c r="GA482" s="39">
        <f t="shared" si="8014"/>
        <v>0</v>
      </c>
      <c r="GB482" s="39">
        <f t="shared" si="8014"/>
        <v>0</v>
      </c>
      <c r="GC482" s="39">
        <f t="shared" si="8014"/>
        <v>0</v>
      </c>
      <c r="GD482" s="39">
        <f t="shared" ref="GD482:GH482" si="8015">GD$1*FK482/1000000</f>
        <v>0</v>
      </c>
      <c r="GE482" s="39">
        <f t="shared" si="8015"/>
        <v>0</v>
      </c>
      <c r="GF482" s="39">
        <f t="shared" si="8015"/>
        <v>0</v>
      </c>
      <c r="GG482" s="39">
        <f t="shared" si="8015"/>
        <v>0</v>
      </c>
      <c r="GH482" s="39">
        <f t="shared" si="8015"/>
        <v>0</v>
      </c>
      <c r="GI482" s="39">
        <f t="shared" ref="GI482:GJ482" si="8016">GI$1*FP482</f>
        <v>0</v>
      </c>
      <c r="GJ482" s="39">
        <f t="shared" si="8016"/>
        <v>0</v>
      </c>
      <c r="GK482" s="2"/>
      <c r="GL482" s="39">
        <f t="shared" si="4395"/>
        <v>0</v>
      </c>
      <c r="GM482" s="39">
        <f t="shared" si="4396"/>
        <v>0</v>
      </c>
      <c r="GN482" s="2" t="s">
        <v>3</v>
      </c>
      <c r="GO482" s="2">
        <f t="shared" si="4397"/>
        <v>5.18</v>
      </c>
      <c r="GP482" s="2">
        <f t="shared" si="4398"/>
        <v>0.79</v>
      </c>
      <c r="GQ482" s="15">
        <f t="shared" si="4399"/>
        <v>40.922000000000004</v>
      </c>
      <c r="GR482" s="15">
        <f t="shared" si="4400"/>
        <v>604.25648976000002</v>
      </c>
      <c r="GS482" s="15">
        <f t="shared" si="4401"/>
        <v>116.65183200000001</v>
      </c>
      <c r="GT482" s="2">
        <f t="shared" si="4402"/>
        <v>0</v>
      </c>
      <c r="GU482" s="2">
        <f t="shared" si="4403"/>
        <v>0</v>
      </c>
      <c r="GV482" s="2">
        <f t="shared" si="4404"/>
        <v>40.922000000000004</v>
      </c>
      <c r="GW482" s="2">
        <f t="shared" si="4405"/>
        <v>0</v>
      </c>
      <c r="GX482" s="2"/>
      <c r="GY482" s="2"/>
      <c r="GZ482" s="2"/>
      <c r="HA482" s="2"/>
      <c r="HB482" s="2">
        <f t="shared" si="4406"/>
        <v>0</v>
      </c>
      <c r="HC482" s="2">
        <f t="shared" si="4407"/>
        <v>0</v>
      </c>
      <c r="HD482" s="2" t="s">
        <v>3</v>
      </c>
      <c r="HE482" s="2" t="s">
        <v>89</v>
      </c>
      <c r="HF482" s="2" t="s">
        <v>90</v>
      </c>
      <c r="HG482" s="2"/>
      <c r="HH482" s="2"/>
      <c r="HI482" s="2" t="s">
        <v>100</v>
      </c>
      <c r="HJ482" s="2" t="s">
        <v>3</v>
      </c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 t="s">
        <v>3</v>
      </c>
    </row>
    <row r="483" spans="1:268" ht="15.75" customHeight="1" x14ac:dyDescent="0.2">
      <c r="A483" s="16" t="s">
        <v>664</v>
      </c>
      <c r="B483" s="2" t="s">
        <v>109</v>
      </c>
      <c r="C483" s="2"/>
      <c r="D483" s="2"/>
      <c r="E483" s="2"/>
      <c r="F483" s="2" t="s">
        <v>536</v>
      </c>
      <c r="G483" s="2"/>
      <c r="H483" s="2"/>
      <c r="I483" s="2">
        <v>0</v>
      </c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>
        <v>327.27699999999999</v>
      </c>
      <c r="AE483" s="2">
        <v>0.33</v>
      </c>
      <c r="AF483" s="2">
        <v>0.02</v>
      </c>
      <c r="AG483" s="2"/>
      <c r="AH483" s="2"/>
      <c r="AI483" s="2"/>
      <c r="AJ483" s="2"/>
      <c r="AK483" s="2"/>
      <c r="AL483" s="2">
        <v>0.69</v>
      </c>
      <c r="AM483" s="19">
        <f>(0.022*19.283+0.018*3.302+0.027*3.637+0.031*16.565+0.022*66.724+0.019*63.079+0.046*5.972+0.023*443.34)/(19.283+3.302+3.637+16.565+66.724+63.079+5.972+443.34)</f>
        <v>2.2886784412978246E-2</v>
      </c>
      <c r="AN483" s="2">
        <v>0.03</v>
      </c>
      <c r="AO483" s="2">
        <v>0.05</v>
      </c>
      <c r="AP483" s="2"/>
      <c r="AQ483" s="2"/>
      <c r="AR483" s="2"/>
      <c r="AS483" s="2"/>
      <c r="AT483" s="2"/>
      <c r="AU483" s="2"/>
      <c r="AV483" s="2"/>
      <c r="AW483" s="2"/>
      <c r="AX483" s="2"/>
      <c r="AY483" s="2">
        <v>144.21100000000001</v>
      </c>
      <c r="AZ483" s="2">
        <v>0.31</v>
      </c>
      <c r="BA483" s="2">
        <v>0.01</v>
      </c>
      <c r="BB483" s="2"/>
      <c r="BC483" s="2"/>
      <c r="BD483" s="2"/>
      <c r="BE483" s="2"/>
      <c r="BF483" s="2"/>
      <c r="BG483" s="2">
        <v>0.63</v>
      </c>
      <c r="BH483" s="19">
        <f>(0.022*19.283+0.018*3.302+0.027*3.637+0.031*16.565+0.022*66.724+0.019*63.079+0.046*5.972+0.023*443.34)/(19.283+3.302+3.637+16.565+66.724+63.079+5.972+443.34)</f>
        <v>2.2886784412978246E-2</v>
      </c>
      <c r="BI483" s="2">
        <v>0.04</v>
      </c>
      <c r="BJ483" s="2">
        <v>0.03</v>
      </c>
      <c r="BK483" s="2"/>
      <c r="BL483" s="2"/>
      <c r="BM483" s="2"/>
      <c r="BN483" s="2"/>
      <c r="BO483" s="2"/>
      <c r="BP483" s="2"/>
      <c r="BQ483" s="2"/>
      <c r="BR483" s="2"/>
      <c r="BS483" s="2"/>
      <c r="BT483" s="2">
        <v>45.073999999999998</v>
      </c>
      <c r="BU483" s="2">
        <v>0.25</v>
      </c>
      <c r="BV483" s="2">
        <v>0.01</v>
      </c>
      <c r="BW483" s="2"/>
      <c r="BX483" s="2"/>
      <c r="BY483" s="2"/>
      <c r="BZ483" s="2"/>
      <c r="CA483" s="2"/>
      <c r="CB483" s="2">
        <v>0.57999999999999996</v>
      </c>
      <c r="CC483" s="19">
        <f>(0.022*19.283+0.018*3.302+0.027*3.637+0.031*16.565+0.022*66.724+0.019*63.079+0.046*5.972+0.023*443.34)/(19.283+3.302+3.637+16.565+66.724+63.079+5.972+443.34)</f>
        <v>2.2886784412978246E-2</v>
      </c>
      <c r="CD483" s="2">
        <v>0.03</v>
      </c>
      <c r="CE483" s="2">
        <v>0.02</v>
      </c>
      <c r="CF483" s="2"/>
      <c r="CG483" s="2"/>
      <c r="CH483" s="2"/>
      <c r="CI483" s="2"/>
      <c r="CJ483" s="2"/>
      <c r="CK483" s="2"/>
      <c r="CL483" s="2"/>
      <c r="CM483" s="2"/>
      <c r="CN483" s="2"/>
      <c r="CO483" s="2">
        <v>55.844000000000001</v>
      </c>
      <c r="CP483" s="2">
        <v>0.28000000000000003</v>
      </c>
      <c r="CQ483" s="2">
        <v>0.01</v>
      </c>
      <c r="CR483" s="2"/>
      <c r="CS483" s="2"/>
      <c r="CT483" s="2"/>
      <c r="CU483" s="2"/>
      <c r="CV483" s="2"/>
      <c r="CW483" s="2">
        <v>0.56999999999999995</v>
      </c>
      <c r="CX483" s="19">
        <f>(0.022*19.283+0.018*3.302+0.027*3.637+0.031*16.565+0.022*66.724+0.019*63.079+0.046*5.972+0.023*443.34)/(19.283+3.302+3.637+16.565+66.724+63.079+5.972+443.34)</f>
        <v>2.2886784412978246E-2</v>
      </c>
      <c r="CY483" s="2">
        <v>0.03</v>
      </c>
      <c r="CZ483" s="2">
        <v>0.02</v>
      </c>
      <c r="DA483" s="2"/>
      <c r="DB483" s="2"/>
      <c r="DC483" s="2"/>
      <c r="DD483" s="2"/>
      <c r="DE483" s="2"/>
      <c r="DF483" s="2"/>
      <c r="DG483" s="2"/>
      <c r="DH483" s="2"/>
      <c r="DI483" s="2"/>
      <c r="DJ483" s="2" t="s">
        <v>81</v>
      </c>
      <c r="DK483" s="2" t="s">
        <v>81</v>
      </c>
      <c r="DL483" s="2">
        <f t="shared" si="4367"/>
        <v>0.67164818616804667</v>
      </c>
      <c r="DM483" s="2">
        <f t="shared" si="4368"/>
        <v>2.2886784412978242E-2</v>
      </c>
      <c r="DN483" s="2" t="s">
        <v>211</v>
      </c>
      <c r="DO483" s="2" t="s">
        <v>3</v>
      </c>
      <c r="DP483" s="2">
        <f t="shared" si="4369"/>
        <v>1.5270682</v>
      </c>
      <c r="DQ483" s="2">
        <f t="shared" ref="DQ483:DR483" si="8017">K483*$I483+AF483*$AD483+BA483*$AY483</f>
        <v>7.9876500000000004</v>
      </c>
      <c r="DR483" s="2">
        <f t="shared" si="8017"/>
        <v>0</v>
      </c>
      <c r="DS483" s="2">
        <f t="shared" ref="DS483:DX483" si="8018">(M483*$I483+AH483*$AD483+BC483*$AY483)/100</f>
        <v>0</v>
      </c>
      <c r="DT483" s="2">
        <f t="shared" si="8018"/>
        <v>0</v>
      </c>
      <c r="DU483" s="2">
        <f t="shared" si="8018"/>
        <v>0</v>
      </c>
      <c r="DV483" s="2">
        <f t="shared" si="8018"/>
        <v>0</v>
      </c>
      <c r="DW483" s="2">
        <f t="shared" si="8018"/>
        <v>3.1667405999999998</v>
      </c>
      <c r="DX483" s="2">
        <f t="shared" si="8018"/>
        <v>0.10790844209306286</v>
      </c>
      <c r="DY483" s="2">
        <f t="shared" ref="DY483:EC483" si="8019">S483*$I483+AN483*$AD483+BI483*$AY483</f>
        <v>15.586749999999999</v>
      </c>
      <c r="DZ483" s="2">
        <f t="shared" si="8019"/>
        <v>20.690179999999998</v>
      </c>
      <c r="EA483" s="2">
        <f t="shared" si="8019"/>
        <v>0</v>
      </c>
      <c r="EB483" s="2">
        <f t="shared" si="8019"/>
        <v>0</v>
      </c>
      <c r="EC483" s="2">
        <f t="shared" si="8019"/>
        <v>0</v>
      </c>
      <c r="ED483" s="2">
        <f t="shared" ref="ED483:EE483" si="8020">(X483*$I483+AS483*$AD483+BN483*$AY483)/100</f>
        <v>0</v>
      </c>
      <c r="EE483" s="2">
        <f t="shared" si="8020"/>
        <v>0</v>
      </c>
      <c r="EF483" s="2"/>
      <c r="EG483" s="2">
        <f t="shared" si="4374"/>
        <v>0</v>
      </c>
      <c r="EH483" s="2">
        <f t="shared" si="4375"/>
        <v>0</v>
      </c>
      <c r="EI483" s="39">
        <f t="shared" si="4376"/>
        <v>9965.0606790111997</v>
      </c>
      <c r="EJ483" s="39">
        <f t="shared" ref="EJ483:EK483" si="8021">EJ$1*DQ483/1000000</f>
        <v>326.69745337620583</v>
      </c>
      <c r="EK483" s="39">
        <f t="shared" si="8021"/>
        <v>0</v>
      </c>
      <c r="EL483" s="39">
        <f t="shared" ref="EL483:EQ483" si="8022">EL$1*DS483</f>
        <v>0</v>
      </c>
      <c r="EM483" s="39">
        <f t="shared" si="8022"/>
        <v>0</v>
      </c>
      <c r="EN483" s="39">
        <f t="shared" si="8022"/>
        <v>0</v>
      </c>
      <c r="EO483" s="39">
        <f t="shared" si="8022"/>
        <v>0</v>
      </c>
      <c r="EP483" s="39">
        <f t="shared" si="8022"/>
        <v>41528.636228399999</v>
      </c>
      <c r="EQ483" s="39">
        <f t="shared" si="8022"/>
        <v>7836.2597003797873</v>
      </c>
      <c r="ER483" s="39">
        <f t="shared" ref="ER483:EV483" si="8023">ER$1*DY483/1000000</f>
        <v>442.37301463022493</v>
      </c>
      <c r="ES483" s="39">
        <f t="shared" si="8023"/>
        <v>689.51521727974273</v>
      </c>
      <c r="ET483" s="39">
        <f t="shared" si="8023"/>
        <v>0</v>
      </c>
      <c r="EU483" s="39">
        <f t="shared" si="8023"/>
        <v>0</v>
      </c>
      <c r="EV483" s="39">
        <f t="shared" si="8023"/>
        <v>0</v>
      </c>
      <c r="EW483" s="39">
        <f t="shared" ref="EW483:EX483" si="8024">EW$1*ED483</f>
        <v>0</v>
      </c>
      <c r="EX483" s="39">
        <f t="shared" si="8024"/>
        <v>0</v>
      </c>
      <c r="EY483" s="2"/>
      <c r="EZ483" s="39">
        <f t="shared" si="4381"/>
        <v>0</v>
      </c>
      <c r="FA483" s="39">
        <f t="shared" si="4382"/>
        <v>0</v>
      </c>
      <c r="FB483" s="2">
        <f t="shared" si="4383"/>
        <v>0.26904820000000002</v>
      </c>
      <c r="FC483" s="2">
        <f t="shared" ref="FC483:FD483" si="8025">BV483*$BT483+CQ483*$CO483</f>
        <v>1.00918</v>
      </c>
      <c r="FD483" s="2">
        <f t="shared" si="8025"/>
        <v>0</v>
      </c>
      <c r="FE483" s="2">
        <f t="shared" ref="FE483:FJ483" si="8026">(BX483*$BT483+CS483*$CO483)/100</f>
        <v>0</v>
      </c>
      <c r="FF483" s="2">
        <f t="shared" si="8026"/>
        <v>0</v>
      </c>
      <c r="FG483" s="2">
        <f t="shared" si="8026"/>
        <v>0</v>
      </c>
      <c r="FH483" s="2">
        <f t="shared" si="8026"/>
        <v>0</v>
      </c>
      <c r="FI483" s="2">
        <f t="shared" si="8026"/>
        <v>0.57973999999999992</v>
      </c>
      <c r="FJ483" s="2">
        <f t="shared" si="8026"/>
        <v>2.3096885093889387E-2</v>
      </c>
      <c r="FK483" s="2">
        <f t="shared" ref="FK483:FO483" si="8027">CD483*$BT483+CY483*$CO483</f>
        <v>3.0275400000000001</v>
      </c>
      <c r="FL483" s="2">
        <f t="shared" si="8027"/>
        <v>2.0183599999999999</v>
      </c>
      <c r="FM483" s="2">
        <f t="shared" si="8027"/>
        <v>0</v>
      </c>
      <c r="FN483" s="2">
        <f t="shared" si="8027"/>
        <v>0</v>
      </c>
      <c r="FO483" s="2">
        <f t="shared" si="8027"/>
        <v>0</v>
      </c>
      <c r="FP483" s="2">
        <f t="shared" ref="FP483:FQ483" si="8028">(CI483*$BT483+DD483*$CO483)/100</f>
        <v>0</v>
      </c>
      <c r="FQ483" s="2">
        <f t="shared" si="8028"/>
        <v>0</v>
      </c>
      <c r="FR483" s="2"/>
      <c r="FS483" s="2">
        <f t="shared" si="4388"/>
        <v>0</v>
      </c>
      <c r="FT483" s="2">
        <f t="shared" si="4389"/>
        <v>0</v>
      </c>
      <c r="FU483" s="39">
        <f t="shared" si="4390"/>
        <v>1755.7052386912001</v>
      </c>
      <c r="FV483" s="39">
        <f t="shared" ref="FV483:FW483" si="8029">FV$1*FC483/1000000</f>
        <v>41.275786495176845</v>
      </c>
      <c r="FW483" s="39">
        <f t="shared" si="8029"/>
        <v>0</v>
      </c>
      <c r="FX483" s="39">
        <f t="shared" ref="FX483:GC483" si="8030">FX$1*FE483</f>
        <v>0</v>
      </c>
      <c r="FY483" s="39">
        <f t="shared" si="8030"/>
        <v>0</v>
      </c>
      <c r="FZ483" s="39">
        <f t="shared" si="8030"/>
        <v>0</v>
      </c>
      <c r="GA483" s="39">
        <f t="shared" si="8030"/>
        <v>0</v>
      </c>
      <c r="GB483" s="39">
        <f t="shared" si="8030"/>
        <v>7602.7103599999991</v>
      </c>
      <c r="GC483" s="39">
        <f t="shared" si="8030"/>
        <v>1677.2848014009423</v>
      </c>
      <c r="GD483" s="39">
        <f t="shared" ref="GD483:GH483" si="8031">GD$1*FK483/1000000</f>
        <v>85.925673839228281</v>
      </c>
      <c r="GE483" s="39">
        <f t="shared" si="8031"/>
        <v>67.263307228295815</v>
      </c>
      <c r="GF483" s="39">
        <f t="shared" si="8031"/>
        <v>0</v>
      </c>
      <c r="GG483" s="39">
        <f t="shared" si="8031"/>
        <v>0</v>
      </c>
      <c r="GH483" s="39">
        <f t="shared" si="8031"/>
        <v>0</v>
      </c>
      <c r="GI483" s="39">
        <f t="shared" ref="GI483:GJ483" si="8032">GI$1*FP483</f>
        <v>0</v>
      </c>
      <c r="GJ483" s="39">
        <f t="shared" si="8032"/>
        <v>0</v>
      </c>
      <c r="GK483" s="2"/>
      <c r="GL483" s="39">
        <f t="shared" si="4395"/>
        <v>0</v>
      </c>
      <c r="GM483" s="39">
        <f t="shared" si="4396"/>
        <v>0</v>
      </c>
      <c r="GN483" s="2" t="s">
        <v>3</v>
      </c>
      <c r="GO483" s="15">
        <f t="shared" si="4397"/>
        <v>471.488</v>
      </c>
      <c r="GP483" s="4">
        <f t="shared" si="4398"/>
        <v>0.67164818616804667</v>
      </c>
      <c r="GQ483" s="18">
        <f t="shared" si="4399"/>
        <v>3166.7406000000001</v>
      </c>
      <c r="GR483" s="15">
        <f t="shared" si="4400"/>
        <v>60788.54229307716</v>
      </c>
      <c r="GS483" s="15">
        <f t="shared" si="4401"/>
        <v>128.92913985738164</v>
      </c>
      <c r="GT483" s="2">
        <f t="shared" si="4402"/>
        <v>0</v>
      </c>
      <c r="GU483" s="2">
        <f t="shared" si="4403"/>
        <v>2258.2112999999999</v>
      </c>
      <c r="GV483" s="2">
        <f t="shared" si="4404"/>
        <v>908.52930000000026</v>
      </c>
      <c r="GW483" s="15">
        <f t="shared" si="4405"/>
        <v>100.91800000000001</v>
      </c>
      <c r="GX483" s="4">
        <f>(BT483*CB483+CO483*CW483)/GW483</f>
        <v>0.57446639846211767</v>
      </c>
      <c r="GY483" s="15">
        <f>1000*GW483*GX483/100</f>
        <v>579.7399999999999</v>
      </c>
      <c r="GZ483" s="15">
        <f>SUM(FU483:GM483)</f>
        <v>11230.165167654843</v>
      </c>
      <c r="HA483" s="15">
        <f>GZ483/GW483</f>
        <v>111.28010035528689</v>
      </c>
      <c r="HB483" s="2">
        <f t="shared" si="4406"/>
        <v>261.42919999999998</v>
      </c>
      <c r="HC483" s="2">
        <f t="shared" si="4407"/>
        <v>318.31079999999997</v>
      </c>
      <c r="HD483" s="2" t="s">
        <v>3</v>
      </c>
      <c r="HE483" s="2" t="s">
        <v>89</v>
      </c>
      <c r="HF483" s="2" t="s">
        <v>636</v>
      </c>
      <c r="HG483" s="2" t="s">
        <v>665</v>
      </c>
      <c r="HH483" s="2"/>
      <c r="HI483" s="2" t="s">
        <v>81</v>
      </c>
      <c r="HJ483" s="2" t="s">
        <v>3</v>
      </c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 t="s">
        <v>3</v>
      </c>
    </row>
    <row r="484" spans="1:268" ht="15.75" customHeight="1" x14ac:dyDescent="0.2">
      <c r="A484" s="16" t="s">
        <v>943</v>
      </c>
      <c r="B484" s="2" t="s">
        <v>99</v>
      </c>
      <c r="C484" s="2"/>
      <c r="D484" s="2"/>
      <c r="E484" s="2"/>
      <c r="F484" s="2" t="s">
        <v>79</v>
      </c>
      <c r="G484" s="2"/>
      <c r="H484" s="2"/>
      <c r="I484" s="2">
        <v>0</v>
      </c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>
        <v>3.1469999999999998</v>
      </c>
      <c r="AE484" s="2">
        <v>0.17</v>
      </c>
      <c r="AF484" s="2">
        <v>0.20200000000000001</v>
      </c>
      <c r="AG484" s="2"/>
      <c r="AH484" s="2"/>
      <c r="AI484" s="2"/>
      <c r="AJ484" s="2"/>
      <c r="AK484" s="2"/>
      <c r="AL484" s="2">
        <v>0.13</v>
      </c>
      <c r="AM484" s="2"/>
      <c r="AN484" s="2">
        <f>(4.477-0.202)*0.4</f>
        <v>1.7100000000000002</v>
      </c>
      <c r="AO484" s="4">
        <f>(4.477-0.202)*0.6</f>
        <v>2.5649999999999999</v>
      </c>
      <c r="AP484" s="2"/>
      <c r="AQ484" s="2"/>
      <c r="AR484" s="2"/>
      <c r="AS484" s="2"/>
      <c r="AT484" s="2"/>
      <c r="AU484" s="2"/>
      <c r="AV484" s="2"/>
      <c r="AW484" s="2"/>
      <c r="AX484" s="2"/>
      <c r="AY484" s="2">
        <v>0</v>
      </c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>
        <v>0</v>
      </c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>
        <v>0</v>
      </c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 t="s">
        <v>81</v>
      </c>
      <c r="DK484" s="2"/>
      <c r="DL484" s="2">
        <f t="shared" si="4367"/>
        <v>0.13</v>
      </c>
      <c r="DM484" s="2">
        <f t="shared" si="4368"/>
        <v>0</v>
      </c>
      <c r="DN484" s="2" t="s">
        <v>101</v>
      </c>
      <c r="DO484" s="2" t="s">
        <v>3</v>
      </c>
      <c r="DP484" s="2">
        <f t="shared" si="4369"/>
        <v>5.3498999999999994E-3</v>
      </c>
      <c r="DQ484" s="2">
        <f t="shared" ref="DQ484:DR484" si="8033">K484*$I484+AF484*$AD484+BA484*$AY484</f>
        <v>0.63569399999999998</v>
      </c>
      <c r="DR484" s="2">
        <f t="shared" si="8033"/>
        <v>0</v>
      </c>
      <c r="DS484" s="2">
        <f t="shared" ref="DS484:DX484" si="8034">(M484*$I484+AH484*$AD484+BC484*$AY484)/100</f>
        <v>0</v>
      </c>
      <c r="DT484" s="2">
        <f t="shared" si="8034"/>
        <v>0</v>
      </c>
      <c r="DU484" s="2">
        <f t="shared" si="8034"/>
        <v>0</v>
      </c>
      <c r="DV484" s="2">
        <f t="shared" si="8034"/>
        <v>0</v>
      </c>
      <c r="DW484" s="2">
        <f t="shared" si="8034"/>
        <v>4.0910999999999994E-3</v>
      </c>
      <c r="DX484" s="2">
        <f t="shared" si="8034"/>
        <v>0</v>
      </c>
      <c r="DY484" s="2">
        <f t="shared" ref="DY484:EC484" si="8035">S484*$I484+AN484*$AD484+BI484*$AY484</f>
        <v>5.3813700000000004</v>
      </c>
      <c r="DZ484" s="2">
        <f t="shared" si="8035"/>
        <v>8.0720549999999989</v>
      </c>
      <c r="EA484" s="2">
        <f t="shared" si="8035"/>
        <v>0</v>
      </c>
      <c r="EB484" s="2">
        <f t="shared" si="8035"/>
        <v>0</v>
      </c>
      <c r="EC484" s="2">
        <f t="shared" si="8035"/>
        <v>0</v>
      </c>
      <c r="ED484" s="2">
        <f t="shared" ref="ED484:EE484" si="8036">(X484*$I484+AS484*$AD484+BN484*$AY484)/100</f>
        <v>0</v>
      </c>
      <c r="EE484" s="2">
        <f t="shared" si="8036"/>
        <v>0</v>
      </c>
      <c r="EF484" s="2"/>
      <c r="EG484" s="2">
        <f t="shared" si="4374"/>
        <v>0</v>
      </c>
      <c r="EH484" s="2">
        <f t="shared" si="4375"/>
        <v>0</v>
      </c>
      <c r="EI484" s="39">
        <f t="shared" si="4376"/>
        <v>34.911393038399993</v>
      </c>
      <c r="EJ484" s="39">
        <f t="shared" ref="EJ484:EK484" si="8037">EJ$1*DQ484/1000000</f>
        <v>26.000089003215432</v>
      </c>
      <c r="EK484" s="39">
        <f t="shared" si="8037"/>
        <v>0</v>
      </c>
      <c r="EL484" s="39">
        <f t="shared" ref="EL484:EQ484" si="8038">EL$1*DS484</f>
        <v>0</v>
      </c>
      <c r="EM484" s="39">
        <f t="shared" si="8038"/>
        <v>0</v>
      </c>
      <c r="EN484" s="39">
        <f t="shared" si="8038"/>
        <v>0</v>
      </c>
      <c r="EO484" s="39">
        <f t="shared" si="8038"/>
        <v>0</v>
      </c>
      <c r="EP484" s="39">
        <f t="shared" si="8038"/>
        <v>53.650685399999993</v>
      </c>
      <c r="EQ484" s="39">
        <f t="shared" si="8038"/>
        <v>0</v>
      </c>
      <c r="ER484" s="39">
        <f t="shared" ref="ER484:EV484" si="8039">ER$1*DY484/1000000</f>
        <v>152.73054804501609</v>
      </c>
      <c r="ES484" s="39">
        <f t="shared" si="8039"/>
        <v>269.00707278617358</v>
      </c>
      <c r="ET484" s="39">
        <f t="shared" si="8039"/>
        <v>0</v>
      </c>
      <c r="EU484" s="39">
        <f t="shared" si="8039"/>
        <v>0</v>
      </c>
      <c r="EV484" s="39">
        <f t="shared" si="8039"/>
        <v>0</v>
      </c>
      <c r="EW484" s="39">
        <f t="shared" ref="EW484:EX484" si="8040">EW$1*ED484</f>
        <v>0</v>
      </c>
      <c r="EX484" s="39">
        <f t="shared" si="8040"/>
        <v>0</v>
      </c>
      <c r="EY484" s="2"/>
      <c r="EZ484" s="39">
        <f t="shared" si="4381"/>
        <v>0</v>
      </c>
      <c r="FA484" s="39">
        <f t="shared" si="4382"/>
        <v>0</v>
      </c>
      <c r="FB484" s="2">
        <f t="shared" si="4383"/>
        <v>0</v>
      </c>
      <c r="FC484" s="2">
        <f t="shared" ref="FC484:FD484" si="8041">BV484*$BT484+CQ484*$CO484</f>
        <v>0</v>
      </c>
      <c r="FD484" s="2">
        <f t="shared" si="8041"/>
        <v>0</v>
      </c>
      <c r="FE484" s="2">
        <f t="shared" ref="FE484:FJ484" si="8042">(BX484*$BT484+CS484*$CO484)/100</f>
        <v>0</v>
      </c>
      <c r="FF484" s="2">
        <f t="shared" si="8042"/>
        <v>0</v>
      </c>
      <c r="FG484" s="2">
        <f t="shared" si="8042"/>
        <v>0</v>
      </c>
      <c r="FH484" s="2">
        <f t="shared" si="8042"/>
        <v>0</v>
      </c>
      <c r="FI484" s="2">
        <f t="shared" si="8042"/>
        <v>0</v>
      </c>
      <c r="FJ484" s="2">
        <f t="shared" si="8042"/>
        <v>0</v>
      </c>
      <c r="FK484" s="2">
        <f t="shared" ref="FK484:FO484" si="8043">CD484*$BT484+CY484*$CO484</f>
        <v>0</v>
      </c>
      <c r="FL484" s="2">
        <f t="shared" si="8043"/>
        <v>0</v>
      </c>
      <c r="FM484" s="2">
        <f t="shared" si="8043"/>
        <v>0</v>
      </c>
      <c r="FN484" s="2">
        <f t="shared" si="8043"/>
        <v>0</v>
      </c>
      <c r="FO484" s="2">
        <f t="shared" si="8043"/>
        <v>0</v>
      </c>
      <c r="FP484" s="2">
        <f t="shared" ref="FP484:FQ484" si="8044">(CI484*$BT484+DD484*$CO484)/100</f>
        <v>0</v>
      </c>
      <c r="FQ484" s="2">
        <f t="shared" si="8044"/>
        <v>0</v>
      </c>
      <c r="FR484" s="2"/>
      <c r="FS484" s="2">
        <f t="shared" si="4388"/>
        <v>0</v>
      </c>
      <c r="FT484" s="2">
        <f t="shared" si="4389"/>
        <v>0</v>
      </c>
      <c r="FU484" s="39">
        <f t="shared" si="4390"/>
        <v>0</v>
      </c>
      <c r="FV484" s="39">
        <f t="shared" ref="FV484:FW484" si="8045">FV$1*FC484/1000000</f>
        <v>0</v>
      </c>
      <c r="FW484" s="39">
        <f t="shared" si="8045"/>
        <v>0</v>
      </c>
      <c r="FX484" s="39">
        <f t="shared" ref="FX484:GC484" si="8046">FX$1*FE484</f>
        <v>0</v>
      </c>
      <c r="FY484" s="39">
        <f t="shared" si="8046"/>
        <v>0</v>
      </c>
      <c r="FZ484" s="39">
        <f t="shared" si="8046"/>
        <v>0</v>
      </c>
      <c r="GA484" s="39">
        <f t="shared" si="8046"/>
        <v>0</v>
      </c>
      <c r="GB484" s="39">
        <f t="shared" si="8046"/>
        <v>0</v>
      </c>
      <c r="GC484" s="39">
        <f t="shared" si="8046"/>
        <v>0</v>
      </c>
      <c r="GD484" s="39">
        <f t="shared" ref="GD484:GH484" si="8047">GD$1*FK484/1000000</f>
        <v>0</v>
      </c>
      <c r="GE484" s="39">
        <f t="shared" si="8047"/>
        <v>0</v>
      </c>
      <c r="GF484" s="39">
        <f t="shared" si="8047"/>
        <v>0</v>
      </c>
      <c r="GG484" s="39">
        <f t="shared" si="8047"/>
        <v>0</v>
      </c>
      <c r="GH484" s="39">
        <f t="shared" si="8047"/>
        <v>0</v>
      </c>
      <c r="GI484" s="39">
        <f t="shared" ref="GI484:GJ484" si="8048">GI$1*FP484</f>
        <v>0</v>
      </c>
      <c r="GJ484" s="39">
        <f t="shared" si="8048"/>
        <v>0</v>
      </c>
      <c r="GK484" s="2"/>
      <c r="GL484" s="39">
        <f t="shared" si="4395"/>
        <v>0</v>
      </c>
      <c r="GM484" s="39">
        <f t="shared" si="4396"/>
        <v>0</v>
      </c>
      <c r="GN484" s="2" t="s">
        <v>3</v>
      </c>
      <c r="GO484" s="2">
        <f t="shared" si="4397"/>
        <v>3.1469999999999998</v>
      </c>
      <c r="GP484" s="2">
        <f t="shared" si="4398"/>
        <v>0.13</v>
      </c>
      <c r="GQ484" s="15">
        <f t="shared" si="4399"/>
        <v>4.0911</v>
      </c>
      <c r="GR484" s="15">
        <f t="shared" si="4400"/>
        <v>536.29978827280513</v>
      </c>
      <c r="GS484" s="15">
        <f t="shared" si="4401"/>
        <v>170.41620218392285</v>
      </c>
      <c r="GT484" s="2">
        <f t="shared" si="4402"/>
        <v>0</v>
      </c>
      <c r="GU484" s="2">
        <f t="shared" si="4403"/>
        <v>4.0911</v>
      </c>
      <c r="GV484" s="2">
        <f t="shared" si="4404"/>
        <v>0</v>
      </c>
      <c r="GW484" s="2">
        <f t="shared" si="4405"/>
        <v>0</v>
      </c>
      <c r="GX484" s="2"/>
      <c r="GY484" s="2"/>
      <c r="GZ484" s="2"/>
      <c r="HA484" s="2"/>
      <c r="HB484" s="2">
        <f t="shared" si="4406"/>
        <v>0</v>
      </c>
      <c r="HC484" s="2">
        <f t="shared" si="4407"/>
        <v>0</v>
      </c>
      <c r="HD484" s="2" t="s">
        <v>3</v>
      </c>
      <c r="HE484" s="2" t="s">
        <v>89</v>
      </c>
      <c r="HF484" s="2" t="s">
        <v>636</v>
      </c>
      <c r="HG484" s="2" t="s">
        <v>665</v>
      </c>
      <c r="HH484" s="2"/>
      <c r="HI484" s="2" t="s">
        <v>81</v>
      </c>
      <c r="HJ484" s="2" t="s">
        <v>3</v>
      </c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 t="s">
        <v>3</v>
      </c>
    </row>
    <row r="485" spans="1:268" ht="15.75" customHeight="1" x14ac:dyDescent="0.2">
      <c r="A485" s="16" t="s">
        <v>1230</v>
      </c>
      <c r="B485" s="2" t="s">
        <v>109</v>
      </c>
      <c r="C485" s="2"/>
      <c r="D485" s="2"/>
      <c r="E485" s="2"/>
      <c r="F485" s="2" t="s">
        <v>200</v>
      </c>
      <c r="G485" s="2"/>
      <c r="H485" s="2"/>
      <c r="I485" s="2">
        <f>6.1-1.643-1.557-1.034</f>
        <v>1.8659999999999999</v>
      </c>
      <c r="J485" s="2">
        <v>0.1</v>
      </c>
      <c r="K485" s="2">
        <v>0.12</v>
      </c>
      <c r="L485" s="2">
        <v>4</v>
      </c>
      <c r="M485" s="2"/>
      <c r="N485" s="2"/>
      <c r="O485" s="2"/>
      <c r="P485" s="2"/>
      <c r="Q485" s="4">
        <f>(1.86*6.1-1.78*1.643-1.81*1.557-2.05*1.034)/I485</f>
        <v>1.8668756698821005</v>
      </c>
      <c r="R485" s="2">
        <v>3.6999999999999998E-2</v>
      </c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>
        <v>14.1</v>
      </c>
      <c r="AE485" s="2">
        <v>0.1</v>
      </c>
      <c r="AF485" s="2">
        <v>0.12</v>
      </c>
      <c r="AG485" s="2">
        <v>4</v>
      </c>
      <c r="AH485" s="2"/>
      <c r="AI485" s="2"/>
      <c r="AJ485" s="2"/>
      <c r="AK485" s="2"/>
      <c r="AL485" s="2">
        <v>1.64</v>
      </c>
      <c r="AM485" s="2">
        <v>3.6999999999999998E-2</v>
      </c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>
        <v>0</v>
      </c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>
        <f>6.1-1.643-1.557-1.034</f>
        <v>1.8659999999999999</v>
      </c>
      <c r="BU485" s="2">
        <v>0.1</v>
      </c>
      <c r="BV485" s="2">
        <v>0.12</v>
      </c>
      <c r="BW485" s="2">
        <v>4</v>
      </c>
      <c r="BX485" s="2"/>
      <c r="BY485" s="2"/>
      <c r="BZ485" s="2"/>
      <c r="CA485" s="2"/>
      <c r="CB485" s="4">
        <f>(1.86*6.1-1.78*1.643-1.81*1.557-2.05*1.034)/BT485</f>
        <v>1.8668756698821005</v>
      </c>
      <c r="CC485" s="2">
        <v>3.6999999999999998E-2</v>
      </c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>
        <v>14.1</v>
      </c>
      <c r="CP485" s="2">
        <v>0.1</v>
      </c>
      <c r="CQ485" s="2">
        <v>0.12</v>
      </c>
      <c r="CR485" s="2">
        <v>4</v>
      </c>
      <c r="CS485" s="2"/>
      <c r="CT485" s="2"/>
      <c r="CU485" s="2"/>
      <c r="CV485" s="2"/>
      <c r="CW485" s="2">
        <v>1.64</v>
      </c>
      <c r="CX485" s="2">
        <v>3.6999999999999998E-2</v>
      </c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 t="s">
        <v>81</v>
      </c>
      <c r="DK485" s="2" t="s">
        <v>81</v>
      </c>
      <c r="DL485" s="2">
        <f t="shared" si="4367"/>
        <v>1.6665157209069272</v>
      </c>
      <c r="DM485" s="2">
        <f t="shared" si="4368"/>
        <v>3.6999999999999991E-2</v>
      </c>
      <c r="DN485" s="2" t="s">
        <v>1231</v>
      </c>
      <c r="DO485" s="2" t="s">
        <v>3</v>
      </c>
      <c r="DP485" s="2">
        <f t="shared" si="4369"/>
        <v>1.5966000000000001E-2</v>
      </c>
      <c r="DQ485" s="2">
        <f t="shared" ref="DQ485:DR485" si="8049">K485*$I485+AF485*$AD485+BA485*$AY485</f>
        <v>1.9159199999999998</v>
      </c>
      <c r="DR485" s="2">
        <f t="shared" si="8049"/>
        <v>63.863999999999997</v>
      </c>
      <c r="DS485" s="2">
        <f t="shared" ref="DS485:DX485" si="8050">(M485*$I485+AH485*$AD485+BC485*$AY485)/100</f>
        <v>0</v>
      </c>
      <c r="DT485" s="2">
        <f t="shared" si="8050"/>
        <v>0</v>
      </c>
      <c r="DU485" s="2">
        <f t="shared" si="8050"/>
        <v>0</v>
      </c>
      <c r="DV485" s="2">
        <f t="shared" si="8050"/>
        <v>0</v>
      </c>
      <c r="DW485" s="2">
        <f t="shared" si="8050"/>
        <v>0.26607589999999998</v>
      </c>
      <c r="DX485" s="2">
        <f t="shared" si="8050"/>
        <v>5.9074199999999992E-3</v>
      </c>
      <c r="DY485" s="2">
        <f t="shared" ref="DY485:EC485" si="8051">S485*$I485+AN485*$AD485+BI485*$AY485</f>
        <v>0</v>
      </c>
      <c r="DZ485" s="2">
        <f t="shared" si="8051"/>
        <v>0</v>
      </c>
      <c r="EA485" s="2">
        <f t="shared" si="8051"/>
        <v>0</v>
      </c>
      <c r="EB485" s="2">
        <f t="shared" si="8051"/>
        <v>0</v>
      </c>
      <c r="EC485" s="2">
        <f t="shared" si="8051"/>
        <v>0</v>
      </c>
      <c r="ED485" s="2">
        <f t="shared" ref="ED485:EE485" si="8052">(X485*$I485+AS485*$AD485+BN485*$AY485)/100</f>
        <v>0</v>
      </c>
      <c r="EE485" s="2">
        <f t="shared" si="8052"/>
        <v>0</v>
      </c>
      <c r="EF485" s="2"/>
      <c r="EG485" s="2">
        <f t="shared" si="4374"/>
        <v>0</v>
      </c>
      <c r="EH485" s="2">
        <f t="shared" si="4375"/>
        <v>0</v>
      </c>
      <c r="EI485" s="39">
        <f t="shared" si="4376"/>
        <v>104.187985056</v>
      </c>
      <c r="EJ485" s="39">
        <f t="shared" ref="EJ485:EK485" si="8053">EJ$1*DQ485/1000000</f>
        <v>78.361744051446934</v>
      </c>
      <c r="EK485" s="39">
        <f t="shared" si="8053"/>
        <v>32.342700964630218</v>
      </c>
      <c r="EL485" s="39">
        <f t="shared" ref="EL485:EQ485" si="8054">EL$1*DS485</f>
        <v>0</v>
      </c>
      <c r="EM485" s="39">
        <f t="shared" si="8054"/>
        <v>0</v>
      </c>
      <c r="EN485" s="39">
        <f t="shared" si="8054"/>
        <v>0</v>
      </c>
      <c r="EO485" s="39">
        <f t="shared" si="8054"/>
        <v>0</v>
      </c>
      <c r="EP485" s="39">
        <f t="shared" si="8054"/>
        <v>3489.3193525999995</v>
      </c>
      <c r="EQ485" s="39">
        <f t="shared" si="8054"/>
        <v>428.99402846807988</v>
      </c>
      <c r="ER485" s="39">
        <f t="shared" ref="ER485:EV485" si="8055">ER$1*DY485/1000000</f>
        <v>0</v>
      </c>
      <c r="ES485" s="39">
        <f t="shared" si="8055"/>
        <v>0</v>
      </c>
      <c r="ET485" s="39">
        <f t="shared" si="8055"/>
        <v>0</v>
      </c>
      <c r="EU485" s="39">
        <f t="shared" si="8055"/>
        <v>0</v>
      </c>
      <c r="EV485" s="39">
        <f t="shared" si="8055"/>
        <v>0</v>
      </c>
      <c r="EW485" s="39">
        <f t="shared" ref="EW485:EX485" si="8056">EW$1*ED485</f>
        <v>0</v>
      </c>
      <c r="EX485" s="39">
        <f t="shared" si="8056"/>
        <v>0</v>
      </c>
      <c r="EY485" s="2"/>
      <c r="EZ485" s="39">
        <f t="shared" si="4381"/>
        <v>0</v>
      </c>
      <c r="FA485" s="39">
        <f t="shared" si="4382"/>
        <v>0</v>
      </c>
      <c r="FB485" s="2">
        <f t="shared" si="4383"/>
        <v>1.5966000000000001E-2</v>
      </c>
      <c r="FC485" s="2">
        <f t="shared" ref="FC485:FD485" si="8057">BV485*$BT485+CQ485*$CO485</f>
        <v>1.9159199999999998</v>
      </c>
      <c r="FD485" s="2">
        <f t="shared" si="8057"/>
        <v>63.863999999999997</v>
      </c>
      <c r="FE485" s="2">
        <f t="shared" ref="FE485:FJ485" si="8058">(BX485*$BT485+CS485*$CO485)/100</f>
        <v>0</v>
      </c>
      <c r="FF485" s="2">
        <f t="shared" si="8058"/>
        <v>0</v>
      </c>
      <c r="FG485" s="2">
        <f t="shared" si="8058"/>
        <v>0</v>
      </c>
      <c r="FH485" s="2">
        <f t="shared" si="8058"/>
        <v>0</v>
      </c>
      <c r="FI485" s="2">
        <f t="shared" si="8058"/>
        <v>0.26607589999999998</v>
      </c>
      <c r="FJ485" s="2">
        <f t="shared" si="8058"/>
        <v>5.9074199999999992E-3</v>
      </c>
      <c r="FK485" s="2">
        <f t="shared" ref="FK485:FO485" si="8059">CD485*$BT485+CY485*$CO485</f>
        <v>0</v>
      </c>
      <c r="FL485" s="2">
        <f t="shared" si="8059"/>
        <v>0</v>
      </c>
      <c r="FM485" s="2">
        <f t="shared" si="8059"/>
        <v>0</v>
      </c>
      <c r="FN485" s="2">
        <f t="shared" si="8059"/>
        <v>0</v>
      </c>
      <c r="FO485" s="2">
        <f t="shared" si="8059"/>
        <v>0</v>
      </c>
      <c r="FP485" s="2">
        <f t="shared" ref="FP485:FQ485" si="8060">(CI485*$BT485+DD485*$CO485)/100</f>
        <v>0</v>
      </c>
      <c r="FQ485" s="2">
        <f t="shared" si="8060"/>
        <v>0</v>
      </c>
      <c r="FR485" s="2"/>
      <c r="FS485" s="2">
        <f t="shared" si="4388"/>
        <v>0</v>
      </c>
      <c r="FT485" s="2">
        <f t="shared" si="4389"/>
        <v>0</v>
      </c>
      <c r="FU485" s="39">
        <f t="shared" si="4390"/>
        <v>104.187985056</v>
      </c>
      <c r="FV485" s="39">
        <f t="shared" ref="FV485:FW485" si="8061">FV$1*FC485/1000000</f>
        <v>78.361744051446934</v>
      </c>
      <c r="FW485" s="39">
        <f t="shared" si="8061"/>
        <v>32.342700964630218</v>
      </c>
      <c r="FX485" s="39">
        <f t="shared" ref="FX485:GC485" si="8062">FX$1*FE485</f>
        <v>0</v>
      </c>
      <c r="FY485" s="39">
        <f t="shared" si="8062"/>
        <v>0</v>
      </c>
      <c r="FZ485" s="39">
        <f t="shared" si="8062"/>
        <v>0</v>
      </c>
      <c r="GA485" s="39">
        <f t="shared" si="8062"/>
        <v>0</v>
      </c>
      <c r="GB485" s="39">
        <f t="shared" si="8062"/>
        <v>3489.3193525999995</v>
      </c>
      <c r="GC485" s="39">
        <f t="shared" si="8062"/>
        <v>428.99402846807988</v>
      </c>
      <c r="GD485" s="39">
        <f t="shared" ref="GD485:GH485" si="8063">GD$1*FK485/1000000</f>
        <v>0</v>
      </c>
      <c r="GE485" s="39">
        <f t="shared" si="8063"/>
        <v>0</v>
      </c>
      <c r="GF485" s="39">
        <f t="shared" si="8063"/>
        <v>0</v>
      </c>
      <c r="GG485" s="39">
        <f t="shared" si="8063"/>
        <v>0</v>
      </c>
      <c r="GH485" s="39">
        <f t="shared" si="8063"/>
        <v>0</v>
      </c>
      <c r="GI485" s="39">
        <f t="shared" ref="GI485:GJ485" si="8064">GI$1*FP485</f>
        <v>0</v>
      </c>
      <c r="GJ485" s="39">
        <f t="shared" si="8064"/>
        <v>0</v>
      </c>
      <c r="GK485" s="2"/>
      <c r="GL485" s="39">
        <f t="shared" si="4395"/>
        <v>0</v>
      </c>
      <c r="GM485" s="39">
        <f t="shared" si="4396"/>
        <v>0</v>
      </c>
      <c r="GN485" s="2" t="s">
        <v>3</v>
      </c>
      <c r="GO485" s="4">
        <f t="shared" si="4397"/>
        <v>15.965999999999999</v>
      </c>
      <c r="GP485" s="4">
        <f t="shared" si="4398"/>
        <v>1.6665157209069272</v>
      </c>
      <c r="GQ485" s="15">
        <f t="shared" si="4399"/>
        <v>266.07589999999999</v>
      </c>
      <c r="GR485" s="15">
        <f t="shared" si="4400"/>
        <v>4133.2058111401566</v>
      </c>
      <c r="GS485" s="15">
        <f t="shared" si="4401"/>
        <v>258.87547357761224</v>
      </c>
      <c r="GT485" s="2">
        <f t="shared" si="4402"/>
        <v>34.835899999999995</v>
      </c>
      <c r="GU485" s="2">
        <f t="shared" si="4403"/>
        <v>231.24</v>
      </c>
      <c r="GV485" s="2">
        <f t="shared" si="4404"/>
        <v>0</v>
      </c>
      <c r="GW485" s="4">
        <f t="shared" si="4405"/>
        <v>15.965999999999999</v>
      </c>
      <c r="GX485" s="4">
        <f t="shared" ref="GX485:GX486" si="8065">(BT485*CB485+CO485*CW485)/GW485</f>
        <v>1.6665157209069272</v>
      </c>
      <c r="GY485" s="15">
        <f t="shared" ref="GY485:GY486" si="8066">1000*GW485*GX485/100</f>
        <v>266.07589999999999</v>
      </c>
      <c r="GZ485" s="15">
        <f t="shared" ref="GZ485:GZ486" si="8067">SUM(FU485:GM485)</f>
        <v>4133.2058111401566</v>
      </c>
      <c r="HA485" s="15">
        <f t="shared" ref="HA485:HA486" si="8068">GZ485/GW485</f>
        <v>258.87547357761224</v>
      </c>
      <c r="HB485" s="2">
        <f t="shared" si="4406"/>
        <v>34.835899999999995</v>
      </c>
      <c r="HC485" s="2">
        <f t="shared" si="4407"/>
        <v>231.24</v>
      </c>
      <c r="HD485" s="2" t="s">
        <v>3</v>
      </c>
      <c r="HE485" s="2" t="s">
        <v>89</v>
      </c>
      <c r="HF485" s="2" t="s">
        <v>378</v>
      </c>
      <c r="HG485" s="2" t="s">
        <v>378</v>
      </c>
      <c r="HH485" s="2"/>
      <c r="HI485" s="2" t="s">
        <v>81</v>
      </c>
      <c r="HJ485" s="2" t="s">
        <v>3</v>
      </c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 t="s">
        <v>3</v>
      </c>
    </row>
    <row r="486" spans="1:268" ht="15.75" customHeight="1" x14ac:dyDescent="0.2">
      <c r="A486" s="16" t="s">
        <v>953</v>
      </c>
      <c r="B486" s="2" t="s">
        <v>109</v>
      </c>
      <c r="C486" s="2"/>
      <c r="D486" s="2"/>
      <c r="E486" s="2" t="s">
        <v>179</v>
      </c>
      <c r="F486" s="2" t="s">
        <v>609</v>
      </c>
      <c r="G486" s="2"/>
      <c r="H486" s="2" t="s">
        <v>181</v>
      </c>
      <c r="I486" s="15">
        <f>11.9+0.1</f>
        <v>12</v>
      </c>
      <c r="J486" s="4">
        <f>(0.88*11.9+0.68*0.1)/I486</f>
        <v>0.8783333333333333</v>
      </c>
      <c r="K486" s="2"/>
      <c r="L486" s="2"/>
      <c r="M486" s="2"/>
      <c r="N486" s="2"/>
      <c r="O486" s="2"/>
      <c r="P486" s="2"/>
      <c r="Q486" s="4">
        <f>(2.15*11.9+1.66*0.1)/I486</f>
        <v>2.1459166666666669</v>
      </c>
      <c r="R486" s="4">
        <f>(0.07*11.9+0.07*0.1)/I486</f>
        <v>7.0000000000000007E-2</v>
      </c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>
        <v>1.1000000000000001</v>
      </c>
      <c r="AE486" s="2">
        <v>0.39</v>
      </c>
      <c r="AF486" s="2"/>
      <c r="AG486" s="2"/>
      <c r="AH486" s="2"/>
      <c r="AI486" s="2"/>
      <c r="AJ486" s="2"/>
      <c r="AK486" s="2"/>
      <c r="AL486" s="2">
        <v>0.88</v>
      </c>
      <c r="AM486" s="2">
        <v>0.04</v>
      </c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>
        <v>0.1</v>
      </c>
      <c r="AZ486" s="2">
        <v>0.4</v>
      </c>
      <c r="BA486" s="2"/>
      <c r="BB486" s="2"/>
      <c r="BC486" s="2"/>
      <c r="BD486" s="2"/>
      <c r="BE486" s="2"/>
      <c r="BF486" s="2"/>
      <c r="BG486" s="2">
        <v>0.6</v>
      </c>
      <c r="BH486" s="2">
        <v>0.02</v>
      </c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>
        <v>10.199999999999999</v>
      </c>
      <c r="BU486" s="2">
        <v>0.79</v>
      </c>
      <c r="BV486" s="2"/>
      <c r="BW486" s="2"/>
      <c r="BX486" s="2"/>
      <c r="BY486" s="2"/>
      <c r="BZ486" s="2"/>
      <c r="CA486" s="2"/>
      <c r="CB486" s="2">
        <v>1.93</v>
      </c>
      <c r="CC486" s="2">
        <v>7.0000000000000007E-2</v>
      </c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>
        <v>1.3</v>
      </c>
      <c r="CP486" s="2">
        <v>0.56999999999999995</v>
      </c>
      <c r="CQ486" s="2"/>
      <c r="CR486" s="2"/>
      <c r="CS486" s="2"/>
      <c r="CT486" s="2"/>
      <c r="CU486" s="2"/>
      <c r="CV486" s="2"/>
      <c r="CW486" s="2">
        <v>1.34</v>
      </c>
      <c r="CX486" s="2">
        <v>0.04</v>
      </c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 t="s">
        <v>81</v>
      </c>
      <c r="DK486" s="2" t="s">
        <v>81</v>
      </c>
      <c r="DL486" s="2">
        <f t="shared" si="4367"/>
        <v>2.0287121212121217</v>
      </c>
      <c r="DM486" s="2">
        <f t="shared" si="4368"/>
        <v>6.7121212121212137E-2</v>
      </c>
      <c r="DN486" s="2" t="s">
        <v>211</v>
      </c>
      <c r="DO486" s="2" t="s">
        <v>3</v>
      </c>
      <c r="DP486" s="2">
        <f t="shared" si="4369"/>
        <v>0.11008999999999998</v>
      </c>
      <c r="DQ486" s="2">
        <f t="shared" ref="DQ486:DR486" si="8069">K486*$I486+AF486*$AD486+BA486*$AY486</f>
        <v>0</v>
      </c>
      <c r="DR486" s="2">
        <f t="shared" si="8069"/>
        <v>0</v>
      </c>
      <c r="DS486" s="2">
        <f t="shared" ref="DS486:DX486" si="8070">(M486*$I486+AH486*$AD486+BC486*$AY486)/100</f>
        <v>0</v>
      </c>
      <c r="DT486" s="2">
        <f t="shared" si="8070"/>
        <v>0</v>
      </c>
      <c r="DU486" s="2">
        <f t="shared" si="8070"/>
        <v>0</v>
      </c>
      <c r="DV486" s="2">
        <f t="shared" si="8070"/>
        <v>0</v>
      </c>
      <c r="DW486" s="2">
        <f t="shared" si="8070"/>
        <v>0.26779000000000003</v>
      </c>
      <c r="DX486" s="2">
        <f t="shared" si="8070"/>
        <v>8.8600000000000016E-3</v>
      </c>
      <c r="DY486" s="2">
        <f t="shared" ref="DY486:EC486" si="8071">S486*$I486+AN486*$AD486+BI486*$AY486</f>
        <v>0</v>
      </c>
      <c r="DZ486" s="2">
        <f t="shared" si="8071"/>
        <v>0</v>
      </c>
      <c r="EA486" s="2">
        <f t="shared" si="8071"/>
        <v>0</v>
      </c>
      <c r="EB486" s="2">
        <f t="shared" si="8071"/>
        <v>0</v>
      </c>
      <c r="EC486" s="2">
        <f t="shared" si="8071"/>
        <v>0</v>
      </c>
      <c r="ED486" s="2">
        <f t="shared" ref="ED486:EE486" si="8072">(X486*$I486+AS486*$AD486+BN486*$AY486)/100</f>
        <v>0</v>
      </c>
      <c r="EE486" s="2">
        <f t="shared" si="8072"/>
        <v>0</v>
      </c>
      <c r="EF486" s="2"/>
      <c r="EG486" s="2">
        <f t="shared" si="4374"/>
        <v>0</v>
      </c>
      <c r="EH486" s="2">
        <f t="shared" si="4375"/>
        <v>0</v>
      </c>
      <c r="EI486" s="39">
        <f t="shared" si="4376"/>
        <v>718.40506543999982</v>
      </c>
      <c r="EJ486" s="39">
        <f t="shared" ref="EJ486:EK486" si="8073">EJ$1*DQ486/1000000</f>
        <v>0</v>
      </c>
      <c r="EK486" s="39">
        <f t="shared" si="8073"/>
        <v>0</v>
      </c>
      <c r="EL486" s="39">
        <f t="shared" ref="EL486:EQ486" si="8074">EL$1*DS486</f>
        <v>0</v>
      </c>
      <c r="EM486" s="39">
        <f t="shared" si="8074"/>
        <v>0</v>
      </c>
      <c r="EN486" s="39">
        <f t="shared" si="8074"/>
        <v>0</v>
      </c>
      <c r="EO486" s="39">
        <f t="shared" si="8074"/>
        <v>0</v>
      </c>
      <c r="EP486" s="39">
        <f t="shared" si="8074"/>
        <v>3511.7980600000005</v>
      </c>
      <c r="EQ486" s="39">
        <f t="shared" si="8074"/>
        <v>643.40898263999998</v>
      </c>
      <c r="ER486" s="39">
        <f t="shared" ref="ER486:EV486" si="8075">ER$1*DY486/1000000</f>
        <v>0</v>
      </c>
      <c r="ES486" s="39">
        <f t="shared" si="8075"/>
        <v>0</v>
      </c>
      <c r="ET486" s="39">
        <f t="shared" si="8075"/>
        <v>0</v>
      </c>
      <c r="EU486" s="39">
        <f t="shared" si="8075"/>
        <v>0</v>
      </c>
      <c r="EV486" s="39">
        <f t="shared" si="8075"/>
        <v>0</v>
      </c>
      <c r="EW486" s="39">
        <f t="shared" ref="EW486:EX486" si="8076">EW$1*ED486</f>
        <v>0</v>
      </c>
      <c r="EX486" s="39">
        <f t="shared" si="8076"/>
        <v>0</v>
      </c>
      <c r="EY486" s="2"/>
      <c r="EZ486" s="39">
        <f t="shared" si="4381"/>
        <v>0</v>
      </c>
      <c r="FA486" s="39">
        <f t="shared" si="4382"/>
        <v>0</v>
      </c>
      <c r="FB486" s="2">
        <f t="shared" si="4383"/>
        <v>8.7989999999999999E-2</v>
      </c>
      <c r="FC486" s="2">
        <f t="shared" ref="FC486:FD486" si="8077">BV486*$BT486+CQ486*$CO486</f>
        <v>0</v>
      </c>
      <c r="FD486" s="2">
        <f t="shared" si="8077"/>
        <v>0</v>
      </c>
      <c r="FE486" s="2">
        <f t="shared" ref="FE486:FJ486" si="8078">(BX486*$BT486+CS486*$CO486)/100</f>
        <v>0</v>
      </c>
      <c r="FF486" s="2">
        <f t="shared" si="8078"/>
        <v>0</v>
      </c>
      <c r="FG486" s="2">
        <f t="shared" si="8078"/>
        <v>0</v>
      </c>
      <c r="FH486" s="2">
        <f t="shared" si="8078"/>
        <v>0</v>
      </c>
      <c r="FI486" s="2">
        <f t="shared" si="8078"/>
        <v>0.21427999999999997</v>
      </c>
      <c r="FJ486" s="2">
        <f t="shared" si="8078"/>
        <v>7.6600000000000001E-3</v>
      </c>
      <c r="FK486" s="2">
        <f t="shared" ref="FK486:FO486" si="8079">CD486*$BT486+CY486*$CO486</f>
        <v>0</v>
      </c>
      <c r="FL486" s="2">
        <f t="shared" si="8079"/>
        <v>0</v>
      </c>
      <c r="FM486" s="2">
        <f t="shared" si="8079"/>
        <v>0</v>
      </c>
      <c r="FN486" s="2">
        <f t="shared" si="8079"/>
        <v>0</v>
      </c>
      <c r="FO486" s="2">
        <f t="shared" si="8079"/>
        <v>0</v>
      </c>
      <c r="FP486" s="2">
        <f t="shared" ref="FP486:FQ486" si="8080">(CI486*$BT486+DD486*$CO486)/100</f>
        <v>0</v>
      </c>
      <c r="FQ486" s="2">
        <f t="shared" si="8080"/>
        <v>0</v>
      </c>
      <c r="FR486" s="2"/>
      <c r="FS486" s="2">
        <f t="shared" si="4388"/>
        <v>0</v>
      </c>
      <c r="FT486" s="2">
        <f t="shared" si="4389"/>
        <v>0</v>
      </c>
      <c r="FU486" s="39">
        <f t="shared" si="4390"/>
        <v>574.18895183999996</v>
      </c>
      <c r="FV486" s="39">
        <f t="shared" ref="FV486:FW486" si="8081">FV$1*FC486/1000000</f>
        <v>0</v>
      </c>
      <c r="FW486" s="39">
        <f t="shared" si="8081"/>
        <v>0</v>
      </c>
      <c r="FX486" s="39">
        <f t="shared" ref="FX486:GC486" si="8082">FX$1*FE486</f>
        <v>0</v>
      </c>
      <c r="FY486" s="39">
        <f t="shared" si="8082"/>
        <v>0</v>
      </c>
      <c r="FZ486" s="39">
        <f t="shared" si="8082"/>
        <v>0</v>
      </c>
      <c r="GA486" s="39">
        <f t="shared" si="8082"/>
        <v>0</v>
      </c>
      <c r="GB486" s="39">
        <f t="shared" si="8082"/>
        <v>2810.0679199999995</v>
      </c>
      <c r="GC486" s="39">
        <f t="shared" si="8082"/>
        <v>556.26555383999994</v>
      </c>
      <c r="GD486" s="39">
        <f t="shared" ref="GD486:GH486" si="8083">GD$1*FK486/1000000</f>
        <v>0</v>
      </c>
      <c r="GE486" s="39">
        <f t="shared" si="8083"/>
        <v>0</v>
      </c>
      <c r="GF486" s="39">
        <f t="shared" si="8083"/>
        <v>0</v>
      </c>
      <c r="GG486" s="39">
        <f t="shared" si="8083"/>
        <v>0</v>
      </c>
      <c r="GH486" s="39">
        <f t="shared" si="8083"/>
        <v>0</v>
      </c>
      <c r="GI486" s="39">
        <f t="shared" ref="GI486:GJ486" si="8084">GI$1*FP486</f>
        <v>0</v>
      </c>
      <c r="GJ486" s="39">
        <f t="shared" si="8084"/>
        <v>0</v>
      </c>
      <c r="GK486" s="2"/>
      <c r="GL486" s="39">
        <f t="shared" si="4395"/>
        <v>0</v>
      </c>
      <c r="GM486" s="39">
        <f t="shared" si="4396"/>
        <v>0</v>
      </c>
      <c r="GN486" s="2" t="s">
        <v>3</v>
      </c>
      <c r="GO486" s="15">
        <f t="shared" si="4397"/>
        <v>13.2</v>
      </c>
      <c r="GP486" s="4">
        <f t="shared" si="4398"/>
        <v>2.0287121212121217</v>
      </c>
      <c r="GQ486" s="15">
        <f t="shared" si="4399"/>
        <v>267.79000000000008</v>
      </c>
      <c r="GR486" s="15">
        <f t="shared" si="4400"/>
        <v>4873.6121080800003</v>
      </c>
      <c r="GS486" s="15">
        <f t="shared" si="4401"/>
        <v>369.21303849090913</v>
      </c>
      <c r="GT486" s="2">
        <f t="shared" si="4402"/>
        <v>257.51000000000005</v>
      </c>
      <c r="GU486" s="2">
        <f t="shared" si="4403"/>
        <v>9.6800000000000015</v>
      </c>
      <c r="GV486" s="2">
        <f t="shared" si="4404"/>
        <v>0.6</v>
      </c>
      <c r="GW486" s="2">
        <f t="shared" si="4405"/>
        <v>11.5</v>
      </c>
      <c r="GX486" s="4">
        <f t="shared" si="8065"/>
        <v>1.8633043478260867</v>
      </c>
      <c r="GY486" s="15">
        <f t="shared" si="8066"/>
        <v>214.27999999999997</v>
      </c>
      <c r="GZ486" s="15">
        <f t="shared" si="8067"/>
        <v>3940.5224256799993</v>
      </c>
      <c r="HA486" s="15">
        <f t="shared" si="8068"/>
        <v>342.65412397217386</v>
      </c>
      <c r="HB486" s="2">
        <f t="shared" si="4406"/>
        <v>196.85999999999996</v>
      </c>
      <c r="HC486" s="2">
        <f t="shared" si="4407"/>
        <v>17.420000000000002</v>
      </c>
      <c r="HD486" s="2" t="s">
        <v>3</v>
      </c>
      <c r="HE486" s="2" t="s">
        <v>89</v>
      </c>
      <c r="HF486" s="2" t="s">
        <v>378</v>
      </c>
      <c r="HG486" s="2"/>
      <c r="HH486" s="2"/>
      <c r="HI486" s="2" t="s">
        <v>81</v>
      </c>
      <c r="HJ486" s="2" t="s">
        <v>3</v>
      </c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 t="s">
        <v>3</v>
      </c>
    </row>
    <row r="487" spans="1:268" ht="15.75" customHeight="1" x14ac:dyDescent="0.2">
      <c r="A487" s="16" t="s">
        <v>376</v>
      </c>
      <c r="B487" s="2" t="s">
        <v>99</v>
      </c>
      <c r="C487" s="2"/>
      <c r="D487" s="2"/>
      <c r="E487" s="2" t="s">
        <v>179</v>
      </c>
      <c r="F487" s="2" t="s">
        <v>377</v>
      </c>
      <c r="G487" s="2"/>
      <c r="H487" s="2" t="s">
        <v>181</v>
      </c>
      <c r="I487" s="2">
        <v>0</v>
      </c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>
        <v>0</v>
      </c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>
        <v>0.47799999999999998</v>
      </c>
      <c r="AZ487" s="2"/>
      <c r="BA487" s="2"/>
      <c r="BB487" s="2"/>
      <c r="BC487" s="2"/>
      <c r="BD487" s="2"/>
      <c r="BE487" s="2"/>
      <c r="BF487" s="2"/>
      <c r="BG487" s="2">
        <v>0.9</v>
      </c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>
        <v>0</v>
      </c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>
        <v>0</v>
      </c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 t="s">
        <v>81</v>
      </c>
      <c r="DK487" s="2"/>
      <c r="DL487" s="2">
        <f t="shared" si="4367"/>
        <v>0.9</v>
      </c>
      <c r="DM487" s="2">
        <f t="shared" si="4368"/>
        <v>0</v>
      </c>
      <c r="DN487" s="2" t="s">
        <v>175</v>
      </c>
      <c r="DO487" s="2" t="s">
        <v>3</v>
      </c>
      <c r="DP487" s="2">
        <f t="shared" si="4369"/>
        <v>0</v>
      </c>
      <c r="DQ487" s="2">
        <f t="shared" ref="DQ487:DR487" si="8085">K487*$I487+AF487*$AD487+BA487*$AY487</f>
        <v>0</v>
      </c>
      <c r="DR487" s="2">
        <f t="shared" si="8085"/>
        <v>0</v>
      </c>
      <c r="DS487" s="2">
        <f t="shared" ref="DS487:DX487" si="8086">(M487*$I487+AH487*$AD487+BC487*$AY487)/100</f>
        <v>0</v>
      </c>
      <c r="DT487" s="2">
        <f t="shared" si="8086"/>
        <v>0</v>
      </c>
      <c r="DU487" s="2">
        <f t="shared" si="8086"/>
        <v>0</v>
      </c>
      <c r="DV487" s="2">
        <f t="shared" si="8086"/>
        <v>0</v>
      </c>
      <c r="DW487" s="2">
        <f t="shared" si="8086"/>
        <v>4.3019999999999994E-3</v>
      </c>
      <c r="DX487" s="2">
        <f t="shared" si="8086"/>
        <v>0</v>
      </c>
      <c r="DY487" s="2">
        <f t="shared" ref="DY487:EC487" si="8087">S487*$I487+AN487*$AD487+BI487*$AY487</f>
        <v>0</v>
      </c>
      <c r="DZ487" s="2">
        <f t="shared" si="8087"/>
        <v>0</v>
      </c>
      <c r="EA487" s="2">
        <f t="shared" si="8087"/>
        <v>0</v>
      </c>
      <c r="EB487" s="2">
        <f t="shared" si="8087"/>
        <v>0</v>
      </c>
      <c r="EC487" s="2">
        <f t="shared" si="8087"/>
        <v>0</v>
      </c>
      <c r="ED487" s="2">
        <f t="shared" ref="ED487:EE487" si="8088">(X487*$I487+AS487*$AD487+BN487*$AY487)/100</f>
        <v>0</v>
      </c>
      <c r="EE487" s="2">
        <f t="shared" si="8088"/>
        <v>0</v>
      </c>
      <c r="EF487" s="2"/>
      <c r="EG487" s="2">
        <f t="shared" si="4374"/>
        <v>0</v>
      </c>
      <c r="EH487" s="2">
        <f t="shared" si="4375"/>
        <v>0</v>
      </c>
      <c r="EI487" s="39">
        <f t="shared" si="4376"/>
        <v>0</v>
      </c>
      <c r="EJ487" s="39">
        <f t="shared" ref="EJ487:EK487" si="8089">EJ$1*DQ487/1000000</f>
        <v>0</v>
      </c>
      <c r="EK487" s="39">
        <f t="shared" si="8089"/>
        <v>0</v>
      </c>
      <c r="EL487" s="39">
        <f t="shared" ref="EL487:EQ487" si="8090">EL$1*DS487</f>
        <v>0</v>
      </c>
      <c r="EM487" s="39">
        <f t="shared" si="8090"/>
        <v>0</v>
      </c>
      <c r="EN487" s="39">
        <f t="shared" si="8090"/>
        <v>0</v>
      </c>
      <c r="EO487" s="39">
        <f t="shared" si="8090"/>
        <v>0</v>
      </c>
      <c r="EP487" s="39">
        <f t="shared" si="8090"/>
        <v>56.416427999999989</v>
      </c>
      <c r="EQ487" s="39">
        <f t="shared" si="8090"/>
        <v>0</v>
      </c>
      <c r="ER487" s="39">
        <f t="shared" ref="ER487:EV487" si="8091">ER$1*DY487/1000000</f>
        <v>0</v>
      </c>
      <c r="ES487" s="39">
        <f t="shared" si="8091"/>
        <v>0</v>
      </c>
      <c r="ET487" s="39">
        <f t="shared" si="8091"/>
        <v>0</v>
      </c>
      <c r="EU487" s="39">
        <f t="shared" si="8091"/>
        <v>0</v>
      </c>
      <c r="EV487" s="39">
        <f t="shared" si="8091"/>
        <v>0</v>
      </c>
      <c r="EW487" s="39">
        <f t="shared" ref="EW487:EX487" si="8092">EW$1*ED487</f>
        <v>0</v>
      </c>
      <c r="EX487" s="39">
        <f t="shared" si="8092"/>
        <v>0</v>
      </c>
      <c r="EY487" s="2"/>
      <c r="EZ487" s="39">
        <f t="shared" si="4381"/>
        <v>0</v>
      </c>
      <c r="FA487" s="39">
        <f t="shared" si="4382"/>
        <v>0</v>
      </c>
      <c r="FB487" s="2">
        <f t="shared" si="4383"/>
        <v>0</v>
      </c>
      <c r="FC487" s="2">
        <f t="shared" ref="FC487:FD487" si="8093">BV487*$BT487+CQ487*$CO487</f>
        <v>0</v>
      </c>
      <c r="FD487" s="2">
        <f t="shared" si="8093"/>
        <v>0</v>
      </c>
      <c r="FE487" s="2">
        <f t="shared" ref="FE487:FJ487" si="8094">(BX487*$BT487+CS487*$CO487)/100</f>
        <v>0</v>
      </c>
      <c r="FF487" s="2">
        <f t="shared" si="8094"/>
        <v>0</v>
      </c>
      <c r="FG487" s="2">
        <f t="shared" si="8094"/>
        <v>0</v>
      </c>
      <c r="FH487" s="2">
        <f t="shared" si="8094"/>
        <v>0</v>
      </c>
      <c r="FI487" s="2">
        <f t="shared" si="8094"/>
        <v>0</v>
      </c>
      <c r="FJ487" s="2">
        <f t="shared" si="8094"/>
        <v>0</v>
      </c>
      <c r="FK487" s="2">
        <f t="shared" ref="FK487:FO487" si="8095">CD487*$BT487+CY487*$CO487</f>
        <v>0</v>
      </c>
      <c r="FL487" s="2">
        <f t="shared" si="8095"/>
        <v>0</v>
      </c>
      <c r="FM487" s="2">
        <f t="shared" si="8095"/>
        <v>0</v>
      </c>
      <c r="FN487" s="2">
        <f t="shared" si="8095"/>
        <v>0</v>
      </c>
      <c r="FO487" s="2">
        <f t="shared" si="8095"/>
        <v>0</v>
      </c>
      <c r="FP487" s="2">
        <f t="shared" ref="FP487:FQ487" si="8096">(CI487*$BT487+DD487*$CO487)/100</f>
        <v>0</v>
      </c>
      <c r="FQ487" s="2">
        <f t="shared" si="8096"/>
        <v>0</v>
      </c>
      <c r="FR487" s="2"/>
      <c r="FS487" s="2">
        <f t="shared" si="4388"/>
        <v>0</v>
      </c>
      <c r="FT487" s="2">
        <f t="shared" si="4389"/>
        <v>0</v>
      </c>
      <c r="FU487" s="39">
        <f t="shared" si="4390"/>
        <v>0</v>
      </c>
      <c r="FV487" s="39">
        <f t="shared" ref="FV487:FW487" si="8097">FV$1*FC487/1000000</f>
        <v>0</v>
      </c>
      <c r="FW487" s="39">
        <f t="shared" si="8097"/>
        <v>0</v>
      </c>
      <c r="FX487" s="39">
        <f t="shared" ref="FX487:GC487" si="8098">FX$1*FE487</f>
        <v>0</v>
      </c>
      <c r="FY487" s="39">
        <f t="shared" si="8098"/>
        <v>0</v>
      </c>
      <c r="FZ487" s="39">
        <f t="shared" si="8098"/>
        <v>0</v>
      </c>
      <c r="GA487" s="39">
        <f t="shared" si="8098"/>
        <v>0</v>
      </c>
      <c r="GB487" s="39">
        <f t="shared" si="8098"/>
        <v>0</v>
      </c>
      <c r="GC487" s="39">
        <f t="shared" si="8098"/>
        <v>0</v>
      </c>
      <c r="GD487" s="39">
        <f t="shared" ref="GD487:GH487" si="8099">GD$1*FK487/1000000</f>
        <v>0</v>
      </c>
      <c r="GE487" s="39">
        <f t="shared" si="8099"/>
        <v>0</v>
      </c>
      <c r="GF487" s="39">
        <f t="shared" si="8099"/>
        <v>0</v>
      </c>
      <c r="GG487" s="39">
        <f t="shared" si="8099"/>
        <v>0</v>
      </c>
      <c r="GH487" s="39">
        <f t="shared" si="8099"/>
        <v>0</v>
      </c>
      <c r="GI487" s="39">
        <f t="shared" ref="GI487:GJ487" si="8100">GI$1*FP487</f>
        <v>0</v>
      </c>
      <c r="GJ487" s="39">
        <f t="shared" si="8100"/>
        <v>0</v>
      </c>
      <c r="GK487" s="2"/>
      <c r="GL487" s="39">
        <f t="shared" si="4395"/>
        <v>0</v>
      </c>
      <c r="GM487" s="39">
        <f t="shared" si="4396"/>
        <v>0</v>
      </c>
      <c r="GN487" s="2" t="s">
        <v>3</v>
      </c>
      <c r="GO487" s="2">
        <f t="shared" si="4397"/>
        <v>0.47799999999999998</v>
      </c>
      <c r="GP487" s="2">
        <f t="shared" si="4398"/>
        <v>0.9</v>
      </c>
      <c r="GQ487" s="15">
        <f t="shared" si="4399"/>
        <v>4.3019999999999996</v>
      </c>
      <c r="GR487" s="15">
        <f t="shared" si="4400"/>
        <v>56.416427999999989</v>
      </c>
      <c r="GS487" s="15">
        <f t="shared" si="4401"/>
        <v>118.02599999999998</v>
      </c>
      <c r="GT487" s="2">
        <f t="shared" si="4402"/>
        <v>0</v>
      </c>
      <c r="GU487" s="2">
        <f t="shared" si="4403"/>
        <v>0</v>
      </c>
      <c r="GV487" s="2">
        <f t="shared" si="4404"/>
        <v>4.3019999999999996</v>
      </c>
      <c r="GW487" s="2">
        <f t="shared" si="4405"/>
        <v>0</v>
      </c>
      <c r="GX487" s="2"/>
      <c r="GY487" s="2"/>
      <c r="GZ487" s="2"/>
      <c r="HA487" s="2"/>
      <c r="HB487" s="2">
        <f t="shared" si="4406"/>
        <v>0</v>
      </c>
      <c r="HC487" s="2">
        <f t="shared" si="4407"/>
        <v>0</v>
      </c>
      <c r="HD487" s="2" t="s">
        <v>3</v>
      </c>
      <c r="HE487" s="2" t="s">
        <v>89</v>
      </c>
      <c r="HF487" s="2" t="s">
        <v>378</v>
      </c>
      <c r="HG487" s="2"/>
      <c r="HH487" s="2"/>
      <c r="HI487" s="2" t="s">
        <v>81</v>
      </c>
      <c r="HJ487" s="2" t="s">
        <v>3</v>
      </c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 t="s">
        <v>3</v>
      </c>
    </row>
    <row r="488" spans="1:268" ht="15.75" customHeight="1" x14ac:dyDescent="0.2">
      <c r="A488" s="16" t="s">
        <v>628</v>
      </c>
      <c r="B488" s="2" t="s">
        <v>99</v>
      </c>
      <c r="C488" s="2"/>
      <c r="D488" s="2"/>
      <c r="E488" s="2" t="s">
        <v>179</v>
      </c>
      <c r="F488" s="2" t="s">
        <v>611</v>
      </c>
      <c r="G488" s="2"/>
      <c r="H488" s="2" t="s">
        <v>181</v>
      </c>
      <c r="I488" s="2">
        <v>0</v>
      </c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>
        <v>0</v>
      </c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>
        <v>0.156</v>
      </c>
      <c r="AZ488" s="2"/>
      <c r="BA488" s="2"/>
      <c r="BB488" s="2"/>
      <c r="BC488" s="2"/>
      <c r="BD488" s="2"/>
      <c r="BE488" s="2"/>
      <c r="BF488" s="2"/>
      <c r="BG488" s="2">
        <v>2.3199999999999998</v>
      </c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>
        <v>0</v>
      </c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>
        <v>0</v>
      </c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 t="s">
        <v>81</v>
      </c>
      <c r="DK488" s="2"/>
      <c r="DL488" s="2">
        <f t="shared" si="4367"/>
        <v>2.3199999999999998</v>
      </c>
      <c r="DM488" s="2">
        <f t="shared" si="4368"/>
        <v>0</v>
      </c>
      <c r="DN488" s="2" t="s">
        <v>175</v>
      </c>
      <c r="DO488" s="2" t="s">
        <v>3</v>
      </c>
      <c r="DP488" s="2">
        <f t="shared" si="4369"/>
        <v>0</v>
      </c>
      <c r="DQ488" s="2">
        <f t="shared" ref="DQ488:DR488" si="8101">K488*$I488+AF488*$AD488+BA488*$AY488</f>
        <v>0</v>
      </c>
      <c r="DR488" s="2">
        <f t="shared" si="8101"/>
        <v>0</v>
      </c>
      <c r="DS488" s="2">
        <f t="shared" ref="DS488:DX488" si="8102">(M488*$I488+AH488*$AD488+BC488*$AY488)/100</f>
        <v>0</v>
      </c>
      <c r="DT488" s="2">
        <f t="shared" si="8102"/>
        <v>0</v>
      </c>
      <c r="DU488" s="2">
        <f t="shared" si="8102"/>
        <v>0</v>
      </c>
      <c r="DV488" s="2">
        <f t="shared" si="8102"/>
        <v>0</v>
      </c>
      <c r="DW488" s="2">
        <f t="shared" si="8102"/>
        <v>3.6191999999999995E-3</v>
      </c>
      <c r="DX488" s="2">
        <f t="shared" si="8102"/>
        <v>0</v>
      </c>
      <c r="DY488" s="2">
        <f t="shared" ref="DY488:EC488" si="8103">S488*$I488+AN488*$AD488+BI488*$AY488</f>
        <v>0</v>
      </c>
      <c r="DZ488" s="2">
        <f t="shared" si="8103"/>
        <v>0</v>
      </c>
      <c r="EA488" s="2">
        <f t="shared" si="8103"/>
        <v>0</v>
      </c>
      <c r="EB488" s="2">
        <f t="shared" si="8103"/>
        <v>0</v>
      </c>
      <c r="EC488" s="2">
        <f t="shared" si="8103"/>
        <v>0</v>
      </c>
      <c r="ED488" s="2">
        <f t="shared" ref="ED488:EE488" si="8104">(X488*$I488+AS488*$AD488+BN488*$AY488)/100</f>
        <v>0</v>
      </c>
      <c r="EE488" s="2">
        <f t="shared" si="8104"/>
        <v>0</v>
      </c>
      <c r="EF488" s="2"/>
      <c r="EG488" s="2">
        <f t="shared" si="4374"/>
        <v>0</v>
      </c>
      <c r="EH488" s="2">
        <f t="shared" si="4375"/>
        <v>0</v>
      </c>
      <c r="EI488" s="39">
        <f t="shared" si="4376"/>
        <v>0</v>
      </c>
      <c r="EJ488" s="39">
        <f t="shared" ref="EJ488:EK488" si="8105">EJ$1*DQ488/1000000</f>
        <v>0</v>
      </c>
      <c r="EK488" s="39">
        <f t="shared" si="8105"/>
        <v>0</v>
      </c>
      <c r="EL488" s="39">
        <f t="shared" ref="EL488:EQ488" si="8106">EL$1*DS488</f>
        <v>0</v>
      </c>
      <c r="EM488" s="39">
        <f t="shared" si="8106"/>
        <v>0</v>
      </c>
      <c r="EN488" s="39">
        <f t="shared" si="8106"/>
        <v>0</v>
      </c>
      <c r="EO488" s="39">
        <f t="shared" si="8106"/>
        <v>0</v>
      </c>
      <c r="EP488" s="39">
        <f t="shared" si="8106"/>
        <v>47.462188799999993</v>
      </c>
      <c r="EQ488" s="39">
        <f t="shared" si="8106"/>
        <v>0</v>
      </c>
      <c r="ER488" s="39">
        <f t="shared" ref="ER488:EV488" si="8107">ER$1*DY488/1000000</f>
        <v>0</v>
      </c>
      <c r="ES488" s="39">
        <f t="shared" si="8107"/>
        <v>0</v>
      </c>
      <c r="ET488" s="39">
        <f t="shared" si="8107"/>
        <v>0</v>
      </c>
      <c r="EU488" s="39">
        <f t="shared" si="8107"/>
        <v>0</v>
      </c>
      <c r="EV488" s="39">
        <f t="shared" si="8107"/>
        <v>0</v>
      </c>
      <c r="EW488" s="39">
        <f t="shared" ref="EW488:EX488" si="8108">EW$1*ED488</f>
        <v>0</v>
      </c>
      <c r="EX488" s="39">
        <f t="shared" si="8108"/>
        <v>0</v>
      </c>
      <c r="EY488" s="2"/>
      <c r="EZ488" s="39">
        <f t="shared" si="4381"/>
        <v>0</v>
      </c>
      <c r="FA488" s="39">
        <f t="shared" si="4382"/>
        <v>0</v>
      </c>
      <c r="FB488" s="2">
        <f t="shared" si="4383"/>
        <v>0</v>
      </c>
      <c r="FC488" s="2">
        <f t="shared" ref="FC488:FD488" si="8109">BV488*$BT488+CQ488*$CO488</f>
        <v>0</v>
      </c>
      <c r="FD488" s="2">
        <f t="shared" si="8109"/>
        <v>0</v>
      </c>
      <c r="FE488" s="2">
        <f t="shared" ref="FE488:FJ488" si="8110">(BX488*$BT488+CS488*$CO488)/100</f>
        <v>0</v>
      </c>
      <c r="FF488" s="2">
        <f t="shared" si="8110"/>
        <v>0</v>
      </c>
      <c r="FG488" s="2">
        <f t="shared" si="8110"/>
        <v>0</v>
      </c>
      <c r="FH488" s="2">
        <f t="shared" si="8110"/>
        <v>0</v>
      </c>
      <c r="FI488" s="2">
        <f t="shared" si="8110"/>
        <v>0</v>
      </c>
      <c r="FJ488" s="2">
        <f t="shared" si="8110"/>
        <v>0</v>
      </c>
      <c r="FK488" s="2">
        <f t="shared" ref="FK488:FO488" si="8111">CD488*$BT488+CY488*$CO488</f>
        <v>0</v>
      </c>
      <c r="FL488" s="2">
        <f t="shared" si="8111"/>
        <v>0</v>
      </c>
      <c r="FM488" s="2">
        <f t="shared" si="8111"/>
        <v>0</v>
      </c>
      <c r="FN488" s="2">
        <f t="shared" si="8111"/>
        <v>0</v>
      </c>
      <c r="FO488" s="2">
        <f t="shared" si="8111"/>
        <v>0</v>
      </c>
      <c r="FP488" s="2">
        <f t="shared" ref="FP488:FQ488" si="8112">(CI488*$BT488+DD488*$CO488)/100</f>
        <v>0</v>
      </c>
      <c r="FQ488" s="2">
        <f t="shared" si="8112"/>
        <v>0</v>
      </c>
      <c r="FR488" s="2"/>
      <c r="FS488" s="2">
        <f t="shared" si="4388"/>
        <v>0</v>
      </c>
      <c r="FT488" s="2">
        <f t="shared" si="4389"/>
        <v>0</v>
      </c>
      <c r="FU488" s="39">
        <f t="shared" si="4390"/>
        <v>0</v>
      </c>
      <c r="FV488" s="39">
        <f t="shared" ref="FV488:FW488" si="8113">FV$1*FC488/1000000</f>
        <v>0</v>
      </c>
      <c r="FW488" s="39">
        <f t="shared" si="8113"/>
        <v>0</v>
      </c>
      <c r="FX488" s="39">
        <f t="shared" ref="FX488:GC488" si="8114">FX$1*FE488</f>
        <v>0</v>
      </c>
      <c r="FY488" s="39">
        <f t="shared" si="8114"/>
        <v>0</v>
      </c>
      <c r="FZ488" s="39">
        <f t="shared" si="8114"/>
        <v>0</v>
      </c>
      <c r="GA488" s="39">
        <f t="shared" si="8114"/>
        <v>0</v>
      </c>
      <c r="GB488" s="39">
        <f t="shared" si="8114"/>
        <v>0</v>
      </c>
      <c r="GC488" s="39">
        <f t="shared" si="8114"/>
        <v>0</v>
      </c>
      <c r="GD488" s="39">
        <f t="shared" ref="GD488:GH488" si="8115">GD$1*FK488/1000000</f>
        <v>0</v>
      </c>
      <c r="GE488" s="39">
        <f t="shared" si="8115"/>
        <v>0</v>
      </c>
      <c r="GF488" s="39">
        <f t="shared" si="8115"/>
        <v>0</v>
      </c>
      <c r="GG488" s="39">
        <f t="shared" si="8115"/>
        <v>0</v>
      </c>
      <c r="GH488" s="39">
        <f t="shared" si="8115"/>
        <v>0</v>
      </c>
      <c r="GI488" s="39">
        <f t="shared" ref="GI488:GJ488" si="8116">GI$1*FP488</f>
        <v>0</v>
      </c>
      <c r="GJ488" s="39">
        <f t="shared" si="8116"/>
        <v>0</v>
      </c>
      <c r="GK488" s="2"/>
      <c r="GL488" s="39">
        <f t="shared" si="4395"/>
        <v>0</v>
      </c>
      <c r="GM488" s="39">
        <f t="shared" si="4396"/>
        <v>0</v>
      </c>
      <c r="GN488" s="2" t="s">
        <v>3</v>
      </c>
      <c r="GO488" s="2">
        <f t="shared" si="4397"/>
        <v>0.156</v>
      </c>
      <c r="GP488" s="2">
        <f t="shared" si="4398"/>
        <v>2.3199999999999998</v>
      </c>
      <c r="GQ488" s="15">
        <f t="shared" si="4399"/>
        <v>3.6191999999999998</v>
      </c>
      <c r="GR488" s="15">
        <f t="shared" si="4400"/>
        <v>47.462188799999993</v>
      </c>
      <c r="GS488" s="15">
        <f t="shared" si="4401"/>
        <v>304.24479999999994</v>
      </c>
      <c r="GT488" s="2">
        <f t="shared" si="4402"/>
        <v>0</v>
      </c>
      <c r="GU488" s="2">
        <f t="shared" si="4403"/>
        <v>0</v>
      </c>
      <c r="GV488" s="2">
        <f t="shared" si="4404"/>
        <v>3.6191999999999998</v>
      </c>
      <c r="GW488" s="2">
        <f t="shared" si="4405"/>
        <v>0</v>
      </c>
      <c r="GX488" s="2"/>
      <c r="GY488" s="2"/>
      <c r="GZ488" s="2"/>
      <c r="HA488" s="2"/>
      <c r="HB488" s="2">
        <f t="shared" si="4406"/>
        <v>0</v>
      </c>
      <c r="HC488" s="2">
        <f t="shared" si="4407"/>
        <v>0</v>
      </c>
      <c r="HD488" s="2" t="s">
        <v>3</v>
      </c>
      <c r="HE488" s="2" t="s">
        <v>89</v>
      </c>
      <c r="HF488" s="2" t="s">
        <v>378</v>
      </c>
      <c r="HG488" s="2"/>
      <c r="HH488" s="2"/>
      <c r="HI488" s="2" t="s">
        <v>81</v>
      </c>
      <c r="HJ488" s="2" t="s">
        <v>3</v>
      </c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 t="s">
        <v>3</v>
      </c>
    </row>
    <row r="489" spans="1:268" ht="15.75" customHeight="1" x14ac:dyDescent="0.2">
      <c r="A489" s="16" t="s">
        <v>379</v>
      </c>
      <c r="B489" s="2" t="s">
        <v>99</v>
      </c>
      <c r="C489" s="2"/>
      <c r="D489" s="2"/>
      <c r="E489" s="2" t="s">
        <v>179</v>
      </c>
      <c r="F489" s="2" t="s">
        <v>380</v>
      </c>
      <c r="G489" s="2"/>
      <c r="H489" s="2" t="s">
        <v>181</v>
      </c>
      <c r="I489" s="2">
        <v>0</v>
      </c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>
        <v>0</v>
      </c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>
        <v>0.22500000000000001</v>
      </c>
      <c r="AZ489" s="2">
        <v>0.24</v>
      </c>
      <c r="BA489" s="2"/>
      <c r="BB489" s="2"/>
      <c r="BC489" s="2"/>
      <c r="BD489" s="2"/>
      <c r="BE489" s="2"/>
      <c r="BF489" s="2"/>
      <c r="BG489" s="2">
        <v>0.65</v>
      </c>
      <c r="BH489" s="2">
        <v>0.03</v>
      </c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>
        <v>0</v>
      </c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>
        <v>0</v>
      </c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 t="s">
        <v>81</v>
      </c>
      <c r="DK489" s="2" t="s">
        <v>81</v>
      </c>
      <c r="DL489" s="2">
        <f t="shared" si="4367"/>
        <v>0.65</v>
      </c>
      <c r="DM489" s="2">
        <f t="shared" si="4368"/>
        <v>0.03</v>
      </c>
      <c r="DN489" s="2" t="s">
        <v>175</v>
      </c>
      <c r="DO489" s="2" t="s">
        <v>3</v>
      </c>
      <c r="DP489" s="2">
        <f t="shared" si="4369"/>
        <v>5.4000000000000001E-4</v>
      </c>
      <c r="DQ489" s="2">
        <f t="shared" ref="DQ489:DR489" si="8117">K489*$I489+AF489*$AD489+BA489*$AY489</f>
        <v>0</v>
      </c>
      <c r="DR489" s="2">
        <f t="shared" si="8117"/>
        <v>0</v>
      </c>
      <c r="DS489" s="2">
        <f t="shared" ref="DS489:DX489" si="8118">(M489*$I489+AH489*$AD489+BC489*$AY489)/100</f>
        <v>0</v>
      </c>
      <c r="DT489" s="2">
        <f t="shared" si="8118"/>
        <v>0</v>
      </c>
      <c r="DU489" s="2">
        <f t="shared" si="8118"/>
        <v>0</v>
      </c>
      <c r="DV489" s="2">
        <f t="shared" si="8118"/>
        <v>0</v>
      </c>
      <c r="DW489" s="2">
        <f t="shared" si="8118"/>
        <v>1.4625000000000003E-3</v>
      </c>
      <c r="DX489" s="2">
        <f t="shared" si="8118"/>
        <v>6.7500000000000001E-5</v>
      </c>
      <c r="DY489" s="2">
        <f t="shared" ref="DY489:EC489" si="8119">S489*$I489+AN489*$AD489+BI489*$AY489</f>
        <v>0</v>
      </c>
      <c r="DZ489" s="2">
        <f t="shared" si="8119"/>
        <v>0</v>
      </c>
      <c r="EA489" s="2">
        <f t="shared" si="8119"/>
        <v>0</v>
      </c>
      <c r="EB489" s="2">
        <f t="shared" si="8119"/>
        <v>0</v>
      </c>
      <c r="EC489" s="2">
        <f t="shared" si="8119"/>
        <v>0</v>
      </c>
      <c r="ED489" s="2">
        <f t="shared" ref="ED489:EE489" si="8120">(X489*$I489+AS489*$AD489+BN489*$AY489)/100</f>
        <v>0</v>
      </c>
      <c r="EE489" s="2">
        <f t="shared" si="8120"/>
        <v>0</v>
      </c>
      <c r="EF489" s="2"/>
      <c r="EG489" s="2">
        <f t="shared" si="4374"/>
        <v>0</v>
      </c>
      <c r="EH489" s="2">
        <f t="shared" si="4375"/>
        <v>0</v>
      </c>
      <c r="EI489" s="39">
        <f t="shared" si="4376"/>
        <v>3.5238326400000002</v>
      </c>
      <c r="EJ489" s="39">
        <f t="shared" ref="EJ489:EK489" si="8121">EJ$1*DQ489/1000000</f>
        <v>0</v>
      </c>
      <c r="EK489" s="39">
        <f t="shared" si="8121"/>
        <v>0</v>
      </c>
      <c r="EL489" s="39">
        <f t="shared" ref="EL489:EQ489" si="8122">EL$1*DS489</f>
        <v>0</v>
      </c>
      <c r="EM489" s="39">
        <f t="shared" si="8122"/>
        <v>0</v>
      </c>
      <c r="EN489" s="39">
        <f t="shared" si="8122"/>
        <v>0</v>
      </c>
      <c r="EO489" s="39">
        <f t="shared" si="8122"/>
        <v>0</v>
      </c>
      <c r="EP489" s="39">
        <f t="shared" si="8122"/>
        <v>19.179225000000002</v>
      </c>
      <c r="EQ489" s="39">
        <f t="shared" si="8122"/>
        <v>4.9018178699999995</v>
      </c>
      <c r="ER489" s="39">
        <f t="shared" ref="ER489:EV489" si="8123">ER$1*DY489/1000000</f>
        <v>0</v>
      </c>
      <c r="ES489" s="39">
        <f t="shared" si="8123"/>
        <v>0</v>
      </c>
      <c r="ET489" s="39">
        <f t="shared" si="8123"/>
        <v>0</v>
      </c>
      <c r="EU489" s="39">
        <f t="shared" si="8123"/>
        <v>0</v>
      </c>
      <c r="EV489" s="39">
        <f t="shared" si="8123"/>
        <v>0</v>
      </c>
      <c r="EW489" s="39">
        <f t="shared" ref="EW489:EX489" si="8124">EW$1*ED489</f>
        <v>0</v>
      </c>
      <c r="EX489" s="39">
        <f t="shared" si="8124"/>
        <v>0</v>
      </c>
      <c r="EY489" s="2"/>
      <c r="EZ489" s="39">
        <f t="shared" si="4381"/>
        <v>0</v>
      </c>
      <c r="FA489" s="39">
        <f t="shared" si="4382"/>
        <v>0</v>
      </c>
      <c r="FB489" s="2">
        <f t="shared" si="4383"/>
        <v>0</v>
      </c>
      <c r="FC489" s="2">
        <f t="shared" ref="FC489:FD489" si="8125">BV489*$BT489+CQ489*$CO489</f>
        <v>0</v>
      </c>
      <c r="FD489" s="2">
        <f t="shared" si="8125"/>
        <v>0</v>
      </c>
      <c r="FE489" s="2">
        <f t="shared" ref="FE489:FJ489" si="8126">(BX489*$BT489+CS489*$CO489)/100</f>
        <v>0</v>
      </c>
      <c r="FF489" s="2">
        <f t="shared" si="8126"/>
        <v>0</v>
      </c>
      <c r="FG489" s="2">
        <f t="shared" si="8126"/>
        <v>0</v>
      </c>
      <c r="FH489" s="2">
        <f t="shared" si="8126"/>
        <v>0</v>
      </c>
      <c r="FI489" s="2">
        <f t="shared" si="8126"/>
        <v>0</v>
      </c>
      <c r="FJ489" s="2">
        <f t="shared" si="8126"/>
        <v>0</v>
      </c>
      <c r="FK489" s="2">
        <f t="shared" ref="FK489:FO489" si="8127">CD489*$BT489+CY489*$CO489</f>
        <v>0</v>
      </c>
      <c r="FL489" s="2">
        <f t="shared" si="8127"/>
        <v>0</v>
      </c>
      <c r="FM489" s="2">
        <f t="shared" si="8127"/>
        <v>0</v>
      </c>
      <c r="FN489" s="2">
        <f t="shared" si="8127"/>
        <v>0</v>
      </c>
      <c r="FO489" s="2">
        <f t="shared" si="8127"/>
        <v>0</v>
      </c>
      <c r="FP489" s="2">
        <f t="shared" ref="FP489:FQ489" si="8128">(CI489*$BT489+DD489*$CO489)/100</f>
        <v>0</v>
      </c>
      <c r="FQ489" s="2">
        <f t="shared" si="8128"/>
        <v>0</v>
      </c>
      <c r="FR489" s="2"/>
      <c r="FS489" s="2">
        <f t="shared" si="4388"/>
        <v>0</v>
      </c>
      <c r="FT489" s="2">
        <f t="shared" si="4389"/>
        <v>0</v>
      </c>
      <c r="FU489" s="39">
        <f t="shared" si="4390"/>
        <v>0</v>
      </c>
      <c r="FV489" s="39">
        <f t="shared" ref="FV489:FW489" si="8129">FV$1*FC489/1000000</f>
        <v>0</v>
      </c>
      <c r="FW489" s="39">
        <f t="shared" si="8129"/>
        <v>0</v>
      </c>
      <c r="FX489" s="39">
        <f t="shared" ref="FX489:GC489" si="8130">FX$1*FE489</f>
        <v>0</v>
      </c>
      <c r="FY489" s="39">
        <f t="shared" si="8130"/>
        <v>0</v>
      </c>
      <c r="FZ489" s="39">
        <f t="shared" si="8130"/>
        <v>0</v>
      </c>
      <c r="GA489" s="39">
        <f t="shared" si="8130"/>
        <v>0</v>
      </c>
      <c r="GB489" s="39">
        <f t="shared" si="8130"/>
        <v>0</v>
      </c>
      <c r="GC489" s="39">
        <f t="shared" si="8130"/>
        <v>0</v>
      </c>
      <c r="GD489" s="39">
        <f t="shared" ref="GD489:GH489" si="8131">GD$1*FK489/1000000</f>
        <v>0</v>
      </c>
      <c r="GE489" s="39">
        <f t="shared" si="8131"/>
        <v>0</v>
      </c>
      <c r="GF489" s="39">
        <f t="shared" si="8131"/>
        <v>0</v>
      </c>
      <c r="GG489" s="39">
        <f t="shared" si="8131"/>
        <v>0</v>
      </c>
      <c r="GH489" s="39">
        <f t="shared" si="8131"/>
        <v>0</v>
      </c>
      <c r="GI489" s="39">
        <f t="shared" ref="GI489:GJ489" si="8132">GI$1*FP489</f>
        <v>0</v>
      </c>
      <c r="GJ489" s="39">
        <f t="shared" si="8132"/>
        <v>0</v>
      </c>
      <c r="GK489" s="2"/>
      <c r="GL489" s="39">
        <f t="shared" si="4395"/>
        <v>0</v>
      </c>
      <c r="GM489" s="39">
        <f t="shared" si="4396"/>
        <v>0</v>
      </c>
      <c r="GN489" s="2" t="s">
        <v>3</v>
      </c>
      <c r="GO489" s="2">
        <f t="shared" si="4397"/>
        <v>0.22500000000000001</v>
      </c>
      <c r="GP489" s="2">
        <f t="shared" si="4398"/>
        <v>0.65</v>
      </c>
      <c r="GQ489" s="15">
        <f t="shared" si="4399"/>
        <v>1.4624999999999999</v>
      </c>
      <c r="GR489" s="15">
        <f t="shared" si="4400"/>
        <v>27.604875510000003</v>
      </c>
      <c r="GS489" s="15">
        <f t="shared" si="4401"/>
        <v>122.68833560000002</v>
      </c>
      <c r="GT489" s="2">
        <f t="shared" si="4402"/>
        <v>0</v>
      </c>
      <c r="GU489" s="2">
        <f t="shared" si="4403"/>
        <v>0</v>
      </c>
      <c r="GV489" s="2">
        <f t="shared" si="4404"/>
        <v>1.4625000000000004</v>
      </c>
      <c r="GW489" s="2">
        <f t="shared" si="4405"/>
        <v>0</v>
      </c>
      <c r="GX489" s="2"/>
      <c r="GY489" s="2"/>
      <c r="GZ489" s="2"/>
      <c r="HA489" s="2"/>
      <c r="HB489" s="2">
        <f t="shared" si="4406"/>
        <v>0</v>
      </c>
      <c r="HC489" s="2">
        <f t="shared" si="4407"/>
        <v>0</v>
      </c>
      <c r="HD489" s="2" t="s">
        <v>3</v>
      </c>
      <c r="HE489" s="2" t="s">
        <v>89</v>
      </c>
      <c r="HF489" s="2" t="s">
        <v>378</v>
      </c>
      <c r="HG489" s="2"/>
      <c r="HH489" s="2"/>
      <c r="HI489" s="2" t="s">
        <v>81</v>
      </c>
      <c r="HJ489" s="2" t="s">
        <v>3</v>
      </c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 t="s">
        <v>3</v>
      </c>
    </row>
    <row r="490" spans="1:268" ht="15.75" customHeight="1" x14ac:dyDescent="0.2">
      <c r="A490" s="16" t="s">
        <v>1242</v>
      </c>
      <c r="B490" s="2" t="s">
        <v>99</v>
      </c>
      <c r="C490" s="2"/>
      <c r="D490" s="2"/>
      <c r="E490" s="2" t="s">
        <v>179</v>
      </c>
      <c r="F490" s="2" t="s">
        <v>1243</v>
      </c>
      <c r="G490" s="2"/>
      <c r="H490" s="2" t="s">
        <v>181</v>
      </c>
      <c r="I490" s="2">
        <v>0</v>
      </c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>
        <v>0</v>
      </c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>
        <v>0.02</v>
      </c>
      <c r="AZ490" s="2">
        <v>0.15</v>
      </c>
      <c r="BA490" s="2"/>
      <c r="BB490" s="2"/>
      <c r="BC490" s="2"/>
      <c r="BD490" s="2"/>
      <c r="BE490" s="2"/>
      <c r="BF490" s="2"/>
      <c r="BG490" s="2">
        <v>2.7</v>
      </c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>
        <v>0</v>
      </c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>
        <v>0</v>
      </c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 t="s">
        <v>81</v>
      </c>
      <c r="DK490" s="2"/>
      <c r="DL490" s="2">
        <f t="shared" si="4367"/>
        <v>2.7</v>
      </c>
      <c r="DM490" s="2">
        <f t="shared" si="4368"/>
        <v>0</v>
      </c>
      <c r="DN490" s="2" t="s">
        <v>175</v>
      </c>
      <c r="DO490" s="2" t="s">
        <v>3</v>
      </c>
      <c r="DP490" s="2">
        <f t="shared" si="4369"/>
        <v>3.0000000000000001E-5</v>
      </c>
      <c r="DQ490" s="2">
        <f t="shared" ref="DQ490:DR490" si="8133">K490*$I490+AF490*$AD490+BA490*$AY490</f>
        <v>0</v>
      </c>
      <c r="DR490" s="2">
        <f t="shared" si="8133"/>
        <v>0</v>
      </c>
      <c r="DS490" s="2">
        <f t="shared" ref="DS490:DX490" si="8134">(M490*$I490+AH490*$AD490+BC490*$AY490)/100</f>
        <v>0</v>
      </c>
      <c r="DT490" s="2">
        <f t="shared" si="8134"/>
        <v>0</v>
      </c>
      <c r="DU490" s="2">
        <f t="shared" si="8134"/>
        <v>0</v>
      </c>
      <c r="DV490" s="2">
        <f t="shared" si="8134"/>
        <v>0</v>
      </c>
      <c r="DW490" s="2">
        <f t="shared" si="8134"/>
        <v>5.4000000000000012E-4</v>
      </c>
      <c r="DX490" s="2">
        <f t="shared" si="8134"/>
        <v>0</v>
      </c>
      <c r="DY490" s="2">
        <f t="shared" ref="DY490:EC490" si="8135">S490*$I490+AN490*$AD490+BI490*$AY490</f>
        <v>0</v>
      </c>
      <c r="DZ490" s="2">
        <f t="shared" si="8135"/>
        <v>0</v>
      </c>
      <c r="EA490" s="2">
        <f t="shared" si="8135"/>
        <v>0</v>
      </c>
      <c r="EB490" s="2">
        <f t="shared" si="8135"/>
        <v>0</v>
      </c>
      <c r="EC490" s="2">
        <f t="shared" si="8135"/>
        <v>0</v>
      </c>
      <c r="ED490" s="2">
        <f t="shared" ref="ED490:EE490" si="8136">(X490*$I490+AS490*$AD490+BN490*$AY490)/100</f>
        <v>0</v>
      </c>
      <c r="EE490" s="2">
        <f t="shared" si="8136"/>
        <v>0</v>
      </c>
      <c r="EF490" s="2"/>
      <c r="EG490" s="2">
        <f t="shared" si="4374"/>
        <v>0</v>
      </c>
      <c r="EH490" s="2">
        <f t="shared" si="4375"/>
        <v>0</v>
      </c>
      <c r="EI490" s="39">
        <f t="shared" si="4376"/>
        <v>0.19576847999999999</v>
      </c>
      <c r="EJ490" s="39">
        <f t="shared" ref="EJ490:EK490" si="8137">EJ$1*DQ490/1000000</f>
        <v>0</v>
      </c>
      <c r="EK490" s="39">
        <f t="shared" si="8137"/>
        <v>0</v>
      </c>
      <c r="EL490" s="39">
        <f t="shared" ref="EL490:EQ490" si="8138">EL$1*DS490</f>
        <v>0</v>
      </c>
      <c r="EM490" s="39">
        <f t="shared" si="8138"/>
        <v>0</v>
      </c>
      <c r="EN490" s="39">
        <f t="shared" si="8138"/>
        <v>0</v>
      </c>
      <c r="EO490" s="39">
        <f t="shared" si="8138"/>
        <v>0</v>
      </c>
      <c r="EP490" s="39">
        <f t="shared" si="8138"/>
        <v>7.0815600000000014</v>
      </c>
      <c r="EQ490" s="39">
        <f t="shared" si="8138"/>
        <v>0</v>
      </c>
      <c r="ER490" s="39">
        <f t="shared" ref="ER490:EV490" si="8139">ER$1*DY490/1000000</f>
        <v>0</v>
      </c>
      <c r="ES490" s="39">
        <f t="shared" si="8139"/>
        <v>0</v>
      </c>
      <c r="ET490" s="39">
        <f t="shared" si="8139"/>
        <v>0</v>
      </c>
      <c r="EU490" s="39">
        <f t="shared" si="8139"/>
        <v>0</v>
      </c>
      <c r="EV490" s="39">
        <f t="shared" si="8139"/>
        <v>0</v>
      </c>
      <c r="EW490" s="39">
        <f t="shared" ref="EW490:EX490" si="8140">EW$1*ED490</f>
        <v>0</v>
      </c>
      <c r="EX490" s="39">
        <f t="shared" si="8140"/>
        <v>0</v>
      </c>
      <c r="EY490" s="2"/>
      <c r="EZ490" s="39">
        <f t="shared" si="4381"/>
        <v>0</v>
      </c>
      <c r="FA490" s="39">
        <f t="shared" si="4382"/>
        <v>0</v>
      </c>
      <c r="FB490" s="2">
        <f t="shared" si="4383"/>
        <v>0</v>
      </c>
      <c r="FC490" s="2">
        <f t="shared" ref="FC490:FD490" si="8141">BV490*$BT490+CQ490*$CO490</f>
        <v>0</v>
      </c>
      <c r="FD490" s="2">
        <f t="shared" si="8141"/>
        <v>0</v>
      </c>
      <c r="FE490" s="2">
        <f t="shared" ref="FE490:FJ490" si="8142">(BX490*$BT490+CS490*$CO490)/100</f>
        <v>0</v>
      </c>
      <c r="FF490" s="2">
        <f t="shared" si="8142"/>
        <v>0</v>
      </c>
      <c r="FG490" s="2">
        <f t="shared" si="8142"/>
        <v>0</v>
      </c>
      <c r="FH490" s="2">
        <f t="shared" si="8142"/>
        <v>0</v>
      </c>
      <c r="FI490" s="2">
        <f t="shared" si="8142"/>
        <v>0</v>
      </c>
      <c r="FJ490" s="2">
        <f t="shared" si="8142"/>
        <v>0</v>
      </c>
      <c r="FK490" s="2">
        <f t="shared" ref="FK490:FO490" si="8143">CD490*$BT490+CY490*$CO490</f>
        <v>0</v>
      </c>
      <c r="FL490" s="2">
        <f t="shared" si="8143"/>
        <v>0</v>
      </c>
      <c r="FM490" s="2">
        <f t="shared" si="8143"/>
        <v>0</v>
      </c>
      <c r="FN490" s="2">
        <f t="shared" si="8143"/>
        <v>0</v>
      </c>
      <c r="FO490" s="2">
        <f t="shared" si="8143"/>
        <v>0</v>
      </c>
      <c r="FP490" s="2">
        <f t="shared" ref="FP490:FQ490" si="8144">(CI490*$BT490+DD490*$CO490)/100</f>
        <v>0</v>
      </c>
      <c r="FQ490" s="2">
        <f t="shared" si="8144"/>
        <v>0</v>
      </c>
      <c r="FR490" s="2"/>
      <c r="FS490" s="2">
        <f t="shared" si="4388"/>
        <v>0</v>
      </c>
      <c r="FT490" s="2">
        <f t="shared" si="4389"/>
        <v>0</v>
      </c>
      <c r="FU490" s="39">
        <f t="shared" si="4390"/>
        <v>0</v>
      </c>
      <c r="FV490" s="39">
        <f t="shared" ref="FV490:FW490" si="8145">FV$1*FC490/1000000</f>
        <v>0</v>
      </c>
      <c r="FW490" s="39">
        <f t="shared" si="8145"/>
        <v>0</v>
      </c>
      <c r="FX490" s="39">
        <f t="shared" ref="FX490:GC490" si="8146">FX$1*FE490</f>
        <v>0</v>
      </c>
      <c r="FY490" s="39">
        <f t="shared" si="8146"/>
        <v>0</v>
      </c>
      <c r="FZ490" s="39">
        <f t="shared" si="8146"/>
        <v>0</v>
      </c>
      <c r="GA490" s="39">
        <f t="shared" si="8146"/>
        <v>0</v>
      </c>
      <c r="GB490" s="39">
        <f t="shared" si="8146"/>
        <v>0</v>
      </c>
      <c r="GC490" s="39">
        <f t="shared" si="8146"/>
        <v>0</v>
      </c>
      <c r="GD490" s="39">
        <f t="shared" ref="GD490:GH490" si="8147">GD$1*FK490/1000000</f>
        <v>0</v>
      </c>
      <c r="GE490" s="39">
        <f t="shared" si="8147"/>
        <v>0</v>
      </c>
      <c r="GF490" s="39">
        <f t="shared" si="8147"/>
        <v>0</v>
      </c>
      <c r="GG490" s="39">
        <f t="shared" si="8147"/>
        <v>0</v>
      </c>
      <c r="GH490" s="39">
        <f t="shared" si="8147"/>
        <v>0</v>
      </c>
      <c r="GI490" s="39">
        <f t="shared" ref="GI490:GJ490" si="8148">GI$1*FP490</f>
        <v>0</v>
      </c>
      <c r="GJ490" s="39">
        <f t="shared" si="8148"/>
        <v>0</v>
      </c>
      <c r="GK490" s="2"/>
      <c r="GL490" s="39">
        <f t="shared" si="4395"/>
        <v>0</v>
      </c>
      <c r="GM490" s="39">
        <f t="shared" si="4396"/>
        <v>0</v>
      </c>
      <c r="GN490" s="2" t="s">
        <v>3</v>
      </c>
      <c r="GO490" s="2">
        <f t="shared" si="4397"/>
        <v>0.02</v>
      </c>
      <c r="GP490" s="2">
        <f t="shared" si="4398"/>
        <v>2.7</v>
      </c>
      <c r="GQ490" s="15">
        <f t="shared" si="4399"/>
        <v>0.54</v>
      </c>
      <c r="GR490" s="15">
        <f t="shared" si="4400"/>
        <v>7.2773284800000013</v>
      </c>
      <c r="GS490" s="15">
        <f t="shared" si="4401"/>
        <v>363.86642400000005</v>
      </c>
      <c r="GT490" s="2">
        <f t="shared" si="4402"/>
        <v>0</v>
      </c>
      <c r="GU490" s="2">
        <f t="shared" si="4403"/>
        <v>0</v>
      </c>
      <c r="GV490" s="2">
        <f t="shared" si="4404"/>
        <v>0.54</v>
      </c>
      <c r="GW490" s="2">
        <f t="shared" si="4405"/>
        <v>0</v>
      </c>
      <c r="GX490" s="2"/>
      <c r="GY490" s="2"/>
      <c r="GZ490" s="2"/>
      <c r="HA490" s="2"/>
      <c r="HB490" s="2">
        <f t="shared" si="4406"/>
        <v>0</v>
      </c>
      <c r="HC490" s="2">
        <f t="shared" si="4407"/>
        <v>0</v>
      </c>
      <c r="HD490" s="2" t="s">
        <v>3</v>
      </c>
      <c r="HE490" s="2" t="s">
        <v>89</v>
      </c>
      <c r="HF490" s="2" t="s">
        <v>378</v>
      </c>
      <c r="HG490" s="2"/>
      <c r="HH490" s="2"/>
      <c r="HI490" s="2" t="s">
        <v>81</v>
      </c>
      <c r="HJ490" s="2" t="s">
        <v>3</v>
      </c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 t="s">
        <v>3</v>
      </c>
    </row>
    <row r="491" spans="1:268" ht="15.75" customHeight="1" x14ac:dyDescent="0.2">
      <c r="A491" s="16" t="s">
        <v>875</v>
      </c>
      <c r="B491" s="2" t="s">
        <v>99</v>
      </c>
      <c r="C491" s="2"/>
      <c r="D491" s="2"/>
      <c r="E491" s="2" t="s">
        <v>78</v>
      </c>
      <c r="F491" s="2" t="s">
        <v>876</v>
      </c>
      <c r="G491" s="2"/>
      <c r="H491" s="2" t="s">
        <v>242</v>
      </c>
      <c r="I491" s="2">
        <v>0</v>
      </c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>
        <f>10.5+5.2</f>
        <v>15.7</v>
      </c>
      <c r="AE491" s="2"/>
      <c r="AF491" s="2"/>
      <c r="AG491" s="2"/>
      <c r="AH491" s="2"/>
      <c r="AI491" s="2"/>
      <c r="AJ491" s="2"/>
      <c r="AK491" s="2"/>
      <c r="AL491" s="4">
        <f>(0.58*10.5+0.64*5.2)/AD491</f>
        <v>0.59987261146496818</v>
      </c>
      <c r="AM491" s="4">
        <f>(0.12*10.5+0.15*5.2)/AD491</f>
        <v>0.12993630573248408</v>
      </c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>
        <f>2+0.8+7.7+2.8</f>
        <v>13.3</v>
      </c>
      <c r="AZ491" s="2"/>
      <c r="BA491" s="2"/>
      <c r="BB491" s="2"/>
      <c r="BC491" s="2"/>
      <c r="BD491" s="2"/>
      <c r="BE491" s="2"/>
      <c r="BF491" s="2"/>
      <c r="BG491" s="4">
        <f>(0.51*2+0.52*0.8+0.45*7.7+0.47*2.8)/AY491</f>
        <v>0.46744360902255633</v>
      </c>
      <c r="BH491" s="4">
        <f>(0.11*2+0.15*0.8+0.11*7.7+0.15*2.8)/AY491</f>
        <v>0.12082706766917291</v>
      </c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>
        <v>0</v>
      </c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>
        <v>0</v>
      </c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 t="s">
        <v>81</v>
      </c>
      <c r="DK491" s="2" t="s">
        <v>81</v>
      </c>
      <c r="DL491" s="2">
        <f t="shared" si="4367"/>
        <v>0.53913793103448271</v>
      </c>
      <c r="DM491" s="2">
        <f t="shared" si="4368"/>
        <v>0.12575862068965515</v>
      </c>
      <c r="DN491" s="2" t="s">
        <v>211</v>
      </c>
      <c r="DO491" s="2" t="s">
        <v>3</v>
      </c>
      <c r="DP491" s="2">
        <f t="shared" si="4369"/>
        <v>0</v>
      </c>
      <c r="DQ491" s="2">
        <f t="shared" ref="DQ491:DR491" si="8149">K491*$I491+AF491*$AD491+BA491*$AY491</f>
        <v>0</v>
      </c>
      <c r="DR491" s="2">
        <f t="shared" si="8149"/>
        <v>0</v>
      </c>
      <c r="DS491" s="2">
        <f t="shared" ref="DS491:DX491" si="8150">(M491*$I491+AH491*$AD491+BC491*$AY491)/100</f>
        <v>0</v>
      </c>
      <c r="DT491" s="2">
        <f t="shared" si="8150"/>
        <v>0</v>
      </c>
      <c r="DU491" s="2">
        <f t="shared" si="8150"/>
        <v>0</v>
      </c>
      <c r="DV491" s="2">
        <f t="shared" si="8150"/>
        <v>0</v>
      </c>
      <c r="DW491" s="2">
        <f t="shared" si="8150"/>
        <v>0.15634999999999999</v>
      </c>
      <c r="DX491" s="2">
        <f t="shared" si="8150"/>
        <v>3.6469999999999995E-2</v>
      </c>
      <c r="DY491" s="2">
        <f t="shared" ref="DY491:EC491" si="8151">S491*$I491+AN491*$AD491+BI491*$AY491</f>
        <v>0</v>
      </c>
      <c r="DZ491" s="2">
        <f t="shared" si="8151"/>
        <v>0</v>
      </c>
      <c r="EA491" s="2">
        <f t="shared" si="8151"/>
        <v>0</v>
      </c>
      <c r="EB491" s="2">
        <f t="shared" si="8151"/>
        <v>0</v>
      </c>
      <c r="EC491" s="2">
        <f t="shared" si="8151"/>
        <v>0</v>
      </c>
      <c r="ED491" s="2">
        <f t="shared" ref="ED491:EE491" si="8152">(X491*$I491+AS491*$AD491+BN491*$AY491)/100</f>
        <v>0</v>
      </c>
      <c r="EE491" s="2">
        <f t="shared" si="8152"/>
        <v>0</v>
      </c>
      <c r="EF491" s="2"/>
      <c r="EG491" s="2">
        <f t="shared" si="4374"/>
        <v>0</v>
      </c>
      <c r="EH491" s="2">
        <f t="shared" si="4375"/>
        <v>0</v>
      </c>
      <c r="EI491" s="39">
        <f t="shared" si="4376"/>
        <v>0</v>
      </c>
      <c r="EJ491" s="39">
        <f t="shared" ref="EJ491:EK491" si="8153">EJ$1*DQ491/1000000</f>
        <v>0</v>
      </c>
      <c r="EK491" s="39">
        <f t="shared" si="8153"/>
        <v>0</v>
      </c>
      <c r="EL491" s="39">
        <f t="shared" ref="EL491:EQ491" si="8154">EL$1*DS491</f>
        <v>0</v>
      </c>
      <c r="EM491" s="39">
        <f t="shared" si="8154"/>
        <v>0</v>
      </c>
      <c r="EN491" s="39">
        <f t="shared" si="8154"/>
        <v>0</v>
      </c>
      <c r="EO491" s="39">
        <f t="shared" si="8154"/>
        <v>0</v>
      </c>
      <c r="EP491" s="39">
        <f t="shared" si="8154"/>
        <v>2050.3739</v>
      </c>
      <c r="EQ491" s="39">
        <f t="shared" si="8154"/>
        <v>2648.4340402799994</v>
      </c>
      <c r="ER491" s="39">
        <f t="shared" ref="ER491:EV491" si="8155">ER$1*DY491/1000000</f>
        <v>0</v>
      </c>
      <c r="ES491" s="39">
        <f t="shared" si="8155"/>
        <v>0</v>
      </c>
      <c r="ET491" s="39">
        <f t="shared" si="8155"/>
        <v>0</v>
      </c>
      <c r="EU491" s="39">
        <f t="shared" si="8155"/>
        <v>0</v>
      </c>
      <c r="EV491" s="39">
        <f t="shared" si="8155"/>
        <v>0</v>
      </c>
      <c r="EW491" s="39">
        <f t="shared" ref="EW491:EX491" si="8156">EW$1*ED491</f>
        <v>0</v>
      </c>
      <c r="EX491" s="39">
        <f t="shared" si="8156"/>
        <v>0</v>
      </c>
      <c r="EY491" s="2"/>
      <c r="EZ491" s="39">
        <f t="shared" si="4381"/>
        <v>0</v>
      </c>
      <c r="FA491" s="39">
        <f t="shared" si="4382"/>
        <v>0</v>
      </c>
      <c r="FB491" s="2">
        <f t="shared" si="4383"/>
        <v>0</v>
      </c>
      <c r="FC491" s="2">
        <f t="shared" ref="FC491:FD491" si="8157">BV491*$BT491+CQ491*$CO491</f>
        <v>0</v>
      </c>
      <c r="FD491" s="2">
        <f t="shared" si="8157"/>
        <v>0</v>
      </c>
      <c r="FE491" s="2">
        <f t="shared" ref="FE491:FJ491" si="8158">(BX491*$BT491+CS491*$CO491)/100</f>
        <v>0</v>
      </c>
      <c r="FF491" s="2">
        <f t="shared" si="8158"/>
        <v>0</v>
      </c>
      <c r="FG491" s="2">
        <f t="shared" si="8158"/>
        <v>0</v>
      </c>
      <c r="FH491" s="2">
        <f t="shared" si="8158"/>
        <v>0</v>
      </c>
      <c r="FI491" s="2">
        <f t="shared" si="8158"/>
        <v>0</v>
      </c>
      <c r="FJ491" s="2">
        <f t="shared" si="8158"/>
        <v>0</v>
      </c>
      <c r="FK491" s="2">
        <f t="shared" ref="FK491:FO491" si="8159">CD491*$BT491+CY491*$CO491</f>
        <v>0</v>
      </c>
      <c r="FL491" s="2">
        <f t="shared" si="8159"/>
        <v>0</v>
      </c>
      <c r="FM491" s="2">
        <f t="shared" si="8159"/>
        <v>0</v>
      </c>
      <c r="FN491" s="2">
        <f t="shared" si="8159"/>
        <v>0</v>
      </c>
      <c r="FO491" s="2">
        <f t="shared" si="8159"/>
        <v>0</v>
      </c>
      <c r="FP491" s="2">
        <f t="shared" ref="FP491:FQ491" si="8160">(CI491*$BT491+DD491*$CO491)/100</f>
        <v>0</v>
      </c>
      <c r="FQ491" s="2">
        <f t="shared" si="8160"/>
        <v>0</v>
      </c>
      <c r="FR491" s="2"/>
      <c r="FS491" s="2">
        <f t="shared" si="4388"/>
        <v>0</v>
      </c>
      <c r="FT491" s="2">
        <f t="shared" si="4389"/>
        <v>0</v>
      </c>
      <c r="FU491" s="39">
        <f t="shared" si="4390"/>
        <v>0</v>
      </c>
      <c r="FV491" s="39">
        <f t="shared" ref="FV491:FW491" si="8161">FV$1*FC491/1000000</f>
        <v>0</v>
      </c>
      <c r="FW491" s="39">
        <f t="shared" si="8161"/>
        <v>0</v>
      </c>
      <c r="FX491" s="39">
        <f t="shared" ref="FX491:GC491" si="8162">FX$1*FE491</f>
        <v>0</v>
      </c>
      <c r="FY491" s="39">
        <f t="shared" si="8162"/>
        <v>0</v>
      </c>
      <c r="FZ491" s="39">
        <f t="shared" si="8162"/>
        <v>0</v>
      </c>
      <c r="GA491" s="39">
        <f t="shared" si="8162"/>
        <v>0</v>
      </c>
      <c r="GB491" s="39">
        <f t="shared" si="8162"/>
        <v>0</v>
      </c>
      <c r="GC491" s="39">
        <f t="shared" si="8162"/>
        <v>0</v>
      </c>
      <c r="GD491" s="39">
        <f t="shared" ref="GD491:GH491" si="8163">GD$1*FK491/1000000</f>
        <v>0</v>
      </c>
      <c r="GE491" s="39">
        <f t="shared" si="8163"/>
        <v>0</v>
      </c>
      <c r="GF491" s="39">
        <f t="shared" si="8163"/>
        <v>0</v>
      </c>
      <c r="GG491" s="39">
        <f t="shared" si="8163"/>
        <v>0</v>
      </c>
      <c r="GH491" s="39">
        <f t="shared" si="8163"/>
        <v>0</v>
      </c>
      <c r="GI491" s="39">
        <f t="shared" ref="GI491:GJ491" si="8164">GI$1*FP491</f>
        <v>0</v>
      </c>
      <c r="GJ491" s="39">
        <f t="shared" si="8164"/>
        <v>0</v>
      </c>
      <c r="GK491" s="2"/>
      <c r="GL491" s="39">
        <f t="shared" si="4395"/>
        <v>0</v>
      </c>
      <c r="GM491" s="39">
        <f t="shared" si="4396"/>
        <v>0</v>
      </c>
      <c r="GN491" s="2" t="s">
        <v>3</v>
      </c>
      <c r="GO491" s="2">
        <f t="shared" si="4397"/>
        <v>29</v>
      </c>
      <c r="GP491" s="4">
        <f t="shared" si="4398"/>
        <v>0.53913793103448271</v>
      </c>
      <c r="GQ491" s="15">
        <f t="shared" si="4399"/>
        <v>156.35</v>
      </c>
      <c r="GR491" s="15">
        <f t="shared" si="4400"/>
        <v>4698.8079402799995</v>
      </c>
      <c r="GS491" s="15">
        <f t="shared" si="4401"/>
        <v>162.02786000965514</v>
      </c>
      <c r="GT491" s="2">
        <f t="shared" si="4402"/>
        <v>0</v>
      </c>
      <c r="GU491" s="2">
        <f t="shared" si="4403"/>
        <v>94.18</v>
      </c>
      <c r="GV491" s="2">
        <f t="shared" si="4404"/>
        <v>62.17</v>
      </c>
      <c r="GW491" s="2">
        <f t="shared" si="4405"/>
        <v>0</v>
      </c>
      <c r="GX491" s="2"/>
      <c r="GY491" s="2"/>
      <c r="GZ491" s="2"/>
      <c r="HA491" s="2"/>
      <c r="HB491" s="2">
        <f t="shared" si="4406"/>
        <v>0</v>
      </c>
      <c r="HC491" s="2">
        <f t="shared" si="4407"/>
        <v>0</v>
      </c>
      <c r="HD491" s="2" t="s">
        <v>3</v>
      </c>
      <c r="HE491" s="2" t="s">
        <v>89</v>
      </c>
      <c r="HF491" s="2" t="s">
        <v>378</v>
      </c>
      <c r="HG491" s="2"/>
      <c r="HH491" s="2"/>
      <c r="HI491" s="2" t="s">
        <v>81</v>
      </c>
      <c r="HJ491" s="2" t="s">
        <v>3</v>
      </c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 t="s">
        <v>3</v>
      </c>
    </row>
    <row r="492" spans="1:268" ht="15.75" customHeight="1" x14ac:dyDescent="0.2">
      <c r="A492" s="16" t="s">
        <v>1148</v>
      </c>
      <c r="B492" s="2" t="s">
        <v>99</v>
      </c>
      <c r="C492" s="2"/>
      <c r="D492" s="2"/>
      <c r="E492" s="2" t="s">
        <v>179</v>
      </c>
      <c r="F492" s="2" t="s">
        <v>1149</v>
      </c>
      <c r="G492" s="2"/>
      <c r="H492" s="2" t="s">
        <v>181</v>
      </c>
      <c r="I492" s="2">
        <v>0</v>
      </c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>
        <v>3.9</v>
      </c>
      <c r="AE492" s="2">
        <v>0.6</v>
      </c>
      <c r="AF492" s="2"/>
      <c r="AG492" s="2"/>
      <c r="AH492" s="2"/>
      <c r="AI492" s="2"/>
      <c r="AJ492" s="2"/>
      <c r="AK492" s="2"/>
      <c r="AL492" s="2">
        <v>0.8</v>
      </c>
      <c r="AM492" s="2">
        <v>0.04</v>
      </c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>
        <v>0.4</v>
      </c>
      <c r="AZ492" s="2">
        <v>0.3</v>
      </c>
      <c r="BA492" s="2"/>
      <c r="BB492" s="2"/>
      <c r="BC492" s="2"/>
      <c r="BD492" s="2"/>
      <c r="BE492" s="2"/>
      <c r="BF492" s="2"/>
      <c r="BG492" s="2">
        <v>0.6</v>
      </c>
      <c r="BH492" s="2">
        <v>0.03</v>
      </c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>
        <v>0</v>
      </c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>
        <v>0</v>
      </c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 t="s">
        <v>81</v>
      </c>
      <c r="DK492" s="2" t="s">
        <v>81</v>
      </c>
      <c r="DL492" s="2">
        <f t="shared" si="4367"/>
        <v>0.7813953488372094</v>
      </c>
      <c r="DM492" s="2">
        <f t="shared" si="4368"/>
        <v>3.906976744186047E-2</v>
      </c>
      <c r="DN492" s="2" t="s">
        <v>175</v>
      </c>
      <c r="DO492" s="2" t="s">
        <v>3</v>
      </c>
      <c r="DP492" s="2">
        <f t="shared" si="4369"/>
        <v>2.46E-2</v>
      </c>
      <c r="DQ492" s="2">
        <f t="shared" ref="DQ492:DR492" si="8165">K492*$I492+AF492*$AD492+BA492*$AY492</f>
        <v>0</v>
      </c>
      <c r="DR492" s="2">
        <f t="shared" si="8165"/>
        <v>0</v>
      </c>
      <c r="DS492" s="2">
        <f t="shared" ref="DS492:DX492" si="8166">(M492*$I492+AH492*$AD492+BC492*$AY492)/100</f>
        <v>0</v>
      </c>
      <c r="DT492" s="2">
        <f t="shared" si="8166"/>
        <v>0</v>
      </c>
      <c r="DU492" s="2">
        <f t="shared" si="8166"/>
        <v>0</v>
      </c>
      <c r="DV492" s="2">
        <f t="shared" si="8166"/>
        <v>0</v>
      </c>
      <c r="DW492" s="2">
        <f t="shared" si="8166"/>
        <v>3.3600000000000005E-2</v>
      </c>
      <c r="DX492" s="2">
        <f t="shared" si="8166"/>
        <v>1.6800000000000001E-3</v>
      </c>
      <c r="DY492" s="2">
        <f t="shared" ref="DY492:EC492" si="8167">S492*$I492+AN492*$AD492+BI492*$AY492</f>
        <v>0</v>
      </c>
      <c r="DZ492" s="2">
        <f t="shared" si="8167"/>
        <v>0</v>
      </c>
      <c r="EA492" s="2">
        <f t="shared" si="8167"/>
        <v>0</v>
      </c>
      <c r="EB492" s="2">
        <f t="shared" si="8167"/>
        <v>0</v>
      </c>
      <c r="EC492" s="2">
        <f t="shared" si="8167"/>
        <v>0</v>
      </c>
      <c r="ED492" s="2">
        <f t="shared" ref="ED492:EE492" si="8168">(X492*$I492+AS492*$AD492+BN492*$AY492)/100</f>
        <v>0</v>
      </c>
      <c r="EE492" s="2">
        <f t="shared" si="8168"/>
        <v>0</v>
      </c>
      <c r="EF492" s="2"/>
      <c r="EG492" s="2">
        <f t="shared" si="4374"/>
        <v>0</v>
      </c>
      <c r="EH492" s="2">
        <f t="shared" si="4375"/>
        <v>0</v>
      </c>
      <c r="EI492" s="39">
        <f t="shared" si="4376"/>
        <v>160.53015360000001</v>
      </c>
      <c r="EJ492" s="39">
        <f t="shared" ref="EJ492:EK492" si="8169">EJ$1*DQ492/1000000</f>
        <v>0</v>
      </c>
      <c r="EK492" s="39">
        <f t="shared" si="8169"/>
        <v>0</v>
      </c>
      <c r="EL492" s="39">
        <f t="shared" ref="EL492:EQ492" si="8170">EL$1*DS492</f>
        <v>0</v>
      </c>
      <c r="EM492" s="39">
        <f t="shared" si="8170"/>
        <v>0</v>
      </c>
      <c r="EN492" s="39">
        <f t="shared" si="8170"/>
        <v>0</v>
      </c>
      <c r="EO492" s="39">
        <f t="shared" si="8170"/>
        <v>0</v>
      </c>
      <c r="EP492" s="39">
        <f t="shared" si="8170"/>
        <v>440.63040000000007</v>
      </c>
      <c r="EQ492" s="39">
        <f t="shared" si="8170"/>
        <v>122.00080031999998</v>
      </c>
      <c r="ER492" s="39">
        <f t="shared" ref="ER492:EV492" si="8171">ER$1*DY492/1000000</f>
        <v>0</v>
      </c>
      <c r="ES492" s="39">
        <f t="shared" si="8171"/>
        <v>0</v>
      </c>
      <c r="ET492" s="39">
        <f t="shared" si="8171"/>
        <v>0</v>
      </c>
      <c r="EU492" s="39">
        <f t="shared" si="8171"/>
        <v>0</v>
      </c>
      <c r="EV492" s="39">
        <f t="shared" si="8171"/>
        <v>0</v>
      </c>
      <c r="EW492" s="39">
        <f t="shared" ref="EW492:EX492" si="8172">EW$1*ED492</f>
        <v>0</v>
      </c>
      <c r="EX492" s="39">
        <f t="shared" si="8172"/>
        <v>0</v>
      </c>
      <c r="EY492" s="2"/>
      <c r="EZ492" s="39">
        <f t="shared" si="4381"/>
        <v>0</v>
      </c>
      <c r="FA492" s="39">
        <f t="shared" si="4382"/>
        <v>0</v>
      </c>
      <c r="FB492" s="2">
        <f t="shared" si="4383"/>
        <v>0</v>
      </c>
      <c r="FC492" s="2">
        <f t="shared" ref="FC492:FD492" si="8173">BV492*$BT492+CQ492*$CO492</f>
        <v>0</v>
      </c>
      <c r="FD492" s="2">
        <f t="shared" si="8173"/>
        <v>0</v>
      </c>
      <c r="FE492" s="2">
        <f t="shared" ref="FE492:FJ492" si="8174">(BX492*$BT492+CS492*$CO492)/100</f>
        <v>0</v>
      </c>
      <c r="FF492" s="2">
        <f t="shared" si="8174"/>
        <v>0</v>
      </c>
      <c r="FG492" s="2">
        <f t="shared" si="8174"/>
        <v>0</v>
      </c>
      <c r="FH492" s="2">
        <f t="shared" si="8174"/>
        <v>0</v>
      </c>
      <c r="FI492" s="2">
        <f t="shared" si="8174"/>
        <v>0</v>
      </c>
      <c r="FJ492" s="2">
        <f t="shared" si="8174"/>
        <v>0</v>
      </c>
      <c r="FK492" s="2">
        <f t="shared" ref="FK492:FO492" si="8175">CD492*$BT492+CY492*$CO492</f>
        <v>0</v>
      </c>
      <c r="FL492" s="2">
        <f t="shared" si="8175"/>
        <v>0</v>
      </c>
      <c r="FM492" s="2">
        <f t="shared" si="8175"/>
        <v>0</v>
      </c>
      <c r="FN492" s="2">
        <f t="shared" si="8175"/>
        <v>0</v>
      </c>
      <c r="FO492" s="2">
        <f t="shared" si="8175"/>
        <v>0</v>
      </c>
      <c r="FP492" s="2">
        <f t="shared" ref="FP492:FQ492" si="8176">(CI492*$BT492+DD492*$CO492)/100</f>
        <v>0</v>
      </c>
      <c r="FQ492" s="2">
        <f t="shared" si="8176"/>
        <v>0</v>
      </c>
      <c r="FR492" s="2"/>
      <c r="FS492" s="2">
        <f t="shared" si="4388"/>
        <v>0</v>
      </c>
      <c r="FT492" s="2">
        <f t="shared" si="4389"/>
        <v>0</v>
      </c>
      <c r="FU492" s="39">
        <f t="shared" si="4390"/>
        <v>0</v>
      </c>
      <c r="FV492" s="39">
        <f t="shared" ref="FV492:FW492" si="8177">FV$1*FC492/1000000</f>
        <v>0</v>
      </c>
      <c r="FW492" s="39">
        <f t="shared" si="8177"/>
        <v>0</v>
      </c>
      <c r="FX492" s="39">
        <f t="shared" ref="FX492:GC492" si="8178">FX$1*FE492</f>
        <v>0</v>
      </c>
      <c r="FY492" s="39">
        <f t="shared" si="8178"/>
        <v>0</v>
      </c>
      <c r="FZ492" s="39">
        <f t="shared" si="8178"/>
        <v>0</v>
      </c>
      <c r="GA492" s="39">
        <f t="shared" si="8178"/>
        <v>0</v>
      </c>
      <c r="GB492" s="39">
        <f t="shared" si="8178"/>
        <v>0</v>
      </c>
      <c r="GC492" s="39">
        <f t="shared" si="8178"/>
        <v>0</v>
      </c>
      <c r="GD492" s="39">
        <f t="shared" ref="GD492:GH492" si="8179">GD$1*FK492/1000000</f>
        <v>0</v>
      </c>
      <c r="GE492" s="39">
        <f t="shared" si="8179"/>
        <v>0</v>
      </c>
      <c r="GF492" s="39">
        <f t="shared" si="8179"/>
        <v>0</v>
      </c>
      <c r="GG492" s="39">
        <f t="shared" si="8179"/>
        <v>0</v>
      </c>
      <c r="GH492" s="39">
        <f t="shared" si="8179"/>
        <v>0</v>
      </c>
      <c r="GI492" s="39">
        <f t="shared" ref="GI492:GJ492" si="8180">GI$1*FP492</f>
        <v>0</v>
      </c>
      <c r="GJ492" s="39">
        <f t="shared" si="8180"/>
        <v>0</v>
      </c>
      <c r="GK492" s="2"/>
      <c r="GL492" s="39">
        <f t="shared" si="4395"/>
        <v>0</v>
      </c>
      <c r="GM492" s="39">
        <f t="shared" si="4396"/>
        <v>0</v>
      </c>
      <c r="GN492" s="2" t="s">
        <v>3</v>
      </c>
      <c r="GO492" s="2">
        <f t="shared" si="4397"/>
        <v>4.3</v>
      </c>
      <c r="GP492" s="4">
        <f t="shared" si="4398"/>
        <v>0.7813953488372094</v>
      </c>
      <c r="GQ492" s="15">
        <f t="shared" si="4399"/>
        <v>33.6</v>
      </c>
      <c r="GR492" s="15">
        <f t="shared" si="4400"/>
        <v>723.16135392000001</v>
      </c>
      <c r="GS492" s="15">
        <f t="shared" si="4401"/>
        <v>168.17705905116281</v>
      </c>
      <c r="GT492" s="2">
        <f t="shared" si="4402"/>
        <v>0</v>
      </c>
      <c r="GU492" s="2">
        <f t="shared" si="4403"/>
        <v>31.2</v>
      </c>
      <c r="GV492" s="2">
        <f t="shared" si="4404"/>
        <v>2.4</v>
      </c>
      <c r="GW492" s="2">
        <f t="shared" si="4405"/>
        <v>0</v>
      </c>
      <c r="GX492" s="2"/>
      <c r="GY492" s="2"/>
      <c r="GZ492" s="2"/>
      <c r="HA492" s="2"/>
      <c r="HB492" s="2">
        <f t="shared" si="4406"/>
        <v>0</v>
      </c>
      <c r="HC492" s="2">
        <f t="shared" si="4407"/>
        <v>0</v>
      </c>
      <c r="HD492" s="2" t="s">
        <v>3</v>
      </c>
      <c r="HE492" s="2" t="s">
        <v>89</v>
      </c>
      <c r="HF492" s="2" t="s">
        <v>378</v>
      </c>
      <c r="HG492" s="2"/>
      <c r="HH492" s="2"/>
      <c r="HI492" s="2" t="s">
        <v>81</v>
      </c>
      <c r="HJ492" s="2" t="s">
        <v>3</v>
      </c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 t="s">
        <v>3</v>
      </c>
    </row>
    <row r="493" spans="1:268" ht="15.75" customHeight="1" x14ac:dyDescent="0.2">
      <c r="A493" s="16" t="s">
        <v>810</v>
      </c>
      <c r="B493" s="2" t="s">
        <v>99</v>
      </c>
      <c r="C493" s="2"/>
      <c r="D493" s="2"/>
      <c r="E493" s="2"/>
      <c r="F493" s="2" t="s">
        <v>703</v>
      </c>
      <c r="G493" s="2"/>
      <c r="H493" s="2"/>
      <c r="I493" s="2">
        <v>0</v>
      </c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>
        <v>4.2789999999999999</v>
      </c>
      <c r="AE493" s="2"/>
      <c r="AF493" s="2"/>
      <c r="AG493" s="2"/>
      <c r="AH493" s="2"/>
      <c r="AI493" s="2"/>
      <c r="AJ493" s="2"/>
      <c r="AK493" s="2"/>
      <c r="AL493" s="2">
        <v>0.875</v>
      </c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>
        <v>1.01</v>
      </c>
      <c r="AZ493" s="2"/>
      <c r="BA493" s="2"/>
      <c r="BB493" s="2"/>
      <c r="BC493" s="2"/>
      <c r="BD493" s="2"/>
      <c r="BE493" s="2"/>
      <c r="BF493" s="2"/>
      <c r="BG493" s="2">
        <v>0.83899999999999997</v>
      </c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>
        <v>0</v>
      </c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>
        <v>0</v>
      </c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 t="s">
        <v>81</v>
      </c>
      <c r="DK493" s="2"/>
      <c r="DL493" s="2">
        <f t="shared" si="4367"/>
        <v>0.86812535450935913</v>
      </c>
      <c r="DM493" s="2">
        <f t="shared" si="4368"/>
        <v>0</v>
      </c>
      <c r="DN493" s="2" t="s">
        <v>811</v>
      </c>
      <c r="DO493" s="2" t="s">
        <v>3</v>
      </c>
      <c r="DP493" s="2">
        <f t="shared" si="4369"/>
        <v>0</v>
      </c>
      <c r="DQ493" s="2">
        <f t="shared" ref="DQ493:DR493" si="8181">K493*$I493+AF493*$AD493+BA493*$AY493</f>
        <v>0</v>
      </c>
      <c r="DR493" s="2">
        <f t="shared" si="8181"/>
        <v>0</v>
      </c>
      <c r="DS493" s="2">
        <f t="shared" ref="DS493:DX493" si="8182">(M493*$I493+AH493*$AD493+BC493*$AY493)/100</f>
        <v>0</v>
      </c>
      <c r="DT493" s="2">
        <f t="shared" si="8182"/>
        <v>0</v>
      </c>
      <c r="DU493" s="2">
        <f t="shared" si="8182"/>
        <v>0</v>
      </c>
      <c r="DV493" s="2">
        <f t="shared" si="8182"/>
        <v>0</v>
      </c>
      <c r="DW493" s="2">
        <f t="shared" si="8182"/>
        <v>4.5915150000000002E-2</v>
      </c>
      <c r="DX493" s="2">
        <f t="shared" si="8182"/>
        <v>0</v>
      </c>
      <c r="DY493" s="2">
        <f t="shared" ref="DY493:EC493" si="8183">S493*$I493+AN493*$AD493+BI493*$AY493</f>
        <v>0</v>
      </c>
      <c r="DZ493" s="2">
        <f t="shared" si="8183"/>
        <v>0</v>
      </c>
      <c r="EA493" s="2">
        <f t="shared" si="8183"/>
        <v>0</v>
      </c>
      <c r="EB493" s="2">
        <f t="shared" si="8183"/>
        <v>0</v>
      </c>
      <c r="EC493" s="2">
        <f t="shared" si="8183"/>
        <v>0</v>
      </c>
      <c r="ED493" s="2">
        <f t="shared" ref="ED493:EE493" si="8184">(X493*$I493+AS493*$AD493+BN493*$AY493)/100</f>
        <v>0</v>
      </c>
      <c r="EE493" s="2">
        <f t="shared" si="8184"/>
        <v>0</v>
      </c>
      <c r="EF493" s="2"/>
      <c r="EG493" s="2">
        <f t="shared" si="4374"/>
        <v>0</v>
      </c>
      <c r="EH493" s="2">
        <f t="shared" si="4375"/>
        <v>0</v>
      </c>
      <c r="EI493" s="39">
        <f t="shared" si="4376"/>
        <v>0</v>
      </c>
      <c r="EJ493" s="39">
        <f t="shared" ref="EJ493:EK493" si="8185">EJ$1*DQ493/1000000</f>
        <v>0</v>
      </c>
      <c r="EK493" s="39">
        <f t="shared" si="8185"/>
        <v>0</v>
      </c>
      <c r="EL493" s="39">
        <f t="shared" ref="EL493:EQ493" si="8186">EL$1*DS493</f>
        <v>0</v>
      </c>
      <c r="EM493" s="39">
        <f t="shared" si="8186"/>
        <v>0</v>
      </c>
      <c r="EN493" s="39">
        <f t="shared" si="8186"/>
        <v>0</v>
      </c>
      <c r="EO493" s="39">
        <f t="shared" si="8186"/>
        <v>0</v>
      </c>
      <c r="EP493" s="39">
        <f t="shared" si="8186"/>
        <v>602.13127710000003</v>
      </c>
      <c r="EQ493" s="39">
        <f t="shared" si="8186"/>
        <v>0</v>
      </c>
      <c r="ER493" s="39">
        <f t="shared" ref="ER493:EV493" si="8187">ER$1*DY493/1000000</f>
        <v>0</v>
      </c>
      <c r="ES493" s="39">
        <f t="shared" si="8187"/>
        <v>0</v>
      </c>
      <c r="ET493" s="39">
        <f t="shared" si="8187"/>
        <v>0</v>
      </c>
      <c r="EU493" s="39">
        <f t="shared" si="8187"/>
        <v>0</v>
      </c>
      <c r="EV493" s="39">
        <f t="shared" si="8187"/>
        <v>0</v>
      </c>
      <c r="EW493" s="39">
        <f t="shared" ref="EW493:EX493" si="8188">EW$1*ED493</f>
        <v>0</v>
      </c>
      <c r="EX493" s="39">
        <f t="shared" si="8188"/>
        <v>0</v>
      </c>
      <c r="EY493" s="2"/>
      <c r="EZ493" s="39">
        <f t="shared" si="4381"/>
        <v>0</v>
      </c>
      <c r="FA493" s="39">
        <f t="shared" si="4382"/>
        <v>0</v>
      </c>
      <c r="FB493" s="2">
        <f t="shared" si="4383"/>
        <v>0</v>
      </c>
      <c r="FC493" s="2">
        <f t="shared" ref="FC493:FD493" si="8189">BV493*$BT493+CQ493*$CO493</f>
        <v>0</v>
      </c>
      <c r="FD493" s="2">
        <f t="shared" si="8189"/>
        <v>0</v>
      </c>
      <c r="FE493" s="2">
        <f t="shared" ref="FE493:FJ493" si="8190">(BX493*$BT493+CS493*$CO493)/100</f>
        <v>0</v>
      </c>
      <c r="FF493" s="2">
        <f t="shared" si="8190"/>
        <v>0</v>
      </c>
      <c r="FG493" s="2">
        <f t="shared" si="8190"/>
        <v>0</v>
      </c>
      <c r="FH493" s="2">
        <f t="shared" si="8190"/>
        <v>0</v>
      </c>
      <c r="FI493" s="2">
        <f t="shared" si="8190"/>
        <v>0</v>
      </c>
      <c r="FJ493" s="2">
        <f t="shared" si="8190"/>
        <v>0</v>
      </c>
      <c r="FK493" s="2">
        <f t="shared" ref="FK493:FO493" si="8191">CD493*$BT493+CY493*$CO493</f>
        <v>0</v>
      </c>
      <c r="FL493" s="2">
        <f t="shared" si="8191"/>
        <v>0</v>
      </c>
      <c r="FM493" s="2">
        <f t="shared" si="8191"/>
        <v>0</v>
      </c>
      <c r="FN493" s="2">
        <f t="shared" si="8191"/>
        <v>0</v>
      </c>
      <c r="FO493" s="2">
        <f t="shared" si="8191"/>
        <v>0</v>
      </c>
      <c r="FP493" s="2">
        <f t="shared" ref="FP493:FQ493" si="8192">(CI493*$BT493+DD493*$CO493)/100</f>
        <v>0</v>
      </c>
      <c r="FQ493" s="2">
        <f t="shared" si="8192"/>
        <v>0</v>
      </c>
      <c r="FR493" s="2"/>
      <c r="FS493" s="2">
        <f t="shared" si="4388"/>
        <v>0</v>
      </c>
      <c r="FT493" s="2">
        <f t="shared" si="4389"/>
        <v>0</v>
      </c>
      <c r="FU493" s="39">
        <f t="shared" si="4390"/>
        <v>0</v>
      </c>
      <c r="FV493" s="39">
        <f t="shared" ref="FV493:FW493" si="8193">FV$1*FC493/1000000</f>
        <v>0</v>
      </c>
      <c r="FW493" s="39">
        <f t="shared" si="8193"/>
        <v>0</v>
      </c>
      <c r="FX493" s="39">
        <f t="shared" ref="FX493:GC493" si="8194">FX$1*FE493</f>
        <v>0</v>
      </c>
      <c r="FY493" s="39">
        <f t="shared" si="8194"/>
        <v>0</v>
      </c>
      <c r="FZ493" s="39">
        <f t="shared" si="8194"/>
        <v>0</v>
      </c>
      <c r="GA493" s="39">
        <f t="shared" si="8194"/>
        <v>0</v>
      </c>
      <c r="GB493" s="39">
        <f t="shared" si="8194"/>
        <v>0</v>
      </c>
      <c r="GC493" s="39">
        <f t="shared" si="8194"/>
        <v>0</v>
      </c>
      <c r="GD493" s="39">
        <f t="shared" ref="GD493:GH493" si="8195">GD$1*FK493/1000000</f>
        <v>0</v>
      </c>
      <c r="GE493" s="39">
        <f t="shared" si="8195"/>
        <v>0</v>
      </c>
      <c r="GF493" s="39">
        <f t="shared" si="8195"/>
        <v>0</v>
      </c>
      <c r="GG493" s="39">
        <f t="shared" si="8195"/>
        <v>0</v>
      </c>
      <c r="GH493" s="39">
        <f t="shared" si="8195"/>
        <v>0</v>
      </c>
      <c r="GI493" s="39">
        <f t="shared" ref="GI493:GJ493" si="8196">GI$1*FP493</f>
        <v>0</v>
      </c>
      <c r="GJ493" s="39">
        <f t="shared" si="8196"/>
        <v>0</v>
      </c>
      <c r="GK493" s="2"/>
      <c r="GL493" s="39">
        <f t="shared" si="4395"/>
        <v>0</v>
      </c>
      <c r="GM493" s="39">
        <f t="shared" si="4396"/>
        <v>0</v>
      </c>
      <c r="GN493" s="2" t="s">
        <v>3</v>
      </c>
      <c r="GO493" s="2">
        <f t="shared" si="4397"/>
        <v>5.2889999999999997</v>
      </c>
      <c r="GP493" s="4">
        <f t="shared" si="4398"/>
        <v>0.86812535450935913</v>
      </c>
      <c r="GQ493" s="15">
        <f t="shared" si="4399"/>
        <v>45.915150000000004</v>
      </c>
      <c r="GR493" s="15">
        <f t="shared" si="4400"/>
        <v>602.13127710000003</v>
      </c>
      <c r="GS493" s="15">
        <f t="shared" si="4401"/>
        <v>113.84595899035736</v>
      </c>
      <c r="GT493" s="2">
        <f t="shared" si="4402"/>
        <v>0</v>
      </c>
      <c r="GU493" s="2">
        <f t="shared" si="4403"/>
        <v>37.441249999999997</v>
      </c>
      <c r="GV493" s="2">
        <f t="shared" si="4404"/>
        <v>8.4739000000000004</v>
      </c>
      <c r="GW493" s="2">
        <f t="shared" si="4405"/>
        <v>0</v>
      </c>
      <c r="GX493" s="2"/>
      <c r="GY493" s="2"/>
      <c r="GZ493" s="2"/>
      <c r="HA493" s="2"/>
      <c r="HB493" s="2">
        <f t="shared" si="4406"/>
        <v>0</v>
      </c>
      <c r="HC493" s="2">
        <f t="shared" si="4407"/>
        <v>0</v>
      </c>
      <c r="HD493" s="2" t="s">
        <v>3</v>
      </c>
      <c r="HE493" s="2" t="s">
        <v>89</v>
      </c>
      <c r="HF493" s="2" t="s">
        <v>378</v>
      </c>
      <c r="HG493" s="2"/>
      <c r="HH493" s="2"/>
      <c r="HI493" s="2" t="s">
        <v>81</v>
      </c>
      <c r="HJ493" s="2" t="s">
        <v>3</v>
      </c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 t="s">
        <v>3</v>
      </c>
    </row>
    <row r="494" spans="1:268" ht="15.75" customHeight="1" x14ac:dyDescent="0.2">
      <c r="A494" s="16" t="s">
        <v>821</v>
      </c>
      <c r="B494" s="2" t="s">
        <v>99</v>
      </c>
      <c r="C494" s="2"/>
      <c r="D494" s="2"/>
      <c r="E494" s="2"/>
      <c r="F494" s="2" t="s">
        <v>703</v>
      </c>
      <c r="G494" s="2"/>
      <c r="H494" s="2"/>
      <c r="I494" s="2">
        <v>9.0530000000000008</v>
      </c>
      <c r="J494" s="2"/>
      <c r="K494" s="2"/>
      <c r="L494" s="2"/>
      <c r="M494" s="2"/>
      <c r="N494" s="2"/>
      <c r="O494" s="2"/>
      <c r="P494" s="2"/>
      <c r="Q494" s="4">
        <f>0.47*(58.69/(58.69+32.07))</f>
        <v>0.30392573821066549</v>
      </c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>
        <v>35.332999999999998</v>
      </c>
      <c r="AE494" s="2"/>
      <c r="AF494" s="2"/>
      <c r="AG494" s="2"/>
      <c r="AH494" s="2"/>
      <c r="AI494" s="2"/>
      <c r="AJ494" s="2"/>
      <c r="AK494" s="2"/>
      <c r="AL494" s="4">
        <f>0.47*(58.69/(58.69+32.07))</f>
        <v>0.30392573821066549</v>
      </c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>
        <v>11.811999999999999</v>
      </c>
      <c r="AZ494" s="2"/>
      <c r="BA494" s="2"/>
      <c r="BB494" s="2"/>
      <c r="BC494" s="2"/>
      <c r="BD494" s="2"/>
      <c r="BE494" s="2"/>
      <c r="BF494" s="2"/>
      <c r="BG494" s="4">
        <f>0.47*(58.69/(58.69+32.07))</f>
        <v>0.30392573821066549</v>
      </c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>
        <v>0</v>
      </c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>
        <v>0</v>
      </c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 t="s">
        <v>81</v>
      </c>
      <c r="DK494" s="2"/>
      <c r="DL494" s="2">
        <f t="shared" si="4367"/>
        <v>0.30392573821066554</v>
      </c>
      <c r="DM494" s="2">
        <f t="shared" si="4368"/>
        <v>0</v>
      </c>
      <c r="DN494" s="2" t="s">
        <v>462</v>
      </c>
      <c r="DO494" s="2" t="s">
        <v>3</v>
      </c>
      <c r="DP494" s="2">
        <f t="shared" si="4369"/>
        <v>0</v>
      </c>
      <c r="DQ494" s="2">
        <f t="shared" ref="DQ494:DR494" si="8197">K494*$I494+AF494*$AD494+BA494*$AY494</f>
        <v>0</v>
      </c>
      <c r="DR494" s="2">
        <f t="shared" si="8197"/>
        <v>0</v>
      </c>
      <c r="DS494" s="2">
        <f t="shared" ref="DS494:DX494" si="8198">(M494*$I494+AH494*$AD494+BC494*$AY494)/100</f>
        <v>0</v>
      </c>
      <c r="DT494" s="2">
        <f t="shared" si="8198"/>
        <v>0</v>
      </c>
      <c r="DU494" s="2">
        <f t="shared" si="8198"/>
        <v>0</v>
      </c>
      <c r="DV494" s="2">
        <f t="shared" si="8198"/>
        <v>0</v>
      </c>
      <c r="DW494" s="2">
        <f t="shared" si="8198"/>
        <v>0.17080018635962979</v>
      </c>
      <c r="DX494" s="2">
        <f t="shared" si="8198"/>
        <v>0</v>
      </c>
      <c r="DY494" s="2">
        <f t="shared" ref="DY494:EC494" si="8199">S494*$I494+AN494*$AD494+BI494*$AY494</f>
        <v>0</v>
      </c>
      <c r="DZ494" s="2">
        <f t="shared" si="8199"/>
        <v>0</v>
      </c>
      <c r="EA494" s="2">
        <f t="shared" si="8199"/>
        <v>0</v>
      </c>
      <c r="EB494" s="2">
        <f t="shared" si="8199"/>
        <v>0</v>
      </c>
      <c r="EC494" s="2">
        <f t="shared" si="8199"/>
        <v>0</v>
      </c>
      <c r="ED494" s="2">
        <f t="shared" ref="ED494:EE494" si="8200">(X494*$I494+AS494*$AD494+BN494*$AY494)/100</f>
        <v>0</v>
      </c>
      <c r="EE494" s="2">
        <f t="shared" si="8200"/>
        <v>0</v>
      </c>
      <c r="EF494" s="2"/>
      <c r="EG494" s="2">
        <f t="shared" si="4374"/>
        <v>0</v>
      </c>
      <c r="EH494" s="2">
        <f t="shared" si="4375"/>
        <v>0</v>
      </c>
      <c r="EI494" s="39">
        <f t="shared" si="4376"/>
        <v>0</v>
      </c>
      <c r="EJ494" s="39">
        <f t="shared" ref="EJ494:EK494" si="8201">EJ$1*DQ494/1000000</f>
        <v>0</v>
      </c>
      <c r="EK494" s="39">
        <f t="shared" si="8201"/>
        <v>0</v>
      </c>
      <c r="EL494" s="39">
        <f t="shared" ref="EL494:EQ494" si="8202">EL$1*DS494</f>
        <v>0</v>
      </c>
      <c r="EM494" s="39">
        <f t="shared" si="8202"/>
        <v>0</v>
      </c>
      <c r="EN494" s="39">
        <f t="shared" si="8202"/>
        <v>0</v>
      </c>
      <c r="EO494" s="39">
        <f t="shared" si="8202"/>
        <v>0</v>
      </c>
      <c r="EP494" s="39">
        <f t="shared" si="8202"/>
        <v>2239.8736439201853</v>
      </c>
      <c r="EQ494" s="39">
        <f t="shared" si="8202"/>
        <v>0</v>
      </c>
      <c r="ER494" s="39">
        <f t="shared" ref="ER494:EV494" si="8203">ER$1*DY494/1000000</f>
        <v>0</v>
      </c>
      <c r="ES494" s="39">
        <f t="shared" si="8203"/>
        <v>0</v>
      </c>
      <c r="ET494" s="39">
        <f t="shared" si="8203"/>
        <v>0</v>
      </c>
      <c r="EU494" s="39">
        <f t="shared" si="8203"/>
        <v>0</v>
      </c>
      <c r="EV494" s="39">
        <f t="shared" si="8203"/>
        <v>0</v>
      </c>
      <c r="EW494" s="39">
        <f t="shared" ref="EW494:EX494" si="8204">EW$1*ED494</f>
        <v>0</v>
      </c>
      <c r="EX494" s="39">
        <f t="shared" si="8204"/>
        <v>0</v>
      </c>
      <c r="EY494" s="2"/>
      <c r="EZ494" s="39">
        <f t="shared" si="4381"/>
        <v>0</v>
      </c>
      <c r="FA494" s="39">
        <f t="shared" si="4382"/>
        <v>0</v>
      </c>
      <c r="FB494" s="2">
        <f t="shared" si="4383"/>
        <v>0</v>
      </c>
      <c r="FC494" s="2">
        <f t="shared" ref="FC494:FD494" si="8205">BV494*$BT494+CQ494*$CO494</f>
        <v>0</v>
      </c>
      <c r="FD494" s="2">
        <f t="shared" si="8205"/>
        <v>0</v>
      </c>
      <c r="FE494" s="2">
        <f t="shared" ref="FE494:FJ494" si="8206">(BX494*$BT494+CS494*$CO494)/100</f>
        <v>0</v>
      </c>
      <c r="FF494" s="2">
        <f t="shared" si="8206"/>
        <v>0</v>
      </c>
      <c r="FG494" s="2">
        <f t="shared" si="8206"/>
        <v>0</v>
      </c>
      <c r="FH494" s="2">
        <f t="shared" si="8206"/>
        <v>0</v>
      </c>
      <c r="FI494" s="2">
        <f t="shared" si="8206"/>
        <v>0</v>
      </c>
      <c r="FJ494" s="2">
        <f t="shared" si="8206"/>
        <v>0</v>
      </c>
      <c r="FK494" s="2">
        <f t="shared" ref="FK494:FO494" si="8207">CD494*$BT494+CY494*$CO494</f>
        <v>0</v>
      </c>
      <c r="FL494" s="2">
        <f t="shared" si="8207"/>
        <v>0</v>
      </c>
      <c r="FM494" s="2">
        <f t="shared" si="8207"/>
        <v>0</v>
      </c>
      <c r="FN494" s="2">
        <f t="shared" si="8207"/>
        <v>0</v>
      </c>
      <c r="FO494" s="2">
        <f t="shared" si="8207"/>
        <v>0</v>
      </c>
      <c r="FP494" s="2">
        <f t="shared" ref="FP494:FQ494" si="8208">(CI494*$BT494+DD494*$CO494)/100</f>
        <v>0</v>
      </c>
      <c r="FQ494" s="2">
        <f t="shared" si="8208"/>
        <v>0</v>
      </c>
      <c r="FR494" s="2"/>
      <c r="FS494" s="2">
        <f t="shared" si="4388"/>
        <v>0</v>
      </c>
      <c r="FT494" s="2">
        <f t="shared" si="4389"/>
        <v>0</v>
      </c>
      <c r="FU494" s="39">
        <f t="shared" si="4390"/>
        <v>0</v>
      </c>
      <c r="FV494" s="39">
        <f t="shared" ref="FV494:FW494" si="8209">FV$1*FC494/1000000</f>
        <v>0</v>
      </c>
      <c r="FW494" s="39">
        <f t="shared" si="8209"/>
        <v>0</v>
      </c>
      <c r="FX494" s="39">
        <f t="shared" ref="FX494:GC494" si="8210">FX$1*FE494</f>
        <v>0</v>
      </c>
      <c r="FY494" s="39">
        <f t="shared" si="8210"/>
        <v>0</v>
      </c>
      <c r="FZ494" s="39">
        <f t="shared" si="8210"/>
        <v>0</v>
      </c>
      <c r="GA494" s="39">
        <f t="shared" si="8210"/>
        <v>0</v>
      </c>
      <c r="GB494" s="39">
        <f t="shared" si="8210"/>
        <v>0</v>
      </c>
      <c r="GC494" s="39">
        <f t="shared" si="8210"/>
        <v>0</v>
      </c>
      <c r="GD494" s="39">
        <f t="shared" ref="GD494:GH494" si="8211">GD$1*FK494/1000000</f>
        <v>0</v>
      </c>
      <c r="GE494" s="39">
        <f t="shared" si="8211"/>
        <v>0</v>
      </c>
      <c r="GF494" s="39">
        <f t="shared" si="8211"/>
        <v>0</v>
      </c>
      <c r="GG494" s="39">
        <f t="shared" si="8211"/>
        <v>0</v>
      </c>
      <c r="GH494" s="39">
        <f t="shared" si="8211"/>
        <v>0</v>
      </c>
      <c r="GI494" s="39">
        <f t="shared" ref="GI494:GJ494" si="8212">GI$1*FP494</f>
        <v>0</v>
      </c>
      <c r="GJ494" s="39">
        <f t="shared" si="8212"/>
        <v>0</v>
      </c>
      <c r="GK494" s="2"/>
      <c r="GL494" s="39">
        <f t="shared" si="4395"/>
        <v>0</v>
      </c>
      <c r="GM494" s="39">
        <f t="shared" si="4396"/>
        <v>0</v>
      </c>
      <c r="GN494" s="2" t="s">
        <v>3</v>
      </c>
      <c r="GO494" s="4">
        <f t="shared" si="4397"/>
        <v>56.197999999999993</v>
      </c>
      <c r="GP494" s="4">
        <f t="shared" si="4398"/>
        <v>0.30392573821066554</v>
      </c>
      <c r="GQ494" s="15">
        <f t="shared" si="4399"/>
        <v>170.80018635962981</v>
      </c>
      <c r="GR494" s="15">
        <f t="shared" si="4400"/>
        <v>2239.8736439201853</v>
      </c>
      <c r="GS494" s="15">
        <f t="shared" si="4401"/>
        <v>39.856821308946678</v>
      </c>
      <c r="GT494" s="2">
        <f t="shared" si="4402"/>
        <v>27.514397080211552</v>
      </c>
      <c r="GU494" s="2">
        <f t="shared" si="4403"/>
        <v>107.38608108197442</v>
      </c>
      <c r="GV494" s="2">
        <f t="shared" si="4404"/>
        <v>35.899708197443807</v>
      </c>
      <c r="GW494" s="2">
        <f t="shared" si="4405"/>
        <v>0</v>
      </c>
      <c r="GX494" s="2"/>
      <c r="GY494" s="2"/>
      <c r="GZ494" s="2"/>
      <c r="HA494" s="2"/>
      <c r="HB494" s="2">
        <f t="shared" si="4406"/>
        <v>0</v>
      </c>
      <c r="HC494" s="2">
        <f t="shared" si="4407"/>
        <v>0</v>
      </c>
      <c r="HD494" s="2" t="s">
        <v>3</v>
      </c>
      <c r="HE494" s="2" t="s">
        <v>89</v>
      </c>
      <c r="HF494" s="2" t="s">
        <v>378</v>
      </c>
      <c r="HG494" s="2"/>
      <c r="HH494" s="2"/>
      <c r="HI494" s="2" t="s">
        <v>81</v>
      </c>
      <c r="HJ494" s="2" t="s">
        <v>3</v>
      </c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 t="s">
        <v>3</v>
      </c>
    </row>
    <row r="495" spans="1:268" ht="15.75" customHeight="1" x14ac:dyDescent="0.2">
      <c r="A495" s="16" t="s">
        <v>708</v>
      </c>
      <c r="B495" s="2" t="s">
        <v>99</v>
      </c>
      <c r="C495" s="2"/>
      <c r="D495" s="2"/>
      <c r="E495" s="2"/>
      <c r="F495" s="2" t="s">
        <v>79</v>
      </c>
      <c r="G495" s="2"/>
      <c r="H495" s="2"/>
      <c r="I495" s="2">
        <v>0</v>
      </c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>
        <v>0</v>
      </c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>
        <v>0.64500000000000002</v>
      </c>
      <c r="AZ495" s="2">
        <v>0.66</v>
      </c>
      <c r="BA495" s="2">
        <v>0.65</v>
      </c>
      <c r="BB495" s="2"/>
      <c r="BC495" s="2"/>
      <c r="BD495" s="2"/>
      <c r="BE495" s="2"/>
      <c r="BF495" s="2"/>
      <c r="BG495" s="2">
        <v>1.33</v>
      </c>
      <c r="BH495" s="2">
        <v>0.09</v>
      </c>
      <c r="BI495" s="2">
        <v>0.2</v>
      </c>
      <c r="BJ495" s="2">
        <v>0.68</v>
      </c>
      <c r="BK495" s="2"/>
      <c r="BL495" s="2"/>
      <c r="BM495" s="2"/>
      <c r="BN495" s="2"/>
      <c r="BO495" s="2"/>
      <c r="BP495" s="2"/>
      <c r="BQ495" s="2"/>
      <c r="BR495" s="2"/>
      <c r="BS495" s="2"/>
      <c r="BT495" s="2">
        <v>0</v>
      </c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>
        <v>0</v>
      </c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 t="s">
        <v>81</v>
      </c>
      <c r="DK495" s="2" t="s">
        <v>81</v>
      </c>
      <c r="DL495" s="2">
        <f t="shared" si="4367"/>
        <v>1.33</v>
      </c>
      <c r="DM495" s="2">
        <f t="shared" si="4368"/>
        <v>0.09</v>
      </c>
      <c r="DN495" s="2" t="s">
        <v>221</v>
      </c>
      <c r="DO495" s="2" t="s">
        <v>3</v>
      </c>
      <c r="DP495" s="2">
        <f t="shared" si="4369"/>
        <v>4.2570000000000004E-3</v>
      </c>
      <c r="DQ495" s="2">
        <f t="shared" ref="DQ495:DR495" si="8213">K495*$I495+AF495*$AD495+BA495*$AY495</f>
        <v>0.41925000000000001</v>
      </c>
      <c r="DR495" s="2">
        <f t="shared" si="8213"/>
        <v>0</v>
      </c>
      <c r="DS495" s="2">
        <f t="shared" ref="DS495:DX495" si="8214">(M495*$I495+AH495*$AD495+BC495*$AY495)/100</f>
        <v>0</v>
      </c>
      <c r="DT495" s="2">
        <f t="shared" si="8214"/>
        <v>0</v>
      </c>
      <c r="DU495" s="2">
        <f t="shared" si="8214"/>
        <v>0</v>
      </c>
      <c r="DV495" s="2">
        <f t="shared" si="8214"/>
        <v>0</v>
      </c>
      <c r="DW495" s="2">
        <f t="shared" si="8214"/>
        <v>8.5785000000000011E-3</v>
      </c>
      <c r="DX495" s="2">
        <f t="shared" si="8214"/>
        <v>5.8049999999999996E-4</v>
      </c>
      <c r="DY495" s="2">
        <f t="shared" ref="DY495:EC495" si="8215">S495*$I495+AN495*$AD495+BI495*$AY495</f>
        <v>0.129</v>
      </c>
      <c r="DZ495" s="2">
        <f t="shared" si="8215"/>
        <v>0.43860000000000005</v>
      </c>
      <c r="EA495" s="2">
        <f t="shared" si="8215"/>
        <v>0</v>
      </c>
      <c r="EB495" s="2">
        <f t="shared" si="8215"/>
        <v>0</v>
      </c>
      <c r="EC495" s="2">
        <f t="shared" si="8215"/>
        <v>0</v>
      </c>
      <c r="ED495" s="2">
        <f t="shared" ref="ED495:EE495" si="8216">(X495*$I495+AS495*$AD495+BN495*$AY495)/100</f>
        <v>0</v>
      </c>
      <c r="EE495" s="2">
        <f t="shared" si="8216"/>
        <v>0</v>
      </c>
      <c r="EF495" s="2"/>
      <c r="EG495" s="2">
        <f t="shared" si="4374"/>
        <v>0</v>
      </c>
      <c r="EH495" s="2">
        <f t="shared" si="4375"/>
        <v>0</v>
      </c>
      <c r="EI495" s="39">
        <f t="shared" si="4376"/>
        <v>27.779547312000002</v>
      </c>
      <c r="EJ495" s="39">
        <f t="shared" ref="EJ495:EK495" si="8217">EJ$1*DQ495/1000000</f>
        <v>17.147459807073954</v>
      </c>
      <c r="EK495" s="39">
        <f t="shared" si="8217"/>
        <v>0</v>
      </c>
      <c r="EL495" s="39">
        <f t="shared" ref="EL495:EQ495" si="8218">EL$1*DS495</f>
        <v>0</v>
      </c>
      <c r="EM495" s="39">
        <f t="shared" si="8218"/>
        <v>0</v>
      </c>
      <c r="EN495" s="39">
        <f t="shared" si="8218"/>
        <v>0</v>
      </c>
      <c r="EO495" s="39">
        <f t="shared" si="8218"/>
        <v>0</v>
      </c>
      <c r="EP495" s="39">
        <f t="shared" si="8218"/>
        <v>112.49844900000001</v>
      </c>
      <c r="EQ495" s="39">
        <f t="shared" si="8218"/>
        <v>42.155633681999994</v>
      </c>
      <c r="ER495" s="39">
        <f t="shared" ref="ER495:EV495" si="8219">ER$1*DY495/1000000</f>
        <v>3.6611942122186494</v>
      </c>
      <c r="ES495" s="39">
        <f t="shared" si="8219"/>
        <v>14.616662315112542</v>
      </c>
      <c r="ET495" s="39">
        <f t="shared" si="8219"/>
        <v>0</v>
      </c>
      <c r="EU495" s="39">
        <f t="shared" si="8219"/>
        <v>0</v>
      </c>
      <c r="EV495" s="39">
        <f t="shared" si="8219"/>
        <v>0</v>
      </c>
      <c r="EW495" s="39">
        <f t="shared" ref="EW495:EX495" si="8220">EW$1*ED495</f>
        <v>0</v>
      </c>
      <c r="EX495" s="39">
        <f t="shared" si="8220"/>
        <v>0</v>
      </c>
      <c r="EY495" s="2"/>
      <c r="EZ495" s="39">
        <f t="shared" si="4381"/>
        <v>0</v>
      </c>
      <c r="FA495" s="39">
        <f t="shared" si="4382"/>
        <v>0</v>
      </c>
      <c r="FB495" s="2">
        <f t="shared" si="4383"/>
        <v>0</v>
      </c>
      <c r="FC495" s="2">
        <f t="shared" ref="FC495:FD495" si="8221">BV495*$BT495+CQ495*$CO495</f>
        <v>0</v>
      </c>
      <c r="FD495" s="2">
        <f t="shared" si="8221"/>
        <v>0</v>
      </c>
      <c r="FE495" s="2">
        <f t="shared" ref="FE495:FJ495" si="8222">(BX495*$BT495+CS495*$CO495)/100</f>
        <v>0</v>
      </c>
      <c r="FF495" s="2">
        <f t="shared" si="8222"/>
        <v>0</v>
      </c>
      <c r="FG495" s="2">
        <f t="shared" si="8222"/>
        <v>0</v>
      </c>
      <c r="FH495" s="2">
        <f t="shared" si="8222"/>
        <v>0</v>
      </c>
      <c r="FI495" s="2">
        <f t="shared" si="8222"/>
        <v>0</v>
      </c>
      <c r="FJ495" s="2">
        <f t="shared" si="8222"/>
        <v>0</v>
      </c>
      <c r="FK495" s="2">
        <f t="shared" ref="FK495:FO495" si="8223">CD495*$BT495+CY495*$CO495</f>
        <v>0</v>
      </c>
      <c r="FL495" s="2">
        <f t="shared" si="8223"/>
        <v>0</v>
      </c>
      <c r="FM495" s="2">
        <f t="shared" si="8223"/>
        <v>0</v>
      </c>
      <c r="FN495" s="2">
        <f t="shared" si="8223"/>
        <v>0</v>
      </c>
      <c r="FO495" s="2">
        <f t="shared" si="8223"/>
        <v>0</v>
      </c>
      <c r="FP495" s="2">
        <f t="shared" ref="FP495:FQ495" si="8224">(CI495*$BT495+DD495*$CO495)/100</f>
        <v>0</v>
      </c>
      <c r="FQ495" s="2">
        <f t="shared" si="8224"/>
        <v>0</v>
      </c>
      <c r="FR495" s="2"/>
      <c r="FS495" s="2">
        <f t="shared" si="4388"/>
        <v>0</v>
      </c>
      <c r="FT495" s="2">
        <f t="shared" si="4389"/>
        <v>0</v>
      </c>
      <c r="FU495" s="39">
        <f t="shared" si="4390"/>
        <v>0</v>
      </c>
      <c r="FV495" s="39">
        <f t="shared" ref="FV495:FW495" si="8225">FV$1*FC495/1000000</f>
        <v>0</v>
      </c>
      <c r="FW495" s="39">
        <f t="shared" si="8225"/>
        <v>0</v>
      </c>
      <c r="FX495" s="39">
        <f t="shared" ref="FX495:GC495" si="8226">FX$1*FE495</f>
        <v>0</v>
      </c>
      <c r="FY495" s="39">
        <f t="shared" si="8226"/>
        <v>0</v>
      </c>
      <c r="FZ495" s="39">
        <f t="shared" si="8226"/>
        <v>0</v>
      </c>
      <c r="GA495" s="39">
        <f t="shared" si="8226"/>
        <v>0</v>
      </c>
      <c r="GB495" s="39">
        <f t="shared" si="8226"/>
        <v>0</v>
      </c>
      <c r="GC495" s="39">
        <f t="shared" si="8226"/>
        <v>0</v>
      </c>
      <c r="GD495" s="39">
        <f t="shared" ref="GD495:GH495" si="8227">GD$1*FK495/1000000</f>
        <v>0</v>
      </c>
      <c r="GE495" s="39">
        <f t="shared" si="8227"/>
        <v>0</v>
      </c>
      <c r="GF495" s="39">
        <f t="shared" si="8227"/>
        <v>0</v>
      </c>
      <c r="GG495" s="39">
        <f t="shared" si="8227"/>
        <v>0</v>
      </c>
      <c r="GH495" s="39">
        <f t="shared" si="8227"/>
        <v>0</v>
      </c>
      <c r="GI495" s="39">
        <f t="shared" ref="GI495:GJ495" si="8228">GI$1*FP495</f>
        <v>0</v>
      </c>
      <c r="GJ495" s="39">
        <f t="shared" si="8228"/>
        <v>0</v>
      </c>
      <c r="GK495" s="2"/>
      <c r="GL495" s="39">
        <f t="shared" si="4395"/>
        <v>0</v>
      </c>
      <c r="GM495" s="39">
        <f t="shared" si="4396"/>
        <v>0</v>
      </c>
      <c r="GN495" s="2" t="s">
        <v>3</v>
      </c>
      <c r="GO495" s="2">
        <f t="shared" si="4397"/>
        <v>0.64500000000000002</v>
      </c>
      <c r="GP495" s="2">
        <f t="shared" si="4398"/>
        <v>1.33</v>
      </c>
      <c r="GQ495" s="15">
        <f t="shared" si="4399"/>
        <v>8.5785</v>
      </c>
      <c r="GR495" s="15">
        <f t="shared" si="4400"/>
        <v>217.85894632840515</v>
      </c>
      <c r="GS495" s="15">
        <f t="shared" si="4401"/>
        <v>337.76580826109324</v>
      </c>
      <c r="GT495" s="2">
        <f t="shared" si="4402"/>
        <v>0</v>
      </c>
      <c r="GU495" s="2">
        <f t="shared" si="4403"/>
        <v>0</v>
      </c>
      <c r="GV495" s="2">
        <f t="shared" si="4404"/>
        <v>8.5785000000000018</v>
      </c>
      <c r="GW495" s="2">
        <f t="shared" si="4405"/>
        <v>0</v>
      </c>
      <c r="GX495" s="2"/>
      <c r="GY495" s="2"/>
      <c r="GZ495" s="2"/>
      <c r="HA495" s="2"/>
      <c r="HB495" s="2">
        <f t="shared" si="4406"/>
        <v>0</v>
      </c>
      <c r="HC495" s="2">
        <f t="shared" si="4407"/>
        <v>0</v>
      </c>
      <c r="HD495" s="2" t="s">
        <v>3</v>
      </c>
      <c r="HE495" s="2" t="s">
        <v>89</v>
      </c>
      <c r="HF495" s="2" t="s">
        <v>378</v>
      </c>
      <c r="HG495" s="2"/>
      <c r="HH495" s="2"/>
      <c r="HI495" s="2" t="s">
        <v>81</v>
      </c>
      <c r="HJ495" s="2" t="s">
        <v>3</v>
      </c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 t="s">
        <v>3</v>
      </c>
    </row>
    <row r="496" spans="1:268" ht="15.75" customHeight="1" x14ac:dyDescent="0.2">
      <c r="A496" s="16" t="s">
        <v>717</v>
      </c>
      <c r="B496" s="2" t="s">
        <v>99</v>
      </c>
      <c r="C496" s="2"/>
      <c r="D496" s="2"/>
      <c r="E496" s="2"/>
      <c r="F496" s="2" t="s">
        <v>79</v>
      </c>
      <c r="G496" s="2"/>
      <c r="H496" s="2"/>
      <c r="I496" s="2">
        <v>0</v>
      </c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>
        <v>0</v>
      </c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>
        <v>1.139</v>
      </c>
      <c r="AZ496" s="2">
        <v>0.19</v>
      </c>
      <c r="BA496" s="2"/>
      <c r="BB496" s="2"/>
      <c r="BC496" s="2"/>
      <c r="BD496" s="2"/>
      <c r="BE496" s="2"/>
      <c r="BF496" s="2"/>
      <c r="BG496" s="2">
        <v>0.91</v>
      </c>
      <c r="BH496" s="2">
        <v>0.02</v>
      </c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>
        <v>0</v>
      </c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>
        <v>0</v>
      </c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 t="s">
        <v>81</v>
      </c>
      <c r="DK496" s="2" t="s">
        <v>81</v>
      </c>
      <c r="DL496" s="2">
        <f t="shared" si="4367"/>
        <v>0.91000000000000014</v>
      </c>
      <c r="DM496" s="2">
        <f t="shared" si="4368"/>
        <v>0.02</v>
      </c>
      <c r="DN496" s="2" t="s">
        <v>221</v>
      </c>
      <c r="DO496" s="2" t="s">
        <v>3</v>
      </c>
      <c r="DP496" s="2">
        <f t="shared" si="4369"/>
        <v>2.1641E-3</v>
      </c>
      <c r="DQ496" s="2">
        <f t="shared" ref="DQ496:DR496" si="8229">K496*$I496+AF496*$AD496+BA496*$AY496</f>
        <v>0</v>
      </c>
      <c r="DR496" s="2">
        <f t="shared" si="8229"/>
        <v>0</v>
      </c>
      <c r="DS496" s="2">
        <f t="shared" ref="DS496:DX496" si="8230">(M496*$I496+AH496*$AD496+BC496*$AY496)/100</f>
        <v>0</v>
      </c>
      <c r="DT496" s="2">
        <f t="shared" si="8230"/>
        <v>0</v>
      </c>
      <c r="DU496" s="2">
        <f t="shared" si="8230"/>
        <v>0</v>
      </c>
      <c r="DV496" s="2">
        <f t="shared" si="8230"/>
        <v>0</v>
      </c>
      <c r="DW496" s="2">
        <f t="shared" si="8230"/>
        <v>1.0364900000000002E-2</v>
      </c>
      <c r="DX496" s="2">
        <f t="shared" si="8230"/>
        <v>2.2780000000000001E-4</v>
      </c>
      <c r="DY496" s="2">
        <f t="shared" ref="DY496:EC496" si="8231">S496*$I496+AN496*$AD496+BI496*$AY496</f>
        <v>0</v>
      </c>
      <c r="DZ496" s="2">
        <f t="shared" si="8231"/>
        <v>0</v>
      </c>
      <c r="EA496" s="2">
        <f t="shared" si="8231"/>
        <v>0</v>
      </c>
      <c r="EB496" s="2">
        <f t="shared" si="8231"/>
        <v>0</v>
      </c>
      <c r="EC496" s="2">
        <f t="shared" si="8231"/>
        <v>0</v>
      </c>
      <c r="ED496" s="2">
        <f t="shared" ref="ED496:EE496" si="8232">(X496*$I496+AS496*$AD496+BN496*$AY496)/100</f>
        <v>0</v>
      </c>
      <c r="EE496" s="2">
        <f t="shared" si="8232"/>
        <v>0</v>
      </c>
      <c r="EF496" s="2"/>
      <c r="EG496" s="2">
        <f t="shared" si="4374"/>
        <v>0</v>
      </c>
      <c r="EH496" s="2">
        <f t="shared" si="4375"/>
        <v>0</v>
      </c>
      <c r="EI496" s="39">
        <f t="shared" si="4376"/>
        <v>14.122085585599999</v>
      </c>
      <c r="EJ496" s="39">
        <f t="shared" ref="EJ496:EK496" si="8233">EJ$1*DQ496/1000000</f>
        <v>0</v>
      </c>
      <c r="EK496" s="39">
        <f t="shared" si="8233"/>
        <v>0</v>
      </c>
      <c r="EL496" s="39">
        <f t="shared" ref="EL496:EQ496" si="8234">EL$1*DS496</f>
        <v>0</v>
      </c>
      <c r="EM496" s="39">
        <f t="shared" si="8234"/>
        <v>0</v>
      </c>
      <c r="EN496" s="39">
        <f t="shared" si="8234"/>
        <v>0</v>
      </c>
      <c r="EO496" s="39">
        <f t="shared" si="8234"/>
        <v>0</v>
      </c>
      <c r="EP496" s="39">
        <f t="shared" si="8234"/>
        <v>135.92529860000002</v>
      </c>
      <c r="EQ496" s="39">
        <f t="shared" si="8234"/>
        <v>16.5427275672</v>
      </c>
      <c r="ER496" s="39">
        <f t="shared" ref="ER496:EV496" si="8235">ER$1*DY496/1000000</f>
        <v>0</v>
      </c>
      <c r="ES496" s="39">
        <f t="shared" si="8235"/>
        <v>0</v>
      </c>
      <c r="ET496" s="39">
        <f t="shared" si="8235"/>
        <v>0</v>
      </c>
      <c r="EU496" s="39">
        <f t="shared" si="8235"/>
        <v>0</v>
      </c>
      <c r="EV496" s="39">
        <f t="shared" si="8235"/>
        <v>0</v>
      </c>
      <c r="EW496" s="39">
        <f t="shared" ref="EW496:EX496" si="8236">EW$1*ED496</f>
        <v>0</v>
      </c>
      <c r="EX496" s="39">
        <f t="shared" si="8236"/>
        <v>0</v>
      </c>
      <c r="EY496" s="2"/>
      <c r="EZ496" s="39">
        <f t="shared" si="4381"/>
        <v>0</v>
      </c>
      <c r="FA496" s="39">
        <f t="shared" si="4382"/>
        <v>0</v>
      </c>
      <c r="FB496" s="2">
        <f t="shared" si="4383"/>
        <v>0</v>
      </c>
      <c r="FC496" s="2">
        <f t="shared" ref="FC496:FD496" si="8237">BV496*$BT496+CQ496*$CO496</f>
        <v>0</v>
      </c>
      <c r="FD496" s="2">
        <f t="shared" si="8237"/>
        <v>0</v>
      </c>
      <c r="FE496" s="2">
        <f t="shared" ref="FE496:FJ496" si="8238">(BX496*$BT496+CS496*$CO496)/100</f>
        <v>0</v>
      </c>
      <c r="FF496" s="2">
        <f t="shared" si="8238"/>
        <v>0</v>
      </c>
      <c r="FG496" s="2">
        <f t="shared" si="8238"/>
        <v>0</v>
      </c>
      <c r="FH496" s="2">
        <f t="shared" si="8238"/>
        <v>0</v>
      </c>
      <c r="FI496" s="2">
        <f t="shared" si="8238"/>
        <v>0</v>
      </c>
      <c r="FJ496" s="2">
        <f t="shared" si="8238"/>
        <v>0</v>
      </c>
      <c r="FK496" s="2">
        <f t="shared" ref="FK496:FO496" si="8239">CD496*$BT496+CY496*$CO496</f>
        <v>0</v>
      </c>
      <c r="FL496" s="2">
        <f t="shared" si="8239"/>
        <v>0</v>
      </c>
      <c r="FM496" s="2">
        <f t="shared" si="8239"/>
        <v>0</v>
      </c>
      <c r="FN496" s="2">
        <f t="shared" si="8239"/>
        <v>0</v>
      </c>
      <c r="FO496" s="2">
        <f t="shared" si="8239"/>
        <v>0</v>
      </c>
      <c r="FP496" s="2">
        <f t="shared" ref="FP496:FQ496" si="8240">(CI496*$BT496+DD496*$CO496)/100</f>
        <v>0</v>
      </c>
      <c r="FQ496" s="2">
        <f t="shared" si="8240"/>
        <v>0</v>
      </c>
      <c r="FR496" s="2"/>
      <c r="FS496" s="2">
        <f t="shared" si="4388"/>
        <v>0</v>
      </c>
      <c r="FT496" s="2">
        <f t="shared" si="4389"/>
        <v>0</v>
      </c>
      <c r="FU496" s="39">
        <f t="shared" si="4390"/>
        <v>0</v>
      </c>
      <c r="FV496" s="39">
        <f t="shared" ref="FV496:FW496" si="8241">FV$1*FC496/1000000</f>
        <v>0</v>
      </c>
      <c r="FW496" s="39">
        <f t="shared" si="8241"/>
        <v>0</v>
      </c>
      <c r="FX496" s="39">
        <f t="shared" ref="FX496:GC496" si="8242">FX$1*FE496</f>
        <v>0</v>
      </c>
      <c r="FY496" s="39">
        <f t="shared" si="8242"/>
        <v>0</v>
      </c>
      <c r="FZ496" s="39">
        <f t="shared" si="8242"/>
        <v>0</v>
      </c>
      <c r="GA496" s="39">
        <f t="shared" si="8242"/>
        <v>0</v>
      </c>
      <c r="GB496" s="39">
        <f t="shared" si="8242"/>
        <v>0</v>
      </c>
      <c r="GC496" s="39">
        <f t="shared" si="8242"/>
        <v>0</v>
      </c>
      <c r="GD496" s="39">
        <f t="shared" ref="GD496:GH496" si="8243">GD$1*FK496/1000000</f>
        <v>0</v>
      </c>
      <c r="GE496" s="39">
        <f t="shared" si="8243"/>
        <v>0</v>
      </c>
      <c r="GF496" s="39">
        <f t="shared" si="8243"/>
        <v>0</v>
      </c>
      <c r="GG496" s="39">
        <f t="shared" si="8243"/>
        <v>0</v>
      </c>
      <c r="GH496" s="39">
        <f t="shared" si="8243"/>
        <v>0</v>
      </c>
      <c r="GI496" s="39">
        <f t="shared" ref="GI496:GJ496" si="8244">GI$1*FP496</f>
        <v>0</v>
      </c>
      <c r="GJ496" s="39">
        <f t="shared" si="8244"/>
        <v>0</v>
      </c>
      <c r="GK496" s="2"/>
      <c r="GL496" s="39">
        <f t="shared" si="4395"/>
        <v>0</v>
      </c>
      <c r="GM496" s="39">
        <f t="shared" si="4396"/>
        <v>0</v>
      </c>
      <c r="GN496" s="2" t="s">
        <v>3</v>
      </c>
      <c r="GO496" s="2">
        <f t="shared" si="4397"/>
        <v>1.139</v>
      </c>
      <c r="GP496" s="2">
        <f t="shared" si="4398"/>
        <v>0.91000000000000014</v>
      </c>
      <c r="GQ496" s="15">
        <f t="shared" si="4399"/>
        <v>10.364900000000002</v>
      </c>
      <c r="GR496" s="15">
        <f t="shared" si="4400"/>
        <v>166.5901117528</v>
      </c>
      <c r="GS496" s="15">
        <f t="shared" si="4401"/>
        <v>146.25997519999999</v>
      </c>
      <c r="GT496" s="2">
        <f t="shared" si="4402"/>
        <v>0</v>
      </c>
      <c r="GU496" s="2">
        <f t="shared" si="4403"/>
        <v>0</v>
      </c>
      <c r="GV496" s="2">
        <f t="shared" si="4404"/>
        <v>10.364900000000002</v>
      </c>
      <c r="GW496" s="2">
        <f t="shared" si="4405"/>
        <v>0</v>
      </c>
      <c r="GX496" s="2"/>
      <c r="GY496" s="2"/>
      <c r="GZ496" s="2"/>
      <c r="HA496" s="2"/>
      <c r="HB496" s="2">
        <f t="shared" si="4406"/>
        <v>0</v>
      </c>
      <c r="HC496" s="2">
        <f t="shared" si="4407"/>
        <v>0</v>
      </c>
      <c r="HD496" s="2" t="s">
        <v>3</v>
      </c>
      <c r="HE496" s="2" t="s">
        <v>89</v>
      </c>
      <c r="HF496" s="2" t="s">
        <v>378</v>
      </c>
      <c r="HG496" s="2"/>
      <c r="HH496" s="2"/>
      <c r="HI496" s="2" t="s">
        <v>81</v>
      </c>
      <c r="HJ496" s="2" t="s">
        <v>3</v>
      </c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 t="s">
        <v>3</v>
      </c>
    </row>
    <row r="497" spans="1:268" ht="15.75" customHeight="1" x14ac:dyDescent="0.2">
      <c r="A497" s="16" t="s">
        <v>281</v>
      </c>
      <c r="B497" s="2" t="s">
        <v>99</v>
      </c>
      <c r="C497" s="2"/>
      <c r="D497" s="2"/>
      <c r="E497" s="2"/>
      <c r="F497" s="2" t="s">
        <v>79</v>
      </c>
      <c r="G497" s="2"/>
      <c r="H497" s="2"/>
      <c r="I497" s="2">
        <f>0.751+0.616</f>
        <v>1.367</v>
      </c>
      <c r="J497" s="2">
        <v>0.11</v>
      </c>
      <c r="K497" s="2">
        <v>2.5000000000000001E-2</v>
      </c>
      <c r="L497" s="2"/>
      <c r="M497" s="2"/>
      <c r="N497" s="2"/>
      <c r="O497" s="2"/>
      <c r="P497" s="2"/>
      <c r="Q497" s="4">
        <f>(1.37*0.751+1.43*0.616)/I497</f>
        <v>1.3970373079736651</v>
      </c>
      <c r="R497" s="2">
        <v>2.3E-2</v>
      </c>
      <c r="S497" s="2">
        <v>0.153</v>
      </c>
      <c r="T497" s="2">
        <v>0.36299999999999999</v>
      </c>
      <c r="U497" s="2"/>
      <c r="V497" s="2"/>
      <c r="W497" s="2"/>
      <c r="X497" s="2"/>
      <c r="Y497" s="2"/>
      <c r="Z497" s="2"/>
      <c r="AA497" s="2"/>
      <c r="AB497" s="2"/>
      <c r="AC497" s="2"/>
      <c r="AD497" s="2">
        <f>2.845+1.994</f>
        <v>4.8390000000000004</v>
      </c>
      <c r="AE497" s="2">
        <v>0.11</v>
      </c>
      <c r="AF497" s="2">
        <v>2.5000000000000001E-2</v>
      </c>
      <c r="AG497" s="2"/>
      <c r="AH497" s="2"/>
      <c r="AI497" s="2"/>
      <c r="AJ497" s="2"/>
      <c r="AK497" s="2"/>
      <c r="AL497" s="4">
        <f>(1.37*2.845+1.44*1.994)/AD497</f>
        <v>1.3988448026451745</v>
      </c>
      <c r="AM497" s="2">
        <v>2.3E-2</v>
      </c>
      <c r="AN497" s="2">
        <v>0.153</v>
      </c>
      <c r="AO497" s="2">
        <v>0.36299999999999999</v>
      </c>
      <c r="AP497" s="2"/>
      <c r="AQ497" s="2"/>
      <c r="AR497" s="2"/>
      <c r="AS497" s="2"/>
      <c r="AT497" s="2"/>
      <c r="AU497" s="2"/>
      <c r="AV497" s="2"/>
      <c r="AW497" s="2"/>
      <c r="AX497" s="2"/>
      <c r="AY497" s="2">
        <v>5.0430000000000001</v>
      </c>
      <c r="AZ497" s="2">
        <v>0.11</v>
      </c>
      <c r="BA497" s="2">
        <v>2.5000000000000001E-2</v>
      </c>
      <c r="BB497" s="2"/>
      <c r="BC497" s="2"/>
      <c r="BD497" s="2"/>
      <c r="BE497" s="2"/>
      <c r="BF497" s="2"/>
      <c r="BG497" s="2">
        <v>1.41</v>
      </c>
      <c r="BH497" s="2">
        <v>2.3E-2</v>
      </c>
      <c r="BI497" s="2">
        <v>0.153</v>
      </c>
      <c r="BJ497" s="2">
        <v>0.36299999999999999</v>
      </c>
      <c r="BK497" s="2"/>
      <c r="BL497" s="2"/>
      <c r="BM497" s="2"/>
      <c r="BN497" s="2"/>
      <c r="BO497" s="2"/>
      <c r="BP497" s="2"/>
      <c r="BQ497" s="2"/>
      <c r="BR497" s="2"/>
      <c r="BS497" s="2"/>
      <c r="BT497" s="2">
        <v>0.61599999999999999</v>
      </c>
      <c r="BU497" s="2">
        <v>0.11</v>
      </c>
      <c r="BV497" s="2">
        <v>2.5000000000000001E-2</v>
      </c>
      <c r="BW497" s="2"/>
      <c r="BX497" s="2"/>
      <c r="BY497" s="2"/>
      <c r="BZ497" s="2"/>
      <c r="CA497" s="2"/>
      <c r="CB497" s="2">
        <v>1.43</v>
      </c>
      <c r="CC497" s="2">
        <v>2.3E-2</v>
      </c>
      <c r="CD497" s="2">
        <v>0.153</v>
      </c>
      <c r="CE497" s="2">
        <v>0.36299999999999999</v>
      </c>
      <c r="CF497" s="2"/>
      <c r="CG497" s="2"/>
      <c r="CH497" s="2"/>
      <c r="CI497" s="2"/>
      <c r="CJ497" s="2"/>
      <c r="CK497" s="2"/>
      <c r="CL497" s="2"/>
      <c r="CM497" s="2"/>
      <c r="CN497" s="2"/>
      <c r="CO497" s="2">
        <v>1.994</v>
      </c>
      <c r="CP497" s="2">
        <v>0.11</v>
      </c>
      <c r="CQ497" s="2">
        <v>2.5000000000000001E-2</v>
      </c>
      <c r="CR497" s="2"/>
      <c r="CS497" s="2"/>
      <c r="CT497" s="2"/>
      <c r="CU497" s="2"/>
      <c r="CV497" s="2"/>
      <c r="CW497" s="2">
        <v>1.44</v>
      </c>
      <c r="CX497" s="2">
        <v>2.3E-2</v>
      </c>
      <c r="CY497" s="2">
        <v>0.153</v>
      </c>
      <c r="CZ497" s="2">
        <v>0.36299999999999999</v>
      </c>
      <c r="DA497" s="2"/>
      <c r="DB497" s="2"/>
      <c r="DC497" s="2"/>
      <c r="DD497" s="2"/>
      <c r="DE497" s="2"/>
      <c r="DF497" s="2"/>
      <c r="DG497" s="2"/>
      <c r="DH497" s="2"/>
      <c r="DI497" s="2"/>
      <c r="DJ497" s="2" t="s">
        <v>81</v>
      </c>
      <c r="DK497" s="2" t="s">
        <v>81</v>
      </c>
      <c r="DL497" s="2">
        <f t="shared" si="4367"/>
        <v>1.4036261000977865</v>
      </c>
      <c r="DM497" s="2">
        <f t="shared" si="4368"/>
        <v>2.2999999999999996E-2</v>
      </c>
      <c r="DN497" s="2" t="s">
        <v>282</v>
      </c>
      <c r="DO497" s="2" t="s">
        <v>3</v>
      </c>
      <c r="DP497" s="2">
        <f t="shared" si="4369"/>
        <v>1.23739E-2</v>
      </c>
      <c r="DQ497" s="2">
        <f t="shared" ref="DQ497:DR497" si="8245">K497*$I497+AF497*$AD497+BA497*$AY497</f>
        <v>0.28122500000000006</v>
      </c>
      <c r="DR497" s="2">
        <f t="shared" si="8245"/>
        <v>0</v>
      </c>
      <c r="DS497" s="2">
        <f t="shared" ref="DS497:DX497" si="8246">(M497*$I497+AH497*$AD497+BC497*$AY497)/100</f>
        <v>0</v>
      </c>
      <c r="DT497" s="2">
        <f t="shared" si="8246"/>
        <v>0</v>
      </c>
      <c r="DU497" s="2">
        <f t="shared" si="8246"/>
        <v>0</v>
      </c>
      <c r="DV497" s="2">
        <f t="shared" si="8246"/>
        <v>0</v>
      </c>
      <c r="DW497" s="2">
        <f t="shared" si="8246"/>
        <v>0.1578939</v>
      </c>
      <c r="DX497" s="2">
        <f t="shared" si="8246"/>
        <v>2.58727E-3</v>
      </c>
      <c r="DY497" s="2">
        <f t="shared" ref="DY497:EC497" si="8247">S497*$I497+AN497*$AD497+BI497*$AY497</f>
        <v>1.7210969999999999</v>
      </c>
      <c r="DZ497" s="2">
        <f t="shared" si="8247"/>
        <v>4.0833870000000001</v>
      </c>
      <c r="EA497" s="2">
        <f t="shared" si="8247"/>
        <v>0</v>
      </c>
      <c r="EB497" s="2">
        <f t="shared" si="8247"/>
        <v>0</v>
      </c>
      <c r="EC497" s="2">
        <f t="shared" si="8247"/>
        <v>0</v>
      </c>
      <c r="ED497" s="2">
        <f t="shared" ref="ED497:EE497" si="8248">(X497*$I497+AS497*$AD497+BN497*$AY497)/100</f>
        <v>0</v>
      </c>
      <c r="EE497" s="2">
        <f t="shared" si="8248"/>
        <v>0</v>
      </c>
      <c r="EF497" s="2"/>
      <c r="EG497" s="2">
        <f t="shared" si="4374"/>
        <v>0</v>
      </c>
      <c r="EH497" s="2">
        <f t="shared" si="4375"/>
        <v>0</v>
      </c>
      <c r="EI497" s="39">
        <f t="shared" si="4376"/>
        <v>80.747319822400001</v>
      </c>
      <c r="EJ497" s="39">
        <f t="shared" ref="EJ497:EK497" si="8249">EJ$1*DQ497/1000000</f>
        <v>11.502192926045018</v>
      </c>
      <c r="EK497" s="39">
        <f t="shared" si="8249"/>
        <v>0</v>
      </c>
      <c r="EL497" s="39">
        <f t="shared" ref="EL497:EQ497" si="8250">EL$1*DS497</f>
        <v>0</v>
      </c>
      <c r="EM497" s="39">
        <f t="shared" si="8250"/>
        <v>0</v>
      </c>
      <c r="EN497" s="39">
        <f t="shared" si="8250"/>
        <v>0</v>
      </c>
      <c r="EO497" s="39">
        <f t="shared" si="8250"/>
        <v>0</v>
      </c>
      <c r="EP497" s="39">
        <f t="shared" si="8250"/>
        <v>2070.6206046000002</v>
      </c>
      <c r="EQ497" s="39">
        <f t="shared" si="8250"/>
        <v>187.88631585947996</v>
      </c>
      <c r="ER497" s="39">
        <f t="shared" ref="ER497:EV497" si="8251">ER$1*DY497/1000000</f>
        <v>48.847057171061081</v>
      </c>
      <c r="ES497" s="39">
        <f t="shared" si="8251"/>
        <v>136.08182599389067</v>
      </c>
      <c r="ET497" s="39">
        <f t="shared" si="8251"/>
        <v>0</v>
      </c>
      <c r="EU497" s="39">
        <f t="shared" si="8251"/>
        <v>0</v>
      </c>
      <c r="EV497" s="39">
        <f t="shared" si="8251"/>
        <v>0</v>
      </c>
      <c r="EW497" s="39">
        <f t="shared" ref="EW497:EX497" si="8252">EW$1*ED497</f>
        <v>0</v>
      </c>
      <c r="EX497" s="39">
        <f t="shared" si="8252"/>
        <v>0</v>
      </c>
      <c r="EY497" s="2"/>
      <c r="EZ497" s="39">
        <f t="shared" si="4381"/>
        <v>0</v>
      </c>
      <c r="FA497" s="39">
        <f t="shared" si="4382"/>
        <v>0</v>
      </c>
      <c r="FB497" s="2">
        <f t="shared" si="4383"/>
        <v>2.8710000000000003E-3</v>
      </c>
      <c r="FC497" s="2">
        <f t="shared" ref="FC497:FD497" si="8253">BV497*$BT497+CQ497*$CO497</f>
        <v>6.5250000000000002E-2</v>
      </c>
      <c r="FD497" s="2">
        <f t="shared" si="8253"/>
        <v>0</v>
      </c>
      <c r="FE497" s="2">
        <f t="shared" ref="FE497:FJ497" si="8254">(BX497*$BT497+CS497*$CO497)/100</f>
        <v>0</v>
      </c>
      <c r="FF497" s="2">
        <f t="shared" si="8254"/>
        <v>0</v>
      </c>
      <c r="FG497" s="2">
        <f t="shared" si="8254"/>
        <v>0</v>
      </c>
      <c r="FH497" s="2">
        <f t="shared" si="8254"/>
        <v>0</v>
      </c>
      <c r="FI497" s="2">
        <f t="shared" si="8254"/>
        <v>3.7522399999999997E-2</v>
      </c>
      <c r="FJ497" s="2">
        <f t="shared" si="8254"/>
        <v>6.0030000000000001E-4</v>
      </c>
      <c r="FK497" s="2">
        <f t="shared" ref="FK497:FO497" si="8255">CD497*$BT497+CY497*$CO497</f>
        <v>0.39933000000000002</v>
      </c>
      <c r="FL497" s="2">
        <f t="shared" si="8255"/>
        <v>0.94742999999999999</v>
      </c>
      <c r="FM497" s="2">
        <f t="shared" si="8255"/>
        <v>0</v>
      </c>
      <c r="FN497" s="2">
        <f t="shared" si="8255"/>
        <v>0</v>
      </c>
      <c r="FO497" s="2">
        <f t="shared" si="8255"/>
        <v>0</v>
      </c>
      <c r="FP497" s="2">
        <f t="shared" ref="FP497:FQ497" si="8256">(CI497*$BT497+DD497*$CO497)/100</f>
        <v>0</v>
      </c>
      <c r="FQ497" s="2">
        <f t="shared" si="8256"/>
        <v>0</v>
      </c>
      <c r="FR497" s="2"/>
      <c r="FS497" s="2">
        <f t="shared" si="4388"/>
        <v>0</v>
      </c>
      <c r="FT497" s="2">
        <f t="shared" si="4389"/>
        <v>0</v>
      </c>
      <c r="FU497" s="39">
        <f t="shared" si="4390"/>
        <v>18.735043536000003</v>
      </c>
      <c r="FV497" s="39">
        <f t="shared" ref="FV497:FW497" si="8257">FV$1*FC497/1000000</f>
        <v>2.6687459807073952</v>
      </c>
      <c r="FW497" s="39">
        <f t="shared" si="8257"/>
        <v>0</v>
      </c>
      <c r="FX497" s="39">
        <f t="shared" ref="FX497:GC497" si="8258">FX$1*FE497</f>
        <v>0</v>
      </c>
      <c r="FY497" s="39">
        <f t="shared" si="8258"/>
        <v>0</v>
      </c>
      <c r="FZ497" s="39">
        <f t="shared" si="8258"/>
        <v>0</v>
      </c>
      <c r="GA497" s="39">
        <f t="shared" si="8258"/>
        <v>0</v>
      </c>
      <c r="GB497" s="39">
        <f t="shared" si="8258"/>
        <v>492.06875359999998</v>
      </c>
      <c r="GC497" s="39">
        <f t="shared" si="8258"/>
        <v>43.593500257199992</v>
      </c>
      <c r="GD497" s="39">
        <f t="shared" ref="GD497:GH497" si="8259">GD$1*FK497/1000000</f>
        <v>11.333524688102894</v>
      </c>
      <c r="GE497" s="39">
        <f t="shared" si="8259"/>
        <v>31.573790189710614</v>
      </c>
      <c r="GF497" s="39">
        <f t="shared" si="8259"/>
        <v>0</v>
      </c>
      <c r="GG497" s="39">
        <f t="shared" si="8259"/>
        <v>0</v>
      </c>
      <c r="GH497" s="39">
        <f t="shared" si="8259"/>
        <v>0</v>
      </c>
      <c r="GI497" s="39">
        <f t="shared" ref="GI497:GJ497" si="8260">GI$1*FP497</f>
        <v>0</v>
      </c>
      <c r="GJ497" s="39">
        <f t="shared" si="8260"/>
        <v>0</v>
      </c>
      <c r="GK497" s="2"/>
      <c r="GL497" s="39">
        <f t="shared" si="4395"/>
        <v>0</v>
      </c>
      <c r="GM497" s="39">
        <f t="shared" si="4396"/>
        <v>0</v>
      </c>
      <c r="GN497" s="2" t="s">
        <v>3</v>
      </c>
      <c r="GO497" s="4">
        <f t="shared" si="4397"/>
        <v>11.249000000000001</v>
      </c>
      <c r="GP497" s="4">
        <f t="shared" si="4398"/>
        <v>1.4036261000977865</v>
      </c>
      <c r="GQ497" s="15">
        <f t="shared" si="4399"/>
        <v>157.8939</v>
      </c>
      <c r="GR497" s="15">
        <f t="shared" si="4400"/>
        <v>2535.6853163728765</v>
      </c>
      <c r="GS497" s="15">
        <f t="shared" si="4401"/>
        <v>225.41428716978189</v>
      </c>
      <c r="GT497" s="2">
        <f t="shared" si="4402"/>
        <v>19.097500000000004</v>
      </c>
      <c r="GU497" s="2">
        <f t="shared" si="4403"/>
        <v>67.690099999999987</v>
      </c>
      <c r="GV497" s="2">
        <f t="shared" si="4404"/>
        <v>71.10629999999999</v>
      </c>
      <c r="GW497" s="2">
        <f t="shared" si="4405"/>
        <v>2.61</v>
      </c>
      <c r="GX497" s="4">
        <f t="shared" ref="GX497:GX498" si="8261">(BT497*CB497+CO497*CW497)/GW497</f>
        <v>1.4376398467432949</v>
      </c>
      <c r="GY497" s="15">
        <f t="shared" ref="GY497:GY498" si="8262">1000*GW497*GX497/100</f>
        <v>37.522399999999998</v>
      </c>
      <c r="GZ497" s="15">
        <f t="shared" ref="GZ497:GZ498" si="8263">SUM(FU497:GM497)</f>
        <v>599.97335825172092</v>
      </c>
      <c r="HA497" s="15">
        <f t="shared" ref="HA497:HA498" si="8264">GZ497/GW497</f>
        <v>229.87484990487394</v>
      </c>
      <c r="HB497" s="2">
        <f t="shared" si="4406"/>
        <v>8.8087999999999997</v>
      </c>
      <c r="HC497" s="2">
        <f t="shared" si="4407"/>
        <v>28.713599999999996</v>
      </c>
      <c r="HD497" s="2" t="s">
        <v>3</v>
      </c>
      <c r="HE497" s="2" t="s">
        <v>89</v>
      </c>
      <c r="HF497" s="2" t="s">
        <v>283</v>
      </c>
      <c r="HG497" s="2" t="s">
        <v>284</v>
      </c>
      <c r="HH497" s="2"/>
      <c r="HI497" s="2" t="s">
        <v>81</v>
      </c>
      <c r="HJ497" s="2" t="s">
        <v>3</v>
      </c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 t="s">
        <v>3</v>
      </c>
    </row>
    <row r="498" spans="1:268" ht="15.75" customHeight="1" x14ac:dyDescent="0.2">
      <c r="A498" s="16" t="s">
        <v>1033</v>
      </c>
      <c r="B498" s="2" t="s">
        <v>109</v>
      </c>
      <c r="C498" s="2"/>
      <c r="D498" s="2"/>
      <c r="E498" s="2"/>
      <c r="F498" s="2" t="s">
        <v>309</v>
      </c>
      <c r="G498" s="2"/>
      <c r="H498" s="2"/>
      <c r="I498" s="2">
        <v>6.5</v>
      </c>
      <c r="J498" s="2">
        <v>0.92</v>
      </c>
      <c r="K498" s="2"/>
      <c r="L498" s="2"/>
      <c r="M498" s="2"/>
      <c r="N498" s="2"/>
      <c r="O498" s="2"/>
      <c r="P498" s="2"/>
      <c r="Q498" s="2">
        <v>3.75</v>
      </c>
      <c r="R498" s="2">
        <v>0.08</v>
      </c>
      <c r="S498" s="4">
        <v>1</v>
      </c>
      <c r="T498" s="2">
        <v>2.41</v>
      </c>
      <c r="U498" s="2"/>
      <c r="V498" s="2"/>
      <c r="W498" s="2"/>
      <c r="X498" s="2"/>
      <c r="Y498" s="2"/>
      <c r="Z498" s="2"/>
      <c r="AA498" s="2"/>
      <c r="AB498" s="2"/>
      <c r="AC498" s="2"/>
      <c r="AD498" s="2">
        <v>14.2</v>
      </c>
      <c r="AE498" s="2">
        <v>0.96</v>
      </c>
      <c r="AF498" s="2"/>
      <c r="AG498" s="2"/>
      <c r="AH498" s="2"/>
      <c r="AI498" s="2"/>
      <c r="AJ498" s="2"/>
      <c r="AK498" s="2"/>
      <c r="AL498" s="2">
        <v>3.15</v>
      </c>
      <c r="AM498" s="2">
        <v>7.0000000000000007E-2</v>
      </c>
      <c r="AN498" s="2">
        <v>0.94</v>
      </c>
      <c r="AO498" s="2">
        <v>2.35</v>
      </c>
      <c r="AP498" s="2"/>
      <c r="AQ498" s="2"/>
      <c r="AR498" s="2"/>
      <c r="AS498" s="2"/>
      <c r="AT498" s="2"/>
      <c r="AU498" s="2"/>
      <c r="AV498" s="2"/>
      <c r="AW498" s="2"/>
      <c r="AX498" s="2"/>
      <c r="AY498" s="2">
        <v>14</v>
      </c>
      <c r="AZ498" s="2">
        <v>0.9</v>
      </c>
      <c r="BA498" s="2"/>
      <c r="BB498" s="2"/>
      <c r="BC498" s="2"/>
      <c r="BD498" s="2"/>
      <c r="BE498" s="2"/>
      <c r="BF498" s="2"/>
      <c r="BG498" s="15">
        <v>3</v>
      </c>
      <c r="BH498" s="2">
        <v>7.0000000000000007E-2</v>
      </c>
      <c r="BI498" s="2">
        <v>0.9</v>
      </c>
      <c r="BJ498" s="2">
        <v>2.2000000000000002</v>
      </c>
      <c r="BK498" s="2"/>
      <c r="BL498" s="2"/>
      <c r="BM498" s="2"/>
      <c r="BN498" s="2"/>
      <c r="BO498" s="2"/>
      <c r="BP498" s="2"/>
      <c r="BQ498" s="2"/>
      <c r="BR498" s="2"/>
      <c r="BS498" s="2"/>
      <c r="BT498" s="2">
        <v>4.57</v>
      </c>
      <c r="BU498" s="4">
        <v>0.7</v>
      </c>
      <c r="BV498" s="2"/>
      <c r="BW498" s="2"/>
      <c r="BX498" s="2"/>
      <c r="BY498" s="2"/>
      <c r="BZ498" s="2"/>
      <c r="CA498" s="2"/>
      <c r="CB498" s="2">
        <v>2.83</v>
      </c>
      <c r="CC498" s="2">
        <v>0.06</v>
      </c>
      <c r="CD498" s="2">
        <v>0.75</v>
      </c>
      <c r="CE498" s="2">
        <v>1.83</v>
      </c>
      <c r="CF498" s="2"/>
      <c r="CG498" s="2"/>
      <c r="CH498" s="2"/>
      <c r="CI498" s="2"/>
      <c r="CJ498" s="2"/>
      <c r="CK498" s="2"/>
      <c r="CL498" s="2"/>
      <c r="CM498" s="2"/>
      <c r="CN498" s="2"/>
      <c r="CO498" s="4">
        <v>6.7</v>
      </c>
      <c r="CP498" s="4">
        <v>0.8</v>
      </c>
      <c r="CQ498" s="2"/>
      <c r="CR498" s="2"/>
      <c r="CS498" s="2"/>
      <c r="CT498" s="2"/>
      <c r="CU498" s="2"/>
      <c r="CV498" s="2"/>
      <c r="CW498" s="2">
        <v>2.76</v>
      </c>
      <c r="CX498" s="2">
        <v>0.06</v>
      </c>
      <c r="CY498" s="2">
        <v>0.87</v>
      </c>
      <c r="CZ498" s="2">
        <v>2.14</v>
      </c>
      <c r="DA498" s="2"/>
      <c r="DB498" s="2"/>
      <c r="DC498" s="2"/>
      <c r="DD498" s="2"/>
      <c r="DE498" s="2"/>
      <c r="DF498" s="2"/>
      <c r="DG498" s="2"/>
      <c r="DH498" s="2"/>
      <c r="DI498" s="2"/>
      <c r="DJ498" s="2" t="s">
        <v>81</v>
      </c>
      <c r="DK498" s="2" t="s">
        <v>81</v>
      </c>
      <c r="DL498" s="2">
        <f t="shared" si="4367"/>
        <v>3.2018731988472617</v>
      </c>
      <c r="DM498" s="2">
        <f t="shared" si="4368"/>
        <v>7.1873198847262246E-2</v>
      </c>
      <c r="DN498" s="2" t="s">
        <v>95</v>
      </c>
      <c r="DO498" s="2" t="s">
        <v>3</v>
      </c>
      <c r="DP498" s="2">
        <f t="shared" si="4369"/>
        <v>0.32212000000000002</v>
      </c>
      <c r="DQ498" s="2">
        <f t="shared" ref="DQ498:DR498" si="8265">K498*$I498+AF498*$AD498+BA498*$AY498</f>
        <v>0</v>
      </c>
      <c r="DR498" s="2">
        <f t="shared" si="8265"/>
        <v>0</v>
      </c>
      <c r="DS498" s="2">
        <f t="shared" ref="DS498:DX498" si="8266">(M498*$I498+AH498*$AD498+BC498*$AY498)/100</f>
        <v>0</v>
      </c>
      <c r="DT498" s="2">
        <f t="shared" si="8266"/>
        <v>0</v>
      </c>
      <c r="DU498" s="2">
        <f t="shared" si="8266"/>
        <v>0</v>
      </c>
      <c r="DV498" s="2">
        <f t="shared" si="8266"/>
        <v>0</v>
      </c>
      <c r="DW498" s="2">
        <f t="shared" si="8266"/>
        <v>1.1110499999999999</v>
      </c>
      <c r="DX498" s="2">
        <f t="shared" si="8266"/>
        <v>2.4940000000000004E-2</v>
      </c>
      <c r="DY498" s="2">
        <f t="shared" ref="DY498:EC498" si="8267">S498*$I498+AN498*$AD498+BI498*$AY498</f>
        <v>32.448</v>
      </c>
      <c r="DZ498" s="2">
        <f t="shared" si="8267"/>
        <v>79.835000000000008</v>
      </c>
      <c r="EA498" s="2">
        <f t="shared" si="8267"/>
        <v>0</v>
      </c>
      <c r="EB498" s="2">
        <f t="shared" si="8267"/>
        <v>0</v>
      </c>
      <c r="EC498" s="2">
        <f t="shared" si="8267"/>
        <v>0</v>
      </c>
      <c r="ED498" s="2">
        <f t="shared" ref="ED498:EE498" si="8268">(X498*$I498+AS498*$AD498+BN498*$AY498)/100</f>
        <v>0</v>
      </c>
      <c r="EE498" s="2">
        <f t="shared" si="8268"/>
        <v>0</v>
      </c>
      <c r="EF498" s="2"/>
      <c r="EG498" s="2">
        <f t="shared" si="4374"/>
        <v>0</v>
      </c>
      <c r="EH498" s="2">
        <f t="shared" si="4375"/>
        <v>0</v>
      </c>
      <c r="EI498" s="39">
        <f t="shared" si="4376"/>
        <v>2102.0314259199999</v>
      </c>
      <c r="EJ498" s="39">
        <f t="shared" ref="EJ498:EK498" si="8269">EJ$1*DQ498/1000000</f>
        <v>0</v>
      </c>
      <c r="EK498" s="39">
        <f t="shared" si="8269"/>
        <v>0</v>
      </c>
      <c r="EL498" s="39">
        <f t="shared" ref="EL498:EQ498" si="8270">EL$1*DS498</f>
        <v>0</v>
      </c>
      <c r="EM498" s="39">
        <f t="shared" si="8270"/>
        <v>0</v>
      </c>
      <c r="EN498" s="39">
        <f t="shared" si="8270"/>
        <v>0</v>
      </c>
      <c r="EO498" s="39">
        <f t="shared" si="8270"/>
        <v>0</v>
      </c>
      <c r="EP498" s="39">
        <f t="shared" si="8270"/>
        <v>14570.309699999998</v>
      </c>
      <c r="EQ498" s="39">
        <f t="shared" si="8270"/>
        <v>1811.13092856</v>
      </c>
      <c r="ER498" s="39">
        <f t="shared" ref="ER498:EV498" si="8271">ER$1*DY498/1000000</f>
        <v>920.91806045016062</v>
      </c>
      <c r="ES498" s="39">
        <f t="shared" si="8271"/>
        <v>2660.5591334405149</v>
      </c>
      <c r="ET498" s="39">
        <f t="shared" si="8271"/>
        <v>0</v>
      </c>
      <c r="EU498" s="39">
        <f t="shared" si="8271"/>
        <v>0</v>
      </c>
      <c r="EV498" s="39">
        <f t="shared" si="8271"/>
        <v>0</v>
      </c>
      <c r="EW498" s="39">
        <f t="shared" ref="EW498:EX498" si="8272">EW$1*ED498</f>
        <v>0</v>
      </c>
      <c r="EX498" s="39">
        <f t="shared" si="8272"/>
        <v>0</v>
      </c>
      <c r="EY498" s="2"/>
      <c r="EZ498" s="39">
        <f t="shared" si="4381"/>
        <v>0</v>
      </c>
      <c r="FA498" s="39">
        <f t="shared" si="4382"/>
        <v>0</v>
      </c>
      <c r="FB498" s="2">
        <f t="shared" si="4383"/>
        <v>8.5590000000000013E-2</v>
      </c>
      <c r="FC498" s="2">
        <f t="shared" ref="FC498:FD498" si="8273">BV498*$BT498+CQ498*$CO498</f>
        <v>0</v>
      </c>
      <c r="FD498" s="2">
        <f t="shared" si="8273"/>
        <v>0</v>
      </c>
      <c r="FE498" s="2">
        <f t="shared" ref="FE498:FJ498" si="8274">(BX498*$BT498+CS498*$CO498)/100</f>
        <v>0</v>
      </c>
      <c r="FF498" s="2">
        <f t="shared" si="8274"/>
        <v>0</v>
      </c>
      <c r="FG498" s="2">
        <f t="shared" si="8274"/>
        <v>0</v>
      </c>
      <c r="FH498" s="2">
        <f t="shared" si="8274"/>
        <v>0</v>
      </c>
      <c r="FI498" s="2">
        <f t="shared" si="8274"/>
        <v>0.314251</v>
      </c>
      <c r="FJ498" s="2">
        <f t="shared" si="8274"/>
        <v>6.7619999999999989E-3</v>
      </c>
      <c r="FK498" s="2">
        <f t="shared" ref="FK498:FO498" si="8275">CD498*$BT498+CY498*$CO498</f>
        <v>9.2564999999999991</v>
      </c>
      <c r="FL498" s="2">
        <f t="shared" si="8275"/>
        <v>22.701100000000004</v>
      </c>
      <c r="FM498" s="2">
        <f t="shared" si="8275"/>
        <v>0</v>
      </c>
      <c r="FN498" s="2">
        <f t="shared" si="8275"/>
        <v>0</v>
      </c>
      <c r="FO498" s="2">
        <f t="shared" si="8275"/>
        <v>0</v>
      </c>
      <c r="FP498" s="2">
        <f t="shared" ref="FP498:FQ498" si="8276">(CI498*$BT498+DD498*$CO498)/100</f>
        <v>0</v>
      </c>
      <c r="FQ498" s="2">
        <f t="shared" si="8276"/>
        <v>0</v>
      </c>
      <c r="FR498" s="2"/>
      <c r="FS498" s="2">
        <f t="shared" si="4388"/>
        <v>0</v>
      </c>
      <c r="FT498" s="2">
        <f t="shared" si="4389"/>
        <v>0</v>
      </c>
      <c r="FU498" s="39">
        <f t="shared" si="4390"/>
        <v>558.52747344000011</v>
      </c>
      <c r="FV498" s="39">
        <f t="shared" ref="FV498:FW498" si="8277">FV$1*FC498/1000000</f>
        <v>0</v>
      </c>
      <c r="FW498" s="39">
        <f t="shared" si="8277"/>
        <v>0</v>
      </c>
      <c r="FX498" s="39">
        <f t="shared" ref="FX498:GC498" si="8278">FX$1*FE498</f>
        <v>0</v>
      </c>
      <c r="FY498" s="39">
        <f t="shared" si="8278"/>
        <v>0</v>
      </c>
      <c r="FZ498" s="39">
        <f t="shared" si="8278"/>
        <v>0</v>
      </c>
      <c r="GA498" s="39">
        <f t="shared" si="8278"/>
        <v>0</v>
      </c>
      <c r="GB498" s="39">
        <f t="shared" si="8278"/>
        <v>4121.087614</v>
      </c>
      <c r="GC498" s="39">
        <f t="shared" si="8278"/>
        <v>491.05322128799986</v>
      </c>
      <c r="GD498" s="39">
        <f t="shared" ref="GD498:GH498" si="8279">GD$1*FK498/1000000</f>
        <v>262.71197073954977</v>
      </c>
      <c r="GE498" s="39">
        <f t="shared" si="8279"/>
        <v>756.53058112540214</v>
      </c>
      <c r="GF498" s="39">
        <f t="shared" si="8279"/>
        <v>0</v>
      </c>
      <c r="GG498" s="39">
        <f t="shared" si="8279"/>
        <v>0</v>
      </c>
      <c r="GH498" s="39">
        <f t="shared" si="8279"/>
        <v>0</v>
      </c>
      <c r="GI498" s="39">
        <f t="shared" ref="GI498:GJ498" si="8280">GI$1*FP498</f>
        <v>0</v>
      </c>
      <c r="GJ498" s="39">
        <f t="shared" si="8280"/>
        <v>0</v>
      </c>
      <c r="GK498" s="2"/>
      <c r="GL498" s="39">
        <f t="shared" si="4395"/>
        <v>0</v>
      </c>
      <c r="GM498" s="39">
        <f t="shared" si="4396"/>
        <v>0</v>
      </c>
      <c r="GN498" s="2" t="s">
        <v>3</v>
      </c>
      <c r="GO498" s="2">
        <f t="shared" si="4397"/>
        <v>34.700000000000003</v>
      </c>
      <c r="GP498" s="4">
        <f t="shared" si="4398"/>
        <v>3.2018731988472617</v>
      </c>
      <c r="GQ498" s="18">
        <f t="shared" si="4399"/>
        <v>1111.05</v>
      </c>
      <c r="GR498" s="15">
        <f t="shared" si="4400"/>
        <v>22064.949248370671</v>
      </c>
      <c r="GS498" s="15">
        <f t="shared" si="4401"/>
        <v>635.87749995304523</v>
      </c>
      <c r="GT498" s="2">
        <f t="shared" si="4402"/>
        <v>243.75</v>
      </c>
      <c r="GU498" s="2">
        <f t="shared" si="4403"/>
        <v>447.3</v>
      </c>
      <c r="GV498" s="2">
        <f t="shared" si="4404"/>
        <v>420</v>
      </c>
      <c r="GW498" s="4">
        <f t="shared" si="4405"/>
        <v>11.27</v>
      </c>
      <c r="GX498" s="4">
        <f t="shared" si="8261"/>
        <v>2.7883850931677019</v>
      </c>
      <c r="GY498" s="15">
        <f t="shared" si="8262"/>
        <v>314.25099999999998</v>
      </c>
      <c r="GZ498" s="15">
        <f t="shared" si="8263"/>
        <v>6189.9108605929514</v>
      </c>
      <c r="HA498" s="15">
        <f t="shared" si="8264"/>
        <v>549.23787582901082</v>
      </c>
      <c r="HB498" s="2">
        <f t="shared" si="4406"/>
        <v>129.33100000000002</v>
      </c>
      <c r="HC498" s="2">
        <f t="shared" si="4407"/>
        <v>184.91999999999996</v>
      </c>
      <c r="HD498" s="2" t="s">
        <v>3</v>
      </c>
      <c r="HE498" s="2" t="s">
        <v>89</v>
      </c>
      <c r="HF498" s="2" t="s">
        <v>283</v>
      </c>
      <c r="HG498" s="2"/>
      <c r="HH498" s="2"/>
      <c r="HI498" s="2" t="s">
        <v>81</v>
      </c>
      <c r="HJ498" s="2" t="s">
        <v>3</v>
      </c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 t="s">
        <v>3</v>
      </c>
    </row>
    <row r="499" spans="1:268" ht="15.75" customHeight="1" x14ac:dyDescent="0.2">
      <c r="A499" s="16" t="s">
        <v>1034</v>
      </c>
      <c r="B499" s="2" t="s">
        <v>238</v>
      </c>
      <c r="C499" s="2"/>
      <c r="D499" s="2"/>
      <c r="E499" s="2"/>
      <c r="F499" s="2" t="s">
        <v>1035</v>
      </c>
      <c r="G499" s="2"/>
      <c r="H499" s="2"/>
      <c r="I499" s="19">
        <v>0.55985499999999999</v>
      </c>
      <c r="J499" s="4">
        <v>1.1000000000000001</v>
      </c>
      <c r="K499" s="4">
        <v>0.1</v>
      </c>
      <c r="L499" s="2"/>
      <c r="M499" s="2"/>
      <c r="N499" s="2"/>
      <c r="O499" s="2"/>
      <c r="P499" s="2"/>
      <c r="Q499" s="2">
        <v>0.93</v>
      </c>
      <c r="R499" s="2">
        <v>0.04</v>
      </c>
      <c r="S499" s="4">
        <v>0.6</v>
      </c>
      <c r="T499" s="2">
        <v>2.66</v>
      </c>
      <c r="U499" s="2"/>
      <c r="V499" s="2"/>
      <c r="W499" s="2"/>
      <c r="X499" s="2"/>
      <c r="Y499" s="2"/>
      <c r="Z499" s="2"/>
      <c r="AA499" s="2"/>
      <c r="AB499" s="2"/>
      <c r="AC499" s="2"/>
      <c r="AD499" s="4">
        <f>8.562+2.217804+5.374+1.128+3.760518</f>
        <v>21.042321999999999</v>
      </c>
      <c r="AE499" s="4">
        <f>(0.76*8.562+2.57*2.217804+1.07*5.374+1.55*1.128+1.11*3.760518)/AD499</f>
        <v>1.1348382208009173</v>
      </c>
      <c r="AF499" s="4">
        <f>(0.08*8.562+0.2*2.217804+0.23*5.374+0.15*1.128+0.1*3.760518)/AD499</f>
        <v>0.13828286631104686</v>
      </c>
      <c r="AG499" s="2"/>
      <c r="AH499" s="2"/>
      <c r="AI499" s="2"/>
      <c r="AJ499" s="2"/>
      <c r="AK499" s="2"/>
      <c r="AL499" s="4">
        <f>(0.76*8.562+1.891*2.217804+0.74*5.374+1.22*1.128+0.9*3.760518)/AD499</f>
        <v>0.92377512158591613</v>
      </c>
      <c r="AM499" s="19">
        <f>(0.04*8.562+0.077*2.217804+0.04*5.374+0.05*1.128+0.04*3.760518)/AD499</f>
        <v>4.4435762745195145E-2</v>
      </c>
      <c r="AN499" s="4">
        <f>(0.32*8.562+0.967*2.217804+0.7*5.374+0.64*1.128+0.5*3.760518)/AD499</f>
        <v>0.53456246264076746</v>
      </c>
      <c r="AO499" s="4">
        <f>(1.36*8.562+3.632*2.217804+2.65*5.374+3.14*1.128+2.18*3.760518)/AD499</f>
        <v>2.1708789252440868</v>
      </c>
      <c r="AP499" s="2"/>
      <c r="AQ499" s="2"/>
      <c r="AR499" s="2"/>
      <c r="AS499" s="2"/>
      <c r="AT499" s="2"/>
      <c r="AU499" s="2"/>
      <c r="AV499" s="2"/>
      <c r="AW499" s="2"/>
      <c r="AX499" s="2"/>
      <c r="AY499" s="19">
        <f>0.478+0.031137+3.085+0.041+1.591493</f>
        <v>5.2266300000000001</v>
      </c>
      <c r="AZ499" s="4">
        <f>(0.83*0.478+1.782*0.031137+1.12*3.085+1.3*0.041+0.53*1.591493)/AY499</f>
        <v>0.91918070037481148</v>
      </c>
      <c r="BA499" s="4">
        <f>(0.07*0.478+0.152*0.031137+0.18*3.085+0.1*0.041+0.06*1.591493)/AY499</f>
        <v>0.13260598205727209</v>
      </c>
      <c r="BB499" s="2"/>
      <c r="BC499" s="2"/>
      <c r="BD499" s="2"/>
      <c r="BE499" s="2"/>
      <c r="BF499" s="2"/>
      <c r="BG499" s="4">
        <f>(0.81*0.478+1.605*0.031137+0.82*3.085+1.24*0.041+0.47*1.591493)/AY499</f>
        <v>0.72048271926652541</v>
      </c>
      <c r="BH499" s="19">
        <f>(0.04*0.478+0.074*0.031137+0.04*3.085+0.05*0.041+0.02*1.591493)/AY499</f>
        <v>3.4191055804600662E-2</v>
      </c>
      <c r="BI499" s="4">
        <f>(0.32*0.478+0.603*0.031137+0.65*3.085+0.69*0.041+0.28*1.591493)/AY499</f>
        <v>0.50718984335987061</v>
      </c>
      <c r="BJ499" s="4">
        <f>(1.33*0.478+3.57*0.031137+2.57*3.085+2.9*0.041+1.15*1.591493)/AY499</f>
        <v>2.032756487449848</v>
      </c>
      <c r="BK499" s="2"/>
      <c r="BL499" s="2"/>
      <c r="BM499" s="2"/>
      <c r="BN499" s="2"/>
      <c r="BO499" s="2"/>
      <c r="BP499" s="2"/>
      <c r="BQ499" s="2"/>
      <c r="BR499" s="2"/>
      <c r="BS499" s="2"/>
      <c r="BT499" s="2">
        <v>0</v>
      </c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>
        <v>0</v>
      </c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 t="s">
        <v>81</v>
      </c>
      <c r="DK499" s="2" t="s">
        <v>81</v>
      </c>
      <c r="DL499" s="2">
        <f t="shared" si="4367"/>
        <v>0.88430079313627319</v>
      </c>
      <c r="DM499" s="2">
        <f t="shared" si="4368"/>
        <v>4.2347385256452152E-2</v>
      </c>
      <c r="DN499" s="2" t="s">
        <v>1036</v>
      </c>
      <c r="DO499" s="2" t="s">
        <v>3</v>
      </c>
      <c r="DP499" s="2">
        <f t="shared" si="4369"/>
        <v>0.29299689184</v>
      </c>
      <c r="DQ499" s="2">
        <f t="shared" ref="DQ499:DR499" si="8281">K499*$I499+AF499*$AD499+BA499*$AY499</f>
        <v>3.6588605039999997</v>
      </c>
      <c r="DR499" s="2">
        <f t="shared" si="8281"/>
        <v>0</v>
      </c>
      <c r="DS499" s="2">
        <f t="shared" ref="DS499:DX499" si="8282">(M499*$I499+AH499*$AD499+BC499*$AY499)/100</f>
        <v>0</v>
      </c>
      <c r="DT499" s="2">
        <f t="shared" si="8282"/>
        <v>0</v>
      </c>
      <c r="DU499" s="2">
        <f t="shared" si="8282"/>
        <v>0</v>
      </c>
      <c r="DV499" s="2">
        <f t="shared" si="8282"/>
        <v>0</v>
      </c>
      <c r="DW499" s="2">
        <f t="shared" si="8282"/>
        <v>0.23724735308999997</v>
      </c>
      <c r="DX499" s="2">
        <f t="shared" si="8282"/>
        <v>1.1361298260000001E-2</v>
      </c>
      <c r="DY499" s="2">
        <f t="shared" ref="DY499:EC499" si="8283">S499*$I499+AN499*$AD499+BI499*$AY499</f>
        <v>14.235242118999999</v>
      </c>
      <c r="DZ499" s="2">
        <f t="shared" si="8283"/>
        <v>57.794013708000001</v>
      </c>
      <c r="EA499" s="2">
        <f t="shared" si="8283"/>
        <v>0</v>
      </c>
      <c r="EB499" s="2">
        <f t="shared" si="8283"/>
        <v>0</v>
      </c>
      <c r="EC499" s="2">
        <f t="shared" si="8283"/>
        <v>0</v>
      </c>
      <c r="ED499" s="2">
        <f t="shared" ref="ED499:EE499" si="8284">(X499*$I499+AS499*$AD499+BN499*$AY499)/100</f>
        <v>0</v>
      </c>
      <c r="EE499" s="2">
        <f t="shared" si="8284"/>
        <v>0</v>
      </c>
      <c r="EF499" s="2"/>
      <c r="EG499" s="2">
        <f t="shared" si="4374"/>
        <v>0</v>
      </c>
      <c r="EH499" s="2">
        <f t="shared" si="4375"/>
        <v>0</v>
      </c>
      <c r="EI499" s="39">
        <f t="shared" si="4376"/>
        <v>1911.9852053413733</v>
      </c>
      <c r="EJ499" s="39">
        <f t="shared" ref="EJ499:EK499" si="8285">EJ$1*DQ499/1000000</f>
        <v>149.64857109607715</v>
      </c>
      <c r="EK499" s="39">
        <f t="shared" si="8285"/>
        <v>0</v>
      </c>
      <c r="EL499" s="39">
        <f t="shared" ref="EL499:EQ499" si="8286">EL$1*DS499</f>
        <v>0</v>
      </c>
      <c r="EM499" s="39">
        <f t="shared" si="8286"/>
        <v>0</v>
      </c>
      <c r="EN499" s="39">
        <f t="shared" si="8286"/>
        <v>0</v>
      </c>
      <c r="EO499" s="39">
        <f t="shared" si="8286"/>
        <v>0</v>
      </c>
      <c r="EP499" s="39">
        <f t="shared" si="8286"/>
        <v>3111.2617884222595</v>
      </c>
      <c r="EQ499" s="39">
        <f t="shared" si="8286"/>
        <v>825.05207166322828</v>
      </c>
      <c r="ER499" s="39">
        <f t="shared" ref="ER499:EV499" si="8287">ER$1*DY499/1000000</f>
        <v>404.01539577995294</v>
      </c>
      <c r="ES499" s="39">
        <f t="shared" si="8287"/>
        <v>1926.0273192084387</v>
      </c>
      <c r="ET499" s="39">
        <f t="shared" si="8287"/>
        <v>0</v>
      </c>
      <c r="EU499" s="39">
        <f t="shared" si="8287"/>
        <v>0</v>
      </c>
      <c r="EV499" s="39">
        <f t="shared" si="8287"/>
        <v>0</v>
      </c>
      <c r="EW499" s="39">
        <f t="shared" ref="EW499:EX499" si="8288">EW$1*ED499</f>
        <v>0</v>
      </c>
      <c r="EX499" s="39">
        <f t="shared" si="8288"/>
        <v>0</v>
      </c>
      <c r="EY499" s="2"/>
      <c r="EZ499" s="39">
        <f t="shared" si="4381"/>
        <v>0</v>
      </c>
      <c r="FA499" s="39">
        <f t="shared" si="4382"/>
        <v>0</v>
      </c>
      <c r="FB499" s="2">
        <f t="shared" si="4383"/>
        <v>0</v>
      </c>
      <c r="FC499" s="2">
        <f t="shared" ref="FC499:FD499" si="8289">BV499*$BT499+CQ499*$CO499</f>
        <v>0</v>
      </c>
      <c r="FD499" s="2">
        <f t="shared" si="8289"/>
        <v>0</v>
      </c>
      <c r="FE499" s="2">
        <f t="shared" ref="FE499:FJ499" si="8290">(BX499*$BT499+CS499*$CO499)/100</f>
        <v>0</v>
      </c>
      <c r="FF499" s="2">
        <f t="shared" si="8290"/>
        <v>0</v>
      </c>
      <c r="FG499" s="2">
        <f t="shared" si="8290"/>
        <v>0</v>
      </c>
      <c r="FH499" s="2">
        <f t="shared" si="8290"/>
        <v>0</v>
      </c>
      <c r="FI499" s="2">
        <f t="shared" si="8290"/>
        <v>0</v>
      </c>
      <c r="FJ499" s="2">
        <f t="shared" si="8290"/>
        <v>0</v>
      </c>
      <c r="FK499" s="2">
        <f t="shared" ref="FK499:FO499" si="8291">CD499*$BT499+CY499*$CO499</f>
        <v>0</v>
      </c>
      <c r="FL499" s="2">
        <f t="shared" si="8291"/>
        <v>0</v>
      </c>
      <c r="FM499" s="2">
        <f t="shared" si="8291"/>
        <v>0</v>
      </c>
      <c r="FN499" s="2">
        <f t="shared" si="8291"/>
        <v>0</v>
      </c>
      <c r="FO499" s="2">
        <f t="shared" si="8291"/>
        <v>0</v>
      </c>
      <c r="FP499" s="2">
        <f t="shared" ref="FP499:FQ499" si="8292">(CI499*$BT499+DD499*$CO499)/100</f>
        <v>0</v>
      </c>
      <c r="FQ499" s="2">
        <f t="shared" si="8292"/>
        <v>0</v>
      </c>
      <c r="FR499" s="2"/>
      <c r="FS499" s="2">
        <f t="shared" si="4388"/>
        <v>0</v>
      </c>
      <c r="FT499" s="2">
        <f t="shared" si="4389"/>
        <v>0</v>
      </c>
      <c r="FU499" s="39">
        <f t="shared" si="4390"/>
        <v>0</v>
      </c>
      <c r="FV499" s="39">
        <f t="shared" ref="FV499:FW499" si="8293">FV$1*FC499/1000000</f>
        <v>0</v>
      </c>
      <c r="FW499" s="39">
        <f t="shared" si="8293"/>
        <v>0</v>
      </c>
      <c r="FX499" s="39">
        <f t="shared" ref="FX499:GC499" si="8294">FX$1*FE499</f>
        <v>0</v>
      </c>
      <c r="FY499" s="39">
        <f t="shared" si="8294"/>
        <v>0</v>
      </c>
      <c r="FZ499" s="39">
        <f t="shared" si="8294"/>
        <v>0</v>
      </c>
      <c r="GA499" s="39">
        <f t="shared" si="8294"/>
        <v>0</v>
      </c>
      <c r="GB499" s="39">
        <f t="shared" si="8294"/>
        <v>0</v>
      </c>
      <c r="GC499" s="39">
        <f t="shared" si="8294"/>
        <v>0</v>
      </c>
      <c r="GD499" s="39">
        <f t="shared" ref="GD499:GH499" si="8295">GD$1*FK499/1000000</f>
        <v>0</v>
      </c>
      <c r="GE499" s="39">
        <f t="shared" si="8295"/>
        <v>0</v>
      </c>
      <c r="GF499" s="39">
        <f t="shared" si="8295"/>
        <v>0</v>
      </c>
      <c r="GG499" s="39">
        <f t="shared" si="8295"/>
        <v>0</v>
      </c>
      <c r="GH499" s="39">
        <f t="shared" si="8295"/>
        <v>0</v>
      </c>
      <c r="GI499" s="39">
        <f t="shared" ref="GI499:GJ499" si="8296">GI$1*FP499</f>
        <v>0</v>
      </c>
      <c r="GJ499" s="39">
        <f t="shared" si="8296"/>
        <v>0</v>
      </c>
      <c r="GK499" s="2"/>
      <c r="GL499" s="39">
        <f t="shared" si="4395"/>
        <v>0</v>
      </c>
      <c r="GM499" s="39">
        <f t="shared" si="4396"/>
        <v>0</v>
      </c>
      <c r="GN499" s="2" t="s">
        <v>3</v>
      </c>
      <c r="GO499" s="4">
        <f t="shared" si="4397"/>
        <v>26.828806999999998</v>
      </c>
      <c r="GP499" s="4">
        <f t="shared" si="4398"/>
        <v>0.88430079313627319</v>
      </c>
      <c r="GQ499" s="15">
        <f t="shared" si="4399"/>
        <v>237.24735308999996</v>
      </c>
      <c r="GR499" s="15">
        <f t="shared" si="4400"/>
        <v>8327.9903515113292</v>
      </c>
      <c r="GS499" s="15">
        <f t="shared" si="4401"/>
        <v>310.41225021713899</v>
      </c>
      <c r="GT499" s="2">
        <f t="shared" si="4402"/>
        <v>5.2066515000000004</v>
      </c>
      <c r="GU499" s="2">
        <f t="shared" si="4403"/>
        <v>194.38373563999994</v>
      </c>
      <c r="GV499" s="2">
        <f t="shared" si="4404"/>
        <v>37.656965949999993</v>
      </c>
      <c r="GW499" s="2">
        <f t="shared" si="4405"/>
        <v>0</v>
      </c>
      <c r="GX499" s="2"/>
      <c r="GY499" s="2"/>
      <c r="GZ499" s="2"/>
      <c r="HA499" s="2"/>
      <c r="HB499" s="2">
        <f t="shared" si="4406"/>
        <v>0</v>
      </c>
      <c r="HC499" s="2">
        <f t="shared" si="4407"/>
        <v>0</v>
      </c>
      <c r="HD499" s="2" t="s">
        <v>3</v>
      </c>
      <c r="HE499" s="2" t="s">
        <v>89</v>
      </c>
      <c r="HF499" s="2" t="s">
        <v>283</v>
      </c>
      <c r="HG499" s="2"/>
      <c r="HH499" s="2"/>
      <c r="HI499" s="2" t="s">
        <v>81</v>
      </c>
      <c r="HJ499" s="2" t="s">
        <v>3</v>
      </c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 t="s">
        <v>3</v>
      </c>
    </row>
    <row r="500" spans="1:268" ht="15.75" customHeight="1" x14ac:dyDescent="0.2">
      <c r="A500" s="16" t="s">
        <v>1037</v>
      </c>
      <c r="B500" s="2" t="s">
        <v>99</v>
      </c>
      <c r="C500" s="2"/>
      <c r="D500" s="2"/>
      <c r="E500" s="2"/>
      <c r="F500" s="2" t="s">
        <v>1035</v>
      </c>
      <c r="G500" s="2"/>
      <c r="H500" s="2"/>
      <c r="I500" s="2">
        <v>0</v>
      </c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>
        <v>5.641</v>
      </c>
      <c r="AE500" s="2">
        <v>0.66</v>
      </c>
      <c r="AF500" s="2">
        <v>7.0000000000000007E-2</v>
      </c>
      <c r="AG500" s="2"/>
      <c r="AH500" s="2"/>
      <c r="AI500" s="2"/>
      <c r="AJ500" s="2"/>
      <c r="AK500" s="2"/>
      <c r="AL500" s="4">
        <v>0.6</v>
      </c>
      <c r="AM500" s="2">
        <v>0.03</v>
      </c>
      <c r="AN500" s="2">
        <v>0.32</v>
      </c>
      <c r="AO500" s="2">
        <v>1.31</v>
      </c>
      <c r="AP500" s="2"/>
      <c r="AQ500" s="2"/>
      <c r="AR500" s="2"/>
      <c r="AS500" s="2"/>
      <c r="AT500" s="2"/>
      <c r="AU500" s="2"/>
      <c r="AV500" s="2"/>
      <c r="AW500" s="2"/>
      <c r="AX500" s="2"/>
      <c r="AY500" s="2">
        <v>1.7769999999999999</v>
      </c>
      <c r="AZ500" s="2">
        <v>0.55000000000000004</v>
      </c>
      <c r="BA500" s="2">
        <v>0.06</v>
      </c>
      <c r="BB500" s="2"/>
      <c r="BC500" s="2"/>
      <c r="BD500" s="2"/>
      <c r="BE500" s="2"/>
      <c r="BF500" s="2"/>
      <c r="BG500" s="2">
        <v>0.56000000000000005</v>
      </c>
      <c r="BH500" s="2">
        <v>0.03</v>
      </c>
      <c r="BI500" s="2">
        <v>0.28999999999999998</v>
      </c>
      <c r="BJ500" s="2">
        <v>1.27</v>
      </c>
      <c r="BK500" s="2"/>
      <c r="BL500" s="2"/>
      <c r="BM500" s="2"/>
      <c r="BN500" s="2"/>
      <c r="BO500" s="2"/>
      <c r="BP500" s="2"/>
      <c r="BQ500" s="2"/>
      <c r="BR500" s="2"/>
      <c r="BS500" s="2"/>
      <c r="BT500" s="2">
        <v>0</v>
      </c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>
        <v>0</v>
      </c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 t="s">
        <v>81</v>
      </c>
      <c r="DK500" s="2" t="s">
        <v>81</v>
      </c>
      <c r="DL500" s="2">
        <f t="shared" si="4367"/>
        <v>0.59041790239956859</v>
      </c>
      <c r="DM500" s="2">
        <f t="shared" si="4368"/>
        <v>0.03</v>
      </c>
      <c r="DN500" s="2" t="s">
        <v>1038</v>
      </c>
      <c r="DO500" s="2" t="s">
        <v>3</v>
      </c>
      <c r="DP500" s="2">
        <f t="shared" si="4369"/>
        <v>4.7004100000000007E-2</v>
      </c>
      <c r="DQ500" s="2">
        <f t="shared" ref="DQ500:DR500" si="8297">K500*$I500+AF500*$AD500+BA500*$AY500</f>
        <v>0.50148999999999999</v>
      </c>
      <c r="DR500" s="2">
        <f t="shared" si="8297"/>
        <v>0</v>
      </c>
      <c r="DS500" s="2">
        <f t="shared" ref="DS500:DX500" si="8298">(M500*$I500+AH500*$AD500+BC500*$AY500)/100</f>
        <v>0</v>
      </c>
      <c r="DT500" s="2">
        <f t="shared" si="8298"/>
        <v>0</v>
      </c>
      <c r="DU500" s="2">
        <f t="shared" si="8298"/>
        <v>0</v>
      </c>
      <c r="DV500" s="2">
        <f t="shared" si="8298"/>
        <v>0</v>
      </c>
      <c r="DW500" s="2">
        <f t="shared" si="8298"/>
        <v>4.3797200000000001E-2</v>
      </c>
      <c r="DX500" s="2">
        <f t="shared" si="8298"/>
        <v>2.2253999999999998E-3</v>
      </c>
      <c r="DY500" s="2">
        <f t="shared" ref="DY500:EC500" si="8299">S500*$I500+AN500*$AD500+BI500*$AY500</f>
        <v>2.3204500000000001</v>
      </c>
      <c r="DZ500" s="2">
        <f t="shared" si="8299"/>
        <v>9.6464999999999996</v>
      </c>
      <c r="EA500" s="2">
        <f t="shared" si="8299"/>
        <v>0</v>
      </c>
      <c r="EB500" s="2">
        <f t="shared" si="8299"/>
        <v>0</v>
      </c>
      <c r="EC500" s="2">
        <f t="shared" si="8299"/>
        <v>0</v>
      </c>
      <c r="ED500" s="2">
        <f t="shared" ref="ED500:EE500" si="8300">(X500*$I500+AS500*$AD500+BN500*$AY500)/100</f>
        <v>0</v>
      </c>
      <c r="EE500" s="2">
        <f t="shared" si="8300"/>
        <v>0</v>
      </c>
      <c r="EF500" s="2"/>
      <c r="EG500" s="2">
        <f t="shared" si="4374"/>
        <v>0</v>
      </c>
      <c r="EH500" s="2">
        <f t="shared" si="4375"/>
        <v>0</v>
      </c>
      <c r="EI500" s="39">
        <f t="shared" si="4376"/>
        <v>306.73070702560005</v>
      </c>
      <c r="EJ500" s="39">
        <f t="shared" ref="EJ500:EK500" si="8301">EJ$1*DQ500/1000000</f>
        <v>20.511102250803859</v>
      </c>
      <c r="EK500" s="39">
        <f t="shared" si="8301"/>
        <v>0</v>
      </c>
      <c r="EL500" s="39">
        <f t="shared" ref="EL500:EQ500" si="8302">EL$1*DS500</f>
        <v>0</v>
      </c>
      <c r="EM500" s="39">
        <f t="shared" si="8302"/>
        <v>0</v>
      </c>
      <c r="EN500" s="39">
        <f t="shared" si="8302"/>
        <v>0</v>
      </c>
      <c r="EO500" s="39">
        <f t="shared" si="8302"/>
        <v>0</v>
      </c>
      <c r="EP500" s="39">
        <f t="shared" si="8302"/>
        <v>574.35648079999999</v>
      </c>
      <c r="EQ500" s="39">
        <f t="shared" si="8302"/>
        <v>161.60748870959995</v>
      </c>
      <c r="ER500" s="39">
        <f t="shared" ref="ER500:EV500" si="8303">ER$1*DY500/1000000</f>
        <v>65.857504726688092</v>
      </c>
      <c r="ES500" s="39">
        <f t="shared" si="8303"/>
        <v>321.47659147909968</v>
      </c>
      <c r="ET500" s="39">
        <f t="shared" si="8303"/>
        <v>0</v>
      </c>
      <c r="EU500" s="39">
        <f t="shared" si="8303"/>
        <v>0</v>
      </c>
      <c r="EV500" s="39">
        <f t="shared" si="8303"/>
        <v>0</v>
      </c>
      <c r="EW500" s="39">
        <f t="shared" ref="EW500:EX500" si="8304">EW$1*ED500</f>
        <v>0</v>
      </c>
      <c r="EX500" s="39">
        <f t="shared" si="8304"/>
        <v>0</v>
      </c>
      <c r="EY500" s="2"/>
      <c r="EZ500" s="39">
        <f t="shared" si="4381"/>
        <v>0</v>
      </c>
      <c r="FA500" s="39">
        <f t="shared" si="4382"/>
        <v>0</v>
      </c>
      <c r="FB500" s="2">
        <f t="shared" si="4383"/>
        <v>0</v>
      </c>
      <c r="FC500" s="2">
        <f t="shared" ref="FC500:FD500" si="8305">BV500*$BT500+CQ500*$CO500</f>
        <v>0</v>
      </c>
      <c r="FD500" s="2">
        <f t="shared" si="8305"/>
        <v>0</v>
      </c>
      <c r="FE500" s="2">
        <f t="shared" ref="FE500:FJ500" si="8306">(BX500*$BT500+CS500*$CO500)/100</f>
        <v>0</v>
      </c>
      <c r="FF500" s="2">
        <f t="shared" si="8306"/>
        <v>0</v>
      </c>
      <c r="FG500" s="2">
        <f t="shared" si="8306"/>
        <v>0</v>
      </c>
      <c r="FH500" s="2">
        <f t="shared" si="8306"/>
        <v>0</v>
      </c>
      <c r="FI500" s="2">
        <f t="shared" si="8306"/>
        <v>0</v>
      </c>
      <c r="FJ500" s="2">
        <f t="shared" si="8306"/>
        <v>0</v>
      </c>
      <c r="FK500" s="2">
        <f t="shared" ref="FK500:FO500" si="8307">CD500*$BT500+CY500*$CO500</f>
        <v>0</v>
      </c>
      <c r="FL500" s="2">
        <f t="shared" si="8307"/>
        <v>0</v>
      </c>
      <c r="FM500" s="2">
        <f t="shared" si="8307"/>
        <v>0</v>
      </c>
      <c r="FN500" s="2">
        <f t="shared" si="8307"/>
        <v>0</v>
      </c>
      <c r="FO500" s="2">
        <f t="shared" si="8307"/>
        <v>0</v>
      </c>
      <c r="FP500" s="2">
        <f t="shared" ref="FP500:FQ500" si="8308">(CI500*$BT500+DD500*$CO500)/100</f>
        <v>0</v>
      </c>
      <c r="FQ500" s="2">
        <f t="shared" si="8308"/>
        <v>0</v>
      </c>
      <c r="FR500" s="2"/>
      <c r="FS500" s="2">
        <f t="shared" si="4388"/>
        <v>0</v>
      </c>
      <c r="FT500" s="2">
        <f t="shared" si="4389"/>
        <v>0</v>
      </c>
      <c r="FU500" s="39">
        <f t="shared" si="4390"/>
        <v>0</v>
      </c>
      <c r="FV500" s="39">
        <f t="shared" ref="FV500:FW500" si="8309">FV$1*FC500/1000000</f>
        <v>0</v>
      </c>
      <c r="FW500" s="39">
        <f t="shared" si="8309"/>
        <v>0</v>
      </c>
      <c r="FX500" s="39">
        <f t="shared" ref="FX500:GC500" si="8310">FX$1*FE500</f>
        <v>0</v>
      </c>
      <c r="FY500" s="39">
        <f t="shared" si="8310"/>
        <v>0</v>
      </c>
      <c r="FZ500" s="39">
        <f t="shared" si="8310"/>
        <v>0</v>
      </c>
      <c r="GA500" s="39">
        <f t="shared" si="8310"/>
        <v>0</v>
      </c>
      <c r="GB500" s="39">
        <f t="shared" si="8310"/>
        <v>0</v>
      </c>
      <c r="GC500" s="39">
        <f t="shared" si="8310"/>
        <v>0</v>
      </c>
      <c r="GD500" s="39">
        <f t="shared" ref="GD500:GH500" si="8311">GD$1*FK500/1000000</f>
        <v>0</v>
      </c>
      <c r="GE500" s="39">
        <f t="shared" si="8311"/>
        <v>0</v>
      </c>
      <c r="GF500" s="39">
        <f t="shared" si="8311"/>
        <v>0</v>
      </c>
      <c r="GG500" s="39">
        <f t="shared" si="8311"/>
        <v>0</v>
      </c>
      <c r="GH500" s="39">
        <f t="shared" si="8311"/>
        <v>0</v>
      </c>
      <c r="GI500" s="39">
        <f t="shared" ref="GI500:GJ500" si="8312">GI$1*FP500</f>
        <v>0</v>
      </c>
      <c r="GJ500" s="39">
        <f t="shared" si="8312"/>
        <v>0</v>
      </c>
      <c r="GK500" s="2"/>
      <c r="GL500" s="39">
        <f t="shared" si="4395"/>
        <v>0</v>
      </c>
      <c r="GM500" s="39">
        <f t="shared" si="4396"/>
        <v>0</v>
      </c>
      <c r="GN500" s="2" t="s">
        <v>3</v>
      </c>
      <c r="GO500" s="2">
        <f t="shared" si="4397"/>
        <v>7.4180000000000001</v>
      </c>
      <c r="GP500" s="4">
        <f t="shared" si="4398"/>
        <v>0.59041790239956859</v>
      </c>
      <c r="GQ500" s="15">
        <f t="shared" si="4399"/>
        <v>43.797200000000004</v>
      </c>
      <c r="GR500" s="15">
        <f t="shared" si="4400"/>
        <v>1450.5398749917915</v>
      </c>
      <c r="GS500" s="15">
        <f t="shared" si="4401"/>
        <v>195.54325626742943</v>
      </c>
      <c r="GT500" s="2">
        <f t="shared" si="4402"/>
        <v>0</v>
      </c>
      <c r="GU500" s="2">
        <f t="shared" si="4403"/>
        <v>33.845999999999997</v>
      </c>
      <c r="GV500" s="2">
        <f t="shared" si="4404"/>
        <v>9.9512</v>
      </c>
      <c r="GW500" s="2">
        <f t="shared" si="4405"/>
        <v>0</v>
      </c>
      <c r="GX500" s="2"/>
      <c r="GY500" s="2"/>
      <c r="GZ500" s="2"/>
      <c r="HA500" s="2"/>
      <c r="HB500" s="2">
        <f t="shared" si="4406"/>
        <v>0</v>
      </c>
      <c r="HC500" s="2">
        <f t="shared" si="4407"/>
        <v>0</v>
      </c>
      <c r="HD500" s="2" t="s">
        <v>3</v>
      </c>
      <c r="HE500" s="2" t="s">
        <v>89</v>
      </c>
      <c r="HF500" s="2" t="s">
        <v>283</v>
      </c>
      <c r="HG500" s="2"/>
      <c r="HH500" s="2"/>
      <c r="HI500" s="2" t="s">
        <v>81</v>
      </c>
      <c r="HJ500" s="2" t="s">
        <v>3</v>
      </c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 t="s">
        <v>3</v>
      </c>
    </row>
    <row r="501" spans="1:268" ht="15.75" customHeight="1" x14ac:dyDescent="0.2">
      <c r="A501" s="16" t="s">
        <v>635</v>
      </c>
      <c r="B501" s="2" t="s">
        <v>99</v>
      </c>
      <c r="C501" s="2"/>
      <c r="D501" s="2"/>
      <c r="E501" s="2"/>
      <c r="F501" s="2" t="s">
        <v>79</v>
      </c>
      <c r="G501" s="2"/>
      <c r="H501" s="2"/>
      <c r="I501" s="2">
        <v>0</v>
      </c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>
        <v>0</v>
      </c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>
        <v>2.6</v>
      </c>
      <c r="AZ501" s="2">
        <v>0.17</v>
      </c>
      <c r="BA501" s="2"/>
      <c r="BB501" s="2"/>
      <c r="BC501" s="2"/>
      <c r="BD501" s="2"/>
      <c r="BE501" s="2"/>
      <c r="BF501" s="2"/>
      <c r="BG501" s="2">
        <v>0.47</v>
      </c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>
        <v>0</v>
      </c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>
        <v>0</v>
      </c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 t="s">
        <v>100</v>
      </c>
      <c r="DK501" s="2"/>
      <c r="DL501" s="2">
        <f t="shared" si="4367"/>
        <v>0.47</v>
      </c>
      <c r="DM501" s="2">
        <f t="shared" si="4368"/>
        <v>0</v>
      </c>
      <c r="DN501" s="2" t="s">
        <v>132</v>
      </c>
      <c r="DO501" s="2" t="s">
        <v>3</v>
      </c>
      <c r="DP501" s="2">
        <f t="shared" si="4369"/>
        <v>4.4200000000000003E-3</v>
      </c>
      <c r="DQ501" s="2">
        <f t="shared" ref="DQ501:DR501" si="8313">K501*$I501+AF501*$AD501+BA501*$AY501</f>
        <v>0</v>
      </c>
      <c r="DR501" s="2">
        <f t="shared" si="8313"/>
        <v>0</v>
      </c>
      <c r="DS501" s="2">
        <f t="shared" ref="DS501:DX501" si="8314">(M501*$I501+AH501*$AD501+BC501*$AY501)/100</f>
        <v>0</v>
      </c>
      <c r="DT501" s="2">
        <f t="shared" si="8314"/>
        <v>0</v>
      </c>
      <c r="DU501" s="2">
        <f t="shared" si="8314"/>
        <v>0</v>
      </c>
      <c r="DV501" s="2">
        <f t="shared" si="8314"/>
        <v>0</v>
      </c>
      <c r="DW501" s="2">
        <f t="shared" si="8314"/>
        <v>1.222E-2</v>
      </c>
      <c r="DX501" s="2">
        <f t="shared" si="8314"/>
        <v>0</v>
      </c>
      <c r="DY501" s="2">
        <f t="shared" ref="DY501:EC501" si="8315">S501*$I501+AN501*$AD501+BI501*$AY501</f>
        <v>0</v>
      </c>
      <c r="DZ501" s="2">
        <f t="shared" si="8315"/>
        <v>0</v>
      </c>
      <c r="EA501" s="2">
        <f t="shared" si="8315"/>
        <v>0</v>
      </c>
      <c r="EB501" s="2">
        <f t="shared" si="8315"/>
        <v>0</v>
      </c>
      <c r="EC501" s="2">
        <f t="shared" si="8315"/>
        <v>0</v>
      </c>
      <c r="ED501" s="2">
        <f t="shared" ref="ED501:EE501" si="8316">(X501*$I501+AS501*$AD501+BN501*$AY501)/100</f>
        <v>0</v>
      </c>
      <c r="EE501" s="2">
        <f t="shared" si="8316"/>
        <v>0</v>
      </c>
      <c r="EF501" s="2"/>
      <c r="EG501" s="2">
        <f t="shared" si="4374"/>
        <v>0</v>
      </c>
      <c r="EH501" s="2">
        <f t="shared" si="4375"/>
        <v>0</v>
      </c>
      <c r="EI501" s="39">
        <f t="shared" si="4376"/>
        <v>28.843222720000004</v>
      </c>
      <c r="EJ501" s="39">
        <f t="shared" ref="EJ501:EK501" si="8317">EJ$1*DQ501/1000000</f>
        <v>0</v>
      </c>
      <c r="EK501" s="39">
        <f t="shared" si="8317"/>
        <v>0</v>
      </c>
      <c r="EL501" s="39">
        <f t="shared" ref="EL501:EQ501" si="8318">EL$1*DS501</f>
        <v>0</v>
      </c>
      <c r="EM501" s="39">
        <f t="shared" si="8318"/>
        <v>0</v>
      </c>
      <c r="EN501" s="39">
        <f t="shared" si="8318"/>
        <v>0</v>
      </c>
      <c r="EO501" s="39">
        <f t="shared" si="8318"/>
        <v>0</v>
      </c>
      <c r="EP501" s="39">
        <f t="shared" si="8318"/>
        <v>160.25308000000001</v>
      </c>
      <c r="EQ501" s="39">
        <f t="shared" si="8318"/>
        <v>0</v>
      </c>
      <c r="ER501" s="39">
        <f t="shared" ref="ER501:EV501" si="8319">ER$1*DY501/1000000</f>
        <v>0</v>
      </c>
      <c r="ES501" s="39">
        <f t="shared" si="8319"/>
        <v>0</v>
      </c>
      <c r="ET501" s="39">
        <f t="shared" si="8319"/>
        <v>0</v>
      </c>
      <c r="EU501" s="39">
        <f t="shared" si="8319"/>
        <v>0</v>
      </c>
      <c r="EV501" s="39">
        <f t="shared" si="8319"/>
        <v>0</v>
      </c>
      <c r="EW501" s="39">
        <f t="shared" ref="EW501:EX501" si="8320">EW$1*ED501</f>
        <v>0</v>
      </c>
      <c r="EX501" s="39">
        <f t="shared" si="8320"/>
        <v>0</v>
      </c>
      <c r="EY501" s="2"/>
      <c r="EZ501" s="39">
        <f t="shared" si="4381"/>
        <v>0</v>
      </c>
      <c r="FA501" s="39">
        <f t="shared" si="4382"/>
        <v>0</v>
      </c>
      <c r="FB501" s="2">
        <f t="shared" si="4383"/>
        <v>0</v>
      </c>
      <c r="FC501" s="2">
        <f t="shared" ref="FC501:FD501" si="8321">BV501*$BT501+CQ501*$CO501</f>
        <v>0</v>
      </c>
      <c r="FD501" s="2">
        <f t="shared" si="8321"/>
        <v>0</v>
      </c>
      <c r="FE501" s="2">
        <f t="shared" ref="FE501:FJ501" si="8322">(BX501*$BT501+CS501*$CO501)/100</f>
        <v>0</v>
      </c>
      <c r="FF501" s="2">
        <f t="shared" si="8322"/>
        <v>0</v>
      </c>
      <c r="FG501" s="2">
        <f t="shared" si="8322"/>
        <v>0</v>
      </c>
      <c r="FH501" s="2">
        <f t="shared" si="8322"/>
        <v>0</v>
      </c>
      <c r="FI501" s="2">
        <f t="shared" si="8322"/>
        <v>0</v>
      </c>
      <c r="FJ501" s="2">
        <f t="shared" si="8322"/>
        <v>0</v>
      </c>
      <c r="FK501" s="2">
        <f t="shared" ref="FK501:FO501" si="8323">CD501*$BT501+CY501*$CO501</f>
        <v>0</v>
      </c>
      <c r="FL501" s="2">
        <f t="shared" si="8323"/>
        <v>0</v>
      </c>
      <c r="FM501" s="2">
        <f t="shared" si="8323"/>
        <v>0</v>
      </c>
      <c r="FN501" s="2">
        <f t="shared" si="8323"/>
        <v>0</v>
      </c>
      <c r="FO501" s="2">
        <f t="shared" si="8323"/>
        <v>0</v>
      </c>
      <c r="FP501" s="2">
        <f t="shared" ref="FP501:FQ501" si="8324">(CI501*$BT501+DD501*$CO501)/100</f>
        <v>0</v>
      </c>
      <c r="FQ501" s="2">
        <f t="shared" si="8324"/>
        <v>0</v>
      </c>
      <c r="FR501" s="2"/>
      <c r="FS501" s="2">
        <f t="shared" si="4388"/>
        <v>0</v>
      </c>
      <c r="FT501" s="2">
        <f t="shared" si="4389"/>
        <v>0</v>
      </c>
      <c r="FU501" s="39">
        <f t="shared" si="4390"/>
        <v>0</v>
      </c>
      <c r="FV501" s="39">
        <f t="shared" ref="FV501:FW501" si="8325">FV$1*FC501/1000000</f>
        <v>0</v>
      </c>
      <c r="FW501" s="39">
        <f t="shared" si="8325"/>
        <v>0</v>
      </c>
      <c r="FX501" s="39">
        <f t="shared" ref="FX501:GC501" si="8326">FX$1*FE501</f>
        <v>0</v>
      </c>
      <c r="FY501" s="39">
        <f t="shared" si="8326"/>
        <v>0</v>
      </c>
      <c r="FZ501" s="39">
        <f t="shared" si="8326"/>
        <v>0</v>
      </c>
      <c r="GA501" s="39">
        <f t="shared" si="8326"/>
        <v>0</v>
      </c>
      <c r="GB501" s="39">
        <f t="shared" si="8326"/>
        <v>0</v>
      </c>
      <c r="GC501" s="39">
        <f t="shared" si="8326"/>
        <v>0</v>
      </c>
      <c r="GD501" s="39">
        <f t="shared" ref="GD501:GH501" si="8327">GD$1*FK501/1000000</f>
        <v>0</v>
      </c>
      <c r="GE501" s="39">
        <f t="shared" si="8327"/>
        <v>0</v>
      </c>
      <c r="GF501" s="39">
        <f t="shared" si="8327"/>
        <v>0</v>
      </c>
      <c r="GG501" s="39">
        <f t="shared" si="8327"/>
        <v>0</v>
      </c>
      <c r="GH501" s="39">
        <f t="shared" si="8327"/>
        <v>0</v>
      </c>
      <c r="GI501" s="39">
        <f t="shared" ref="GI501:GJ501" si="8328">GI$1*FP501</f>
        <v>0</v>
      </c>
      <c r="GJ501" s="39">
        <f t="shared" si="8328"/>
        <v>0</v>
      </c>
      <c r="GK501" s="2"/>
      <c r="GL501" s="39">
        <f t="shared" si="4395"/>
        <v>0</v>
      </c>
      <c r="GM501" s="39">
        <f t="shared" si="4396"/>
        <v>0</v>
      </c>
      <c r="GN501" s="2" t="s">
        <v>3</v>
      </c>
      <c r="GO501" s="2">
        <f t="shared" si="4397"/>
        <v>2.6</v>
      </c>
      <c r="GP501" s="2">
        <f t="shared" si="4398"/>
        <v>0.47</v>
      </c>
      <c r="GQ501" s="15">
        <f t="shared" si="4399"/>
        <v>12.22</v>
      </c>
      <c r="GR501" s="15">
        <f t="shared" si="4400"/>
        <v>189.09630272000001</v>
      </c>
      <c r="GS501" s="15">
        <f t="shared" si="4401"/>
        <v>72.729347200000007</v>
      </c>
      <c r="GT501" s="2">
        <f t="shared" si="4402"/>
        <v>0</v>
      </c>
      <c r="GU501" s="2">
        <f t="shared" si="4403"/>
        <v>0</v>
      </c>
      <c r="GV501" s="2">
        <f t="shared" si="4404"/>
        <v>12.22</v>
      </c>
      <c r="GW501" s="2">
        <f t="shared" si="4405"/>
        <v>0</v>
      </c>
      <c r="GX501" s="2"/>
      <c r="GY501" s="2"/>
      <c r="GZ501" s="2"/>
      <c r="HA501" s="2"/>
      <c r="HB501" s="2">
        <f t="shared" si="4406"/>
        <v>0</v>
      </c>
      <c r="HC501" s="2">
        <f t="shared" si="4407"/>
        <v>0</v>
      </c>
      <c r="HD501" s="2" t="s">
        <v>3</v>
      </c>
      <c r="HE501" s="2" t="s">
        <v>89</v>
      </c>
      <c r="HF501" s="2" t="s">
        <v>636</v>
      </c>
      <c r="HG501" s="2"/>
      <c r="HH501" s="2"/>
      <c r="HI501" s="2" t="s">
        <v>100</v>
      </c>
      <c r="HJ501" s="2" t="s">
        <v>3</v>
      </c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 t="s">
        <v>3</v>
      </c>
    </row>
    <row r="502" spans="1:268" ht="15.75" customHeight="1" x14ac:dyDescent="0.2">
      <c r="A502" s="16" t="s">
        <v>1068</v>
      </c>
      <c r="B502" s="2" t="s">
        <v>99</v>
      </c>
      <c r="C502" s="2"/>
      <c r="D502" s="2"/>
      <c r="E502" s="2"/>
      <c r="F502" s="2" t="s">
        <v>79</v>
      </c>
      <c r="G502" s="2"/>
      <c r="H502" s="2"/>
      <c r="I502" s="2">
        <v>0</v>
      </c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>
        <v>0</v>
      </c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>
        <v>6.37</v>
      </c>
      <c r="AZ502" s="2">
        <v>0.04</v>
      </c>
      <c r="BA502" s="2"/>
      <c r="BB502" s="2"/>
      <c r="BC502" s="2"/>
      <c r="BD502" s="2"/>
      <c r="BE502" s="2"/>
      <c r="BF502" s="2"/>
      <c r="BG502" s="2">
        <v>0.35</v>
      </c>
      <c r="BH502" s="2">
        <v>0.01</v>
      </c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>
        <v>0</v>
      </c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>
        <v>0</v>
      </c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 t="s">
        <v>100</v>
      </c>
      <c r="DK502" s="2" t="s">
        <v>100</v>
      </c>
      <c r="DL502" s="2">
        <f t="shared" si="4367"/>
        <v>0.35</v>
      </c>
      <c r="DM502" s="2">
        <f t="shared" si="4368"/>
        <v>0.01</v>
      </c>
      <c r="DN502" s="2" t="s">
        <v>221</v>
      </c>
      <c r="DO502" s="2" t="s">
        <v>3</v>
      </c>
      <c r="DP502" s="2">
        <f t="shared" si="4369"/>
        <v>2.5480000000000004E-3</v>
      </c>
      <c r="DQ502" s="2">
        <f t="shared" ref="DQ502:DR502" si="8329">K502*$I502+AF502*$AD502+BA502*$AY502</f>
        <v>0</v>
      </c>
      <c r="DR502" s="2">
        <f t="shared" si="8329"/>
        <v>0</v>
      </c>
      <c r="DS502" s="2">
        <f t="shared" ref="DS502:DX502" si="8330">(M502*$I502+AH502*$AD502+BC502*$AY502)/100</f>
        <v>0</v>
      </c>
      <c r="DT502" s="2">
        <f t="shared" si="8330"/>
        <v>0</v>
      </c>
      <c r="DU502" s="2">
        <f t="shared" si="8330"/>
        <v>0</v>
      </c>
      <c r="DV502" s="2">
        <f t="shared" si="8330"/>
        <v>0</v>
      </c>
      <c r="DW502" s="2">
        <f t="shared" si="8330"/>
        <v>2.2294999999999999E-2</v>
      </c>
      <c r="DX502" s="2">
        <f t="shared" si="8330"/>
        <v>6.3700000000000009E-4</v>
      </c>
      <c r="DY502" s="2">
        <f t="shared" ref="DY502:EC502" si="8331">S502*$I502+AN502*$AD502+BI502*$AY502</f>
        <v>0</v>
      </c>
      <c r="DZ502" s="2">
        <f t="shared" si="8331"/>
        <v>0</v>
      </c>
      <c r="EA502" s="2">
        <f t="shared" si="8331"/>
        <v>0</v>
      </c>
      <c r="EB502" s="2">
        <f t="shared" si="8331"/>
        <v>0</v>
      </c>
      <c r="EC502" s="2">
        <f t="shared" si="8331"/>
        <v>0</v>
      </c>
      <c r="ED502" s="2">
        <f t="shared" ref="ED502:EE502" si="8332">(X502*$I502+AS502*$AD502+BN502*$AY502)/100</f>
        <v>0</v>
      </c>
      <c r="EE502" s="2">
        <f t="shared" si="8332"/>
        <v>0</v>
      </c>
      <c r="EF502" s="2"/>
      <c r="EG502" s="2">
        <f t="shared" si="4374"/>
        <v>0</v>
      </c>
      <c r="EH502" s="2">
        <f t="shared" si="4375"/>
        <v>0</v>
      </c>
      <c r="EI502" s="39">
        <f t="shared" si="4376"/>
        <v>16.627269568000003</v>
      </c>
      <c r="EJ502" s="39">
        <f t="shared" ref="EJ502:EK502" si="8333">EJ$1*DQ502/1000000</f>
        <v>0</v>
      </c>
      <c r="EK502" s="39">
        <f t="shared" si="8333"/>
        <v>0</v>
      </c>
      <c r="EL502" s="39">
        <f t="shared" ref="EL502:EQ502" si="8334">EL$1*DS502</f>
        <v>0</v>
      </c>
      <c r="EM502" s="39">
        <f t="shared" si="8334"/>
        <v>0</v>
      </c>
      <c r="EN502" s="39">
        <f t="shared" si="8334"/>
        <v>0</v>
      </c>
      <c r="EO502" s="39">
        <f t="shared" si="8334"/>
        <v>0</v>
      </c>
      <c r="EP502" s="39">
        <f t="shared" si="8334"/>
        <v>292.37662999999998</v>
      </c>
      <c r="EQ502" s="39">
        <f t="shared" si="8334"/>
        <v>46.258636787999997</v>
      </c>
      <c r="ER502" s="39">
        <f t="shared" ref="ER502:EV502" si="8335">ER$1*DY502/1000000</f>
        <v>0</v>
      </c>
      <c r="ES502" s="39">
        <f t="shared" si="8335"/>
        <v>0</v>
      </c>
      <c r="ET502" s="39">
        <f t="shared" si="8335"/>
        <v>0</v>
      </c>
      <c r="EU502" s="39">
        <f t="shared" si="8335"/>
        <v>0</v>
      </c>
      <c r="EV502" s="39">
        <f t="shared" si="8335"/>
        <v>0</v>
      </c>
      <c r="EW502" s="39">
        <f t="shared" ref="EW502:EX502" si="8336">EW$1*ED502</f>
        <v>0</v>
      </c>
      <c r="EX502" s="39">
        <f t="shared" si="8336"/>
        <v>0</v>
      </c>
      <c r="EY502" s="2"/>
      <c r="EZ502" s="39">
        <f t="shared" si="4381"/>
        <v>0</v>
      </c>
      <c r="FA502" s="39">
        <f t="shared" si="4382"/>
        <v>0</v>
      </c>
      <c r="FB502" s="2">
        <f t="shared" si="4383"/>
        <v>0</v>
      </c>
      <c r="FC502" s="2">
        <f t="shared" ref="FC502:FD502" si="8337">BV502*$BT502+CQ502*$CO502</f>
        <v>0</v>
      </c>
      <c r="FD502" s="2">
        <f t="shared" si="8337"/>
        <v>0</v>
      </c>
      <c r="FE502" s="2">
        <f t="shared" ref="FE502:FJ502" si="8338">(BX502*$BT502+CS502*$CO502)/100</f>
        <v>0</v>
      </c>
      <c r="FF502" s="2">
        <f t="shared" si="8338"/>
        <v>0</v>
      </c>
      <c r="FG502" s="2">
        <f t="shared" si="8338"/>
        <v>0</v>
      </c>
      <c r="FH502" s="2">
        <f t="shared" si="8338"/>
        <v>0</v>
      </c>
      <c r="FI502" s="2">
        <f t="shared" si="8338"/>
        <v>0</v>
      </c>
      <c r="FJ502" s="2">
        <f t="shared" si="8338"/>
        <v>0</v>
      </c>
      <c r="FK502" s="2">
        <f t="shared" ref="FK502:FO502" si="8339">CD502*$BT502+CY502*$CO502</f>
        <v>0</v>
      </c>
      <c r="FL502" s="2">
        <f t="shared" si="8339"/>
        <v>0</v>
      </c>
      <c r="FM502" s="2">
        <f t="shared" si="8339"/>
        <v>0</v>
      </c>
      <c r="FN502" s="2">
        <f t="shared" si="8339"/>
        <v>0</v>
      </c>
      <c r="FO502" s="2">
        <f t="shared" si="8339"/>
        <v>0</v>
      </c>
      <c r="FP502" s="2">
        <f t="shared" ref="FP502:FQ502" si="8340">(CI502*$BT502+DD502*$CO502)/100</f>
        <v>0</v>
      </c>
      <c r="FQ502" s="2">
        <f t="shared" si="8340"/>
        <v>0</v>
      </c>
      <c r="FR502" s="2"/>
      <c r="FS502" s="2">
        <f t="shared" si="4388"/>
        <v>0</v>
      </c>
      <c r="FT502" s="2">
        <f t="shared" si="4389"/>
        <v>0</v>
      </c>
      <c r="FU502" s="39">
        <f t="shared" si="4390"/>
        <v>0</v>
      </c>
      <c r="FV502" s="39">
        <f t="shared" ref="FV502:FW502" si="8341">FV$1*FC502/1000000</f>
        <v>0</v>
      </c>
      <c r="FW502" s="39">
        <f t="shared" si="8341"/>
        <v>0</v>
      </c>
      <c r="FX502" s="39">
        <f t="shared" ref="FX502:GC502" si="8342">FX$1*FE502</f>
        <v>0</v>
      </c>
      <c r="FY502" s="39">
        <f t="shared" si="8342"/>
        <v>0</v>
      </c>
      <c r="FZ502" s="39">
        <f t="shared" si="8342"/>
        <v>0</v>
      </c>
      <c r="GA502" s="39">
        <f t="shared" si="8342"/>
        <v>0</v>
      </c>
      <c r="GB502" s="39">
        <f t="shared" si="8342"/>
        <v>0</v>
      </c>
      <c r="GC502" s="39">
        <f t="shared" si="8342"/>
        <v>0</v>
      </c>
      <c r="GD502" s="39">
        <f t="shared" ref="GD502:GH502" si="8343">GD$1*FK502/1000000</f>
        <v>0</v>
      </c>
      <c r="GE502" s="39">
        <f t="shared" si="8343"/>
        <v>0</v>
      </c>
      <c r="GF502" s="39">
        <f t="shared" si="8343"/>
        <v>0</v>
      </c>
      <c r="GG502" s="39">
        <f t="shared" si="8343"/>
        <v>0</v>
      </c>
      <c r="GH502" s="39">
        <f t="shared" si="8343"/>
        <v>0</v>
      </c>
      <c r="GI502" s="39">
        <f t="shared" ref="GI502:GJ502" si="8344">GI$1*FP502</f>
        <v>0</v>
      </c>
      <c r="GJ502" s="39">
        <f t="shared" si="8344"/>
        <v>0</v>
      </c>
      <c r="GK502" s="2"/>
      <c r="GL502" s="39">
        <f t="shared" si="4395"/>
        <v>0</v>
      </c>
      <c r="GM502" s="39">
        <f t="shared" si="4396"/>
        <v>0</v>
      </c>
      <c r="GN502" s="2" t="s">
        <v>3</v>
      </c>
      <c r="GO502" s="2">
        <f t="shared" si="4397"/>
        <v>6.37</v>
      </c>
      <c r="GP502" s="2">
        <f t="shared" si="4398"/>
        <v>0.35</v>
      </c>
      <c r="GQ502" s="15">
        <f t="shared" si="4399"/>
        <v>22.295000000000002</v>
      </c>
      <c r="GR502" s="15">
        <f t="shared" si="4400"/>
        <v>355.26253635599994</v>
      </c>
      <c r="GS502" s="15">
        <f t="shared" si="4401"/>
        <v>55.771198799999993</v>
      </c>
      <c r="GT502" s="2">
        <f t="shared" si="4402"/>
        <v>0</v>
      </c>
      <c r="GU502" s="2">
        <f t="shared" si="4403"/>
        <v>0</v>
      </c>
      <c r="GV502" s="2">
        <f t="shared" si="4404"/>
        <v>22.295000000000002</v>
      </c>
      <c r="GW502" s="2">
        <f t="shared" si="4405"/>
        <v>0</v>
      </c>
      <c r="GX502" s="2"/>
      <c r="GY502" s="2"/>
      <c r="GZ502" s="2"/>
      <c r="HA502" s="2"/>
      <c r="HB502" s="2">
        <f t="shared" si="4406"/>
        <v>0</v>
      </c>
      <c r="HC502" s="2">
        <f t="shared" si="4407"/>
        <v>0</v>
      </c>
      <c r="HD502" s="2" t="s">
        <v>3</v>
      </c>
      <c r="HE502" s="2" t="s">
        <v>89</v>
      </c>
      <c r="HF502" s="2" t="s">
        <v>378</v>
      </c>
      <c r="HG502" s="2"/>
      <c r="HH502" s="2"/>
      <c r="HI502" s="2" t="s">
        <v>100</v>
      </c>
      <c r="HJ502" s="2" t="s">
        <v>3</v>
      </c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 t="s">
        <v>3</v>
      </c>
    </row>
    <row r="503" spans="1:268" ht="15.75" customHeight="1" x14ac:dyDescent="0.2">
      <c r="A503" s="16" t="s">
        <v>245</v>
      </c>
      <c r="B503" s="2" t="s">
        <v>99</v>
      </c>
      <c r="C503" s="2"/>
      <c r="D503" s="2"/>
      <c r="E503" s="2"/>
      <c r="F503" s="2" t="s">
        <v>246</v>
      </c>
      <c r="G503" s="2"/>
      <c r="H503" s="2"/>
      <c r="I503" s="2">
        <v>0</v>
      </c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>
        <v>90.4</v>
      </c>
      <c r="AE503" s="2">
        <v>0.52</v>
      </c>
      <c r="AF503" s="2"/>
      <c r="AG503" s="2"/>
      <c r="AH503" s="2"/>
      <c r="AI503" s="2"/>
      <c r="AJ503" s="2"/>
      <c r="AK503" s="2"/>
      <c r="AL503" s="2">
        <v>0.16</v>
      </c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15">
        <v>217</v>
      </c>
      <c r="AZ503" s="2">
        <v>0.46</v>
      </c>
      <c r="BA503" s="2"/>
      <c r="BB503" s="2"/>
      <c r="BC503" s="2"/>
      <c r="BD503" s="2"/>
      <c r="BE503" s="2"/>
      <c r="BF503" s="2"/>
      <c r="BG503" s="2">
        <v>0.15</v>
      </c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>
        <v>0</v>
      </c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>
        <v>0</v>
      </c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 t="s">
        <v>81</v>
      </c>
      <c r="DK503" s="2"/>
      <c r="DL503" s="2">
        <f t="shared" si="4367"/>
        <v>0.15294079375406636</v>
      </c>
      <c r="DM503" s="2">
        <f t="shared" si="4368"/>
        <v>0</v>
      </c>
      <c r="DN503" s="2" t="s">
        <v>211</v>
      </c>
      <c r="DO503" s="2" t="s">
        <v>3</v>
      </c>
      <c r="DP503" s="2">
        <f t="shared" si="4369"/>
        <v>1.46828</v>
      </c>
      <c r="DQ503" s="2">
        <f t="shared" ref="DQ503:DR503" si="8345">K503*$I503+AF503*$AD503+BA503*$AY503</f>
        <v>0</v>
      </c>
      <c r="DR503" s="2">
        <f t="shared" si="8345"/>
        <v>0</v>
      </c>
      <c r="DS503" s="2">
        <f t="shared" ref="DS503:DX503" si="8346">(M503*$I503+AH503*$AD503+BC503*$AY503)/100</f>
        <v>0</v>
      </c>
      <c r="DT503" s="2">
        <f t="shared" si="8346"/>
        <v>0</v>
      </c>
      <c r="DU503" s="2">
        <f t="shared" si="8346"/>
        <v>0</v>
      </c>
      <c r="DV503" s="2">
        <f t="shared" si="8346"/>
        <v>0</v>
      </c>
      <c r="DW503" s="2">
        <f t="shared" si="8346"/>
        <v>0.47013999999999995</v>
      </c>
      <c r="DX503" s="2">
        <f t="shared" si="8346"/>
        <v>0</v>
      </c>
      <c r="DY503" s="2">
        <f t="shared" ref="DY503:EC503" si="8347">S503*$I503+AN503*$AD503+BI503*$AY503</f>
        <v>0</v>
      </c>
      <c r="DZ503" s="2">
        <f t="shared" si="8347"/>
        <v>0</v>
      </c>
      <c r="EA503" s="2">
        <f t="shared" si="8347"/>
        <v>0</v>
      </c>
      <c r="EB503" s="2">
        <f t="shared" si="8347"/>
        <v>0</v>
      </c>
      <c r="EC503" s="2">
        <f t="shared" si="8347"/>
        <v>0</v>
      </c>
      <c r="ED503" s="2">
        <f t="shared" ref="ED503:EE503" si="8348">(X503*$I503+AS503*$AD503+BN503*$AY503)/100</f>
        <v>0</v>
      </c>
      <c r="EE503" s="2">
        <f t="shared" si="8348"/>
        <v>0</v>
      </c>
      <c r="EF503" s="2"/>
      <c r="EG503" s="2">
        <f t="shared" si="4374"/>
        <v>0</v>
      </c>
      <c r="EH503" s="2">
        <f t="shared" si="4375"/>
        <v>0</v>
      </c>
      <c r="EI503" s="39">
        <f t="shared" si="4376"/>
        <v>9581.4314604800002</v>
      </c>
      <c r="EJ503" s="39">
        <f t="shared" ref="EJ503:EK503" si="8349">EJ$1*DQ503/1000000</f>
        <v>0</v>
      </c>
      <c r="EK503" s="39">
        <f t="shared" si="8349"/>
        <v>0</v>
      </c>
      <c r="EL503" s="39">
        <f t="shared" ref="EL503:EQ503" si="8350">EL$1*DS503</f>
        <v>0</v>
      </c>
      <c r="EM503" s="39">
        <f t="shared" si="8350"/>
        <v>0</v>
      </c>
      <c r="EN503" s="39">
        <f t="shared" si="8350"/>
        <v>0</v>
      </c>
      <c r="EO503" s="39">
        <f t="shared" si="8350"/>
        <v>0</v>
      </c>
      <c r="EP503" s="39">
        <f t="shared" si="8350"/>
        <v>6165.4159599999994</v>
      </c>
      <c r="EQ503" s="39">
        <f t="shared" si="8350"/>
        <v>0</v>
      </c>
      <c r="ER503" s="39">
        <f t="shared" ref="ER503:EV503" si="8351">ER$1*DY503/1000000</f>
        <v>0</v>
      </c>
      <c r="ES503" s="39">
        <f t="shared" si="8351"/>
        <v>0</v>
      </c>
      <c r="ET503" s="39">
        <f t="shared" si="8351"/>
        <v>0</v>
      </c>
      <c r="EU503" s="39">
        <f t="shared" si="8351"/>
        <v>0</v>
      </c>
      <c r="EV503" s="39">
        <f t="shared" si="8351"/>
        <v>0</v>
      </c>
      <c r="EW503" s="39">
        <f t="shared" ref="EW503:EX503" si="8352">EW$1*ED503</f>
        <v>0</v>
      </c>
      <c r="EX503" s="39">
        <f t="shared" si="8352"/>
        <v>0</v>
      </c>
      <c r="EY503" s="2"/>
      <c r="EZ503" s="39">
        <f t="shared" si="4381"/>
        <v>0</v>
      </c>
      <c r="FA503" s="39">
        <f t="shared" si="4382"/>
        <v>0</v>
      </c>
      <c r="FB503" s="2">
        <f t="shared" si="4383"/>
        <v>0</v>
      </c>
      <c r="FC503" s="2">
        <f t="shared" ref="FC503:FD503" si="8353">BV503*$BT503+CQ503*$CO503</f>
        <v>0</v>
      </c>
      <c r="FD503" s="2">
        <f t="shared" si="8353"/>
        <v>0</v>
      </c>
      <c r="FE503" s="2">
        <f t="shared" ref="FE503:FJ503" si="8354">(BX503*$BT503+CS503*$CO503)/100</f>
        <v>0</v>
      </c>
      <c r="FF503" s="2">
        <f t="shared" si="8354"/>
        <v>0</v>
      </c>
      <c r="FG503" s="2">
        <f t="shared" si="8354"/>
        <v>0</v>
      </c>
      <c r="FH503" s="2">
        <f t="shared" si="8354"/>
        <v>0</v>
      </c>
      <c r="FI503" s="2">
        <f t="shared" si="8354"/>
        <v>0</v>
      </c>
      <c r="FJ503" s="2">
        <f t="shared" si="8354"/>
        <v>0</v>
      </c>
      <c r="FK503" s="2">
        <f t="shared" ref="FK503:FO503" si="8355">CD503*$BT503+CY503*$CO503</f>
        <v>0</v>
      </c>
      <c r="FL503" s="2">
        <f t="shared" si="8355"/>
        <v>0</v>
      </c>
      <c r="FM503" s="2">
        <f t="shared" si="8355"/>
        <v>0</v>
      </c>
      <c r="FN503" s="2">
        <f t="shared" si="8355"/>
        <v>0</v>
      </c>
      <c r="FO503" s="2">
        <f t="shared" si="8355"/>
        <v>0</v>
      </c>
      <c r="FP503" s="2">
        <f t="shared" ref="FP503:FQ503" si="8356">(CI503*$BT503+DD503*$CO503)/100</f>
        <v>0</v>
      </c>
      <c r="FQ503" s="2">
        <f t="shared" si="8356"/>
        <v>0</v>
      </c>
      <c r="FR503" s="2"/>
      <c r="FS503" s="2">
        <f t="shared" si="4388"/>
        <v>0</v>
      </c>
      <c r="FT503" s="2">
        <f t="shared" si="4389"/>
        <v>0</v>
      </c>
      <c r="FU503" s="39">
        <f t="shared" si="4390"/>
        <v>0</v>
      </c>
      <c r="FV503" s="39">
        <f t="shared" ref="FV503:FW503" si="8357">FV$1*FC503/1000000</f>
        <v>0</v>
      </c>
      <c r="FW503" s="39">
        <f t="shared" si="8357"/>
        <v>0</v>
      </c>
      <c r="FX503" s="39">
        <f t="shared" ref="FX503:GC503" si="8358">FX$1*FE503</f>
        <v>0</v>
      </c>
      <c r="FY503" s="39">
        <f t="shared" si="8358"/>
        <v>0</v>
      </c>
      <c r="FZ503" s="39">
        <f t="shared" si="8358"/>
        <v>0</v>
      </c>
      <c r="GA503" s="39">
        <f t="shared" si="8358"/>
        <v>0</v>
      </c>
      <c r="GB503" s="39">
        <f t="shared" si="8358"/>
        <v>0</v>
      </c>
      <c r="GC503" s="39">
        <f t="shared" si="8358"/>
        <v>0</v>
      </c>
      <c r="GD503" s="39">
        <f t="shared" ref="GD503:GH503" si="8359">GD$1*FK503/1000000</f>
        <v>0</v>
      </c>
      <c r="GE503" s="39">
        <f t="shared" si="8359"/>
        <v>0</v>
      </c>
      <c r="GF503" s="39">
        <f t="shared" si="8359"/>
        <v>0</v>
      </c>
      <c r="GG503" s="39">
        <f t="shared" si="8359"/>
        <v>0</v>
      </c>
      <c r="GH503" s="39">
        <f t="shared" si="8359"/>
        <v>0</v>
      </c>
      <c r="GI503" s="39">
        <f t="shared" ref="GI503:GJ503" si="8360">GI$1*FP503</f>
        <v>0</v>
      </c>
      <c r="GJ503" s="39">
        <f t="shared" si="8360"/>
        <v>0</v>
      </c>
      <c r="GK503" s="2"/>
      <c r="GL503" s="39">
        <f t="shared" si="4395"/>
        <v>0</v>
      </c>
      <c r="GM503" s="39">
        <f t="shared" si="4396"/>
        <v>0</v>
      </c>
      <c r="GN503" s="2" t="s">
        <v>3</v>
      </c>
      <c r="GO503" s="15">
        <f t="shared" si="4397"/>
        <v>307.39999999999998</v>
      </c>
      <c r="GP503" s="4">
        <f t="shared" si="4398"/>
        <v>0.15294079375406636</v>
      </c>
      <c r="GQ503" s="15">
        <f t="shared" si="4399"/>
        <v>470.14</v>
      </c>
      <c r="GR503" s="15">
        <f t="shared" si="4400"/>
        <v>15746.84742048</v>
      </c>
      <c r="GS503" s="15">
        <f t="shared" si="4401"/>
        <v>51.225918739362399</v>
      </c>
      <c r="GT503" s="2">
        <f t="shared" si="4402"/>
        <v>0</v>
      </c>
      <c r="GU503" s="2">
        <f t="shared" si="4403"/>
        <v>144.63999999999999</v>
      </c>
      <c r="GV503" s="2">
        <f t="shared" si="4404"/>
        <v>325.49999999999994</v>
      </c>
      <c r="GW503" s="2">
        <f t="shared" si="4405"/>
        <v>0</v>
      </c>
      <c r="GX503" s="2"/>
      <c r="GY503" s="2"/>
      <c r="GZ503" s="2"/>
      <c r="HA503" s="2"/>
      <c r="HB503" s="2">
        <f t="shared" si="4406"/>
        <v>0</v>
      </c>
      <c r="HC503" s="2">
        <f t="shared" si="4407"/>
        <v>0</v>
      </c>
      <c r="HD503" s="2" t="s">
        <v>3</v>
      </c>
      <c r="HE503" s="2" t="s">
        <v>89</v>
      </c>
      <c r="HF503" s="2" t="s">
        <v>123</v>
      </c>
      <c r="HG503" s="2" t="s">
        <v>192</v>
      </c>
      <c r="HH503" s="2"/>
      <c r="HI503" s="2" t="s">
        <v>81</v>
      </c>
      <c r="HJ503" s="2" t="s">
        <v>3</v>
      </c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 t="s">
        <v>3</v>
      </c>
    </row>
    <row r="504" spans="1:268" ht="15.75" customHeight="1" x14ac:dyDescent="0.2">
      <c r="A504" s="16" t="s">
        <v>805</v>
      </c>
      <c r="B504" s="2" t="s">
        <v>99</v>
      </c>
      <c r="C504" s="2"/>
      <c r="D504" s="2"/>
      <c r="E504" s="2"/>
      <c r="F504" s="2" t="s">
        <v>246</v>
      </c>
      <c r="G504" s="2"/>
      <c r="H504" s="2"/>
      <c r="I504" s="2">
        <v>291.39999999999998</v>
      </c>
      <c r="J504" s="2">
        <v>0.63</v>
      </c>
      <c r="K504" s="4">
        <f>(0.08*327.4+0.08*881.4+0.059*767.6+0.042*131.1+0.033*57.5)/(327.4+881.4+767.6+131.1+57.5)</f>
        <v>6.9005127020785234E-2</v>
      </c>
      <c r="L504" s="4">
        <f>(2.19*327.4+2.02*881.4+1.58*767.6+1.42*131.1+1.19*57.5)/(327.4+881.4+767.6+131.1+57.5)</f>
        <v>1.8313297921478058</v>
      </c>
      <c r="M504" s="2"/>
      <c r="N504" s="2"/>
      <c r="O504" s="2"/>
      <c r="P504" s="2"/>
      <c r="Q504" s="4">
        <v>0.2</v>
      </c>
      <c r="R504" s="19">
        <f>(0.01048*327.4+0.01019*881.4+0.00805*767.6+0.01031*131.1+0.00929*57.5)/(327.4+881.4+767.6+131.1+57.5)</f>
        <v>9.4584822170900688E-3</v>
      </c>
      <c r="S504" s="4">
        <f>(0.141*327.4+0.148*881.4+0.116*767.6+0.071*131.1+0.052*57.5)/(327.4+881.4+767.6+131.1+57.5)</f>
        <v>0.1283835103926097</v>
      </c>
      <c r="T504" s="4">
        <f>(0.328*327.4+0.336*881.4+0.262*767.6+0.164*131.1+0.126*57.5)/(327.4+881.4+767.6+131.1+57.5)</f>
        <v>0.29256083140877603</v>
      </c>
      <c r="U504" s="2"/>
      <c r="V504" s="2"/>
      <c r="W504" s="2"/>
      <c r="X504" s="2"/>
      <c r="Y504" s="2"/>
      <c r="Z504" s="2"/>
      <c r="AA504" s="2"/>
      <c r="AB504" s="2"/>
      <c r="AC504" s="2"/>
      <c r="AD504" s="2">
        <v>818.3</v>
      </c>
      <c r="AE504" s="4">
        <v>0.56999999999999995</v>
      </c>
      <c r="AF504" s="4">
        <f t="shared" ref="AF504:AF505" si="8361">(0.08*327.4+0.08*881.4+0.059*767.6+0.042*131.1+0.033*57.5)/(327.4+881.4+767.6+131.1+57.5)</f>
        <v>6.9005127020785234E-2</v>
      </c>
      <c r="AG504" s="4">
        <f t="shared" ref="AG504:AG505" si="8362">(2.19*327.4+2.02*881.4+1.58*767.6+1.42*131.1+1.19*57.5)/(327.4+881.4+767.6+131.1+57.5)</f>
        <v>1.8313297921478058</v>
      </c>
      <c r="AH504" s="2"/>
      <c r="AI504" s="2"/>
      <c r="AJ504" s="2"/>
      <c r="AK504" s="2"/>
      <c r="AL504" s="4">
        <v>0.18</v>
      </c>
      <c r="AM504" s="19">
        <f t="shared" ref="AM504:AM505" si="8363">(0.01048*327.4+0.01019*881.4+0.00805*767.6+0.01031*131.1+0.00929*57.5)/(327.4+881.4+767.6+131.1+57.5)</f>
        <v>9.4584822170900688E-3</v>
      </c>
      <c r="AN504" s="4">
        <f t="shared" ref="AN504:AN505" si="8364">(0.141*327.4+0.148*881.4+0.116*767.6+0.071*131.1+0.052*57.5)/(327.4+881.4+767.6+131.1+57.5)</f>
        <v>0.1283835103926097</v>
      </c>
      <c r="AO504" s="4">
        <f t="shared" ref="AO504:AO505" si="8365">(0.328*327.4+0.336*881.4+0.262*767.6+0.164*131.1+0.126*57.5)/(327.4+881.4+767.6+131.1+57.5)</f>
        <v>0.29256083140877603</v>
      </c>
      <c r="AP504" s="2"/>
      <c r="AQ504" s="2"/>
      <c r="AR504" s="2"/>
      <c r="AS504" s="2"/>
      <c r="AT504" s="2"/>
      <c r="AU504" s="2"/>
      <c r="AV504" s="2"/>
      <c r="AW504" s="2"/>
      <c r="AX504" s="2"/>
      <c r="AY504" s="2">
        <v>534.1</v>
      </c>
      <c r="AZ504" s="4">
        <v>0.5</v>
      </c>
      <c r="BA504" s="4">
        <f t="shared" ref="BA504:BA505" si="8366">(0.08*327.4+0.08*881.4+0.059*767.6+0.042*131.1+0.033*57.5)/(327.4+881.4+767.6+131.1+57.5)</f>
        <v>6.9005127020785234E-2</v>
      </c>
      <c r="BB504" s="4">
        <f t="shared" ref="BB504:BB505" si="8367">(2.19*327.4+2.02*881.4+1.58*767.6+1.42*131.1+1.19*57.5)/(327.4+881.4+767.6+131.1+57.5)</f>
        <v>1.8313297921478058</v>
      </c>
      <c r="BC504" s="2"/>
      <c r="BD504" s="2"/>
      <c r="BE504" s="2"/>
      <c r="BF504" s="2"/>
      <c r="BG504" s="4">
        <v>0.16</v>
      </c>
      <c r="BH504" s="19">
        <f t="shared" ref="BH504:BH505" si="8368">(0.01048*327.4+0.01019*881.4+0.00805*767.6+0.01031*131.1+0.00929*57.5)/(327.4+881.4+767.6+131.1+57.5)</f>
        <v>9.4584822170900688E-3</v>
      </c>
      <c r="BI504" s="4">
        <f t="shared" ref="BI504:BI505" si="8369">(0.141*327.4+0.148*881.4+0.116*767.6+0.071*131.1+0.052*57.5)/(327.4+881.4+767.6+131.1+57.5)</f>
        <v>0.1283835103926097</v>
      </c>
      <c r="BJ504" s="4">
        <f t="shared" ref="BJ504:BJ505" si="8370">(0.328*327.4+0.336*881.4+0.262*767.6+0.164*131.1+0.126*57.5)/(327.4+881.4+767.6+131.1+57.5)</f>
        <v>0.29256083140877603</v>
      </c>
      <c r="BK504" s="2"/>
      <c r="BL504" s="2"/>
      <c r="BM504" s="2"/>
      <c r="BN504" s="2"/>
      <c r="BO504" s="2"/>
      <c r="BP504" s="2"/>
      <c r="BQ504" s="2"/>
      <c r="BR504" s="2"/>
      <c r="BS504" s="2"/>
      <c r="BT504" s="2">
        <v>0</v>
      </c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>
        <v>0</v>
      </c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 t="s">
        <v>81</v>
      </c>
      <c r="DK504" s="2" t="s">
        <v>81</v>
      </c>
      <c r="DL504" s="2">
        <f t="shared" si="4367"/>
        <v>0.17704708602019711</v>
      </c>
      <c r="DM504" s="2">
        <f t="shared" si="4368"/>
        <v>9.4584822170900706E-3</v>
      </c>
      <c r="DN504" s="2" t="s">
        <v>211</v>
      </c>
      <c r="DO504" s="2" t="s">
        <v>3</v>
      </c>
      <c r="DP504" s="2">
        <f t="shared" si="4369"/>
        <v>9.1706299999999992</v>
      </c>
      <c r="DQ504" s="2">
        <f t="shared" ref="DQ504:DR504" si="8371">K504*$I504+AF504*$AD504+BA504*$AY504</f>
        <v>113.43062779676677</v>
      </c>
      <c r="DR504" s="2">
        <f t="shared" si="8371"/>
        <v>3010.3399123325635</v>
      </c>
      <c r="DS504" s="2">
        <f t="shared" ref="DS504:DX504" si="8372">(M504*$I504+AH504*$AD504+BC504*$AY504)/100</f>
        <v>0</v>
      </c>
      <c r="DT504" s="2">
        <f t="shared" si="8372"/>
        <v>0</v>
      </c>
      <c r="DU504" s="2">
        <f t="shared" si="8372"/>
        <v>0</v>
      </c>
      <c r="DV504" s="2">
        <f t="shared" si="8372"/>
        <v>0</v>
      </c>
      <c r="DW504" s="2">
        <f t="shared" si="8372"/>
        <v>2.9102999999999999</v>
      </c>
      <c r="DX504" s="2">
        <f t="shared" si="8372"/>
        <v>0.15547853068452658</v>
      </c>
      <c r="DY504" s="2">
        <f t="shared" ref="DY504:EC504" si="8373">S504*$I504+AN504*$AD504+BI504*$AY504</f>
        <v>211.03681438337179</v>
      </c>
      <c r="DZ504" s="2">
        <f t="shared" si="8373"/>
        <v>480.91149466974605</v>
      </c>
      <c r="EA504" s="2">
        <f t="shared" si="8373"/>
        <v>0</v>
      </c>
      <c r="EB504" s="2">
        <f t="shared" si="8373"/>
        <v>0</v>
      </c>
      <c r="EC504" s="2">
        <f t="shared" si="8373"/>
        <v>0</v>
      </c>
      <c r="ED504" s="2">
        <f t="shared" ref="ED504:EE504" si="8374">(X504*$I504+AS504*$AD504+BN504*$AY504)/100</f>
        <v>0</v>
      </c>
      <c r="EE504" s="2">
        <f t="shared" si="8374"/>
        <v>0</v>
      </c>
      <c r="EF504" s="2"/>
      <c r="EG504" s="2">
        <f t="shared" si="4374"/>
        <v>0</v>
      </c>
      <c r="EH504" s="2">
        <f t="shared" si="4375"/>
        <v>0</v>
      </c>
      <c r="EI504" s="39">
        <f t="shared" si="4376"/>
        <v>59844.009858079997</v>
      </c>
      <c r="EJ504" s="39">
        <f t="shared" ref="EJ504:EK504" si="8375">EJ$1*DQ504/1000000</f>
        <v>4639.3491497584346</v>
      </c>
      <c r="EK504" s="39">
        <f t="shared" si="8375"/>
        <v>1524.5290552809604</v>
      </c>
      <c r="EL504" s="39">
        <f t="shared" ref="EL504:EQ504" si="8376">EL$1*DS504</f>
        <v>0</v>
      </c>
      <c r="EM504" s="39">
        <f t="shared" si="8376"/>
        <v>0</v>
      </c>
      <c r="EN504" s="39">
        <f t="shared" si="8376"/>
        <v>0</v>
      </c>
      <c r="EO504" s="39">
        <f t="shared" si="8376"/>
        <v>0</v>
      </c>
      <c r="EP504" s="39">
        <f t="shared" si="8376"/>
        <v>38165.674200000001</v>
      </c>
      <c r="EQ504" s="39">
        <f t="shared" si="8376"/>
        <v>11290.776890529713</v>
      </c>
      <c r="ER504" s="39">
        <f t="shared" ref="ER504:EV504" si="8377">ER$1*DY504/1000000</f>
        <v>5989.5097936857528</v>
      </c>
      <c r="ES504" s="39">
        <f t="shared" si="8377"/>
        <v>16026.723486191797</v>
      </c>
      <c r="ET504" s="39">
        <f t="shared" si="8377"/>
        <v>0</v>
      </c>
      <c r="EU504" s="39">
        <f t="shared" si="8377"/>
        <v>0</v>
      </c>
      <c r="EV504" s="39">
        <f t="shared" si="8377"/>
        <v>0</v>
      </c>
      <c r="EW504" s="39">
        <f t="shared" ref="EW504:EX504" si="8378">EW$1*ED504</f>
        <v>0</v>
      </c>
      <c r="EX504" s="39">
        <f t="shared" si="8378"/>
        <v>0</v>
      </c>
      <c r="EY504" s="2"/>
      <c r="EZ504" s="39">
        <f t="shared" si="4381"/>
        <v>0</v>
      </c>
      <c r="FA504" s="39">
        <f t="shared" si="4382"/>
        <v>0</v>
      </c>
      <c r="FB504" s="2">
        <f t="shared" si="4383"/>
        <v>0</v>
      </c>
      <c r="FC504" s="2">
        <f t="shared" ref="FC504:FD504" si="8379">BV504*$BT504+CQ504*$CO504</f>
        <v>0</v>
      </c>
      <c r="FD504" s="2">
        <f t="shared" si="8379"/>
        <v>0</v>
      </c>
      <c r="FE504" s="2">
        <f t="shared" ref="FE504:FJ504" si="8380">(BX504*$BT504+CS504*$CO504)/100</f>
        <v>0</v>
      </c>
      <c r="FF504" s="2">
        <f t="shared" si="8380"/>
        <v>0</v>
      </c>
      <c r="FG504" s="2">
        <f t="shared" si="8380"/>
        <v>0</v>
      </c>
      <c r="FH504" s="2">
        <f t="shared" si="8380"/>
        <v>0</v>
      </c>
      <c r="FI504" s="2">
        <f t="shared" si="8380"/>
        <v>0</v>
      </c>
      <c r="FJ504" s="2">
        <f t="shared" si="8380"/>
        <v>0</v>
      </c>
      <c r="FK504" s="2">
        <f t="shared" ref="FK504:FO504" si="8381">CD504*$BT504+CY504*$CO504</f>
        <v>0</v>
      </c>
      <c r="FL504" s="2">
        <f t="shared" si="8381"/>
        <v>0</v>
      </c>
      <c r="FM504" s="2">
        <f t="shared" si="8381"/>
        <v>0</v>
      </c>
      <c r="FN504" s="2">
        <f t="shared" si="8381"/>
        <v>0</v>
      </c>
      <c r="FO504" s="2">
        <f t="shared" si="8381"/>
        <v>0</v>
      </c>
      <c r="FP504" s="2">
        <f t="shared" ref="FP504:FQ504" si="8382">(CI504*$BT504+DD504*$CO504)/100</f>
        <v>0</v>
      </c>
      <c r="FQ504" s="2">
        <f t="shared" si="8382"/>
        <v>0</v>
      </c>
      <c r="FR504" s="2"/>
      <c r="FS504" s="2">
        <f t="shared" si="4388"/>
        <v>0</v>
      </c>
      <c r="FT504" s="2">
        <f t="shared" si="4389"/>
        <v>0</v>
      </c>
      <c r="FU504" s="39">
        <f t="shared" si="4390"/>
        <v>0</v>
      </c>
      <c r="FV504" s="39">
        <f t="shared" ref="FV504:FW504" si="8383">FV$1*FC504/1000000</f>
        <v>0</v>
      </c>
      <c r="FW504" s="39">
        <f t="shared" si="8383"/>
        <v>0</v>
      </c>
      <c r="FX504" s="39">
        <f t="shared" ref="FX504:GC504" si="8384">FX$1*FE504</f>
        <v>0</v>
      </c>
      <c r="FY504" s="39">
        <f t="shared" si="8384"/>
        <v>0</v>
      </c>
      <c r="FZ504" s="39">
        <f t="shared" si="8384"/>
        <v>0</v>
      </c>
      <c r="GA504" s="39">
        <f t="shared" si="8384"/>
        <v>0</v>
      </c>
      <c r="GB504" s="39">
        <f t="shared" si="8384"/>
        <v>0</v>
      </c>
      <c r="GC504" s="39">
        <f t="shared" si="8384"/>
        <v>0</v>
      </c>
      <c r="GD504" s="39">
        <f t="shared" ref="GD504:GH504" si="8385">GD$1*FK504/1000000</f>
        <v>0</v>
      </c>
      <c r="GE504" s="39">
        <f t="shared" si="8385"/>
        <v>0</v>
      </c>
      <c r="GF504" s="39">
        <f t="shared" si="8385"/>
        <v>0</v>
      </c>
      <c r="GG504" s="39">
        <f t="shared" si="8385"/>
        <v>0</v>
      </c>
      <c r="GH504" s="39">
        <f t="shared" si="8385"/>
        <v>0</v>
      </c>
      <c r="GI504" s="39">
        <f t="shared" ref="GI504:GJ504" si="8386">GI$1*FP504</f>
        <v>0</v>
      </c>
      <c r="GJ504" s="39">
        <f t="shared" si="8386"/>
        <v>0</v>
      </c>
      <c r="GK504" s="2"/>
      <c r="GL504" s="39">
        <f t="shared" si="4395"/>
        <v>0</v>
      </c>
      <c r="GM504" s="39">
        <f t="shared" si="4396"/>
        <v>0</v>
      </c>
      <c r="GN504" s="2" t="s">
        <v>3</v>
      </c>
      <c r="GO504" s="3">
        <f t="shared" si="4397"/>
        <v>1643.7999999999997</v>
      </c>
      <c r="GP504" s="4">
        <f t="shared" si="4398"/>
        <v>0.17704708602019711</v>
      </c>
      <c r="GQ504" s="18">
        <f t="shared" si="4399"/>
        <v>2910.3</v>
      </c>
      <c r="GR504" s="15">
        <f t="shared" si="4400"/>
        <v>137480.57243352663</v>
      </c>
      <c r="GS504" s="15">
        <f t="shared" si="4401"/>
        <v>83.63582700664719</v>
      </c>
      <c r="GT504" s="2">
        <f t="shared" si="4402"/>
        <v>582.79999999999995</v>
      </c>
      <c r="GU504" s="2">
        <f t="shared" si="4403"/>
        <v>1472.9399999999996</v>
      </c>
      <c r="GV504" s="2">
        <f t="shared" si="4404"/>
        <v>854.56</v>
      </c>
      <c r="GW504" s="2">
        <f t="shared" si="4405"/>
        <v>0</v>
      </c>
      <c r="GX504" s="2"/>
      <c r="GY504" s="2"/>
      <c r="GZ504" s="2"/>
      <c r="HA504" s="2"/>
      <c r="HB504" s="2">
        <f t="shared" si="4406"/>
        <v>0</v>
      </c>
      <c r="HC504" s="2">
        <f t="shared" si="4407"/>
        <v>0</v>
      </c>
      <c r="HD504" s="2" t="s">
        <v>3</v>
      </c>
      <c r="HE504" s="2" t="s">
        <v>89</v>
      </c>
      <c r="HF504" s="2" t="s">
        <v>123</v>
      </c>
      <c r="HG504" s="2" t="s">
        <v>192</v>
      </c>
      <c r="HH504" s="2"/>
      <c r="HI504" s="2" t="s">
        <v>81</v>
      </c>
      <c r="HJ504" s="2" t="s">
        <v>3</v>
      </c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 t="s">
        <v>3</v>
      </c>
    </row>
    <row r="505" spans="1:268" ht="15.75" customHeight="1" x14ac:dyDescent="0.2">
      <c r="A505" s="16" t="s">
        <v>806</v>
      </c>
      <c r="B505" s="2" t="s">
        <v>99</v>
      </c>
      <c r="C505" s="2"/>
      <c r="D505" s="2"/>
      <c r="E505" s="2"/>
      <c r="F505" s="2" t="s">
        <v>246</v>
      </c>
      <c r="G505" s="2"/>
      <c r="H505" s="2"/>
      <c r="I505" s="2">
        <v>0</v>
      </c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>
        <v>93.1</v>
      </c>
      <c r="AE505" s="2">
        <v>0.48</v>
      </c>
      <c r="AF505" s="4">
        <f t="shared" si="8361"/>
        <v>6.9005127020785234E-2</v>
      </c>
      <c r="AG505" s="4">
        <f t="shared" si="8362"/>
        <v>1.8313297921478058</v>
      </c>
      <c r="AH505" s="2"/>
      <c r="AI505" s="2"/>
      <c r="AJ505" s="2"/>
      <c r="AK505" s="2"/>
      <c r="AL505" s="2">
        <v>0.17</v>
      </c>
      <c r="AM505" s="19">
        <f t="shared" si="8363"/>
        <v>9.4584822170900688E-3</v>
      </c>
      <c r="AN505" s="4">
        <f t="shared" si="8364"/>
        <v>0.1283835103926097</v>
      </c>
      <c r="AO505" s="4">
        <f t="shared" si="8365"/>
        <v>0.29256083140877603</v>
      </c>
      <c r="AP505" s="2"/>
      <c r="AQ505" s="2"/>
      <c r="AR505" s="2"/>
      <c r="AS505" s="2"/>
      <c r="AT505" s="2"/>
      <c r="AU505" s="2"/>
      <c r="AV505" s="2"/>
      <c r="AW505" s="2"/>
      <c r="AX505" s="2"/>
      <c r="AY505" s="2">
        <v>29.3</v>
      </c>
      <c r="AZ505" s="2">
        <v>0.43</v>
      </c>
      <c r="BA505" s="4">
        <f t="shared" si="8366"/>
        <v>6.9005127020785234E-2</v>
      </c>
      <c r="BB505" s="4">
        <f t="shared" si="8367"/>
        <v>1.8313297921478058</v>
      </c>
      <c r="BC505" s="2"/>
      <c r="BD505" s="2"/>
      <c r="BE505" s="2"/>
      <c r="BF505" s="2"/>
      <c r="BG505" s="2">
        <v>0.15</v>
      </c>
      <c r="BH505" s="19">
        <f t="shared" si="8368"/>
        <v>9.4584822170900688E-3</v>
      </c>
      <c r="BI505" s="4">
        <f t="shared" si="8369"/>
        <v>0.1283835103926097</v>
      </c>
      <c r="BJ505" s="4">
        <f t="shared" si="8370"/>
        <v>0.29256083140877603</v>
      </c>
      <c r="BK505" s="2"/>
      <c r="BL505" s="2"/>
      <c r="BM505" s="2"/>
      <c r="BN505" s="2"/>
      <c r="BO505" s="2"/>
      <c r="BP505" s="2"/>
      <c r="BQ505" s="2"/>
      <c r="BR505" s="2"/>
      <c r="BS505" s="2"/>
      <c r="BT505" s="2">
        <v>0</v>
      </c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>
        <v>0</v>
      </c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 t="s">
        <v>81</v>
      </c>
      <c r="DK505" s="2" t="s">
        <v>81</v>
      </c>
      <c r="DL505" s="2">
        <f t="shared" si="4367"/>
        <v>0.16521241830065361</v>
      </c>
      <c r="DM505" s="2">
        <f t="shared" si="4368"/>
        <v>9.4584822170900688E-3</v>
      </c>
      <c r="DN505" s="2" t="s">
        <v>211</v>
      </c>
      <c r="DO505" s="2" t="s">
        <v>3</v>
      </c>
      <c r="DP505" s="2">
        <f t="shared" si="4369"/>
        <v>0.57286999999999988</v>
      </c>
      <c r="DQ505" s="2">
        <f t="shared" ref="DQ505:DR505" si="8387">K505*$I505+AF505*$AD505+BA505*$AY505</f>
        <v>8.4462275473441117</v>
      </c>
      <c r="DR505" s="2">
        <f t="shared" si="8387"/>
        <v>224.15476655889142</v>
      </c>
      <c r="DS505" s="2">
        <f t="shared" ref="DS505:DX505" si="8388">(M505*$I505+AH505*$AD505+BC505*$AY505)/100</f>
        <v>0</v>
      </c>
      <c r="DT505" s="2">
        <f t="shared" si="8388"/>
        <v>0</v>
      </c>
      <c r="DU505" s="2">
        <f t="shared" si="8388"/>
        <v>0</v>
      </c>
      <c r="DV505" s="2">
        <f t="shared" si="8388"/>
        <v>0</v>
      </c>
      <c r="DW505" s="2">
        <f t="shared" si="8388"/>
        <v>0.20222000000000001</v>
      </c>
      <c r="DX505" s="2">
        <f t="shared" si="8388"/>
        <v>1.1577182233718245E-2</v>
      </c>
      <c r="DY505" s="2">
        <f t="shared" ref="DY505:EC505" si="8389">S505*$I505+AN505*$AD505+BI505*$AY505</f>
        <v>15.714141672055428</v>
      </c>
      <c r="DZ505" s="2">
        <f t="shared" si="8389"/>
        <v>35.809445764434187</v>
      </c>
      <c r="EA505" s="2">
        <f t="shared" si="8389"/>
        <v>0</v>
      </c>
      <c r="EB505" s="2">
        <f t="shared" si="8389"/>
        <v>0</v>
      </c>
      <c r="EC505" s="2">
        <f t="shared" si="8389"/>
        <v>0</v>
      </c>
      <c r="ED505" s="2">
        <f t="shared" ref="ED505:EE505" si="8390">(X505*$I505+AS505*$AD505+BN505*$AY505)/100</f>
        <v>0</v>
      </c>
      <c r="EE505" s="2">
        <f t="shared" si="8390"/>
        <v>0</v>
      </c>
      <c r="EF505" s="2"/>
      <c r="EG505" s="2">
        <f t="shared" si="4374"/>
        <v>0</v>
      </c>
      <c r="EH505" s="2">
        <f t="shared" si="4375"/>
        <v>0</v>
      </c>
      <c r="EI505" s="39">
        <f t="shared" si="4376"/>
        <v>3738.3296379199992</v>
      </c>
      <c r="EJ505" s="39">
        <f t="shared" ref="EJ505:EK505" si="8391">EJ$1*DQ505/1000000</f>
        <v>345.45342251516746</v>
      </c>
      <c r="EK505" s="39">
        <f t="shared" si="8391"/>
        <v>113.51889303223599</v>
      </c>
      <c r="EL505" s="39">
        <f t="shared" ref="EL505:EQ505" si="8392">EL$1*DS505</f>
        <v>0</v>
      </c>
      <c r="EM505" s="39">
        <f t="shared" si="8392"/>
        <v>0</v>
      </c>
      <c r="EN505" s="39">
        <f t="shared" si="8392"/>
        <v>0</v>
      </c>
      <c r="EO505" s="39">
        <f t="shared" si="8392"/>
        <v>0</v>
      </c>
      <c r="EP505" s="39">
        <f t="shared" si="8392"/>
        <v>2651.9130800000003</v>
      </c>
      <c r="EQ505" s="39">
        <f t="shared" si="8392"/>
        <v>840.72946307387554</v>
      </c>
      <c r="ER505" s="39">
        <f t="shared" ref="ER505:EV505" si="8393">ER$1*DY505/1000000</f>
        <v>445.98856232335822</v>
      </c>
      <c r="ES505" s="39">
        <f t="shared" si="8393"/>
        <v>1193.3756872550653</v>
      </c>
      <c r="ET505" s="39">
        <f t="shared" si="8393"/>
        <v>0</v>
      </c>
      <c r="EU505" s="39">
        <f t="shared" si="8393"/>
        <v>0</v>
      </c>
      <c r="EV505" s="39">
        <f t="shared" si="8393"/>
        <v>0</v>
      </c>
      <c r="EW505" s="39">
        <f t="shared" ref="EW505:EX505" si="8394">EW$1*ED505</f>
        <v>0</v>
      </c>
      <c r="EX505" s="39">
        <f t="shared" si="8394"/>
        <v>0</v>
      </c>
      <c r="EY505" s="2"/>
      <c r="EZ505" s="39">
        <f t="shared" si="4381"/>
        <v>0</v>
      </c>
      <c r="FA505" s="39">
        <f t="shared" si="4382"/>
        <v>0</v>
      </c>
      <c r="FB505" s="2">
        <f t="shared" si="4383"/>
        <v>0</v>
      </c>
      <c r="FC505" s="2">
        <f t="shared" ref="FC505:FD505" si="8395">BV505*$BT505+CQ505*$CO505</f>
        <v>0</v>
      </c>
      <c r="FD505" s="2">
        <f t="shared" si="8395"/>
        <v>0</v>
      </c>
      <c r="FE505" s="2">
        <f t="shared" ref="FE505:FJ505" si="8396">(BX505*$BT505+CS505*$CO505)/100</f>
        <v>0</v>
      </c>
      <c r="FF505" s="2">
        <f t="shared" si="8396"/>
        <v>0</v>
      </c>
      <c r="FG505" s="2">
        <f t="shared" si="8396"/>
        <v>0</v>
      </c>
      <c r="FH505" s="2">
        <f t="shared" si="8396"/>
        <v>0</v>
      </c>
      <c r="FI505" s="2">
        <f t="shared" si="8396"/>
        <v>0</v>
      </c>
      <c r="FJ505" s="2">
        <f t="shared" si="8396"/>
        <v>0</v>
      </c>
      <c r="FK505" s="2">
        <f t="shared" ref="FK505:FO505" si="8397">CD505*$BT505+CY505*$CO505</f>
        <v>0</v>
      </c>
      <c r="FL505" s="2">
        <f t="shared" si="8397"/>
        <v>0</v>
      </c>
      <c r="FM505" s="2">
        <f t="shared" si="8397"/>
        <v>0</v>
      </c>
      <c r="FN505" s="2">
        <f t="shared" si="8397"/>
        <v>0</v>
      </c>
      <c r="FO505" s="2">
        <f t="shared" si="8397"/>
        <v>0</v>
      </c>
      <c r="FP505" s="2">
        <f t="shared" ref="FP505:FQ505" si="8398">(CI505*$BT505+DD505*$CO505)/100</f>
        <v>0</v>
      </c>
      <c r="FQ505" s="2">
        <f t="shared" si="8398"/>
        <v>0</v>
      </c>
      <c r="FR505" s="2"/>
      <c r="FS505" s="2">
        <f t="shared" si="4388"/>
        <v>0</v>
      </c>
      <c r="FT505" s="2">
        <f t="shared" si="4389"/>
        <v>0</v>
      </c>
      <c r="FU505" s="39">
        <f t="shared" si="4390"/>
        <v>0</v>
      </c>
      <c r="FV505" s="39">
        <f t="shared" ref="FV505:FW505" si="8399">FV$1*FC505/1000000</f>
        <v>0</v>
      </c>
      <c r="FW505" s="39">
        <f t="shared" si="8399"/>
        <v>0</v>
      </c>
      <c r="FX505" s="39">
        <f t="shared" ref="FX505:GC505" si="8400">FX$1*FE505</f>
        <v>0</v>
      </c>
      <c r="FY505" s="39">
        <f t="shared" si="8400"/>
        <v>0</v>
      </c>
      <c r="FZ505" s="39">
        <f t="shared" si="8400"/>
        <v>0</v>
      </c>
      <c r="GA505" s="39">
        <f t="shared" si="8400"/>
        <v>0</v>
      </c>
      <c r="GB505" s="39">
        <f t="shared" si="8400"/>
        <v>0</v>
      </c>
      <c r="GC505" s="39">
        <f t="shared" si="8400"/>
        <v>0</v>
      </c>
      <c r="GD505" s="39">
        <f t="shared" ref="GD505:GH505" si="8401">GD$1*FK505/1000000</f>
        <v>0</v>
      </c>
      <c r="GE505" s="39">
        <f t="shared" si="8401"/>
        <v>0</v>
      </c>
      <c r="GF505" s="39">
        <f t="shared" si="8401"/>
        <v>0</v>
      </c>
      <c r="GG505" s="39">
        <f t="shared" si="8401"/>
        <v>0</v>
      </c>
      <c r="GH505" s="39">
        <f t="shared" si="8401"/>
        <v>0</v>
      </c>
      <c r="GI505" s="39">
        <f t="shared" ref="GI505:GJ505" si="8402">GI$1*FP505</f>
        <v>0</v>
      </c>
      <c r="GJ505" s="39">
        <f t="shared" si="8402"/>
        <v>0</v>
      </c>
      <c r="GK505" s="2"/>
      <c r="GL505" s="39">
        <f t="shared" si="4395"/>
        <v>0</v>
      </c>
      <c r="GM505" s="39">
        <f t="shared" si="4396"/>
        <v>0</v>
      </c>
      <c r="GN505" s="2" t="s">
        <v>3</v>
      </c>
      <c r="GO505" s="2">
        <f t="shared" si="4397"/>
        <v>122.39999999999999</v>
      </c>
      <c r="GP505" s="4">
        <f t="shared" si="4398"/>
        <v>0.16521241830065361</v>
      </c>
      <c r="GQ505" s="15">
        <f t="shared" si="4399"/>
        <v>202.22</v>
      </c>
      <c r="GR505" s="15">
        <f t="shared" si="4400"/>
        <v>9329.308746119701</v>
      </c>
      <c r="GS505" s="15">
        <f t="shared" si="4401"/>
        <v>76.219842697056393</v>
      </c>
      <c r="GT505" s="2">
        <f t="shared" si="4402"/>
        <v>0</v>
      </c>
      <c r="GU505" s="2">
        <f t="shared" si="4403"/>
        <v>158.27000000000001</v>
      </c>
      <c r="GV505" s="2">
        <f t="shared" si="4404"/>
        <v>43.95</v>
      </c>
      <c r="GW505" s="2">
        <f t="shared" si="4405"/>
        <v>0</v>
      </c>
      <c r="GX505" s="2"/>
      <c r="GY505" s="2"/>
      <c r="GZ505" s="2"/>
      <c r="HA505" s="2"/>
      <c r="HB505" s="2">
        <f t="shared" si="4406"/>
        <v>0</v>
      </c>
      <c r="HC505" s="2">
        <f t="shared" si="4407"/>
        <v>0</v>
      </c>
      <c r="HD505" s="2" t="s">
        <v>3</v>
      </c>
      <c r="HE505" s="2" t="s">
        <v>89</v>
      </c>
      <c r="HF505" s="2" t="s">
        <v>123</v>
      </c>
      <c r="HG505" s="2" t="s">
        <v>192</v>
      </c>
      <c r="HH505" s="2"/>
      <c r="HI505" s="2" t="s">
        <v>81</v>
      </c>
      <c r="HJ505" s="2" t="s">
        <v>3</v>
      </c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 t="s">
        <v>3</v>
      </c>
    </row>
    <row r="506" spans="1:268" ht="15.75" customHeight="1" x14ac:dyDescent="0.2">
      <c r="A506" s="16" t="s">
        <v>948</v>
      </c>
      <c r="B506" s="2" t="s">
        <v>99</v>
      </c>
      <c r="C506" s="2"/>
      <c r="D506" s="2"/>
      <c r="E506" s="2"/>
      <c r="F506" s="2" t="s">
        <v>949</v>
      </c>
      <c r="G506" s="2"/>
      <c r="H506" s="2"/>
      <c r="I506" s="2">
        <v>237.2</v>
      </c>
      <c r="J506" s="2">
        <v>0.27</v>
      </c>
      <c r="K506" s="2">
        <v>3.5000000000000003E-2</v>
      </c>
      <c r="L506" s="2">
        <v>0.97</v>
      </c>
      <c r="M506" s="2"/>
      <c r="N506" s="2"/>
      <c r="O506" s="2"/>
      <c r="P506" s="2"/>
      <c r="Q506" s="2">
        <v>0.08</v>
      </c>
      <c r="R506" s="2">
        <v>7.1999999999999998E-3</v>
      </c>
      <c r="S506" s="2">
        <v>6.9000000000000006E-2</v>
      </c>
      <c r="T506" s="2">
        <v>0.24099999999999999</v>
      </c>
      <c r="U506" s="2"/>
      <c r="V506" s="2"/>
      <c r="W506" s="2"/>
      <c r="X506" s="2"/>
      <c r="Y506" s="2"/>
      <c r="Z506" s="2"/>
      <c r="AA506" s="2"/>
      <c r="AB506" s="2"/>
      <c r="AC506" s="2"/>
      <c r="AD506" s="2">
        <v>412.2</v>
      </c>
      <c r="AE506" s="2">
        <v>0.23</v>
      </c>
      <c r="AF506" s="2">
        <v>3.2000000000000001E-2</v>
      </c>
      <c r="AG506" s="2">
        <v>0.87</v>
      </c>
      <c r="AH506" s="2"/>
      <c r="AI506" s="2"/>
      <c r="AJ506" s="2"/>
      <c r="AK506" s="2"/>
      <c r="AL506" s="2">
        <v>7.0000000000000007E-2</v>
      </c>
      <c r="AM506" s="2">
        <v>7.0000000000000001E-3</v>
      </c>
      <c r="AN506" s="2">
        <v>6.3E-2</v>
      </c>
      <c r="AO506" s="2">
        <v>0.21</v>
      </c>
      <c r="AP506" s="2"/>
      <c r="AQ506" s="2"/>
      <c r="AR506" s="2"/>
      <c r="AS506" s="2"/>
      <c r="AT506" s="2"/>
      <c r="AU506" s="2"/>
      <c r="AV506" s="2"/>
      <c r="AW506" s="2"/>
      <c r="AX506" s="2"/>
      <c r="AY506" s="2">
        <v>508.9</v>
      </c>
      <c r="AZ506" s="2">
        <v>0.24</v>
      </c>
      <c r="BA506" s="2">
        <v>3.6999999999999998E-2</v>
      </c>
      <c r="BB506" s="2">
        <v>0.93</v>
      </c>
      <c r="BC506" s="2"/>
      <c r="BD506" s="2"/>
      <c r="BE506" s="2"/>
      <c r="BF506" s="2"/>
      <c r="BG506" s="2">
        <v>7.0000000000000007E-2</v>
      </c>
      <c r="BH506" s="2">
        <v>6.6E-3</v>
      </c>
      <c r="BI506" s="2">
        <v>7.1999999999999995E-2</v>
      </c>
      <c r="BJ506" s="2">
        <v>0.23400000000000001</v>
      </c>
      <c r="BK506" s="2"/>
      <c r="BL506" s="2"/>
      <c r="BM506" s="2"/>
      <c r="BN506" s="2"/>
      <c r="BO506" s="2"/>
      <c r="BP506" s="2"/>
      <c r="BQ506" s="2"/>
      <c r="BR506" s="2"/>
      <c r="BS506" s="2"/>
      <c r="BT506" s="2">
        <v>121.849</v>
      </c>
      <c r="BU506" s="2">
        <v>0.308</v>
      </c>
      <c r="BV506" s="2">
        <v>4.1000000000000002E-2</v>
      </c>
      <c r="BW506" s="2">
        <v>1.1100000000000001</v>
      </c>
      <c r="BX506" s="2"/>
      <c r="BY506" s="2"/>
      <c r="BZ506" s="2"/>
      <c r="CA506" s="2"/>
      <c r="CB506" s="2">
        <v>8.6999999999999994E-2</v>
      </c>
      <c r="CC506" s="2">
        <v>7.4809999999999998E-3</v>
      </c>
      <c r="CD506" s="2">
        <v>8.2000000000000003E-2</v>
      </c>
      <c r="CE506" s="2">
        <v>0.28199999999999997</v>
      </c>
      <c r="CF506" s="2"/>
      <c r="CG506" s="2"/>
      <c r="CH506" s="2"/>
      <c r="CI506" s="2"/>
      <c r="CJ506" s="2"/>
      <c r="CK506" s="2"/>
      <c r="CL506" s="2"/>
      <c r="CM506" s="2"/>
      <c r="CN506" s="2"/>
      <c r="CO506" s="2">
        <v>132.82</v>
      </c>
      <c r="CP506" s="2">
        <v>0.28100000000000003</v>
      </c>
      <c r="CQ506" s="2">
        <v>3.6999999999999998E-2</v>
      </c>
      <c r="CR506" s="2">
        <v>1.02</v>
      </c>
      <c r="CS506" s="2"/>
      <c r="CT506" s="2"/>
      <c r="CU506" s="2"/>
      <c r="CV506" s="2"/>
      <c r="CW506" s="2">
        <v>8.1000000000000003E-2</v>
      </c>
      <c r="CX506" s="2">
        <v>7.4060000000000003E-3</v>
      </c>
      <c r="CY506" s="2">
        <v>7.8E-2</v>
      </c>
      <c r="CZ506" s="2">
        <v>0.25600000000000001</v>
      </c>
      <c r="DA506" s="2"/>
      <c r="DB506" s="2"/>
      <c r="DC506" s="2"/>
      <c r="DD506" s="2"/>
      <c r="DE506" s="2"/>
      <c r="DF506" s="2"/>
      <c r="DG506" s="2"/>
      <c r="DH506" s="2"/>
      <c r="DI506" s="2"/>
      <c r="DJ506" s="2" t="s">
        <v>81</v>
      </c>
      <c r="DK506" s="2" t="s">
        <v>81</v>
      </c>
      <c r="DL506" s="2">
        <f t="shared" si="4367"/>
        <v>7.2047828714495388E-2</v>
      </c>
      <c r="DM506" s="2">
        <f t="shared" si="4368"/>
        <v>6.8652162652162643E-3</v>
      </c>
      <c r="DN506" s="2" t="s">
        <v>150</v>
      </c>
      <c r="DO506" s="2" t="s">
        <v>3</v>
      </c>
      <c r="DP506" s="2">
        <f t="shared" si="4369"/>
        <v>2.80986</v>
      </c>
      <c r="DQ506" s="2">
        <f t="shared" ref="DQ506:DR506" si="8403">K506*$I506+AF506*$AD506+BA506*$AY506</f>
        <v>40.3217</v>
      </c>
      <c r="DR506" s="2">
        <f t="shared" si="8403"/>
        <v>1061.9749999999999</v>
      </c>
      <c r="DS506" s="2">
        <f t="shared" ref="DS506:DX506" si="8404">(M506*$I506+AH506*$AD506+BC506*$AY506)/100</f>
        <v>0</v>
      </c>
      <c r="DT506" s="2">
        <f t="shared" si="8404"/>
        <v>0</v>
      </c>
      <c r="DU506" s="2">
        <f t="shared" si="8404"/>
        <v>0</v>
      </c>
      <c r="DV506" s="2">
        <f t="shared" si="8404"/>
        <v>0</v>
      </c>
      <c r="DW506" s="2">
        <f t="shared" si="8404"/>
        <v>0.83452999999999999</v>
      </c>
      <c r="DX506" s="2">
        <f t="shared" si="8404"/>
        <v>7.9519799999999988E-2</v>
      </c>
      <c r="DY506" s="2">
        <f t="shared" ref="DY506:EC506" si="8405">S506*$I506+AN506*$AD506+BI506*$AY506</f>
        <v>78.976200000000006</v>
      </c>
      <c r="DZ506" s="2">
        <f t="shared" si="8405"/>
        <v>262.8098</v>
      </c>
      <c r="EA506" s="2">
        <f t="shared" si="8405"/>
        <v>0</v>
      </c>
      <c r="EB506" s="2">
        <f t="shared" si="8405"/>
        <v>0</v>
      </c>
      <c r="EC506" s="2">
        <f t="shared" si="8405"/>
        <v>0</v>
      </c>
      <c r="ED506" s="2">
        <f t="shared" ref="ED506:EE506" si="8406">(X506*$I506+AS506*$AD506+BN506*$AY506)/100</f>
        <v>0</v>
      </c>
      <c r="EE506" s="2">
        <f t="shared" si="8406"/>
        <v>0</v>
      </c>
      <c r="EF506" s="2"/>
      <c r="EG506" s="2">
        <f t="shared" si="4374"/>
        <v>0</v>
      </c>
      <c r="EH506" s="2">
        <f t="shared" si="4375"/>
        <v>0</v>
      </c>
      <c r="EI506" s="39">
        <f t="shared" si="4376"/>
        <v>18336.067373760001</v>
      </c>
      <c r="EJ506" s="39">
        <f t="shared" ref="EJ506:EK506" si="8407">EJ$1*DQ506/1000000</f>
        <v>1649.1704951768486</v>
      </c>
      <c r="EK506" s="39">
        <f t="shared" si="8407"/>
        <v>537.81692122186485</v>
      </c>
      <c r="EL506" s="39">
        <f t="shared" ref="EL506:EQ506" si="8408">EL$1*DS506</f>
        <v>0</v>
      </c>
      <c r="EM506" s="39">
        <f t="shared" si="8408"/>
        <v>0</v>
      </c>
      <c r="EN506" s="39">
        <f t="shared" si="8408"/>
        <v>0</v>
      </c>
      <c r="EO506" s="39">
        <f t="shared" si="8408"/>
        <v>0</v>
      </c>
      <c r="EP506" s="39">
        <f t="shared" si="8408"/>
        <v>10944.02642</v>
      </c>
      <c r="EQ506" s="39">
        <f t="shared" si="8408"/>
        <v>5774.6900245751985</v>
      </c>
      <c r="ER506" s="39">
        <f t="shared" ref="ER506:EV506" si="8409">ER$1*DY506/1000000</f>
        <v>2241.4512119614146</v>
      </c>
      <c r="ES506" s="39">
        <f t="shared" si="8409"/>
        <v>8758.326720707395</v>
      </c>
      <c r="ET506" s="39">
        <f t="shared" si="8409"/>
        <v>0</v>
      </c>
      <c r="EU506" s="39">
        <f t="shared" si="8409"/>
        <v>0</v>
      </c>
      <c r="EV506" s="39">
        <f t="shared" si="8409"/>
        <v>0</v>
      </c>
      <c r="EW506" s="39">
        <f t="shared" ref="EW506:EX506" si="8410">EW$1*ED506</f>
        <v>0</v>
      </c>
      <c r="EX506" s="39">
        <f t="shared" si="8410"/>
        <v>0</v>
      </c>
      <c r="EY506" s="2"/>
      <c r="EZ506" s="39">
        <f t="shared" si="4381"/>
        <v>0</v>
      </c>
      <c r="FA506" s="39">
        <f t="shared" si="4382"/>
        <v>0</v>
      </c>
      <c r="FB506" s="2">
        <f t="shared" si="4383"/>
        <v>0.74851911999999998</v>
      </c>
      <c r="FC506" s="2">
        <f t="shared" ref="FC506:FD506" si="8411">BV506*$BT506+CQ506*$CO506</f>
        <v>9.9101490000000005</v>
      </c>
      <c r="FD506" s="2">
        <f t="shared" si="8411"/>
        <v>270.72879</v>
      </c>
      <c r="FE506" s="2">
        <f t="shared" ref="FE506:FJ506" si="8412">(BX506*$BT506+CS506*$CO506)/100</f>
        <v>0</v>
      </c>
      <c r="FF506" s="2">
        <f t="shared" si="8412"/>
        <v>0</v>
      </c>
      <c r="FG506" s="2">
        <f t="shared" si="8412"/>
        <v>0</v>
      </c>
      <c r="FH506" s="2">
        <f t="shared" si="8412"/>
        <v>0</v>
      </c>
      <c r="FI506" s="2">
        <f t="shared" si="8412"/>
        <v>0.21359282999999998</v>
      </c>
      <c r="FJ506" s="2">
        <f t="shared" si="8412"/>
        <v>1.8952172890000001E-2</v>
      </c>
      <c r="FK506" s="2">
        <f t="shared" ref="FK506:FO506" si="8413">CD506*$BT506+CY506*$CO506</f>
        <v>20.351578</v>
      </c>
      <c r="FL506" s="2">
        <f t="shared" si="8413"/>
        <v>68.363337999999999</v>
      </c>
      <c r="FM506" s="2">
        <f t="shared" si="8413"/>
        <v>0</v>
      </c>
      <c r="FN506" s="2">
        <f t="shared" si="8413"/>
        <v>0</v>
      </c>
      <c r="FO506" s="2">
        <f t="shared" si="8413"/>
        <v>0</v>
      </c>
      <c r="FP506" s="2">
        <f t="shared" ref="FP506:FQ506" si="8414">(CI506*$BT506+DD506*$CO506)/100</f>
        <v>0</v>
      </c>
      <c r="FQ506" s="2">
        <f t="shared" si="8414"/>
        <v>0</v>
      </c>
      <c r="FR506" s="2"/>
      <c r="FS506" s="2">
        <f t="shared" si="4388"/>
        <v>0</v>
      </c>
      <c r="FT506" s="2">
        <f t="shared" si="4389"/>
        <v>0</v>
      </c>
      <c r="FU506" s="39">
        <f t="shared" si="4390"/>
        <v>4884.5483457779201</v>
      </c>
      <c r="FV506" s="39">
        <f t="shared" ref="FV506:FW506" si="8415">FV$1*FC506/1000000</f>
        <v>405.32828064308677</v>
      </c>
      <c r="FW506" s="39">
        <f t="shared" si="8415"/>
        <v>137.10541615755628</v>
      </c>
      <c r="FX506" s="39">
        <f t="shared" ref="FX506:GC506" si="8416">FX$1*FE506</f>
        <v>0</v>
      </c>
      <c r="FY506" s="39">
        <f t="shared" si="8416"/>
        <v>0</v>
      </c>
      <c r="FZ506" s="39">
        <f t="shared" si="8416"/>
        <v>0</v>
      </c>
      <c r="GA506" s="39">
        <f t="shared" si="8416"/>
        <v>0</v>
      </c>
      <c r="GB506" s="39">
        <f t="shared" si="8416"/>
        <v>2801.0563726199998</v>
      </c>
      <c r="GC506" s="39">
        <f t="shared" si="8416"/>
        <v>1376.2977740375043</v>
      </c>
      <c r="GD506" s="39">
        <f t="shared" ref="GD506:GH506" si="8417">GD$1*FK506/1000000</f>
        <v>577.60526808617351</v>
      </c>
      <c r="GE506" s="39">
        <f t="shared" si="8417"/>
        <v>2278.2576978565917</v>
      </c>
      <c r="GF506" s="39">
        <f t="shared" si="8417"/>
        <v>0</v>
      </c>
      <c r="GG506" s="39">
        <f t="shared" si="8417"/>
        <v>0</v>
      </c>
      <c r="GH506" s="39">
        <f t="shared" si="8417"/>
        <v>0</v>
      </c>
      <c r="GI506" s="39">
        <f t="shared" ref="GI506:GJ506" si="8418">GI$1*FP506</f>
        <v>0</v>
      </c>
      <c r="GJ506" s="39">
        <f t="shared" si="8418"/>
        <v>0</v>
      </c>
      <c r="GK506" s="2"/>
      <c r="GL506" s="39">
        <f t="shared" si="4395"/>
        <v>0</v>
      </c>
      <c r="GM506" s="39">
        <f t="shared" si="4396"/>
        <v>0</v>
      </c>
      <c r="GN506" s="2" t="s">
        <v>3</v>
      </c>
      <c r="GO506" s="3">
        <f t="shared" si="4397"/>
        <v>1158.3</v>
      </c>
      <c r="GP506" s="19">
        <f t="shared" si="4398"/>
        <v>7.2047828714495388E-2</v>
      </c>
      <c r="GQ506" s="15">
        <f t="shared" si="4399"/>
        <v>834.5300000000002</v>
      </c>
      <c r="GR506" s="15">
        <f t="shared" si="4400"/>
        <v>48241.549167402722</v>
      </c>
      <c r="GS506" s="15">
        <f t="shared" si="4401"/>
        <v>41.648579096436784</v>
      </c>
      <c r="GT506" s="2">
        <f t="shared" si="4402"/>
        <v>189.76</v>
      </c>
      <c r="GU506" s="2">
        <f t="shared" si="4403"/>
        <v>288.54000000000002</v>
      </c>
      <c r="GV506" s="2">
        <f t="shared" si="4404"/>
        <v>356.23000000000008</v>
      </c>
      <c r="GW506" s="15">
        <f t="shared" si="4405"/>
        <v>254.66899999999998</v>
      </c>
      <c r="GX506" s="19">
        <f>(BT506*CB506+CO506*CW506)/GW506</f>
        <v>8.3870761655325143E-2</v>
      </c>
      <c r="GY506" s="15">
        <f>1000*GW506*GX506/100</f>
        <v>213.59282999999996</v>
      </c>
      <c r="GZ506" s="15">
        <f>SUM(FU506:GM506)</f>
        <v>12460.199155178834</v>
      </c>
      <c r="HA506" s="15">
        <f>GZ506/GW506</f>
        <v>48.92703530927924</v>
      </c>
      <c r="HB506" s="2">
        <f t="shared" si="4406"/>
        <v>106.00863000000001</v>
      </c>
      <c r="HC506" s="2">
        <f t="shared" si="4407"/>
        <v>107.5842</v>
      </c>
      <c r="HD506" s="2" t="s">
        <v>3</v>
      </c>
      <c r="HE506" s="2" t="s">
        <v>89</v>
      </c>
      <c r="HF506" s="2" t="s">
        <v>123</v>
      </c>
      <c r="HG506" s="2" t="s">
        <v>192</v>
      </c>
      <c r="HH506" s="2"/>
      <c r="HI506" s="2" t="s">
        <v>81</v>
      </c>
      <c r="HJ506" s="2" t="s">
        <v>3</v>
      </c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 t="s">
        <v>3</v>
      </c>
    </row>
    <row r="507" spans="1:268" ht="15.75" customHeight="1" x14ac:dyDescent="0.2">
      <c r="A507" s="16" t="s">
        <v>1219</v>
      </c>
      <c r="B507" s="2" t="s">
        <v>99</v>
      </c>
      <c r="C507" s="2"/>
      <c r="D507" s="2"/>
      <c r="E507" s="2"/>
      <c r="F507" s="2" t="s">
        <v>1220</v>
      </c>
      <c r="G507" s="2"/>
      <c r="H507" s="2"/>
      <c r="I507" s="2">
        <v>0</v>
      </c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>
        <v>3.6389999999999998</v>
      </c>
      <c r="AE507" s="2">
        <v>0.99</v>
      </c>
      <c r="AF507" s="2">
        <v>0.2</v>
      </c>
      <c r="AG507" s="2"/>
      <c r="AH507" s="2"/>
      <c r="AI507" s="2"/>
      <c r="AJ507" s="2"/>
      <c r="AK507" s="2"/>
      <c r="AL507" s="2">
        <v>1.83</v>
      </c>
      <c r="AM507" s="2">
        <v>0.05</v>
      </c>
      <c r="AN507" s="2">
        <v>0.42</v>
      </c>
      <c r="AO507" s="2">
        <v>0.26</v>
      </c>
      <c r="AP507" s="2"/>
      <c r="AQ507" s="2"/>
      <c r="AR507" s="2"/>
      <c r="AS507" s="2"/>
      <c r="AT507" s="2"/>
      <c r="AU507" s="2"/>
      <c r="AV507" s="2"/>
      <c r="AW507" s="2"/>
      <c r="AX507" s="2"/>
      <c r="AY507" s="2">
        <v>4.3819999999999997</v>
      </c>
      <c r="AZ507" s="2">
        <v>0.92</v>
      </c>
      <c r="BA507" s="2">
        <v>0.16</v>
      </c>
      <c r="BB507" s="2"/>
      <c r="BC507" s="2"/>
      <c r="BD507" s="2"/>
      <c r="BE507" s="2"/>
      <c r="BF507" s="2"/>
      <c r="BG507" s="2">
        <v>1.58</v>
      </c>
      <c r="BH507" s="2">
        <v>0.04</v>
      </c>
      <c r="BI507" s="2">
        <v>0.28999999999999998</v>
      </c>
      <c r="BJ507" s="2">
        <v>0.18</v>
      </c>
      <c r="BK507" s="2"/>
      <c r="BL507" s="2"/>
      <c r="BM507" s="2"/>
      <c r="BN507" s="2"/>
      <c r="BO507" s="2"/>
      <c r="BP507" s="2"/>
      <c r="BQ507" s="2"/>
      <c r="BR507" s="2"/>
      <c r="BS507" s="2"/>
      <c r="BT507" s="2">
        <v>0</v>
      </c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>
        <v>0</v>
      </c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 t="s">
        <v>81</v>
      </c>
      <c r="DK507" s="2" t="s">
        <v>81</v>
      </c>
      <c r="DL507" s="2">
        <f t="shared" si="4367"/>
        <v>1.6934210198229651</v>
      </c>
      <c r="DM507" s="2">
        <f t="shared" si="4368"/>
        <v>4.4536840792918593E-2</v>
      </c>
      <c r="DN507" s="2" t="s">
        <v>150</v>
      </c>
      <c r="DO507" s="2" t="s">
        <v>3</v>
      </c>
      <c r="DP507" s="2">
        <f t="shared" si="4369"/>
        <v>7.6340500000000006E-2</v>
      </c>
      <c r="DQ507" s="2">
        <f t="shared" ref="DQ507:DR507" si="8419">K507*$I507+AF507*$AD507+BA507*$AY507</f>
        <v>1.42892</v>
      </c>
      <c r="DR507" s="2">
        <f t="shared" si="8419"/>
        <v>0</v>
      </c>
      <c r="DS507" s="2">
        <f t="shared" ref="DS507:DX507" si="8420">(M507*$I507+AH507*$AD507+BC507*$AY507)/100</f>
        <v>0</v>
      </c>
      <c r="DT507" s="2">
        <f t="shared" si="8420"/>
        <v>0</v>
      </c>
      <c r="DU507" s="2">
        <f t="shared" si="8420"/>
        <v>0</v>
      </c>
      <c r="DV507" s="2">
        <f t="shared" si="8420"/>
        <v>0</v>
      </c>
      <c r="DW507" s="2">
        <f t="shared" si="8420"/>
        <v>0.13582930000000001</v>
      </c>
      <c r="DX507" s="2">
        <f t="shared" si="8420"/>
        <v>3.5723E-3</v>
      </c>
      <c r="DY507" s="2">
        <f t="shared" ref="DY507:EC507" si="8421">S507*$I507+AN507*$AD507+BI507*$AY507</f>
        <v>2.7991599999999996</v>
      </c>
      <c r="DZ507" s="2">
        <f t="shared" si="8421"/>
        <v>1.7348999999999999</v>
      </c>
      <c r="EA507" s="2">
        <f t="shared" si="8421"/>
        <v>0</v>
      </c>
      <c r="EB507" s="2">
        <f t="shared" si="8421"/>
        <v>0</v>
      </c>
      <c r="EC507" s="2">
        <f t="shared" si="8421"/>
        <v>0</v>
      </c>
      <c r="ED507" s="2">
        <f t="shared" ref="ED507:EE507" si="8422">(X507*$I507+AS507*$AD507+BN507*$AY507)/100</f>
        <v>0</v>
      </c>
      <c r="EE507" s="2">
        <f t="shared" si="8422"/>
        <v>0</v>
      </c>
      <c r="EF507" s="2"/>
      <c r="EG507" s="2">
        <f t="shared" si="4374"/>
        <v>0</v>
      </c>
      <c r="EH507" s="2">
        <f t="shared" si="4375"/>
        <v>0</v>
      </c>
      <c r="EI507" s="39">
        <f t="shared" si="4376"/>
        <v>498.16878824800006</v>
      </c>
      <c r="EJ507" s="39">
        <f t="shared" ref="EJ507:EK507" si="8423">EJ$1*DQ507/1000000</f>
        <v>58.443287459807067</v>
      </c>
      <c r="EK507" s="39">
        <f t="shared" si="8423"/>
        <v>0</v>
      </c>
      <c r="EL507" s="39">
        <f t="shared" ref="EL507:EQ507" si="8424">EL$1*DS507</f>
        <v>0</v>
      </c>
      <c r="EM507" s="39">
        <f t="shared" si="8424"/>
        <v>0</v>
      </c>
      <c r="EN507" s="39">
        <f t="shared" si="8424"/>
        <v>0</v>
      </c>
      <c r="EO507" s="39">
        <f t="shared" si="8424"/>
        <v>0</v>
      </c>
      <c r="EP507" s="39">
        <f t="shared" si="8424"/>
        <v>1781.2654402000003</v>
      </c>
      <c r="EQ507" s="39">
        <f t="shared" si="8424"/>
        <v>259.41872558519998</v>
      </c>
      <c r="ER507" s="39">
        <f t="shared" ref="ER507:EV507" si="8425">ER$1*DY507/1000000</f>
        <v>79.443941016077147</v>
      </c>
      <c r="ES507" s="39">
        <f t="shared" si="8425"/>
        <v>57.816797652733115</v>
      </c>
      <c r="ET507" s="39">
        <f t="shared" si="8425"/>
        <v>0</v>
      </c>
      <c r="EU507" s="39">
        <f t="shared" si="8425"/>
        <v>0</v>
      </c>
      <c r="EV507" s="39">
        <f t="shared" si="8425"/>
        <v>0</v>
      </c>
      <c r="EW507" s="39">
        <f t="shared" ref="EW507:EX507" si="8426">EW$1*ED507</f>
        <v>0</v>
      </c>
      <c r="EX507" s="39">
        <f t="shared" si="8426"/>
        <v>0</v>
      </c>
      <c r="EY507" s="2"/>
      <c r="EZ507" s="39">
        <f t="shared" si="4381"/>
        <v>0</v>
      </c>
      <c r="FA507" s="39">
        <f t="shared" si="4382"/>
        <v>0</v>
      </c>
      <c r="FB507" s="2">
        <f t="shared" si="4383"/>
        <v>0</v>
      </c>
      <c r="FC507" s="2">
        <f t="shared" ref="FC507:FD507" si="8427">BV507*$BT507+CQ507*$CO507</f>
        <v>0</v>
      </c>
      <c r="FD507" s="2">
        <f t="shared" si="8427"/>
        <v>0</v>
      </c>
      <c r="FE507" s="2">
        <f t="shared" ref="FE507:FJ507" si="8428">(BX507*$BT507+CS507*$CO507)/100</f>
        <v>0</v>
      </c>
      <c r="FF507" s="2">
        <f t="shared" si="8428"/>
        <v>0</v>
      </c>
      <c r="FG507" s="2">
        <f t="shared" si="8428"/>
        <v>0</v>
      </c>
      <c r="FH507" s="2">
        <f t="shared" si="8428"/>
        <v>0</v>
      </c>
      <c r="FI507" s="2">
        <f t="shared" si="8428"/>
        <v>0</v>
      </c>
      <c r="FJ507" s="2">
        <f t="shared" si="8428"/>
        <v>0</v>
      </c>
      <c r="FK507" s="2">
        <f t="shared" ref="FK507:FO507" si="8429">CD507*$BT507+CY507*$CO507</f>
        <v>0</v>
      </c>
      <c r="FL507" s="2">
        <f t="shared" si="8429"/>
        <v>0</v>
      </c>
      <c r="FM507" s="2">
        <f t="shared" si="8429"/>
        <v>0</v>
      </c>
      <c r="FN507" s="2">
        <f t="shared" si="8429"/>
        <v>0</v>
      </c>
      <c r="FO507" s="2">
        <f t="shared" si="8429"/>
        <v>0</v>
      </c>
      <c r="FP507" s="2">
        <f t="shared" ref="FP507:FQ507" si="8430">(CI507*$BT507+DD507*$CO507)/100</f>
        <v>0</v>
      </c>
      <c r="FQ507" s="2">
        <f t="shared" si="8430"/>
        <v>0</v>
      </c>
      <c r="FR507" s="2"/>
      <c r="FS507" s="2">
        <f t="shared" si="4388"/>
        <v>0</v>
      </c>
      <c r="FT507" s="2">
        <f t="shared" si="4389"/>
        <v>0</v>
      </c>
      <c r="FU507" s="39">
        <f t="shared" si="4390"/>
        <v>0</v>
      </c>
      <c r="FV507" s="39">
        <f t="shared" ref="FV507:FW507" si="8431">FV$1*FC507/1000000</f>
        <v>0</v>
      </c>
      <c r="FW507" s="39">
        <f t="shared" si="8431"/>
        <v>0</v>
      </c>
      <c r="FX507" s="39">
        <f t="shared" ref="FX507:GC507" si="8432">FX$1*FE507</f>
        <v>0</v>
      </c>
      <c r="FY507" s="39">
        <f t="shared" si="8432"/>
        <v>0</v>
      </c>
      <c r="FZ507" s="39">
        <f t="shared" si="8432"/>
        <v>0</v>
      </c>
      <c r="GA507" s="39">
        <f t="shared" si="8432"/>
        <v>0</v>
      </c>
      <c r="GB507" s="39">
        <f t="shared" si="8432"/>
        <v>0</v>
      </c>
      <c r="GC507" s="39">
        <f t="shared" si="8432"/>
        <v>0</v>
      </c>
      <c r="GD507" s="39">
        <f t="shared" ref="GD507:GH507" si="8433">GD$1*FK507/1000000</f>
        <v>0</v>
      </c>
      <c r="GE507" s="39">
        <f t="shared" si="8433"/>
        <v>0</v>
      </c>
      <c r="GF507" s="39">
        <f t="shared" si="8433"/>
        <v>0</v>
      </c>
      <c r="GG507" s="39">
        <f t="shared" si="8433"/>
        <v>0</v>
      </c>
      <c r="GH507" s="39">
        <f t="shared" si="8433"/>
        <v>0</v>
      </c>
      <c r="GI507" s="39">
        <f t="shared" ref="GI507:GJ507" si="8434">GI$1*FP507</f>
        <v>0</v>
      </c>
      <c r="GJ507" s="39">
        <f t="shared" si="8434"/>
        <v>0</v>
      </c>
      <c r="GK507" s="2"/>
      <c r="GL507" s="39">
        <f t="shared" si="4395"/>
        <v>0</v>
      </c>
      <c r="GM507" s="39">
        <f t="shared" si="4396"/>
        <v>0</v>
      </c>
      <c r="GN507" s="2" t="s">
        <v>3</v>
      </c>
      <c r="GO507" s="2">
        <f t="shared" si="4397"/>
        <v>8.020999999999999</v>
      </c>
      <c r="GP507" s="4">
        <f t="shared" si="4398"/>
        <v>1.6934210198229651</v>
      </c>
      <c r="GQ507" s="15">
        <f t="shared" si="4399"/>
        <v>135.82930000000002</v>
      </c>
      <c r="GR507" s="15">
        <f t="shared" si="4400"/>
        <v>2734.5569801618171</v>
      </c>
      <c r="GS507" s="15">
        <f t="shared" si="4401"/>
        <v>340.92469519533944</v>
      </c>
      <c r="GT507" s="2">
        <f t="shared" si="4402"/>
        <v>0</v>
      </c>
      <c r="GU507" s="2">
        <f t="shared" si="4403"/>
        <v>66.593699999999998</v>
      </c>
      <c r="GV507" s="2">
        <f t="shared" si="4404"/>
        <v>69.235600000000005</v>
      </c>
      <c r="GW507" s="2">
        <f t="shared" si="4405"/>
        <v>0</v>
      </c>
      <c r="GX507" s="2"/>
      <c r="GY507" s="2"/>
      <c r="GZ507" s="2"/>
      <c r="HA507" s="2"/>
      <c r="HB507" s="2">
        <f t="shared" si="4406"/>
        <v>0</v>
      </c>
      <c r="HC507" s="2">
        <f t="shared" si="4407"/>
        <v>0</v>
      </c>
      <c r="HD507" s="2" t="s">
        <v>3</v>
      </c>
      <c r="HE507" s="2" t="s">
        <v>89</v>
      </c>
      <c r="HF507" s="2" t="s">
        <v>123</v>
      </c>
      <c r="HG507" s="2" t="s">
        <v>192</v>
      </c>
      <c r="HH507" s="2"/>
      <c r="HI507" s="2" t="s">
        <v>81</v>
      </c>
      <c r="HJ507" s="2" t="s">
        <v>3</v>
      </c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 t="s">
        <v>3</v>
      </c>
    </row>
    <row r="508" spans="1:268" ht="15.75" customHeight="1" x14ac:dyDescent="0.2">
      <c r="A508" s="16" t="s">
        <v>1170</v>
      </c>
      <c r="B508" s="2" t="s">
        <v>99</v>
      </c>
      <c r="C508" s="2"/>
      <c r="D508" s="2"/>
      <c r="E508" s="2"/>
      <c r="F508" s="2" t="s">
        <v>246</v>
      </c>
      <c r="G508" s="2"/>
      <c r="H508" s="2"/>
      <c r="I508" s="2">
        <v>0</v>
      </c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>
        <v>0</v>
      </c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>
        <v>435.5</v>
      </c>
      <c r="AZ508" s="2">
        <v>0.43</v>
      </c>
      <c r="BA508" s="2"/>
      <c r="BB508" s="2"/>
      <c r="BC508" s="2"/>
      <c r="BD508" s="2"/>
      <c r="BE508" s="2"/>
      <c r="BF508" s="2"/>
      <c r="BG508" s="2">
        <v>0.16</v>
      </c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>
        <v>0</v>
      </c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>
        <v>0</v>
      </c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 t="s">
        <v>81</v>
      </c>
      <c r="DK508" s="2"/>
      <c r="DL508" s="2">
        <f t="shared" si="4367"/>
        <v>0.16</v>
      </c>
      <c r="DM508" s="2">
        <f t="shared" si="4368"/>
        <v>0</v>
      </c>
      <c r="DN508" s="2" t="s">
        <v>211</v>
      </c>
      <c r="DO508" s="2" t="s">
        <v>3</v>
      </c>
      <c r="DP508" s="2">
        <f t="shared" si="4369"/>
        <v>1.8726499999999999</v>
      </c>
      <c r="DQ508" s="2">
        <f t="shared" ref="DQ508:DR508" si="8435">K508*$I508+AF508*$AD508+BA508*$AY508</f>
        <v>0</v>
      </c>
      <c r="DR508" s="2">
        <f t="shared" si="8435"/>
        <v>0</v>
      </c>
      <c r="DS508" s="2">
        <f t="shared" ref="DS508:DX508" si="8436">(M508*$I508+AH508*$AD508+BC508*$AY508)/100</f>
        <v>0</v>
      </c>
      <c r="DT508" s="2">
        <f t="shared" si="8436"/>
        <v>0</v>
      </c>
      <c r="DU508" s="2">
        <f t="shared" si="8436"/>
        <v>0</v>
      </c>
      <c r="DV508" s="2">
        <f t="shared" si="8436"/>
        <v>0</v>
      </c>
      <c r="DW508" s="2">
        <f t="shared" si="8436"/>
        <v>0.69680000000000009</v>
      </c>
      <c r="DX508" s="2">
        <f t="shared" si="8436"/>
        <v>0</v>
      </c>
      <c r="DY508" s="2">
        <f t="shared" ref="DY508:EC508" si="8437">S508*$I508+AN508*$AD508+BI508*$AY508</f>
        <v>0</v>
      </c>
      <c r="DZ508" s="2">
        <f t="shared" si="8437"/>
        <v>0</v>
      </c>
      <c r="EA508" s="2">
        <f t="shared" si="8437"/>
        <v>0</v>
      </c>
      <c r="EB508" s="2">
        <f t="shared" si="8437"/>
        <v>0</v>
      </c>
      <c r="EC508" s="2">
        <f t="shared" si="8437"/>
        <v>0</v>
      </c>
      <c r="ED508" s="2">
        <f t="shared" ref="ED508:EE508" si="8438">(X508*$I508+AS508*$AD508+BN508*$AY508)/100</f>
        <v>0</v>
      </c>
      <c r="EE508" s="2">
        <f t="shared" si="8438"/>
        <v>0</v>
      </c>
      <c r="EF508" s="2"/>
      <c r="EG508" s="2">
        <f t="shared" si="4374"/>
        <v>0</v>
      </c>
      <c r="EH508" s="2">
        <f t="shared" si="4375"/>
        <v>0</v>
      </c>
      <c r="EI508" s="39">
        <f t="shared" si="4376"/>
        <v>12220.194802399999</v>
      </c>
      <c r="EJ508" s="39">
        <f t="shared" ref="EJ508:EK508" si="8439">EJ$1*DQ508/1000000</f>
        <v>0</v>
      </c>
      <c r="EK508" s="39">
        <f t="shared" si="8439"/>
        <v>0</v>
      </c>
      <c r="EL508" s="39">
        <f t="shared" ref="EL508:EQ508" si="8440">EL$1*DS508</f>
        <v>0</v>
      </c>
      <c r="EM508" s="39">
        <f t="shared" si="8440"/>
        <v>0</v>
      </c>
      <c r="EN508" s="39">
        <f t="shared" si="8440"/>
        <v>0</v>
      </c>
      <c r="EO508" s="39">
        <f t="shared" si="8440"/>
        <v>0</v>
      </c>
      <c r="EP508" s="39">
        <f t="shared" si="8440"/>
        <v>9137.8352000000014</v>
      </c>
      <c r="EQ508" s="39">
        <f t="shared" si="8440"/>
        <v>0</v>
      </c>
      <c r="ER508" s="39">
        <f t="shared" ref="ER508:EV508" si="8441">ER$1*DY508/1000000</f>
        <v>0</v>
      </c>
      <c r="ES508" s="39">
        <f t="shared" si="8441"/>
        <v>0</v>
      </c>
      <c r="ET508" s="39">
        <f t="shared" si="8441"/>
        <v>0</v>
      </c>
      <c r="EU508" s="39">
        <f t="shared" si="8441"/>
        <v>0</v>
      </c>
      <c r="EV508" s="39">
        <f t="shared" si="8441"/>
        <v>0</v>
      </c>
      <c r="EW508" s="39">
        <f t="shared" ref="EW508:EX508" si="8442">EW$1*ED508</f>
        <v>0</v>
      </c>
      <c r="EX508" s="39">
        <f t="shared" si="8442"/>
        <v>0</v>
      </c>
      <c r="EY508" s="2"/>
      <c r="EZ508" s="39">
        <f t="shared" si="4381"/>
        <v>0</v>
      </c>
      <c r="FA508" s="39">
        <f t="shared" si="4382"/>
        <v>0</v>
      </c>
      <c r="FB508" s="2">
        <f t="shared" si="4383"/>
        <v>0</v>
      </c>
      <c r="FC508" s="2">
        <f t="shared" ref="FC508:FD508" si="8443">BV508*$BT508+CQ508*$CO508</f>
        <v>0</v>
      </c>
      <c r="FD508" s="2">
        <f t="shared" si="8443"/>
        <v>0</v>
      </c>
      <c r="FE508" s="2">
        <f t="shared" ref="FE508:FJ508" si="8444">(BX508*$BT508+CS508*$CO508)/100</f>
        <v>0</v>
      </c>
      <c r="FF508" s="2">
        <f t="shared" si="8444"/>
        <v>0</v>
      </c>
      <c r="FG508" s="2">
        <f t="shared" si="8444"/>
        <v>0</v>
      </c>
      <c r="FH508" s="2">
        <f t="shared" si="8444"/>
        <v>0</v>
      </c>
      <c r="FI508" s="2">
        <f t="shared" si="8444"/>
        <v>0</v>
      </c>
      <c r="FJ508" s="2">
        <f t="shared" si="8444"/>
        <v>0</v>
      </c>
      <c r="FK508" s="2">
        <f t="shared" ref="FK508:FO508" si="8445">CD508*$BT508+CY508*$CO508</f>
        <v>0</v>
      </c>
      <c r="FL508" s="2">
        <f t="shared" si="8445"/>
        <v>0</v>
      </c>
      <c r="FM508" s="2">
        <f t="shared" si="8445"/>
        <v>0</v>
      </c>
      <c r="FN508" s="2">
        <f t="shared" si="8445"/>
        <v>0</v>
      </c>
      <c r="FO508" s="2">
        <f t="shared" si="8445"/>
        <v>0</v>
      </c>
      <c r="FP508" s="2">
        <f t="shared" ref="FP508:FQ508" si="8446">(CI508*$BT508+DD508*$CO508)/100</f>
        <v>0</v>
      </c>
      <c r="FQ508" s="2">
        <f t="shared" si="8446"/>
        <v>0</v>
      </c>
      <c r="FR508" s="2"/>
      <c r="FS508" s="2">
        <f t="shared" si="4388"/>
        <v>0</v>
      </c>
      <c r="FT508" s="2">
        <f t="shared" si="4389"/>
        <v>0</v>
      </c>
      <c r="FU508" s="39">
        <f t="shared" si="4390"/>
        <v>0</v>
      </c>
      <c r="FV508" s="39">
        <f t="shared" ref="FV508:FW508" si="8447">FV$1*FC508/1000000</f>
        <v>0</v>
      </c>
      <c r="FW508" s="39">
        <f t="shared" si="8447"/>
        <v>0</v>
      </c>
      <c r="FX508" s="39">
        <f t="shared" ref="FX508:GC508" si="8448">FX$1*FE508</f>
        <v>0</v>
      </c>
      <c r="FY508" s="39">
        <f t="shared" si="8448"/>
        <v>0</v>
      </c>
      <c r="FZ508" s="39">
        <f t="shared" si="8448"/>
        <v>0</v>
      </c>
      <c r="GA508" s="39">
        <f t="shared" si="8448"/>
        <v>0</v>
      </c>
      <c r="GB508" s="39">
        <f t="shared" si="8448"/>
        <v>0</v>
      </c>
      <c r="GC508" s="39">
        <f t="shared" si="8448"/>
        <v>0</v>
      </c>
      <c r="GD508" s="39">
        <f t="shared" ref="GD508:GH508" si="8449">GD$1*FK508/1000000</f>
        <v>0</v>
      </c>
      <c r="GE508" s="39">
        <f t="shared" si="8449"/>
        <v>0</v>
      </c>
      <c r="GF508" s="39">
        <f t="shared" si="8449"/>
        <v>0</v>
      </c>
      <c r="GG508" s="39">
        <f t="shared" si="8449"/>
        <v>0</v>
      </c>
      <c r="GH508" s="39">
        <f t="shared" si="8449"/>
        <v>0</v>
      </c>
      <c r="GI508" s="39">
        <f t="shared" ref="GI508:GJ508" si="8450">GI$1*FP508</f>
        <v>0</v>
      </c>
      <c r="GJ508" s="39">
        <f t="shared" si="8450"/>
        <v>0</v>
      </c>
      <c r="GK508" s="2"/>
      <c r="GL508" s="39">
        <f t="shared" si="4395"/>
        <v>0</v>
      </c>
      <c r="GM508" s="39">
        <f t="shared" si="4396"/>
        <v>0</v>
      </c>
      <c r="GN508" s="2" t="s">
        <v>3</v>
      </c>
      <c r="GO508" s="2">
        <f t="shared" si="4397"/>
        <v>435.5</v>
      </c>
      <c r="GP508" s="2">
        <f t="shared" si="4398"/>
        <v>0.16</v>
      </c>
      <c r="GQ508" s="15">
        <f t="shared" si="4399"/>
        <v>696.8</v>
      </c>
      <c r="GR508" s="15">
        <f t="shared" si="4400"/>
        <v>21358.030002400003</v>
      </c>
      <c r="GS508" s="15">
        <f t="shared" si="4401"/>
        <v>49.042548800000006</v>
      </c>
      <c r="GT508" s="2">
        <f t="shared" si="4402"/>
        <v>0</v>
      </c>
      <c r="GU508" s="2">
        <f t="shared" si="4403"/>
        <v>0</v>
      </c>
      <c r="GV508" s="2">
        <f t="shared" si="4404"/>
        <v>696.8</v>
      </c>
      <c r="GW508" s="2">
        <f t="shared" si="4405"/>
        <v>0</v>
      </c>
      <c r="GX508" s="2"/>
      <c r="GY508" s="2"/>
      <c r="GZ508" s="2"/>
      <c r="HA508" s="2"/>
      <c r="HB508" s="2">
        <f t="shared" si="4406"/>
        <v>0</v>
      </c>
      <c r="HC508" s="2">
        <f t="shared" si="4407"/>
        <v>0</v>
      </c>
      <c r="HD508" s="2" t="s">
        <v>3</v>
      </c>
      <c r="HE508" s="2" t="s">
        <v>89</v>
      </c>
      <c r="HF508" s="2" t="s">
        <v>123</v>
      </c>
      <c r="HG508" s="2" t="s">
        <v>192</v>
      </c>
      <c r="HH508" s="2"/>
      <c r="HI508" s="2" t="s">
        <v>81</v>
      </c>
      <c r="HJ508" s="2" t="s">
        <v>3</v>
      </c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 t="s">
        <v>3</v>
      </c>
    </row>
    <row r="509" spans="1:268" ht="15.75" customHeight="1" x14ac:dyDescent="0.2">
      <c r="A509" s="33" t="s">
        <v>637</v>
      </c>
      <c r="B509" s="2" t="s">
        <v>99</v>
      </c>
      <c r="C509" s="2"/>
      <c r="D509" s="2"/>
      <c r="E509" s="2"/>
      <c r="F509" s="2" t="s">
        <v>638</v>
      </c>
      <c r="G509" s="2"/>
      <c r="H509" s="2"/>
      <c r="I509" s="2">
        <v>100.92</v>
      </c>
      <c r="J509" s="19">
        <v>0.19</v>
      </c>
      <c r="K509" s="2">
        <v>0.109</v>
      </c>
      <c r="L509" s="2"/>
      <c r="M509" s="2"/>
      <c r="N509" s="2"/>
      <c r="O509" s="2"/>
      <c r="P509" s="2"/>
      <c r="Q509" s="2">
        <v>0.443</v>
      </c>
      <c r="R509" s="2">
        <v>1.6E-2</v>
      </c>
      <c r="S509" s="2">
        <v>0.29899999999999999</v>
      </c>
      <c r="T509" s="2">
        <v>0.32500000000000001</v>
      </c>
      <c r="U509" s="2"/>
      <c r="V509" s="2"/>
      <c r="W509" s="2"/>
      <c r="X509" s="2"/>
      <c r="Y509" s="2"/>
      <c r="Z509" s="2"/>
      <c r="AA509" s="2"/>
      <c r="AB509" s="2"/>
      <c r="AC509" s="2"/>
      <c r="AD509" s="2">
        <v>126.59</v>
      </c>
      <c r="AE509" s="2">
        <v>0.14299999999999999</v>
      </c>
      <c r="AF509" s="2">
        <v>5.5E-2</v>
      </c>
      <c r="AG509" s="2"/>
      <c r="AH509" s="2"/>
      <c r="AI509" s="2"/>
      <c r="AJ509" s="2"/>
      <c r="AK509" s="2"/>
      <c r="AL509" s="19">
        <v>0.35</v>
      </c>
      <c r="AM509" s="2">
        <v>1.6E-2</v>
      </c>
      <c r="AN509" s="19">
        <v>0.13</v>
      </c>
      <c r="AO509" s="2">
        <v>0.11799999999999999</v>
      </c>
      <c r="AP509" s="2"/>
      <c r="AQ509" s="2"/>
      <c r="AR509" s="2"/>
      <c r="AS509" s="2"/>
      <c r="AT509" s="2"/>
      <c r="AU509" s="2"/>
      <c r="AV509" s="2"/>
      <c r="AW509" s="2"/>
      <c r="AX509" s="2"/>
      <c r="AY509" s="2">
        <v>83.69</v>
      </c>
      <c r="AZ509" s="2">
        <v>0.104</v>
      </c>
      <c r="BA509" s="2">
        <v>4.4999999999999998E-2</v>
      </c>
      <c r="BB509" s="2"/>
      <c r="BC509" s="2"/>
      <c r="BD509" s="2"/>
      <c r="BE509" s="2"/>
      <c r="BF509" s="2"/>
      <c r="BG509" s="2">
        <v>0.29899999999999999</v>
      </c>
      <c r="BH509" s="2">
        <v>1.4999999999999999E-2</v>
      </c>
      <c r="BI509" s="2">
        <v>0.106</v>
      </c>
      <c r="BJ509" s="2">
        <v>8.2000000000000003E-2</v>
      </c>
      <c r="BK509" s="2"/>
      <c r="BL509" s="2"/>
      <c r="BM509" s="2"/>
      <c r="BN509" s="2"/>
      <c r="BO509" s="2"/>
      <c r="BP509" s="2"/>
      <c r="BQ509" s="2"/>
      <c r="BR509" s="2"/>
      <c r="BS509" s="2"/>
      <c r="BT509" s="2">
        <v>0</v>
      </c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>
        <v>0</v>
      </c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 t="s">
        <v>81</v>
      </c>
      <c r="DK509" s="2" t="s">
        <v>81</v>
      </c>
      <c r="DL509" s="2">
        <f t="shared" si="4367"/>
        <v>0.36644399100257069</v>
      </c>
      <c r="DM509" s="2">
        <f t="shared" si="4368"/>
        <v>1.573107326478149E-2</v>
      </c>
      <c r="DN509" s="2" t="s">
        <v>639</v>
      </c>
      <c r="DO509" s="2" t="s">
        <v>3</v>
      </c>
      <c r="DP509" s="2">
        <f t="shared" si="4369"/>
        <v>0.45980930000000003</v>
      </c>
      <c r="DQ509" s="2">
        <f t="shared" ref="DQ509:DR509" si="8451">K509*$I509+AF509*$AD509+BA509*$AY509</f>
        <v>21.72878</v>
      </c>
      <c r="DR509" s="2">
        <f t="shared" si="8451"/>
        <v>0</v>
      </c>
      <c r="DS509" s="2">
        <f t="shared" ref="DS509:DX509" si="8452">(M509*$I509+AH509*$AD509+BC509*$AY509)/100</f>
        <v>0</v>
      </c>
      <c r="DT509" s="2">
        <f t="shared" si="8452"/>
        <v>0</v>
      </c>
      <c r="DU509" s="2">
        <f t="shared" si="8452"/>
        <v>0</v>
      </c>
      <c r="DV509" s="2">
        <f t="shared" si="8452"/>
        <v>0</v>
      </c>
      <c r="DW509" s="2">
        <f t="shared" si="8452"/>
        <v>1.1403737</v>
      </c>
      <c r="DX509" s="2">
        <f t="shared" si="8452"/>
        <v>4.8955100000000001E-2</v>
      </c>
      <c r="DY509" s="2">
        <f t="shared" ref="DY509:EC509" si="8453">S509*$I509+AN509*$AD509+BI509*$AY509</f>
        <v>55.502919999999996</v>
      </c>
      <c r="DZ509" s="2">
        <f t="shared" si="8453"/>
        <v>54.599200000000003</v>
      </c>
      <c r="EA509" s="2">
        <f t="shared" si="8453"/>
        <v>0</v>
      </c>
      <c r="EB509" s="2">
        <f t="shared" si="8453"/>
        <v>0</v>
      </c>
      <c r="EC509" s="2">
        <f t="shared" si="8453"/>
        <v>0</v>
      </c>
      <c r="ED509" s="2">
        <f t="shared" ref="ED509:EE509" si="8454">(X509*$I509+AS509*$AD509+BN509*$AY509)/100</f>
        <v>0</v>
      </c>
      <c r="EE509" s="2">
        <f t="shared" si="8454"/>
        <v>0</v>
      </c>
      <c r="EF509" s="2"/>
      <c r="EG509" s="2">
        <f t="shared" si="4374"/>
        <v>0</v>
      </c>
      <c r="EH509" s="2">
        <f t="shared" si="4375"/>
        <v>0</v>
      </c>
      <c r="EI509" s="39">
        <f t="shared" si="4376"/>
        <v>3000.5389250288003</v>
      </c>
      <c r="EJ509" s="39">
        <f t="shared" ref="EJ509:EK509" si="8455">EJ$1*DQ509/1000000</f>
        <v>888.71408874598058</v>
      </c>
      <c r="EK509" s="39">
        <f t="shared" si="8455"/>
        <v>0</v>
      </c>
      <c r="EL509" s="39">
        <f t="shared" ref="EL509:EQ509" si="8456">EL$1*DS509</f>
        <v>0</v>
      </c>
      <c r="EM509" s="39">
        <f t="shared" si="8456"/>
        <v>0</v>
      </c>
      <c r="EN509" s="39">
        <f t="shared" si="8456"/>
        <v>0</v>
      </c>
      <c r="EO509" s="39">
        <f t="shared" si="8456"/>
        <v>0</v>
      </c>
      <c r="EP509" s="39">
        <f t="shared" si="8456"/>
        <v>14954.8607018</v>
      </c>
      <c r="EQ509" s="39">
        <f t="shared" si="8456"/>
        <v>3555.0960593723998</v>
      </c>
      <c r="ER509" s="39">
        <f t="shared" ref="ER509:EV509" si="8457">ER$1*DY509/1000000</f>
        <v>1575.2478253118968</v>
      </c>
      <c r="ES509" s="39">
        <f t="shared" si="8457"/>
        <v>1819.557841028939</v>
      </c>
      <c r="ET509" s="39">
        <f t="shared" si="8457"/>
        <v>0</v>
      </c>
      <c r="EU509" s="39">
        <f t="shared" si="8457"/>
        <v>0</v>
      </c>
      <c r="EV509" s="39">
        <f t="shared" si="8457"/>
        <v>0</v>
      </c>
      <c r="EW509" s="39">
        <f t="shared" ref="EW509:EX509" si="8458">EW$1*ED509</f>
        <v>0</v>
      </c>
      <c r="EX509" s="39">
        <f t="shared" si="8458"/>
        <v>0</v>
      </c>
      <c r="EY509" s="2"/>
      <c r="EZ509" s="39">
        <f t="shared" si="4381"/>
        <v>0</v>
      </c>
      <c r="FA509" s="39">
        <f t="shared" si="4382"/>
        <v>0</v>
      </c>
      <c r="FB509" s="2">
        <f t="shared" si="4383"/>
        <v>0</v>
      </c>
      <c r="FC509" s="2">
        <f t="shared" ref="FC509:FD509" si="8459">BV509*$BT509+CQ509*$CO509</f>
        <v>0</v>
      </c>
      <c r="FD509" s="2">
        <f t="shared" si="8459"/>
        <v>0</v>
      </c>
      <c r="FE509" s="2">
        <f t="shared" ref="FE509:FJ509" si="8460">(BX509*$BT509+CS509*$CO509)/100</f>
        <v>0</v>
      </c>
      <c r="FF509" s="2">
        <f t="shared" si="8460"/>
        <v>0</v>
      </c>
      <c r="FG509" s="2">
        <f t="shared" si="8460"/>
        <v>0</v>
      </c>
      <c r="FH509" s="2">
        <f t="shared" si="8460"/>
        <v>0</v>
      </c>
      <c r="FI509" s="2">
        <f t="shared" si="8460"/>
        <v>0</v>
      </c>
      <c r="FJ509" s="2">
        <f t="shared" si="8460"/>
        <v>0</v>
      </c>
      <c r="FK509" s="2">
        <f t="shared" ref="FK509:FO509" si="8461">CD509*$BT509+CY509*$CO509</f>
        <v>0</v>
      </c>
      <c r="FL509" s="2">
        <f t="shared" si="8461"/>
        <v>0</v>
      </c>
      <c r="FM509" s="2">
        <f t="shared" si="8461"/>
        <v>0</v>
      </c>
      <c r="FN509" s="2">
        <f t="shared" si="8461"/>
        <v>0</v>
      </c>
      <c r="FO509" s="2">
        <f t="shared" si="8461"/>
        <v>0</v>
      </c>
      <c r="FP509" s="2">
        <f t="shared" ref="FP509:FQ509" si="8462">(CI509*$BT509+DD509*$CO509)/100</f>
        <v>0</v>
      </c>
      <c r="FQ509" s="2">
        <f t="shared" si="8462"/>
        <v>0</v>
      </c>
      <c r="FR509" s="2"/>
      <c r="FS509" s="2">
        <f t="shared" si="4388"/>
        <v>0</v>
      </c>
      <c r="FT509" s="2">
        <f t="shared" si="4389"/>
        <v>0</v>
      </c>
      <c r="FU509" s="39">
        <f t="shared" si="4390"/>
        <v>0</v>
      </c>
      <c r="FV509" s="39">
        <f t="shared" ref="FV509:FW509" si="8463">FV$1*FC509/1000000</f>
        <v>0</v>
      </c>
      <c r="FW509" s="39">
        <f t="shared" si="8463"/>
        <v>0</v>
      </c>
      <c r="FX509" s="39">
        <f t="shared" ref="FX509:GC509" si="8464">FX$1*FE509</f>
        <v>0</v>
      </c>
      <c r="FY509" s="39">
        <f t="shared" si="8464"/>
        <v>0</v>
      </c>
      <c r="FZ509" s="39">
        <f t="shared" si="8464"/>
        <v>0</v>
      </c>
      <c r="GA509" s="39">
        <f t="shared" si="8464"/>
        <v>0</v>
      </c>
      <c r="GB509" s="39">
        <f t="shared" si="8464"/>
        <v>0</v>
      </c>
      <c r="GC509" s="39">
        <f t="shared" si="8464"/>
        <v>0</v>
      </c>
      <c r="GD509" s="39">
        <f t="shared" ref="GD509:GH509" si="8465">GD$1*FK509/1000000</f>
        <v>0</v>
      </c>
      <c r="GE509" s="39">
        <f t="shared" si="8465"/>
        <v>0</v>
      </c>
      <c r="GF509" s="39">
        <f t="shared" si="8465"/>
        <v>0</v>
      </c>
      <c r="GG509" s="39">
        <f t="shared" si="8465"/>
        <v>0</v>
      </c>
      <c r="GH509" s="39">
        <f t="shared" si="8465"/>
        <v>0</v>
      </c>
      <c r="GI509" s="39">
        <f t="shared" ref="GI509:GJ509" si="8466">GI$1*FP509</f>
        <v>0</v>
      </c>
      <c r="GJ509" s="39">
        <f t="shared" si="8466"/>
        <v>0</v>
      </c>
      <c r="GK509" s="2"/>
      <c r="GL509" s="39">
        <f t="shared" si="4395"/>
        <v>0</v>
      </c>
      <c r="GM509" s="39">
        <f t="shared" si="4396"/>
        <v>0</v>
      </c>
      <c r="GN509" s="2" t="s">
        <v>3</v>
      </c>
      <c r="GO509" s="2">
        <f t="shared" si="4397"/>
        <v>311.2</v>
      </c>
      <c r="GP509" s="4">
        <f t="shared" si="4398"/>
        <v>0.36644399100257069</v>
      </c>
      <c r="GQ509" s="18">
        <f t="shared" si="4399"/>
        <v>1140.3736999999999</v>
      </c>
      <c r="GR509" s="15">
        <f t="shared" si="4400"/>
        <v>25794.015441288018</v>
      </c>
      <c r="GS509" s="15">
        <f t="shared" si="4401"/>
        <v>82.885653731645306</v>
      </c>
      <c r="GT509" s="2">
        <f t="shared" si="4402"/>
        <v>447.07559999999995</v>
      </c>
      <c r="GU509" s="2">
        <f t="shared" si="4403"/>
        <v>443.065</v>
      </c>
      <c r="GV509" s="2">
        <f t="shared" si="4404"/>
        <v>250.23309999999998</v>
      </c>
      <c r="GW509" s="2">
        <f t="shared" si="4405"/>
        <v>0</v>
      </c>
      <c r="GX509" s="2"/>
      <c r="GY509" s="2"/>
      <c r="GZ509" s="2"/>
      <c r="HA509" s="2"/>
      <c r="HB509" s="2">
        <f t="shared" si="4406"/>
        <v>0</v>
      </c>
      <c r="HC509" s="2">
        <f t="shared" si="4407"/>
        <v>0</v>
      </c>
      <c r="HD509" s="2" t="s">
        <v>3</v>
      </c>
      <c r="HE509" s="2" t="s">
        <v>89</v>
      </c>
      <c r="HF509" s="2" t="s">
        <v>123</v>
      </c>
      <c r="HG509" s="2" t="s">
        <v>640</v>
      </c>
      <c r="HH509" s="2"/>
      <c r="HI509" s="2" t="s">
        <v>81</v>
      </c>
      <c r="HJ509" s="2" t="s">
        <v>3</v>
      </c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 t="s">
        <v>3</v>
      </c>
    </row>
    <row r="510" spans="1:268" ht="15.75" customHeight="1" x14ac:dyDescent="0.2">
      <c r="A510" s="33" t="s">
        <v>641</v>
      </c>
      <c r="B510" s="2" t="s">
        <v>99</v>
      </c>
      <c r="C510" s="2"/>
      <c r="D510" s="2"/>
      <c r="E510" s="2"/>
      <c r="F510" s="2" t="s">
        <v>638</v>
      </c>
      <c r="G510" s="2"/>
      <c r="H510" s="2"/>
      <c r="I510" s="2">
        <v>50.99</v>
      </c>
      <c r="J510" s="2">
        <v>0.33900000000000002</v>
      </c>
      <c r="K510" s="19">
        <v>0.14000000000000001</v>
      </c>
      <c r="L510" s="2"/>
      <c r="M510" s="2"/>
      <c r="N510" s="2"/>
      <c r="O510" s="2"/>
      <c r="P510" s="2"/>
      <c r="Q510" s="2">
        <v>0.55800000000000005</v>
      </c>
      <c r="R510" s="2">
        <v>1.9E-2</v>
      </c>
      <c r="S510" s="2">
        <v>0.30199999999999999</v>
      </c>
      <c r="T510" s="2">
        <v>0.28799999999999998</v>
      </c>
      <c r="U510" s="2"/>
      <c r="V510" s="2"/>
      <c r="W510" s="2"/>
      <c r="X510" s="2"/>
      <c r="Y510" s="2"/>
      <c r="Z510" s="2"/>
      <c r="AA510" s="2"/>
      <c r="AB510" s="2"/>
      <c r="AC510" s="2"/>
      <c r="AD510" s="2">
        <v>40.08</v>
      </c>
      <c r="AE510" s="2">
        <v>0.29299999999999998</v>
      </c>
      <c r="AF510" s="2">
        <v>0.123</v>
      </c>
      <c r="AG510" s="2"/>
      <c r="AH510" s="2"/>
      <c r="AI510" s="2"/>
      <c r="AJ510" s="2"/>
      <c r="AK510" s="2"/>
      <c r="AL510" s="2">
        <v>0.50800000000000001</v>
      </c>
      <c r="AM510" s="2">
        <v>1.9E-2</v>
      </c>
      <c r="AN510" s="2">
        <v>0.28299999999999997</v>
      </c>
      <c r="AO510" s="2">
        <v>0.255</v>
      </c>
      <c r="AP510" s="2"/>
      <c r="AQ510" s="2"/>
      <c r="AR510" s="2"/>
      <c r="AS510" s="2"/>
      <c r="AT510" s="2"/>
      <c r="AU510" s="2"/>
      <c r="AV510" s="2"/>
      <c r="AW510" s="2"/>
      <c r="AX510" s="2"/>
      <c r="AY510" s="2">
        <v>0</v>
      </c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>
        <v>0</v>
      </c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>
        <v>0</v>
      </c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 t="s">
        <v>81</v>
      </c>
      <c r="DK510" s="2" t="s">
        <v>81</v>
      </c>
      <c r="DL510" s="2">
        <f t="shared" si="4367"/>
        <v>0.53599494894037569</v>
      </c>
      <c r="DM510" s="2">
        <f t="shared" si="4368"/>
        <v>1.9E-2</v>
      </c>
      <c r="DN510" s="2" t="s">
        <v>639</v>
      </c>
      <c r="DO510" s="2" t="s">
        <v>3</v>
      </c>
      <c r="DP510" s="2">
        <f t="shared" si="4369"/>
        <v>0.29029050000000001</v>
      </c>
      <c r="DQ510" s="2">
        <f t="shared" ref="DQ510:DR510" si="8467">K510*$I510+AF510*$AD510+BA510*$AY510</f>
        <v>12.068440000000001</v>
      </c>
      <c r="DR510" s="2">
        <f t="shared" si="8467"/>
        <v>0</v>
      </c>
      <c r="DS510" s="2">
        <f t="shared" ref="DS510:DX510" si="8468">(M510*$I510+AH510*$AD510+BC510*$AY510)/100</f>
        <v>0</v>
      </c>
      <c r="DT510" s="2">
        <f t="shared" si="8468"/>
        <v>0</v>
      </c>
      <c r="DU510" s="2">
        <f t="shared" si="8468"/>
        <v>0</v>
      </c>
      <c r="DV510" s="2">
        <f t="shared" si="8468"/>
        <v>0</v>
      </c>
      <c r="DW510" s="2">
        <f t="shared" si="8468"/>
        <v>0.48813060000000008</v>
      </c>
      <c r="DX510" s="2">
        <f t="shared" si="8468"/>
        <v>1.7303300000000001E-2</v>
      </c>
      <c r="DY510" s="2">
        <f t="shared" ref="DY510:EC510" si="8469">S510*$I510+AN510*$AD510+BI510*$AY510</f>
        <v>26.741619999999998</v>
      </c>
      <c r="DZ510" s="2">
        <f t="shared" si="8469"/>
        <v>24.905519999999999</v>
      </c>
      <c r="EA510" s="2">
        <f t="shared" si="8469"/>
        <v>0</v>
      </c>
      <c r="EB510" s="2">
        <f t="shared" si="8469"/>
        <v>0</v>
      </c>
      <c r="EC510" s="2">
        <f t="shared" si="8469"/>
        <v>0</v>
      </c>
      <c r="ED510" s="2">
        <f t="shared" ref="ED510:EE510" si="8470">(X510*$I510+AS510*$AD510+BN510*$AY510)/100</f>
        <v>0</v>
      </c>
      <c r="EE510" s="2">
        <f t="shared" si="8470"/>
        <v>0</v>
      </c>
      <c r="EF510" s="2"/>
      <c r="EG510" s="2">
        <f t="shared" si="4374"/>
        <v>0</v>
      </c>
      <c r="EH510" s="2">
        <f t="shared" si="4375"/>
        <v>0</v>
      </c>
      <c r="EI510" s="39">
        <f t="shared" si="4376"/>
        <v>1894.3243314480001</v>
      </c>
      <c r="EJ510" s="39">
        <f t="shared" ref="EJ510:EK510" si="8471">EJ$1*DQ510/1000000</f>
        <v>493.60307652733115</v>
      </c>
      <c r="EK510" s="39">
        <f t="shared" si="8471"/>
        <v>0</v>
      </c>
      <c r="EL510" s="39">
        <f t="shared" ref="EL510:EQ510" si="8472">EL$1*DS510</f>
        <v>0</v>
      </c>
      <c r="EM510" s="39">
        <f t="shared" si="8472"/>
        <v>0</v>
      </c>
      <c r="EN510" s="39">
        <f t="shared" si="8472"/>
        <v>0</v>
      </c>
      <c r="EO510" s="39">
        <f t="shared" si="8472"/>
        <v>0</v>
      </c>
      <c r="EP510" s="39">
        <f t="shared" si="8472"/>
        <v>6401.3446884000014</v>
      </c>
      <c r="EQ510" s="39">
        <f t="shared" si="8472"/>
        <v>1256.5574096291998</v>
      </c>
      <c r="ER510" s="39">
        <f t="shared" ref="ER510:EV510" si="8473">ER$1*DY510/1000000</f>
        <v>758.96328968488729</v>
      </c>
      <c r="ES510" s="39">
        <f t="shared" si="8473"/>
        <v>829.99447246302248</v>
      </c>
      <c r="ET510" s="39">
        <f t="shared" si="8473"/>
        <v>0</v>
      </c>
      <c r="EU510" s="39">
        <f t="shared" si="8473"/>
        <v>0</v>
      </c>
      <c r="EV510" s="39">
        <f t="shared" si="8473"/>
        <v>0</v>
      </c>
      <c r="EW510" s="39">
        <f t="shared" ref="EW510:EX510" si="8474">EW$1*ED510</f>
        <v>0</v>
      </c>
      <c r="EX510" s="39">
        <f t="shared" si="8474"/>
        <v>0</v>
      </c>
      <c r="EY510" s="2"/>
      <c r="EZ510" s="39">
        <f t="shared" si="4381"/>
        <v>0</v>
      </c>
      <c r="FA510" s="39">
        <f t="shared" si="4382"/>
        <v>0</v>
      </c>
      <c r="FB510" s="2">
        <f t="shared" si="4383"/>
        <v>0</v>
      </c>
      <c r="FC510" s="2">
        <f t="shared" ref="FC510:FD510" si="8475">BV510*$BT510+CQ510*$CO510</f>
        <v>0</v>
      </c>
      <c r="FD510" s="2">
        <f t="shared" si="8475"/>
        <v>0</v>
      </c>
      <c r="FE510" s="2">
        <f t="shared" ref="FE510:FJ510" si="8476">(BX510*$BT510+CS510*$CO510)/100</f>
        <v>0</v>
      </c>
      <c r="FF510" s="2">
        <f t="shared" si="8476"/>
        <v>0</v>
      </c>
      <c r="FG510" s="2">
        <f t="shared" si="8476"/>
        <v>0</v>
      </c>
      <c r="FH510" s="2">
        <f t="shared" si="8476"/>
        <v>0</v>
      </c>
      <c r="FI510" s="2">
        <f t="shared" si="8476"/>
        <v>0</v>
      </c>
      <c r="FJ510" s="2">
        <f t="shared" si="8476"/>
        <v>0</v>
      </c>
      <c r="FK510" s="2">
        <f t="shared" ref="FK510:FO510" si="8477">CD510*$BT510+CY510*$CO510</f>
        <v>0</v>
      </c>
      <c r="FL510" s="2">
        <f t="shared" si="8477"/>
        <v>0</v>
      </c>
      <c r="FM510" s="2">
        <f t="shared" si="8477"/>
        <v>0</v>
      </c>
      <c r="FN510" s="2">
        <f t="shared" si="8477"/>
        <v>0</v>
      </c>
      <c r="FO510" s="2">
        <f t="shared" si="8477"/>
        <v>0</v>
      </c>
      <c r="FP510" s="2">
        <f t="shared" ref="FP510:FQ510" si="8478">(CI510*$BT510+DD510*$CO510)/100</f>
        <v>0</v>
      </c>
      <c r="FQ510" s="2">
        <f t="shared" si="8478"/>
        <v>0</v>
      </c>
      <c r="FR510" s="2"/>
      <c r="FS510" s="2">
        <f t="shared" si="4388"/>
        <v>0</v>
      </c>
      <c r="FT510" s="2">
        <f t="shared" si="4389"/>
        <v>0</v>
      </c>
      <c r="FU510" s="39">
        <f t="shared" si="4390"/>
        <v>0</v>
      </c>
      <c r="FV510" s="39">
        <f t="shared" ref="FV510:FW510" si="8479">FV$1*FC510/1000000</f>
        <v>0</v>
      </c>
      <c r="FW510" s="39">
        <f t="shared" si="8479"/>
        <v>0</v>
      </c>
      <c r="FX510" s="39">
        <f t="shared" ref="FX510:GC510" si="8480">FX$1*FE510</f>
        <v>0</v>
      </c>
      <c r="FY510" s="39">
        <f t="shared" si="8480"/>
        <v>0</v>
      </c>
      <c r="FZ510" s="39">
        <f t="shared" si="8480"/>
        <v>0</v>
      </c>
      <c r="GA510" s="39">
        <f t="shared" si="8480"/>
        <v>0</v>
      </c>
      <c r="GB510" s="39">
        <f t="shared" si="8480"/>
        <v>0</v>
      </c>
      <c r="GC510" s="39">
        <f t="shared" si="8480"/>
        <v>0</v>
      </c>
      <c r="GD510" s="39">
        <f t="shared" ref="GD510:GH510" si="8481">GD$1*FK510/1000000</f>
        <v>0</v>
      </c>
      <c r="GE510" s="39">
        <f t="shared" si="8481"/>
        <v>0</v>
      </c>
      <c r="GF510" s="39">
        <f t="shared" si="8481"/>
        <v>0</v>
      </c>
      <c r="GG510" s="39">
        <f t="shared" si="8481"/>
        <v>0</v>
      </c>
      <c r="GH510" s="39">
        <f t="shared" si="8481"/>
        <v>0</v>
      </c>
      <c r="GI510" s="39">
        <f t="shared" ref="GI510:GJ510" si="8482">GI$1*FP510</f>
        <v>0</v>
      </c>
      <c r="GJ510" s="39">
        <f t="shared" si="8482"/>
        <v>0</v>
      </c>
      <c r="GK510" s="2"/>
      <c r="GL510" s="39">
        <f t="shared" si="4395"/>
        <v>0</v>
      </c>
      <c r="GM510" s="39">
        <f t="shared" si="4396"/>
        <v>0</v>
      </c>
      <c r="GN510" s="2" t="s">
        <v>3</v>
      </c>
      <c r="GO510" s="2">
        <f t="shared" si="4397"/>
        <v>91.07</v>
      </c>
      <c r="GP510" s="4">
        <f t="shared" si="4398"/>
        <v>0.53599494894037569</v>
      </c>
      <c r="GQ510" s="15">
        <f t="shared" si="4399"/>
        <v>488.13060000000013</v>
      </c>
      <c r="GR510" s="15">
        <f t="shared" si="4400"/>
        <v>11634.787268152442</v>
      </c>
      <c r="GS510" s="15">
        <f t="shared" si="4401"/>
        <v>127.75653089000157</v>
      </c>
      <c r="GT510" s="2">
        <f t="shared" si="4402"/>
        <v>284.52420000000001</v>
      </c>
      <c r="GU510" s="2">
        <f t="shared" si="4403"/>
        <v>203.60640000000001</v>
      </c>
      <c r="GV510" s="2">
        <f t="shared" si="4404"/>
        <v>0</v>
      </c>
      <c r="GW510" s="2">
        <f t="shared" si="4405"/>
        <v>0</v>
      </c>
      <c r="GX510" s="2"/>
      <c r="GY510" s="2"/>
      <c r="GZ510" s="2"/>
      <c r="HA510" s="2"/>
      <c r="HB510" s="2">
        <f t="shared" si="4406"/>
        <v>0</v>
      </c>
      <c r="HC510" s="2">
        <f t="shared" si="4407"/>
        <v>0</v>
      </c>
      <c r="HD510" s="2" t="s">
        <v>3</v>
      </c>
      <c r="HE510" s="2" t="s">
        <v>89</v>
      </c>
      <c r="HF510" s="2" t="s">
        <v>123</v>
      </c>
      <c r="HG510" s="2" t="s">
        <v>640</v>
      </c>
      <c r="HH510" s="2"/>
      <c r="HI510" s="2" t="s">
        <v>81</v>
      </c>
      <c r="HJ510" s="2" t="s">
        <v>3</v>
      </c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 t="s">
        <v>3</v>
      </c>
    </row>
    <row r="511" spans="1:268" ht="15.75" customHeight="1" x14ac:dyDescent="0.2">
      <c r="A511" s="33" t="s">
        <v>642</v>
      </c>
      <c r="B511" s="2" t="s">
        <v>99</v>
      </c>
      <c r="C511" s="2"/>
      <c r="D511" s="2"/>
      <c r="E511" s="2"/>
      <c r="F511" s="2" t="s">
        <v>638</v>
      </c>
      <c r="G511" s="2"/>
      <c r="H511" s="2"/>
      <c r="I511" s="2">
        <v>66.150000000000006</v>
      </c>
      <c r="J511" s="2">
        <v>0.191</v>
      </c>
      <c r="K511" s="2">
        <v>9.4E-2</v>
      </c>
      <c r="L511" s="2"/>
      <c r="M511" s="2"/>
      <c r="N511" s="2"/>
      <c r="O511" s="2"/>
      <c r="P511" s="2"/>
      <c r="Q511" s="2">
        <v>0.40400000000000003</v>
      </c>
      <c r="R511" s="2">
        <v>1.4999999999999999E-2</v>
      </c>
      <c r="S511" s="2">
        <v>0.38900000000000001</v>
      </c>
      <c r="T511" s="19">
        <v>0.3</v>
      </c>
      <c r="U511" s="2"/>
      <c r="V511" s="2"/>
      <c r="W511" s="2"/>
      <c r="X511" s="2"/>
      <c r="Y511" s="2"/>
      <c r="Z511" s="2"/>
      <c r="AA511" s="2"/>
      <c r="AB511" s="2"/>
      <c r="AC511" s="2"/>
      <c r="AD511" s="2">
        <v>106.86</v>
      </c>
      <c r="AE511" s="2">
        <v>0.182</v>
      </c>
      <c r="AF511" s="2">
        <v>6.4000000000000001E-2</v>
      </c>
      <c r="AG511" s="2"/>
      <c r="AH511" s="2"/>
      <c r="AI511" s="2"/>
      <c r="AJ511" s="2"/>
      <c r="AK511" s="2"/>
      <c r="AL511" s="2">
        <v>0.38800000000000001</v>
      </c>
      <c r="AM511" s="2">
        <v>1.4999999999999999E-2</v>
      </c>
      <c r="AN511" s="2">
        <v>0.20799999999999999</v>
      </c>
      <c r="AO511" s="2">
        <v>0.20200000000000001</v>
      </c>
      <c r="AP511" s="2"/>
      <c r="AQ511" s="2"/>
      <c r="AR511" s="2"/>
      <c r="AS511" s="2"/>
      <c r="AT511" s="2"/>
      <c r="AU511" s="2"/>
      <c r="AV511" s="2"/>
      <c r="AW511" s="2"/>
      <c r="AX511" s="2"/>
      <c r="AY511" s="2">
        <v>17.61</v>
      </c>
      <c r="AZ511" s="2">
        <v>0.161</v>
      </c>
      <c r="BA511" s="2">
        <v>5.8999999999999997E-2</v>
      </c>
      <c r="BB511" s="2"/>
      <c r="BC511" s="2"/>
      <c r="BD511" s="2"/>
      <c r="BE511" s="2"/>
      <c r="BF511" s="2"/>
      <c r="BG511" s="19">
        <v>0.34</v>
      </c>
      <c r="BH511" s="2">
        <v>1.4E-2</v>
      </c>
      <c r="BI511" s="2">
        <v>0.20399999999999999</v>
      </c>
      <c r="BJ511" s="2">
        <v>0.20599999999999999</v>
      </c>
      <c r="BK511" s="2"/>
      <c r="BL511" s="2"/>
      <c r="BM511" s="2"/>
      <c r="BN511" s="2"/>
      <c r="BO511" s="2"/>
      <c r="BP511" s="2"/>
      <c r="BQ511" s="2"/>
      <c r="BR511" s="2"/>
      <c r="BS511" s="2"/>
      <c r="BT511" s="2">
        <v>0</v>
      </c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>
        <v>0</v>
      </c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 t="s">
        <v>81</v>
      </c>
      <c r="DK511" s="2" t="s">
        <v>81</v>
      </c>
      <c r="DL511" s="2">
        <f t="shared" si="4367"/>
        <v>0.38911803588290844</v>
      </c>
      <c r="DM511" s="2">
        <f t="shared" si="4368"/>
        <v>1.4907617248977023E-2</v>
      </c>
      <c r="DN511" s="2" t="s">
        <v>639</v>
      </c>
      <c r="DO511" s="2" t="s">
        <v>3</v>
      </c>
      <c r="DP511" s="2">
        <f t="shared" si="4369"/>
        <v>0.34918379999999999</v>
      </c>
      <c r="DQ511" s="2">
        <f t="shared" ref="DQ511:DR511" si="8483">K511*$I511+AF511*$AD511+BA511*$AY511</f>
        <v>14.09613</v>
      </c>
      <c r="DR511" s="2">
        <f t="shared" si="8483"/>
        <v>0</v>
      </c>
      <c r="DS511" s="2">
        <f t="shared" ref="DS511:DX511" si="8484">(M511*$I511+AH511*$AD511+BC511*$AY511)/100</f>
        <v>0</v>
      </c>
      <c r="DT511" s="2">
        <f t="shared" si="8484"/>
        <v>0</v>
      </c>
      <c r="DU511" s="2">
        <f t="shared" si="8484"/>
        <v>0</v>
      </c>
      <c r="DV511" s="2">
        <f t="shared" si="8484"/>
        <v>0</v>
      </c>
      <c r="DW511" s="2">
        <f t="shared" si="8484"/>
        <v>0.74173680000000008</v>
      </c>
      <c r="DX511" s="2">
        <f t="shared" si="8484"/>
        <v>2.8416900000000002E-2</v>
      </c>
      <c r="DY511" s="2">
        <f t="shared" ref="DY511:EC511" si="8485">S511*$I511+AN511*$AD511+BI511*$AY511</f>
        <v>51.551670000000001</v>
      </c>
      <c r="DZ511" s="2">
        <f t="shared" si="8485"/>
        <v>45.058380000000007</v>
      </c>
      <c r="EA511" s="2">
        <f t="shared" si="8485"/>
        <v>0</v>
      </c>
      <c r="EB511" s="2">
        <f t="shared" si="8485"/>
        <v>0</v>
      </c>
      <c r="EC511" s="2">
        <f t="shared" si="8485"/>
        <v>0</v>
      </c>
      <c r="ED511" s="2">
        <f t="shared" ref="ED511:EE511" si="8486">(X511*$I511+AS511*$AD511+BN511*$AY511)/100</f>
        <v>0</v>
      </c>
      <c r="EE511" s="2">
        <f t="shared" si="8486"/>
        <v>0</v>
      </c>
      <c r="EF511" s="2"/>
      <c r="EG511" s="2">
        <f t="shared" si="4374"/>
        <v>0</v>
      </c>
      <c r="EH511" s="2">
        <f t="shared" si="4375"/>
        <v>0</v>
      </c>
      <c r="EI511" s="39">
        <f t="shared" si="4376"/>
        <v>2278.6393922207999</v>
      </c>
      <c r="EJ511" s="39">
        <f t="shared" ref="EJ511:EK511" si="8487">EJ$1*DQ511/1000000</f>
        <v>576.53624951768484</v>
      </c>
      <c r="EK511" s="39">
        <f t="shared" si="8487"/>
        <v>0</v>
      </c>
      <c r="EL511" s="39">
        <f t="shared" ref="EL511:EQ511" si="8488">EL$1*DS511</f>
        <v>0</v>
      </c>
      <c r="EM511" s="39">
        <f t="shared" si="8488"/>
        <v>0</v>
      </c>
      <c r="EN511" s="39">
        <f t="shared" si="8488"/>
        <v>0</v>
      </c>
      <c r="EO511" s="39">
        <f t="shared" si="8488"/>
        <v>0</v>
      </c>
      <c r="EP511" s="39">
        <f t="shared" si="8488"/>
        <v>9727.1363952000011</v>
      </c>
      <c r="EQ511" s="39">
        <f t="shared" si="8488"/>
        <v>2063.6217515556</v>
      </c>
      <c r="ER511" s="39">
        <f t="shared" ref="ER511:EV511" si="8489">ER$1*DY511/1000000</f>
        <v>1463.1060142186493</v>
      </c>
      <c r="ES511" s="39">
        <f t="shared" si="8489"/>
        <v>1501.603112006431</v>
      </c>
      <c r="ET511" s="39">
        <f t="shared" si="8489"/>
        <v>0</v>
      </c>
      <c r="EU511" s="39">
        <f t="shared" si="8489"/>
        <v>0</v>
      </c>
      <c r="EV511" s="39">
        <f t="shared" si="8489"/>
        <v>0</v>
      </c>
      <c r="EW511" s="39">
        <f t="shared" ref="EW511:EX511" si="8490">EW$1*ED511</f>
        <v>0</v>
      </c>
      <c r="EX511" s="39">
        <f t="shared" si="8490"/>
        <v>0</v>
      </c>
      <c r="EY511" s="2"/>
      <c r="EZ511" s="39">
        <f t="shared" si="4381"/>
        <v>0</v>
      </c>
      <c r="FA511" s="39">
        <f t="shared" si="4382"/>
        <v>0</v>
      </c>
      <c r="FB511" s="2">
        <f t="shared" si="4383"/>
        <v>0</v>
      </c>
      <c r="FC511" s="2">
        <f t="shared" ref="FC511:FD511" si="8491">BV511*$BT511+CQ511*$CO511</f>
        <v>0</v>
      </c>
      <c r="FD511" s="2">
        <f t="shared" si="8491"/>
        <v>0</v>
      </c>
      <c r="FE511" s="2">
        <f t="shared" ref="FE511:FJ511" si="8492">(BX511*$BT511+CS511*$CO511)/100</f>
        <v>0</v>
      </c>
      <c r="FF511" s="2">
        <f t="shared" si="8492"/>
        <v>0</v>
      </c>
      <c r="FG511" s="2">
        <f t="shared" si="8492"/>
        <v>0</v>
      </c>
      <c r="FH511" s="2">
        <f t="shared" si="8492"/>
        <v>0</v>
      </c>
      <c r="FI511" s="2">
        <f t="shared" si="8492"/>
        <v>0</v>
      </c>
      <c r="FJ511" s="2">
        <f t="shared" si="8492"/>
        <v>0</v>
      </c>
      <c r="FK511" s="2">
        <f t="shared" ref="FK511:FO511" si="8493">CD511*$BT511+CY511*$CO511</f>
        <v>0</v>
      </c>
      <c r="FL511" s="2">
        <f t="shared" si="8493"/>
        <v>0</v>
      </c>
      <c r="FM511" s="2">
        <f t="shared" si="8493"/>
        <v>0</v>
      </c>
      <c r="FN511" s="2">
        <f t="shared" si="8493"/>
        <v>0</v>
      </c>
      <c r="FO511" s="2">
        <f t="shared" si="8493"/>
        <v>0</v>
      </c>
      <c r="FP511" s="2">
        <f t="shared" ref="FP511:FQ511" si="8494">(CI511*$BT511+DD511*$CO511)/100</f>
        <v>0</v>
      </c>
      <c r="FQ511" s="2">
        <f t="shared" si="8494"/>
        <v>0</v>
      </c>
      <c r="FR511" s="2"/>
      <c r="FS511" s="2">
        <f t="shared" si="4388"/>
        <v>0</v>
      </c>
      <c r="FT511" s="2">
        <f t="shared" si="4389"/>
        <v>0</v>
      </c>
      <c r="FU511" s="39">
        <f t="shared" si="4390"/>
        <v>0</v>
      </c>
      <c r="FV511" s="39">
        <f t="shared" ref="FV511:FW511" si="8495">FV$1*FC511/1000000</f>
        <v>0</v>
      </c>
      <c r="FW511" s="39">
        <f t="shared" si="8495"/>
        <v>0</v>
      </c>
      <c r="FX511" s="39">
        <f t="shared" ref="FX511:GC511" si="8496">FX$1*FE511</f>
        <v>0</v>
      </c>
      <c r="FY511" s="39">
        <f t="shared" si="8496"/>
        <v>0</v>
      </c>
      <c r="FZ511" s="39">
        <f t="shared" si="8496"/>
        <v>0</v>
      </c>
      <c r="GA511" s="39">
        <f t="shared" si="8496"/>
        <v>0</v>
      </c>
      <c r="GB511" s="39">
        <f t="shared" si="8496"/>
        <v>0</v>
      </c>
      <c r="GC511" s="39">
        <f t="shared" si="8496"/>
        <v>0</v>
      </c>
      <c r="GD511" s="39">
        <f t="shared" ref="GD511:GH511" si="8497">GD$1*FK511/1000000</f>
        <v>0</v>
      </c>
      <c r="GE511" s="39">
        <f t="shared" si="8497"/>
        <v>0</v>
      </c>
      <c r="GF511" s="39">
        <f t="shared" si="8497"/>
        <v>0</v>
      </c>
      <c r="GG511" s="39">
        <f t="shared" si="8497"/>
        <v>0</v>
      </c>
      <c r="GH511" s="39">
        <f t="shared" si="8497"/>
        <v>0</v>
      </c>
      <c r="GI511" s="39">
        <f t="shared" ref="GI511:GJ511" si="8498">GI$1*FP511</f>
        <v>0</v>
      </c>
      <c r="GJ511" s="39">
        <f t="shared" si="8498"/>
        <v>0</v>
      </c>
      <c r="GK511" s="2"/>
      <c r="GL511" s="39">
        <f t="shared" si="4395"/>
        <v>0</v>
      </c>
      <c r="GM511" s="39">
        <f t="shared" si="4396"/>
        <v>0</v>
      </c>
      <c r="GN511" s="2" t="s">
        <v>3</v>
      </c>
      <c r="GO511" s="15">
        <f t="shared" si="4397"/>
        <v>190.62</v>
      </c>
      <c r="GP511" s="4">
        <f t="shared" si="4398"/>
        <v>0.38911803588290844</v>
      </c>
      <c r="GQ511" s="15">
        <f t="shared" si="4399"/>
        <v>741.73680000000013</v>
      </c>
      <c r="GR511" s="15">
        <f t="shared" si="4400"/>
        <v>17610.642914719167</v>
      </c>
      <c r="GS511" s="15">
        <f t="shared" si="4401"/>
        <v>92.386123778822608</v>
      </c>
      <c r="GT511" s="2">
        <f t="shared" si="4402"/>
        <v>267.24600000000004</v>
      </c>
      <c r="GU511" s="2">
        <f t="shared" si="4403"/>
        <v>414.61680000000001</v>
      </c>
      <c r="GV511" s="2">
        <f t="shared" si="4404"/>
        <v>59.873999999999995</v>
      </c>
      <c r="GW511" s="2">
        <f t="shared" si="4405"/>
        <v>0</v>
      </c>
      <c r="GX511" s="2"/>
      <c r="GY511" s="2"/>
      <c r="GZ511" s="2"/>
      <c r="HA511" s="2"/>
      <c r="HB511" s="2">
        <f t="shared" si="4406"/>
        <v>0</v>
      </c>
      <c r="HC511" s="2">
        <f t="shared" si="4407"/>
        <v>0</v>
      </c>
      <c r="HD511" s="2" t="s">
        <v>3</v>
      </c>
      <c r="HE511" s="2" t="s">
        <v>89</v>
      </c>
      <c r="HF511" s="2" t="s">
        <v>123</v>
      </c>
      <c r="HG511" s="2" t="s">
        <v>640</v>
      </c>
      <c r="HH511" s="2"/>
      <c r="HI511" s="2" t="s">
        <v>81</v>
      </c>
      <c r="HJ511" s="2" t="s">
        <v>3</v>
      </c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 t="s">
        <v>3</v>
      </c>
    </row>
    <row r="512" spans="1:268" ht="15.75" customHeight="1" x14ac:dyDescent="0.2">
      <c r="A512" s="16" t="s">
        <v>803</v>
      </c>
      <c r="B512" s="2" t="s">
        <v>804</v>
      </c>
      <c r="C512" s="2"/>
      <c r="D512" s="2"/>
      <c r="E512" s="2"/>
      <c r="F512" s="2" t="s">
        <v>536</v>
      </c>
      <c r="G512" s="2"/>
      <c r="H512" s="2"/>
      <c r="I512" s="2">
        <v>0</v>
      </c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>
        <v>206.8</v>
      </c>
      <c r="AE512" s="2">
        <v>0.5</v>
      </c>
      <c r="AF512" s="2">
        <v>0.2</v>
      </c>
      <c r="AG512" s="2"/>
      <c r="AH512" s="2"/>
      <c r="AI512" s="2"/>
      <c r="AJ512" s="2"/>
      <c r="AK512" s="2"/>
      <c r="AL512" s="2">
        <v>0.3</v>
      </c>
      <c r="AM512" s="2">
        <v>0.01</v>
      </c>
      <c r="AN512" s="15">
        <v>2</v>
      </c>
      <c r="AO512" s="15">
        <v>5</v>
      </c>
      <c r="AP512" s="2"/>
      <c r="AQ512" s="2"/>
      <c r="AR512" s="2"/>
      <c r="AS512" s="2"/>
      <c r="AT512" s="2"/>
      <c r="AU512" s="2"/>
      <c r="AV512" s="2"/>
      <c r="AW512" s="2"/>
      <c r="AX512" s="2"/>
      <c r="AY512" s="2">
        <v>0</v>
      </c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>
        <v>0</v>
      </c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>
        <v>0</v>
      </c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 t="s">
        <v>81</v>
      </c>
      <c r="DK512" s="2" t="s">
        <v>81</v>
      </c>
      <c r="DL512" s="2">
        <f t="shared" si="4367"/>
        <v>0.3</v>
      </c>
      <c r="DM512" s="2">
        <f t="shared" si="4368"/>
        <v>0.01</v>
      </c>
      <c r="DN512" s="2" t="s">
        <v>211</v>
      </c>
      <c r="DO512" s="2" t="s">
        <v>3</v>
      </c>
      <c r="DP512" s="2">
        <f t="shared" si="4369"/>
        <v>1.034</v>
      </c>
      <c r="DQ512" s="2">
        <f t="shared" ref="DQ512:DR512" si="8499">K512*$I512+AF512*$AD512+BA512*$AY512</f>
        <v>41.360000000000007</v>
      </c>
      <c r="DR512" s="2">
        <f t="shared" si="8499"/>
        <v>0</v>
      </c>
      <c r="DS512" s="2">
        <f t="shared" ref="DS512:DX512" si="8500">(M512*$I512+AH512*$AD512+BC512*$AY512)/100</f>
        <v>0</v>
      </c>
      <c r="DT512" s="2">
        <f t="shared" si="8500"/>
        <v>0</v>
      </c>
      <c r="DU512" s="2">
        <f t="shared" si="8500"/>
        <v>0</v>
      </c>
      <c r="DV512" s="2">
        <f t="shared" si="8500"/>
        <v>0</v>
      </c>
      <c r="DW512" s="2">
        <f t="shared" si="8500"/>
        <v>0.62039999999999995</v>
      </c>
      <c r="DX512" s="2">
        <f t="shared" si="8500"/>
        <v>2.068E-2</v>
      </c>
      <c r="DY512" s="2">
        <f t="shared" ref="DY512:EC512" si="8501">S512*$I512+AN512*$AD512+BI512*$AY512</f>
        <v>413.6</v>
      </c>
      <c r="DZ512" s="2">
        <f t="shared" si="8501"/>
        <v>1034</v>
      </c>
      <c r="EA512" s="2">
        <f t="shared" si="8501"/>
        <v>0</v>
      </c>
      <c r="EB512" s="2">
        <f t="shared" si="8501"/>
        <v>0</v>
      </c>
      <c r="EC512" s="2">
        <f t="shared" si="8501"/>
        <v>0</v>
      </c>
      <c r="ED512" s="2">
        <f t="shared" ref="ED512:EE512" si="8502">(X512*$I512+AS512*$AD512+BN512*$AY512)/100</f>
        <v>0</v>
      </c>
      <c r="EE512" s="2">
        <f t="shared" si="8502"/>
        <v>0</v>
      </c>
      <c r="EF512" s="2"/>
      <c r="EG512" s="2">
        <f t="shared" si="4374"/>
        <v>0</v>
      </c>
      <c r="EH512" s="2">
        <f t="shared" si="4375"/>
        <v>0</v>
      </c>
      <c r="EI512" s="39">
        <f t="shared" si="4376"/>
        <v>6747.4869440000002</v>
      </c>
      <c r="EJ512" s="39">
        <f t="shared" ref="EJ512:EK512" si="8503">EJ$1*DQ512/1000000</f>
        <v>1691.6372990353698</v>
      </c>
      <c r="EK512" s="39">
        <f t="shared" si="8503"/>
        <v>0</v>
      </c>
      <c r="EL512" s="39">
        <f t="shared" ref="EL512:EQ512" si="8504">EL$1*DS512</f>
        <v>0</v>
      </c>
      <c r="EM512" s="39">
        <f t="shared" si="8504"/>
        <v>0</v>
      </c>
      <c r="EN512" s="39">
        <f t="shared" si="8504"/>
        <v>0</v>
      </c>
      <c r="EO512" s="39">
        <f t="shared" si="8504"/>
        <v>0</v>
      </c>
      <c r="EP512" s="39">
        <f t="shared" si="8504"/>
        <v>8135.9255999999996</v>
      </c>
      <c r="EQ512" s="39">
        <f t="shared" si="8504"/>
        <v>1501.7717563199999</v>
      </c>
      <c r="ER512" s="39">
        <f t="shared" ref="ER512:EV512" si="8505">ER$1*DY512/1000000</f>
        <v>11738.526559485528</v>
      </c>
      <c r="ES512" s="39">
        <f t="shared" si="8505"/>
        <v>34458.798070739547</v>
      </c>
      <c r="ET512" s="39">
        <f t="shared" si="8505"/>
        <v>0</v>
      </c>
      <c r="EU512" s="39">
        <f t="shared" si="8505"/>
        <v>0</v>
      </c>
      <c r="EV512" s="39">
        <f t="shared" si="8505"/>
        <v>0</v>
      </c>
      <c r="EW512" s="39">
        <f t="shared" ref="EW512:EX512" si="8506">EW$1*ED512</f>
        <v>0</v>
      </c>
      <c r="EX512" s="39">
        <f t="shared" si="8506"/>
        <v>0</v>
      </c>
      <c r="EY512" s="2"/>
      <c r="EZ512" s="39">
        <f t="shared" si="4381"/>
        <v>0</v>
      </c>
      <c r="FA512" s="39">
        <f t="shared" si="4382"/>
        <v>0</v>
      </c>
      <c r="FB512" s="2">
        <f t="shared" si="4383"/>
        <v>0</v>
      </c>
      <c r="FC512" s="2">
        <f t="shared" ref="FC512:FD512" si="8507">BV512*$BT512+CQ512*$CO512</f>
        <v>0</v>
      </c>
      <c r="FD512" s="2">
        <f t="shared" si="8507"/>
        <v>0</v>
      </c>
      <c r="FE512" s="2">
        <f t="shared" ref="FE512:FJ512" si="8508">(BX512*$BT512+CS512*$CO512)/100</f>
        <v>0</v>
      </c>
      <c r="FF512" s="2">
        <f t="shared" si="8508"/>
        <v>0</v>
      </c>
      <c r="FG512" s="2">
        <f t="shared" si="8508"/>
        <v>0</v>
      </c>
      <c r="FH512" s="2">
        <f t="shared" si="8508"/>
        <v>0</v>
      </c>
      <c r="FI512" s="2">
        <f t="shared" si="8508"/>
        <v>0</v>
      </c>
      <c r="FJ512" s="2">
        <f t="shared" si="8508"/>
        <v>0</v>
      </c>
      <c r="FK512" s="2">
        <f t="shared" ref="FK512:FO512" si="8509">CD512*$BT512+CY512*$CO512</f>
        <v>0</v>
      </c>
      <c r="FL512" s="2">
        <f t="shared" si="8509"/>
        <v>0</v>
      </c>
      <c r="FM512" s="2">
        <f t="shared" si="8509"/>
        <v>0</v>
      </c>
      <c r="FN512" s="2">
        <f t="shared" si="8509"/>
        <v>0</v>
      </c>
      <c r="FO512" s="2">
        <f t="shared" si="8509"/>
        <v>0</v>
      </c>
      <c r="FP512" s="2">
        <f t="shared" ref="FP512:FQ512" si="8510">(CI512*$BT512+DD512*$CO512)/100</f>
        <v>0</v>
      </c>
      <c r="FQ512" s="2">
        <f t="shared" si="8510"/>
        <v>0</v>
      </c>
      <c r="FR512" s="2"/>
      <c r="FS512" s="2">
        <f t="shared" si="4388"/>
        <v>0</v>
      </c>
      <c r="FT512" s="2">
        <f t="shared" si="4389"/>
        <v>0</v>
      </c>
      <c r="FU512" s="39">
        <f t="shared" si="4390"/>
        <v>0</v>
      </c>
      <c r="FV512" s="39">
        <f t="shared" ref="FV512:FW512" si="8511">FV$1*FC512/1000000</f>
        <v>0</v>
      </c>
      <c r="FW512" s="39">
        <f t="shared" si="8511"/>
        <v>0</v>
      </c>
      <c r="FX512" s="39">
        <f t="shared" ref="FX512:GC512" si="8512">FX$1*FE512</f>
        <v>0</v>
      </c>
      <c r="FY512" s="39">
        <f t="shared" si="8512"/>
        <v>0</v>
      </c>
      <c r="FZ512" s="39">
        <f t="shared" si="8512"/>
        <v>0</v>
      </c>
      <c r="GA512" s="39">
        <f t="shared" si="8512"/>
        <v>0</v>
      </c>
      <c r="GB512" s="39">
        <f t="shared" si="8512"/>
        <v>0</v>
      </c>
      <c r="GC512" s="39">
        <f t="shared" si="8512"/>
        <v>0</v>
      </c>
      <c r="GD512" s="39">
        <f t="shared" ref="GD512:GH512" si="8513">GD$1*FK512/1000000</f>
        <v>0</v>
      </c>
      <c r="GE512" s="39">
        <f t="shared" si="8513"/>
        <v>0</v>
      </c>
      <c r="GF512" s="39">
        <f t="shared" si="8513"/>
        <v>0</v>
      </c>
      <c r="GG512" s="39">
        <f t="shared" si="8513"/>
        <v>0</v>
      </c>
      <c r="GH512" s="39">
        <f t="shared" si="8513"/>
        <v>0</v>
      </c>
      <c r="GI512" s="39">
        <f t="shared" ref="GI512:GJ512" si="8514">GI$1*FP512</f>
        <v>0</v>
      </c>
      <c r="GJ512" s="39">
        <f t="shared" si="8514"/>
        <v>0</v>
      </c>
      <c r="GK512" s="2"/>
      <c r="GL512" s="39">
        <f t="shared" si="4395"/>
        <v>0</v>
      </c>
      <c r="GM512" s="39">
        <f t="shared" si="4396"/>
        <v>0</v>
      </c>
      <c r="GN512" s="2" t="s">
        <v>3</v>
      </c>
      <c r="GO512" s="2">
        <f t="shared" si="4397"/>
        <v>206.8</v>
      </c>
      <c r="GP512" s="2">
        <f t="shared" si="4398"/>
        <v>0.3</v>
      </c>
      <c r="GQ512" s="15">
        <f t="shared" si="4399"/>
        <v>620.4</v>
      </c>
      <c r="GR512" s="15">
        <f t="shared" si="4400"/>
        <v>64274.146229580445</v>
      </c>
      <c r="GS512" s="15">
        <f t="shared" si="4401"/>
        <v>310.80341503665591</v>
      </c>
      <c r="GT512" s="2">
        <f t="shared" si="4402"/>
        <v>0</v>
      </c>
      <c r="GU512" s="2">
        <f t="shared" si="4403"/>
        <v>620.4</v>
      </c>
      <c r="GV512" s="2">
        <f t="shared" si="4404"/>
        <v>0</v>
      </c>
      <c r="GW512" s="2">
        <f t="shared" si="4405"/>
        <v>0</v>
      </c>
      <c r="GX512" s="2"/>
      <c r="GY512" s="2"/>
      <c r="GZ512" s="2"/>
      <c r="HA512" s="2"/>
      <c r="HB512" s="2">
        <f t="shared" si="4406"/>
        <v>0</v>
      </c>
      <c r="HC512" s="2">
        <f t="shared" si="4407"/>
        <v>0</v>
      </c>
      <c r="HD512" s="2" t="s">
        <v>3</v>
      </c>
      <c r="HE512" s="2" t="s">
        <v>89</v>
      </c>
      <c r="HF512" s="2" t="s">
        <v>123</v>
      </c>
      <c r="HG512" s="2" t="s">
        <v>640</v>
      </c>
      <c r="HH512" s="2"/>
      <c r="HI512" s="2" t="s">
        <v>81</v>
      </c>
      <c r="HJ512" s="2" t="s">
        <v>3</v>
      </c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 t="s">
        <v>3</v>
      </c>
    </row>
    <row r="513" spans="1:268" ht="15.75" customHeight="1" x14ac:dyDescent="0.2">
      <c r="A513" s="16" t="s">
        <v>1214</v>
      </c>
      <c r="B513" s="2" t="s">
        <v>109</v>
      </c>
      <c r="C513" s="2"/>
      <c r="D513" s="2"/>
      <c r="E513" s="2"/>
      <c r="F513" s="2" t="s">
        <v>536</v>
      </c>
      <c r="G513" s="2"/>
      <c r="H513" s="2"/>
      <c r="I513" s="2">
        <v>0</v>
      </c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3">
        <v>1708.5650000000001</v>
      </c>
      <c r="AE513" s="2">
        <v>1.31</v>
      </c>
      <c r="AF513" s="2">
        <v>0.21</v>
      </c>
      <c r="AG513" s="2"/>
      <c r="AH513" s="2"/>
      <c r="AI513" s="2"/>
      <c r="AJ513" s="2"/>
      <c r="AK513" s="2"/>
      <c r="AL513" s="4">
        <v>0.7</v>
      </c>
      <c r="AM513" s="19">
        <f>(0.036*1172.095+0.027*956.848+0*403.687+0*123.731)/(1172.095+956.848+403.687+123.731)</f>
        <v>2.5610342871319074E-2</v>
      </c>
      <c r="AN513" s="4">
        <v>1</v>
      </c>
      <c r="AO513" s="2">
        <v>3.56</v>
      </c>
      <c r="AP513" s="2"/>
      <c r="AQ513" s="2"/>
      <c r="AR513" s="2"/>
      <c r="AS513" s="2"/>
      <c r="AT513" s="2"/>
      <c r="AU513" s="2"/>
      <c r="AV513" s="2"/>
      <c r="AW513" s="2"/>
      <c r="AX513" s="2"/>
      <c r="AY513" s="2">
        <v>440.89800000000002</v>
      </c>
      <c r="AZ513" s="2">
        <v>1.74</v>
      </c>
      <c r="BA513" s="2">
        <v>0.25</v>
      </c>
      <c r="BB513" s="2"/>
      <c r="BC513" s="2"/>
      <c r="BD513" s="2"/>
      <c r="BE513" s="2"/>
      <c r="BF513" s="2"/>
      <c r="BG513" s="2">
        <v>0.85</v>
      </c>
      <c r="BH513" s="19">
        <f>(0.036*1172.095+0.027*956.848+0*403.687+0*123.731)/(1172.095+956.848+403.687+123.731)</f>
        <v>2.5610342871319074E-2</v>
      </c>
      <c r="BI513" s="2">
        <v>1.0900000000000001</v>
      </c>
      <c r="BJ513" s="2">
        <v>4.22</v>
      </c>
      <c r="BK513" s="2"/>
      <c r="BL513" s="2"/>
      <c r="BM513" s="2"/>
      <c r="BN513" s="2"/>
      <c r="BO513" s="2"/>
      <c r="BP513" s="2"/>
      <c r="BQ513" s="2"/>
      <c r="BR513" s="2"/>
      <c r="BS513" s="2"/>
      <c r="BT513" s="2">
        <v>328.57100000000003</v>
      </c>
      <c r="BU513" s="2">
        <v>1.55</v>
      </c>
      <c r="BV513" s="2">
        <v>0.23</v>
      </c>
      <c r="BW513" s="2"/>
      <c r="BX513" s="2"/>
      <c r="BY513" s="2"/>
      <c r="BZ513" s="2"/>
      <c r="CA513" s="2"/>
      <c r="CB513" s="2">
        <v>0.79</v>
      </c>
      <c r="CC513" s="19">
        <f>(0.036*1172.095+0.027*956.848+0*403.687+0*123.731)/(1172.095+956.848+403.687+123.731)</f>
        <v>2.5610342871319074E-2</v>
      </c>
      <c r="CD513" s="2">
        <v>1.04</v>
      </c>
      <c r="CE513" s="2">
        <v>3.83</v>
      </c>
      <c r="CF513" s="2"/>
      <c r="CG513" s="2"/>
      <c r="CH513" s="2"/>
      <c r="CI513" s="2"/>
      <c r="CJ513" s="2"/>
      <c r="CK513" s="2"/>
      <c r="CL513" s="2"/>
      <c r="CM513" s="2"/>
      <c r="CN513" s="2"/>
      <c r="CO513" s="2">
        <v>311.62200000000001</v>
      </c>
      <c r="CP513" s="2">
        <v>2.11</v>
      </c>
      <c r="CQ513" s="2">
        <v>0.27</v>
      </c>
      <c r="CR513" s="2"/>
      <c r="CS513" s="2"/>
      <c r="CT513" s="2"/>
      <c r="CU513" s="2"/>
      <c r="CV513" s="2"/>
      <c r="CW513" s="2">
        <v>1.1399999999999999</v>
      </c>
      <c r="CX513" s="19">
        <f>(0.036*1172.095+0.027*956.848+0*403.687+0*123.731)/(1172.095+956.848+403.687+123.731)</f>
        <v>2.5610342871319074E-2</v>
      </c>
      <c r="CY513" s="2">
        <v>1.1299999999999999</v>
      </c>
      <c r="CZ513" s="2">
        <v>4.6399999999999997</v>
      </c>
      <c r="DA513" s="2"/>
      <c r="DB513" s="2"/>
      <c r="DC513" s="2"/>
      <c r="DD513" s="2"/>
      <c r="DE513" s="2"/>
      <c r="DF513" s="2"/>
      <c r="DG513" s="2"/>
      <c r="DH513" s="2"/>
      <c r="DI513" s="2"/>
      <c r="DJ513" s="2" t="s">
        <v>81</v>
      </c>
      <c r="DK513" s="2" t="s">
        <v>1215</v>
      </c>
      <c r="DL513" s="2">
        <f t="shared" si="4367"/>
        <v>0.73076801042865125</v>
      </c>
      <c r="DM513" s="2">
        <f t="shared" si="4368"/>
        <v>2.561034287131907E-2</v>
      </c>
      <c r="DN513" s="2" t="s">
        <v>211</v>
      </c>
      <c r="DO513" s="2" t="s">
        <v>3</v>
      </c>
      <c r="DP513" s="2">
        <f t="shared" si="4369"/>
        <v>30.053826699999998</v>
      </c>
      <c r="DQ513" s="2">
        <f t="shared" ref="DQ513:DR513" si="8515">K513*$I513+AF513*$AD513+BA513*$AY513</f>
        <v>469.02314999999999</v>
      </c>
      <c r="DR513" s="2">
        <f t="shared" si="8515"/>
        <v>0</v>
      </c>
      <c r="DS513" s="2">
        <f t="shared" ref="DS513:DX513" si="8516">(M513*$I513+AH513*$AD513+BC513*$AY513)/100</f>
        <v>0</v>
      </c>
      <c r="DT513" s="2">
        <f t="shared" si="8516"/>
        <v>0</v>
      </c>
      <c r="DU513" s="2">
        <f t="shared" si="8516"/>
        <v>0</v>
      </c>
      <c r="DV513" s="2">
        <f t="shared" si="8516"/>
        <v>0</v>
      </c>
      <c r="DW513" s="2">
        <f t="shared" si="8516"/>
        <v>15.707588000000001</v>
      </c>
      <c r="DX513" s="2">
        <f t="shared" si="8516"/>
        <v>0.55048484419214105</v>
      </c>
      <c r="DY513" s="2">
        <f t="shared" ref="DY513:EC513" si="8517">S513*$I513+AN513*$AD513+BI513*$AY513</f>
        <v>2189.1438200000002</v>
      </c>
      <c r="DZ513" s="2">
        <f t="shared" si="8517"/>
        <v>7943.0809599999993</v>
      </c>
      <c r="EA513" s="2">
        <f t="shared" si="8517"/>
        <v>0</v>
      </c>
      <c r="EB513" s="2">
        <f t="shared" si="8517"/>
        <v>0</v>
      </c>
      <c r="EC513" s="2">
        <f t="shared" si="8517"/>
        <v>0</v>
      </c>
      <c r="ED513" s="2">
        <f t="shared" ref="ED513:EE513" si="8518">(X513*$I513+AS513*$AD513+BN513*$AY513)/100</f>
        <v>0</v>
      </c>
      <c r="EE513" s="2">
        <f t="shared" si="8518"/>
        <v>0</v>
      </c>
      <c r="EF513" s="2"/>
      <c r="EG513" s="2">
        <f t="shared" si="4374"/>
        <v>0</v>
      </c>
      <c r="EH513" s="2">
        <f t="shared" si="4375"/>
        <v>0</v>
      </c>
      <c r="EI513" s="39">
        <f t="shared" si="4376"/>
        <v>196119.7323747472</v>
      </c>
      <c r="EJ513" s="39">
        <f t="shared" ref="EJ513:EK513" si="8519">EJ$1*DQ513/1000000</f>
        <v>19183.197646302251</v>
      </c>
      <c r="EK513" s="39">
        <f t="shared" si="8519"/>
        <v>0</v>
      </c>
      <c r="EL513" s="39">
        <f t="shared" ref="EL513:EQ513" si="8520">EL$1*DS513</f>
        <v>0</v>
      </c>
      <c r="EM513" s="39">
        <f t="shared" si="8520"/>
        <v>0</v>
      </c>
      <c r="EN513" s="39">
        <f t="shared" si="8520"/>
        <v>0</v>
      </c>
      <c r="EO513" s="39">
        <f t="shared" si="8520"/>
        <v>0</v>
      </c>
      <c r="EP513" s="39">
        <f t="shared" si="8520"/>
        <v>205989.30903200002</v>
      </c>
      <c r="EQ513" s="39">
        <f t="shared" si="8520"/>
        <v>39975.947354447446</v>
      </c>
      <c r="ER513" s="39">
        <f t="shared" ref="ER513:EV513" si="8521">ER$1*DY513/1000000</f>
        <v>62130.858011614146</v>
      </c>
      <c r="ES513" s="39">
        <f t="shared" si="8521"/>
        <v>264708.91959398071</v>
      </c>
      <c r="ET513" s="39">
        <f t="shared" si="8521"/>
        <v>0</v>
      </c>
      <c r="EU513" s="39">
        <f t="shared" si="8521"/>
        <v>0</v>
      </c>
      <c r="EV513" s="39">
        <f t="shared" si="8521"/>
        <v>0</v>
      </c>
      <c r="EW513" s="39">
        <f t="shared" ref="EW513:EX513" si="8522">EW$1*ED513</f>
        <v>0</v>
      </c>
      <c r="EX513" s="39">
        <f t="shared" si="8522"/>
        <v>0</v>
      </c>
      <c r="EY513" s="2"/>
      <c r="EZ513" s="39">
        <f t="shared" si="4381"/>
        <v>0</v>
      </c>
      <c r="FA513" s="39">
        <f t="shared" si="4382"/>
        <v>0</v>
      </c>
      <c r="FB513" s="2">
        <f t="shared" si="4383"/>
        <v>11.668074700000002</v>
      </c>
      <c r="FC513" s="2">
        <f t="shared" ref="FC513:FD513" si="8523">BV513*$BT513+CQ513*$CO513</f>
        <v>159.70927</v>
      </c>
      <c r="FD513" s="2">
        <f t="shared" si="8523"/>
        <v>0</v>
      </c>
      <c r="FE513" s="2">
        <f t="shared" ref="FE513:FJ513" si="8524">(BX513*$BT513+CS513*$CO513)/100</f>
        <v>0</v>
      </c>
      <c r="FF513" s="2">
        <f t="shared" si="8524"/>
        <v>0</v>
      </c>
      <c r="FG513" s="2">
        <f t="shared" si="8524"/>
        <v>0</v>
      </c>
      <c r="FH513" s="2">
        <f t="shared" si="8524"/>
        <v>0</v>
      </c>
      <c r="FI513" s="2">
        <f t="shared" si="8524"/>
        <v>6.1482016999999995</v>
      </c>
      <c r="FJ513" s="2">
        <f t="shared" si="8524"/>
        <v>0.16395562233818375</v>
      </c>
      <c r="FK513" s="2">
        <f t="shared" ref="FK513:FO513" si="8525">CD513*$BT513+CY513*$CO513</f>
        <v>693.84670000000006</v>
      </c>
      <c r="FL513" s="2">
        <f t="shared" si="8525"/>
        <v>2704.3530099999998</v>
      </c>
      <c r="FM513" s="2">
        <f t="shared" si="8525"/>
        <v>0</v>
      </c>
      <c r="FN513" s="2">
        <f t="shared" si="8525"/>
        <v>0</v>
      </c>
      <c r="FO513" s="2">
        <f t="shared" si="8525"/>
        <v>0</v>
      </c>
      <c r="FP513" s="2">
        <f t="shared" ref="FP513:FQ513" si="8526">(CI513*$BT513+DD513*$CO513)/100</f>
        <v>0</v>
      </c>
      <c r="FQ513" s="2">
        <f t="shared" si="8526"/>
        <v>0</v>
      </c>
      <c r="FR513" s="2"/>
      <c r="FS513" s="2">
        <f t="shared" si="4388"/>
        <v>0</v>
      </c>
      <c r="FT513" s="2">
        <f t="shared" si="4389"/>
        <v>0</v>
      </c>
      <c r="FU513" s="39">
        <f t="shared" si="4390"/>
        <v>76141.374951515216</v>
      </c>
      <c r="FV513" s="39">
        <f t="shared" ref="FV513:FW513" si="8527">FV$1*FC513/1000000</f>
        <v>6532.1604964630224</v>
      </c>
      <c r="FW513" s="39">
        <f t="shared" si="8527"/>
        <v>0</v>
      </c>
      <c r="FX513" s="39">
        <f t="shared" ref="FX513:GC513" si="8528">FX$1*FE513</f>
        <v>0</v>
      </c>
      <c r="FY513" s="39">
        <f t="shared" si="8528"/>
        <v>0</v>
      </c>
      <c r="FZ513" s="39">
        <f t="shared" si="8528"/>
        <v>0</v>
      </c>
      <c r="GA513" s="39">
        <f t="shared" si="8528"/>
        <v>0</v>
      </c>
      <c r="GB513" s="39">
        <f t="shared" si="8528"/>
        <v>80627.517093799994</v>
      </c>
      <c r="GC513" s="39">
        <f t="shared" si="8528"/>
        <v>11906.379251322669</v>
      </c>
      <c r="GD513" s="39">
        <f t="shared" ref="GD513:GH513" si="8529">GD$1*FK513/1000000</f>
        <v>19692.306373697746</v>
      </c>
      <c r="GE513" s="39">
        <f t="shared" si="8529"/>
        <v>90124.520583739548</v>
      </c>
      <c r="GF513" s="39">
        <f t="shared" si="8529"/>
        <v>0</v>
      </c>
      <c r="GG513" s="39">
        <f t="shared" si="8529"/>
        <v>0</v>
      </c>
      <c r="GH513" s="39">
        <f t="shared" si="8529"/>
        <v>0</v>
      </c>
      <c r="GI513" s="39">
        <f t="shared" ref="GI513:GJ513" si="8530">GI$1*FP513</f>
        <v>0</v>
      </c>
      <c r="GJ513" s="39">
        <f t="shared" si="8530"/>
        <v>0</v>
      </c>
      <c r="GK513" s="2"/>
      <c r="GL513" s="39">
        <f t="shared" si="4395"/>
        <v>0</v>
      </c>
      <c r="GM513" s="39">
        <f t="shared" si="4396"/>
        <v>0</v>
      </c>
      <c r="GN513" s="2" t="s">
        <v>3</v>
      </c>
      <c r="GO513" s="3">
        <f t="shared" si="4397"/>
        <v>2149.4630000000002</v>
      </c>
      <c r="GP513" s="4">
        <f t="shared" si="4398"/>
        <v>0.73076801042865125</v>
      </c>
      <c r="GQ513" s="18">
        <f t="shared" si="4399"/>
        <v>15707.588</v>
      </c>
      <c r="GR513" s="15">
        <f t="shared" si="4400"/>
        <v>788107.96401309175</v>
      </c>
      <c r="GS513" s="15">
        <f t="shared" si="4401"/>
        <v>366.65342181423529</v>
      </c>
      <c r="GT513" s="2">
        <f t="shared" si="4402"/>
        <v>0</v>
      </c>
      <c r="GU513" s="2">
        <f t="shared" si="4403"/>
        <v>11959.955</v>
      </c>
      <c r="GV513" s="2">
        <f t="shared" si="4404"/>
        <v>3747.6329999999998</v>
      </c>
      <c r="GW513" s="2">
        <f t="shared" si="4405"/>
        <v>640.19299999999998</v>
      </c>
      <c r="GX513" s="4">
        <f t="shared" ref="GX513:GX514" si="8531">(BT513*CB513+CO513*CW513)/GW513</f>
        <v>0.96036690498021682</v>
      </c>
      <c r="GY513" s="18">
        <f t="shared" ref="GY513:GY514" si="8532">1000*GW513*GX513/100</f>
        <v>6148.2016999999996</v>
      </c>
      <c r="GZ513" s="15">
        <f t="shared" ref="GZ513:GZ514" si="8533">SUM(FU513:GM513)</f>
        <v>285024.25875053823</v>
      </c>
      <c r="HA513" s="15">
        <f t="shared" ref="HA513:HA514" si="8534">GZ513/GW513</f>
        <v>445.21614380435</v>
      </c>
      <c r="HB513" s="2">
        <f t="shared" si="4406"/>
        <v>2595.7109</v>
      </c>
      <c r="HC513" s="2">
        <f t="shared" si="4407"/>
        <v>3552.4908</v>
      </c>
      <c r="HD513" s="2" t="s">
        <v>3</v>
      </c>
      <c r="HE513" s="2" t="s">
        <v>89</v>
      </c>
      <c r="HF513" s="2" t="s">
        <v>123</v>
      </c>
      <c r="HG513" s="2" t="s">
        <v>640</v>
      </c>
      <c r="HH513" s="2"/>
      <c r="HI513" s="2" t="s">
        <v>81</v>
      </c>
      <c r="HJ513" s="2" t="s">
        <v>3</v>
      </c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 t="s">
        <v>3</v>
      </c>
    </row>
    <row r="514" spans="1:268" ht="15.75" customHeight="1" x14ac:dyDescent="0.2">
      <c r="A514" s="16" t="s">
        <v>1127</v>
      </c>
      <c r="B514" s="2" t="s">
        <v>120</v>
      </c>
      <c r="C514" s="2"/>
      <c r="D514" s="2"/>
      <c r="E514" s="2"/>
      <c r="F514" s="2" t="s">
        <v>1128</v>
      </c>
      <c r="G514" s="2"/>
      <c r="H514" s="2"/>
      <c r="I514" s="2">
        <v>0</v>
      </c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>
        <f>12.43+1.832</f>
        <v>14.262</v>
      </c>
      <c r="AE514" s="4">
        <f>(0.37*12.43+0.41*1.832)/AD514</f>
        <v>0.37513812929462909</v>
      </c>
      <c r="AF514" s="4">
        <f>(0.199*12.43+0.218*1.832)/AD514</f>
        <v>0.20144061141494882</v>
      </c>
      <c r="AG514" s="2"/>
      <c r="AH514" s="2"/>
      <c r="AI514" s="2"/>
      <c r="AJ514" s="2"/>
      <c r="AK514" s="2"/>
      <c r="AL514" s="4">
        <f>(0.35*12.43+0.37*1.832)/AD514</f>
        <v>0.35256906464731447</v>
      </c>
      <c r="AM514" s="4">
        <f>(0.02*12.43+0.03*1.832)/AD514</f>
        <v>2.1284532323657269E-2</v>
      </c>
      <c r="AN514" s="4">
        <f>(0.351*12.43+0.361*1.832)/AD514</f>
        <v>0.3522845323236572</v>
      </c>
      <c r="AO514" s="4">
        <f>(0.386*12.43+0.387*1.832)/AD514</f>
        <v>0.38612845323236572</v>
      </c>
      <c r="AP514" s="2"/>
      <c r="AQ514" s="2"/>
      <c r="AR514" s="2"/>
      <c r="AS514" s="2"/>
      <c r="AT514" s="2"/>
      <c r="AU514" s="2"/>
      <c r="AV514" s="2"/>
      <c r="AW514" s="2"/>
      <c r="AX514" s="2"/>
      <c r="AY514" s="2">
        <f>0.25+0.736</f>
        <v>0.98599999999999999</v>
      </c>
      <c r="AZ514" s="4">
        <f>(0.26*0.25+0.39*0.736)/AY514</f>
        <v>0.35703853955375259</v>
      </c>
      <c r="BA514" s="4">
        <f>(0.132*0.25+0.18*0.736)/AY514</f>
        <v>0.16782961460446247</v>
      </c>
      <c r="BB514" s="2"/>
      <c r="BC514" s="2"/>
      <c r="BD514" s="2"/>
      <c r="BE514" s="2"/>
      <c r="BF514" s="2"/>
      <c r="BG514" s="4">
        <f>(0.32*0.25+0.37*0.736)/AY514</f>
        <v>0.35732251521298175</v>
      </c>
      <c r="BH514" s="4">
        <f>(0.02*0.25+0.03*0.736)/AY514</f>
        <v>2.7464503042596348E-2</v>
      </c>
      <c r="BI514" s="4">
        <f>(0.234*0.25+0.316*0.736)/AY514</f>
        <v>0.29520892494929007</v>
      </c>
      <c r="BJ514" s="4">
        <f>(0.222*0.25+0.333*0.736)/AY514</f>
        <v>0.30485598377281947</v>
      </c>
      <c r="BK514" s="2"/>
      <c r="BL514" s="2"/>
      <c r="BM514" s="2"/>
      <c r="BN514" s="2"/>
      <c r="BO514" s="2"/>
      <c r="BP514" s="2"/>
      <c r="BQ514" s="2"/>
      <c r="BR514" s="2"/>
      <c r="BS514" s="2"/>
      <c r="BT514" s="2">
        <v>0</v>
      </c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>
        <v>11.827999999999999</v>
      </c>
      <c r="CP514" s="2">
        <v>0.35</v>
      </c>
      <c r="CQ514" s="2">
        <v>0.18</v>
      </c>
      <c r="CR514" s="2"/>
      <c r="CS514" s="2"/>
      <c r="CT514" s="2"/>
      <c r="CU514" s="2"/>
      <c r="CV514" s="2"/>
      <c r="CW514" s="2">
        <v>0.33</v>
      </c>
      <c r="CX514" s="2">
        <v>0.02</v>
      </c>
      <c r="CY514" s="2">
        <v>0.33</v>
      </c>
      <c r="CZ514" s="2">
        <v>0.36</v>
      </c>
      <c r="DA514" s="2"/>
      <c r="DB514" s="2"/>
      <c r="DC514" s="2"/>
      <c r="DD514" s="2"/>
      <c r="DE514" s="2"/>
      <c r="DF514" s="2"/>
      <c r="DG514" s="2"/>
      <c r="DH514" s="2"/>
      <c r="DI514" s="2"/>
      <c r="DJ514" s="2" t="s">
        <v>81</v>
      </c>
      <c r="DK514" s="2" t="s">
        <v>81</v>
      </c>
      <c r="DL514" s="2">
        <f t="shared" si="4367"/>
        <v>0.35287644281217201</v>
      </c>
      <c r="DM514" s="2">
        <f t="shared" si="4368"/>
        <v>2.168415529905561E-2</v>
      </c>
      <c r="DN514" s="2" t="s">
        <v>225</v>
      </c>
      <c r="DO514" s="2" t="s">
        <v>3</v>
      </c>
      <c r="DP514" s="2">
        <f t="shared" si="4369"/>
        <v>5.70226E-2</v>
      </c>
      <c r="DQ514" s="2">
        <f t="shared" ref="DQ514:DR514" si="8535">K514*$I514+AF514*$AD514+BA514*$AY514</f>
        <v>3.0384260000000003</v>
      </c>
      <c r="DR514" s="2">
        <f t="shared" si="8535"/>
        <v>0</v>
      </c>
      <c r="DS514" s="2">
        <f t="shared" ref="DS514:DX514" si="8536">(M514*$I514+AH514*$AD514+BC514*$AY514)/100</f>
        <v>0</v>
      </c>
      <c r="DT514" s="2">
        <f t="shared" si="8536"/>
        <v>0</v>
      </c>
      <c r="DU514" s="2">
        <f t="shared" si="8536"/>
        <v>0</v>
      </c>
      <c r="DV514" s="2">
        <f t="shared" si="8536"/>
        <v>0</v>
      </c>
      <c r="DW514" s="2">
        <f t="shared" si="8536"/>
        <v>5.3806599999999989E-2</v>
      </c>
      <c r="DX514" s="2">
        <f t="shared" si="8536"/>
        <v>3.3063999999999997E-3</v>
      </c>
      <c r="DY514" s="2">
        <f t="shared" ref="DY514:EC514" si="8537">S514*$I514+AN514*$AD514+BI514*$AY514</f>
        <v>5.3153579999999998</v>
      </c>
      <c r="DZ514" s="2">
        <f t="shared" si="8537"/>
        <v>5.8075520000000003</v>
      </c>
      <c r="EA514" s="2">
        <f t="shared" si="8537"/>
        <v>0</v>
      </c>
      <c r="EB514" s="2">
        <f t="shared" si="8537"/>
        <v>0</v>
      </c>
      <c r="EC514" s="2">
        <f t="shared" si="8537"/>
        <v>0</v>
      </c>
      <c r="ED514" s="2">
        <f t="shared" ref="ED514:EE514" si="8538">(X514*$I514+AS514*$AD514+BN514*$AY514)/100</f>
        <v>0</v>
      </c>
      <c r="EE514" s="2">
        <f t="shared" si="8538"/>
        <v>0</v>
      </c>
      <c r="EF514" s="2"/>
      <c r="EG514" s="2">
        <f t="shared" si="4374"/>
        <v>0</v>
      </c>
      <c r="EH514" s="2">
        <f t="shared" si="4375"/>
        <v>0</v>
      </c>
      <c r="EI514" s="39">
        <f t="shared" si="4376"/>
        <v>372.10759092159998</v>
      </c>
      <c r="EJ514" s="39">
        <f t="shared" ref="EJ514:EK514" si="8539">EJ$1*DQ514/1000000</f>
        <v>124.2726003858521</v>
      </c>
      <c r="EK514" s="39">
        <f t="shared" si="8539"/>
        <v>0</v>
      </c>
      <c r="EL514" s="39">
        <f t="shared" ref="EL514:EQ514" si="8540">EL$1*DS514</f>
        <v>0</v>
      </c>
      <c r="EM514" s="39">
        <f t="shared" si="8540"/>
        <v>0</v>
      </c>
      <c r="EN514" s="39">
        <f t="shared" si="8540"/>
        <v>0</v>
      </c>
      <c r="EO514" s="39">
        <f t="shared" si="8540"/>
        <v>0</v>
      </c>
      <c r="EP514" s="39">
        <f t="shared" si="8540"/>
        <v>705.61975239999981</v>
      </c>
      <c r="EQ514" s="39">
        <f t="shared" si="8540"/>
        <v>240.10919415359996</v>
      </c>
      <c r="ER514" s="39">
        <f t="shared" ref="ER514:EV514" si="8541">ER$1*DY514/1000000</f>
        <v>150.85703833697744</v>
      </c>
      <c r="ES514" s="39">
        <f t="shared" si="8541"/>
        <v>193.54087200514471</v>
      </c>
      <c r="ET514" s="39">
        <f t="shared" si="8541"/>
        <v>0</v>
      </c>
      <c r="EU514" s="39">
        <f t="shared" si="8541"/>
        <v>0</v>
      </c>
      <c r="EV514" s="39">
        <f t="shared" si="8541"/>
        <v>0</v>
      </c>
      <c r="EW514" s="39">
        <f t="shared" ref="EW514:EX514" si="8542">EW$1*ED514</f>
        <v>0</v>
      </c>
      <c r="EX514" s="39">
        <f t="shared" si="8542"/>
        <v>0</v>
      </c>
      <c r="EY514" s="2"/>
      <c r="EZ514" s="39">
        <f t="shared" si="4381"/>
        <v>0</v>
      </c>
      <c r="FA514" s="39">
        <f t="shared" si="4382"/>
        <v>0</v>
      </c>
      <c r="FB514" s="2">
        <f t="shared" si="4383"/>
        <v>4.139799999999999E-2</v>
      </c>
      <c r="FC514" s="2">
        <f t="shared" ref="FC514:FD514" si="8543">BV514*$BT514+CQ514*$CO514</f>
        <v>2.1290399999999998</v>
      </c>
      <c r="FD514" s="2">
        <f t="shared" si="8543"/>
        <v>0</v>
      </c>
      <c r="FE514" s="2">
        <f t="shared" ref="FE514:FJ514" si="8544">(BX514*$BT514+CS514*$CO514)/100</f>
        <v>0</v>
      </c>
      <c r="FF514" s="2">
        <f t="shared" si="8544"/>
        <v>0</v>
      </c>
      <c r="FG514" s="2">
        <f t="shared" si="8544"/>
        <v>0</v>
      </c>
      <c r="FH514" s="2">
        <f t="shared" si="8544"/>
        <v>0</v>
      </c>
      <c r="FI514" s="2">
        <f t="shared" si="8544"/>
        <v>3.9032399999999995E-2</v>
      </c>
      <c r="FJ514" s="2">
        <f t="shared" si="8544"/>
        <v>2.3655999999999998E-3</v>
      </c>
      <c r="FK514" s="2">
        <f t="shared" ref="FK514:FO514" si="8545">CD514*$BT514+CY514*$CO514</f>
        <v>3.9032399999999998</v>
      </c>
      <c r="FL514" s="2">
        <f t="shared" si="8545"/>
        <v>4.2580799999999996</v>
      </c>
      <c r="FM514" s="2">
        <f t="shared" si="8545"/>
        <v>0</v>
      </c>
      <c r="FN514" s="2">
        <f t="shared" si="8545"/>
        <v>0</v>
      </c>
      <c r="FO514" s="2">
        <f t="shared" si="8545"/>
        <v>0</v>
      </c>
      <c r="FP514" s="2">
        <f t="shared" ref="FP514:FQ514" si="8546">(CI514*$BT514+DD514*$CO514)/100</f>
        <v>0</v>
      </c>
      <c r="FQ514" s="2">
        <f t="shared" si="8546"/>
        <v>0</v>
      </c>
      <c r="FR514" s="2"/>
      <c r="FS514" s="2">
        <f t="shared" si="4388"/>
        <v>0</v>
      </c>
      <c r="FT514" s="2">
        <f t="shared" si="4389"/>
        <v>0</v>
      </c>
      <c r="FU514" s="39">
        <f t="shared" si="4390"/>
        <v>270.14745116799992</v>
      </c>
      <c r="FV514" s="39">
        <f t="shared" ref="FV514:FW514" si="8547">FV$1*FC514/1000000</f>
        <v>87.078420578778122</v>
      </c>
      <c r="FW514" s="39">
        <f t="shared" si="8547"/>
        <v>0</v>
      </c>
      <c r="FX514" s="39">
        <f t="shared" ref="FX514:GC514" si="8548">FX$1*FE514</f>
        <v>0</v>
      </c>
      <c r="FY514" s="39">
        <f t="shared" si="8548"/>
        <v>0</v>
      </c>
      <c r="FZ514" s="39">
        <f t="shared" si="8548"/>
        <v>0</v>
      </c>
      <c r="GA514" s="39">
        <f t="shared" si="8548"/>
        <v>0</v>
      </c>
      <c r="GB514" s="39">
        <f t="shared" si="8548"/>
        <v>511.87089359999993</v>
      </c>
      <c r="GC514" s="39">
        <f t="shared" si="8548"/>
        <v>171.78874597439997</v>
      </c>
      <c r="GD514" s="39">
        <f t="shared" ref="GD514:GH514" si="8549">GD$1*FK514/1000000</f>
        <v>110.77922245659163</v>
      </c>
      <c r="GE514" s="39">
        <f t="shared" si="8549"/>
        <v>141.90359660450162</v>
      </c>
      <c r="GF514" s="39">
        <f t="shared" si="8549"/>
        <v>0</v>
      </c>
      <c r="GG514" s="39">
        <f t="shared" si="8549"/>
        <v>0</v>
      </c>
      <c r="GH514" s="39">
        <f t="shared" si="8549"/>
        <v>0</v>
      </c>
      <c r="GI514" s="39">
        <f t="shared" ref="GI514:GJ514" si="8550">GI$1*FP514</f>
        <v>0</v>
      </c>
      <c r="GJ514" s="39">
        <f t="shared" si="8550"/>
        <v>0</v>
      </c>
      <c r="GK514" s="2"/>
      <c r="GL514" s="39">
        <f t="shared" si="4395"/>
        <v>0</v>
      </c>
      <c r="GM514" s="39">
        <f t="shared" si="4396"/>
        <v>0</v>
      </c>
      <c r="GN514" s="2" t="s">
        <v>3</v>
      </c>
      <c r="GO514" s="4">
        <f t="shared" si="4397"/>
        <v>15.248000000000001</v>
      </c>
      <c r="GP514" s="4">
        <f t="shared" si="4398"/>
        <v>0.35287644281217201</v>
      </c>
      <c r="GQ514" s="15">
        <f t="shared" si="4399"/>
        <v>53.806599999999996</v>
      </c>
      <c r="GR514" s="15">
        <f t="shared" si="4400"/>
        <v>1786.5070482031738</v>
      </c>
      <c r="GS514" s="15">
        <f t="shared" si="4401"/>
        <v>117.1633688485817</v>
      </c>
      <c r="GT514" s="2">
        <f t="shared" si="4402"/>
        <v>0</v>
      </c>
      <c r="GU514" s="2">
        <f t="shared" si="4403"/>
        <v>50.283399999999993</v>
      </c>
      <c r="GV514" s="2">
        <f t="shared" si="4404"/>
        <v>3.5232000000000006</v>
      </c>
      <c r="GW514" s="4">
        <f t="shared" si="4405"/>
        <v>11.827999999999999</v>
      </c>
      <c r="GX514" s="4">
        <f t="shared" si="8531"/>
        <v>0.33</v>
      </c>
      <c r="GY514" s="15">
        <f t="shared" si="8532"/>
        <v>39.032400000000003</v>
      </c>
      <c r="GZ514" s="15">
        <f t="shared" si="8533"/>
        <v>1293.5683303822714</v>
      </c>
      <c r="HA514" s="15">
        <f t="shared" si="8534"/>
        <v>109.36492478713826</v>
      </c>
      <c r="HB514" s="2">
        <f t="shared" si="4406"/>
        <v>0</v>
      </c>
      <c r="HC514" s="2">
        <f t="shared" si="4407"/>
        <v>39.032399999999996</v>
      </c>
      <c r="HD514" s="2" t="s">
        <v>3</v>
      </c>
      <c r="HE514" s="2" t="s">
        <v>89</v>
      </c>
      <c r="HF514" s="2" t="s">
        <v>123</v>
      </c>
      <c r="HG514" s="2" t="s">
        <v>123</v>
      </c>
      <c r="HH514" s="2"/>
      <c r="HI514" s="2" t="s">
        <v>81</v>
      </c>
      <c r="HJ514" s="2" t="s">
        <v>3</v>
      </c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 t="s">
        <v>3</v>
      </c>
    </row>
    <row r="515" spans="1:268" ht="15.75" customHeight="1" x14ac:dyDescent="0.2">
      <c r="A515" s="16" t="s">
        <v>1136</v>
      </c>
      <c r="B515" s="2" t="s">
        <v>99</v>
      </c>
      <c r="C515" s="2"/>
      <c r="D515" s="2"/>
      <c r="E515" s="2"/>
      <c r="F515" s="2" t="s">
        <v>1137</v>
      </c>
      <c r="G515" s="2"/>
      <c r="H515" s="2"/>
      <c r="I515" s="2">
        <v>0.73599999999999999</v>
      </c>
      <c r="J515" s="2">
        <v>0.66</v>
      </c>
      <c r="K515" s="2">
        <v>0.22</v>
      </c>
      <c r="L515" s="2"/>
      <c r="M515" s="2"/>
      <c r="N515" s="2"/>
      <c r="O515" s="2"/>
      <c r="P515" s="2"/>
      <c r="Q515" s="2">
        <v>0.89</v>
      </c>
      <c r="R515" s="2"/>
      <c r="S515" s="2">
        <v>0.37</v>
      </c>
      <c r="T515" s="2">
        <v>1.19</v>
      </c>
      <c r="U515" s="2"/>
      <c r="V515" s="2"/>
      <c r="W515" s="2"/>
      <c r="X515" s="2"/>
      <c r="Y515" s="2"/>
      <c r="Z515" s="2"/>
      <c r="AA515" s="2"/>
      <c r="AB515" s="2"/>
      <c r="AC515" s="2"/>
      <c r="AD515" s="2">
        <v>1.847</v>
      </c>
      <c r="AE515" s="4">
        <v>0.6</v>
      </c>
      <c r="AF515" s="2">
        <v>0.23</v>
      </c>
      <c r="AG515" s="2"/>
      <c r="AH515" s="2"/>
      <c r="AI515" s="2"/>
      <c r="AJ515" s="2"/>
      <c r="AK515" s="2"/>
      <c r="AL515" s="2">
        <v>0.92</v>
      </c>
      <c r="AM515" s="2"/>
      <c r="AN515" s="2">
        <v>0.33</v>
      </c>
      <c r="AO515" s="2">
        <v>1.05</v>
      </c>
      <c r="AP515" s="2"/>
      <c r="AQ515" s="2"/>
      <c r="AR515" s="2"/>
      <c r="AS515" s="2"/>
      <c r="AT515" s="2"/>
      <c r="AU515" s="2"/>
      <c r="AV515" s="2"/>
      <c r="AW515" s="2"/>
      <c r="AX515" s="2"/>
      <c r="AY515" s="2">
        <v>0.34200000000000003</v>
      </c>
      <c r="AZ515" s="2">
        <v>0.61</v>
      </c>
      <c r="BA515" s="2">
        <v>0.18</v>
      </c>
      <c r="BB515" s="2"/>
      <c r="BC515" s="2"/>
      <c r="BD515" s="2"/>
      <c r="BE515" s="2"/>
      <c r="BF515" s="2"/>
      <c r="BG515" s="2">
        <v>1.1100000000000001</v>
      </c>
      <c r="BH515" s="2"/>
      <c r="BI515" s="2">
        <v>0.27</v>
      </c>
      <c r="BJ515" s="2">
        <v>0.97</v>
      </c>
      <c r="BK515" s="2"/>
      <c r="BL515" s="2"/>
      <c r="BM515" s="2"/>
      <c r="BN515" s="2"/>
      <c r="BO515" s="2"/>
      <c r="BP515" s="2"/>
      <c r="BQ515" s="2"/>
      <c r="BR515" s="2"/>
      <c r="BS515" s="2"/>
      <c r="BT515" s="2">
        <v>0</v>
      </c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>
        <v>0</v>
      </c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 t="s">
        <v>81</v>
      </c>
      <c r="DK515" s="2"/>
      <c r="DL515" s="2">
        <f t="shared" ref="DL515:DL631" si="8551">(Q515*I515+AL515*AD515+BG515*AY515)/(I515+AD515+AY515)</f>
        <v>0.93466666666666665</v>
      </c>
      <c r="DM515" s="2">
        <f t="shared" ref="DM515:DM631" si="8552">(R515*I515+AM515*AD515+BH515*AY515)/(I515+AD515+AY515)</f>
        <v>0</v>
      </c>
      <c r="DN515" s="2" t="s">
        <v>1138</v>
      </c>
      <c r="DO515" s="2" t="s">
        <v>3</v>
      </c>
      <c r="DP515" s="2">
        <f t="shared" ref="DP515:DP631" si="8553">(J515*$I515+AE515*$AD515+AZ515*$AY515)/100</f>
        <v>1.8025799999999998E-2</v>
      </c>
      <c r="DQ515" s="2">
        <f t="shared" ref="DQ515:DR515" si="8554">K515*$I515+AF515*$AD515+BA515*$AY515</f>
        <v>0.64829000000000003</v>
      </c>
      <c r="DR515" s="2">
        <f t="shared" si="8554"/>
        <v>0</v>
      </c>
      <c r="DS515" s="2">
        <f t="shared" ref="DS515:DX515" si="8555">(M515*$I515+AH515*$AD515+BC515*$AY515)/100</f>
        <v>0</v>
      </c>
      <c r="DT515" s="2">
        <f t="shared" si="8555"/>
        <v>0</v>
      </c>
      <c r="DU515" s="2">
        <f t="shared" si="8555"/>
        <v>0</v>
      </c>
      <c r="DV515" s="2">
        <f t="shared" si="8555"/>
        <v>0</v>
      </c>
      <c r="DW515" s="2">
        <f t="shared" si="8555"/>
        <v>2.7339000000000002E-2</v>
      </c>
      <c r="DX515" s="2">
        <f t="shared" si="8555"/>
        <v>0</v>
      </c>
      <c r="DY515" s="2">
        <f t="shared" ref="DY515:EC515" si="8556">S515*$I515+AN515*$AD515+BI515*$AY515</f>
        <v>0.97416999999999998</v>
      </c>
      <c r="DZ515" s="2">
        <f t="shared" si="8556"/>
        <v>3.1469300000000002</v>
      </c>
      <c r="EA515" s="2">
        <f t="shared" si="8556"/>
        <v>0</v>
      </c>
      <c r="EB515" s="2">
        <f t="shared" si="8556"/>
        <v>0</v>
      </c>
      <c r="EC515" s="2">
        <f t="shared" si="8556"/>
        <v>0</v>
      </c>
      <c r="ED515" s="2">
        <f t="shared" ref="ED515:EE515" si="8557">(X515*$I515+AS515*$AD515+BN515*$AY515)/100</f>
        <v>0</v>
      </c>
      <c r="EE515" s="2">
        <f t="shared" si="8557"/>
        <v>0</v>
      </c>
      <c r="EF515" s="2"/>
      <c r="EG515" s="2">
        <f t="shared" ref="EG515:EG631" si="8558">AA515*$I515+AV515*$AD515+BQ515*$AY515</f>
        <v>0</v>
      </c>
      <c r="EH515" s="2">
        <f t="shared" ref="EH515:EH631" si="8559">(AB515*$I515+AW515*$AD515+BR515*$AY515)/100</f>
        <v>0</v>
      </c>
      <c r="EI515" s="39">
        <f t="shared" ref="EI515:EI631" si="8560">EI$1*DP515</f>
        <v>117.62944889279999</v>
      </c>
      <c r="EJ515" s="39">
        <f t="shared" ref="EJ515:EK515" si="8561">EJ$1*DQ515/1000000</f>
        <v>26.515269453376202</v>
      </c>
      <c r="EK515" s="39">
        <f t="shared" si="8561"/>
        <v>0</v>
      </c>
      <c r="EL515" s="39">
        <f t="shared" ref="EL515:EQ515" si="8562">EL$1*DS515</f>
        <v>0</v>
      </c>
      <c r="EM515" s="39">
        <f t="shared" si="8562"/>
        <v>0</v>
      </c>
      <c r="EN515" s="39">
        <f t="shared" si="8562"/>
        <v>0</v>
      </c>
      <c r="EO515" s="39">
        <f t="shared" si="8562"/>
        <v>0</v>
      </c>
      <c r="EP515" s="39">
        <f t="shared" si="8562"/>
        <v>358.52364600000004</v>
      </c>
      <c r="EQ515" s="39">
        <f t="shared" si="8562"/>
        <v>0</v>
      </c>
      <c r="ER515" s="39">
        <f t="shared" ref="ER515:EV515" si="8563">ER$1*DY515/1000000</f>
        <v>27.648260199356908</v>
      </c>
      <c r="ES515" s="39">
        <f t="shared" si="8563"/>
        <v>104.87371896784568</v>
      </c>
      <c r="ET515" s="39">
        <f t="shared" si="8563"/>
        <v>0</v>
      </c>
      <c r="EU515" s="39">
        <f t="shared" si="8563"/>
        <v>0</v>
      </c>
      <c r="EV515" s="39">
        <f t="shared" si="8563"/>
        <v>0</v>
      </c>
      <c r="EW515" s="39">
        <f t="shared" ref="EW515:EX515" si="8564">EW$1*ED515</f>
        <v>0</v>
      </c>
      <c r="EX515" s="39">
        <f t="shared" si="8564"/>
        <v>0</v>
      </c>
      <c r="EY515" s="2"/>
      <c r="EZ515" s="39">
        <f t="shared" ref="EZ515:EZ631" si="8565">EZ$1*EG515/1000000</f>
        <v>0</v>
      </c>
      <c r="FA515" s="39">
        <f t="shared" ref="FA515:FA631" si="8566">FA$1*EH515</f>
        <v>0</v>
      </c>
      <c r="FB515" s="2">
        <f t="shared" ref="FB515:FB631" si="8567">(BU515*$BT515+CP515*$CO515)/100</f>
        <v>0</v>
      </c>
      <c r="FC515" s="2">
        <f t="shared" ref="FC515:FD515" si="8568">BV515*$BT515+CQ515*$CO515</f>
        <v>0</v>
      </c>
      <c r="FD515" s="2">
        <f t="shared" si="8568"/>
        <v>0</v>
      </c>
      <c r="FE515" s="2">
        <f t="shared" ref="FE515:FJ515" si="8569">(BX515*$BT515+CS515*$CO515)/100</f>
        <v>0</v>
      </c>
      <c r="FF515" s="2">
        <f t="shared" si="8569"/>
        <v>0</v>
      </c>
      <c r="FG515" s="2">
        <f t="shared" si="8569"/>
        <v>0</v>
      </c>
      <c r="FH515" s="2">
        <f t="shared" si="8569"/>
        <v>0</v>
      </c>
      <c r="FI515" s="2">
        <f t="shared" si="8569"/>
        <v>0</v>
      </c>
      <c r="FJ515" s="2">
        <f t="shared" si="8569"/>
        <v>0</v>
      </c>
      <c r="FK515" s="2">
        <f t="shared" ref="FK515:FO515" si="8570">CD515*$BT515+CY515*$CO515</f>
        <v>0</v>
      </c>
      <c r="FL515" s="2">
        <f t="shared" si="8570"/>
        <v>0</v>
      </c>
      <c r="FM515" s="2">
        <f t="shared" si="8570"/>
        <v>0</v>
      </c>
      <c r="FN515" s="2">
        <f t="shared" si="8570"/>
        <v>0</v>
      </c>
      <c r="FO515" s="2">
        <f t="shared" si="8570"/>
        <v>0</v>
      </c>
      <c r="FP515" s="2">
        <f t="shared" ref="FP515:FQ515" si="8571">(CI515*$BT515+DD515*$CO515)/100</f>
        <v>0</v>
      </c>
      <c r="FQ515" s="2">
        <f t="shared" si="8571"/>
        <v>0</v>
      </c>
      <c r="FR515" s="2"/>
      <c r="FS515" s="2">
        <f t="shared" ref="FS515:FS631" si="8572">CL515*$BT515+DG515*$CO515</f>
        <v>0</v>
      </c>
      <c r="FT515" s="2">
        <f t="shared" ref="FT515:FT631" si="8573">(CM515*$BT515+DH515*$CO515)/100</f>
        <v>0</v>
      </c>
      <c r="FU515" s="39">
        <f t="shared" ref="FU515:FU631" si="8574">FU$1*FB515</f>
        <v>0</v>
      </c>
      <c r="FV515" s="39">
        <f t="shared" ref="FV515:FW515" si="8575">FV$1*FC515/1000000</f>
        <v>0</v>
      </c>
      <c r="FW515" s="39">
        <f t="shared" si="8575"/>
        <v>0</v>
      </c>
      <c r="FX515" s="39">
        <f t="shared" ref="FX515:GC515" si="8576">FX$1*FE515</f>
        <v>0</v>
      </c>
      <c r="FY515" s="39">
        <f t="shared" si="8576"/>
        <v>0</v>
      </c>
      <c r="FZ515" s="39">
        <f t="shared" si="8576"/>
        <v>0</v>
      </c>
      <c r="GA515" s="39">
        <f t="shared" si="8576"/>
        <v>0</v>
      </c>
      <c r="GB515" s="39">
        <f t="shared" si="8576"/>
        <v>0</v>
      </c>
      <c r="GC515" s="39">
        <f t="shared" si="8576"/>
        <v>0</v>
      </c>
      <c r="GD515" s="39">
        <f t="shared" ref="GD515:GH515" si="8577">GD$1*FK515/1000000</f>
        <v>0</v>
      </c>
      <c r="GE515" s="39">
        <f t="shared" si="8577"/>
        <v>0</v>
      </c>
      <c r="GF515" s="39">
        <f t="shared" si="8577"/>
        <v>0</v>
      </c>
      <c r="GG515" s="39">
        <f t="shared" si="8577"/>
        <v>0</v>
      </c>
      <c r="GH515" s="39">
        <f t="shared" si="8577"/>
        <v>0</v>
      </c>
      <c r="GI515" s="39">
        <f t="shared" ref="GI515:GJ515" si="8578">GI$1*FP515</f>
        <v>0</v>
      </c>
      <c r="GJ515" s="39">
        <f t="shared" si="8578"/>
        <v>0</v>
      </c>
      <c r="GK515" s="2"/>
      <c r="GL515" s="39">
        <f t="shared" ref="GL515:GL631" si="8579">GL$1*FS515/1000000</f>
        <v>0</v>
      </c>
      <c r="GM515" s="39">
        <f t="shared" ref="GM515:GM631" si="8580">GM$1*FT515</f>
        <v>0</v>
      </c>
      <c r="GN515" s="2" t="s">
        <v>3</v>
      </c>
      <c r="GO515" s="2">
        <f t="shared" ref="GO515:GO631" si="8581">I515+AD515+AY515</f>
        <v>2.9250000000000003</v>
      </c>
      <c r="GP515" s="4">
        <f t="shared" ref="GP515:GP631" si="8582">(I515*Q515+AD515*AL515+AY515*BG515)/GO515</f>
        <v>0.93466666666666665</v>
      </c>
      <c r="GQ515" s="15">
        <f t="shared" ref="GQ515:GQ631" si="8583">1000*GO515*GP515/100</f>
        <v>27.339000000000006</v>
      </c>
      <c r="GR515" s="15">
        <f t="shared" ref="GR515:GR631" si="8584">SUM(EI515:FA515)</f>
        <v>635.19034351337871</v>
      </c>
      <c r="GS515" s="15">
        <f t="shared" ref="GS515:GS631" si="8585">GR515/GO515</f>
        <v>217.15909179944569</v>
      </c>
      <c r="GT515" s="2">
        <f t="shared" ref="GT515:GT631" si="8586">1000*(Q515*$I515)/100</f>
        <v>6.5503999999999998</v>
      </c>
      <c r="GU515" s="2">
        <f t="shared" ref="GU515:GU631" si="8587">1000*(AL515*$AD515)/100</f>
        <v>16.9924</v>
      </c>
      <c r="GV515" s="2">
        <f t="shared" ref="GV515:GV631" si="8588">1000*(BG515*$AY515)/100</f>
        <v>3.7962000000000007</v>
      </c>
      <c r="GW515" s="2">
        <f t="shared" ref="GW515:GW631" si="8589">BT515+CO515</f>
        <v>0</v>
      </c>
      <c r="GX515" s="2"/>
      <c r="GY515" s="2"/>
      <c r="GZ515" s="2"/>
      <c r="HA515" s="2"/>
      <c r="HB515" s="2">
        <f t="shared" ref="HB515:HB631" si="8590">1000*(CB515*$BT515)/100</f>
        <v>0</v>
      </c>
      <c r="HC515" s="2">
        <f t="shared" ref="HC515:HC631" si="8591">1000*(CW515*$CO515)/100</f>
        <v>0</v>
      </c>
      <c r="HD515" s="2" t="s">
        <v>3</v>
      </c>
      <c r="HE515" s="2" t="s">
        <v>89</v>
      </c>
      <c r="HF515" s="2" t="s">
        <v>123</v>
      </c>
      <c r="HG515" s="2" t="s">
        <v>123</v>
      </c>
      <c r="HH515" s="2"/>
      <c r="HI515" s="2" t="s">
        <v>81</v>
      </c>
      <c r="HJ515" s="2" t="s">
        <v>3</v>
      </c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 t="s">
        <v>3</v>
      </c>
    </row>
    <row r="516" spans="1:268" ht="15.75" customHeight="1" x14ac:dyDescent="0.2">
      <c r="A516" s="16" t="s">
        <v>1144</v>
      </c>
      <c r="B516" s="2" t="s">
        <v>99</v>
      </c>
      <c r="C516" s="2"/>
      <c r="D516" s="2"/>
      <c r="E516" s="2"/>
      <c r="F516" s="2" t="s">
        <v>1128</v>
      </c>
      <c r="G516" s="2"/>
      <c r="H516" s="2"/>
      <c r="I516" s="2">
        <v>0</v>
      </c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>
        <v>1.02</v>
      </c>
      <c r="AE516" s="2">
        <v>0.36</v>
      </c>
      <c r="AF516" s="2"/>
      <c r="AG516" s="2"/>
      <c r="AH516" s="2"/>
      <c r="AI516" s="2"/>
      <c r="AJ516" s="2"/>
      <c r="AK516" s="2"/>
      <c r="AL516" s="2">
        <v>0.71</v>
      </c>
      <c r="AM516" s="2">
        <v>0.02</v>
      </c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>
        <v>1.49</v>
      </c>
      <c r="AZ516" s="2">
        <v>0.36</v>
      </c>
      <c r="BA516" s="2"/>
      <c r="BB516" s="2"/>
      <c r="BC516" s="2"/>
      <c r="BD516" s="2"/>
      <c r="BE516" s="2"/>
      <c r="BF516" s="2"/>
      <c r="BG516" s="2">
        <v>0.67</v>
      </c>
      <c r="BH516" s="2">
        <v>0.03</v>
      </c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>
        <v>0</v>
      </c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>
        <v>0</v>
      </c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 t="s">
        <v>81</v>
      </c>
      <c r="DK516" s="2" t="s">
        <v>81</v>
      </c>
      <c r="DL516" s="2">
        <f t="shared" si="8551"/>
        <v>0.68625498007968144</v>
      </c>
      <c r="DM516" s="2">
        <f t="shared" si="8552"/>
        <v>2.5936254980079679E-2</v>
      </c>
      <c r="DN516" s="2" t="s">
        <v>1145</v>
      </c>
      <c r="DO516" s="2" t="s">
        <v>3</v>
      </c>
      <c r="DP516" s="2">
        <f t="shared" si="8553"/>
        <v>9.0359999999999989E-3</v>
      </c>
      <c r="DQ516" s="2">
        <f t="shared" ref="DQ516:DR516" si="8592">K516*$I516+AF516*$AD516+BA516*$AY516</f>
        <v>0</v>
      </c>
      <c r="DR516" s="2">
        <f t="shared" si="8592"/>
        <v>0</v>
      </c>
      <c r="DS516" s="2">
        <f t="shared" ref="DS516:DX516" si="8593">(M516*$I516+AH516*$AD516+BC516*$AY516)/100</f>
        <v>0</v>
      </c>
      <c r="DT516" s="2">
        <f t="shared" si="8593"/>
        <v>0</v>
      </c>
      <c r="DU516" s="2">
        <f t="shared" si="8593"/>
        <v>0</v>
      </c>
      <c r="DV516" s="2">
        <f t="shared" si="8593"/>
        <v>0</v>
      </c>
      <c r="DW516" s="2">
        <f t="shared" si="8593"/>
        <v>1.7225000000000001E-2</v>
      </c>
      <c r="DX516" s="2">
        <f t="shared" si="8593"/>
        <v>6.5099999999999989E-4</v>
      </c>
      <c r="DY516" s="2">
        <f t="shared" ref="DY516:EC516" si="8594">S516*$I516+AN516*$AD516+BI516*$AY516</f>
        <v>0</v>
      </c>
      <c r="DZ516" s="2">
        <f t="shared" si="8594"/>
        <v>0</v>
      </c>
      <c r="EA516" s="2">
        <f t="shared" si="8594"/>
        <v>0</v>
      </c>
      <c r="EB516" s="2">
        <f t="shared" si="8594"/>
        <v>0</v>
      </c>
      <c r="EC516" s="2">
        <f t="shared" si="8594"/>
        <v>0</v>
      </c>
      <c r="ED516" s="2">
        <f t="shared" ref="ED516:EE516" si="8595">(X516*$I516+AS516*$AD516+BN516*$AY516)/100</f>
        <v>0</v>
      </c>
      <c r="EE516" s="2">
        <f t="shared" si="8595"/>
        <v>0</v>
      </c>
      <c r="EF516" s="2"/>
      <c r="EG516" s="2">
        <f t="shared" si="8558"/>
        <v>0</v>
      </c>
      <c r="EH516" s="2">
        <f t="shared" si="8559"/>
        <v>0</v>
      </c>
      <c r="EI516" s="39">
        <f t="shared" si="8560"/>
        <v>58.965466175999993</v>
      </c>
      <c r="EJ516" s="39">
        <f t="shared" ref="EJ516:EK516" si="8596">EJ$1*DQ516/1000000</f>
        <v>0</v>
      </c>
      <c r="EK516" s="39">
        <f t="shared" si="8596"/>
        <v>0</v>
      </c>
      <c r="EL516" s="39">
        <f t="shared" ref="EL516:EQ516" si="8597">EL$1*DS516</f>
        <v>0</v>
      </c>
      <c r="EM516" s="39">
        <f t="shared" si="8597"/>
        <v>0</v>
      </c>
      <c r="EN516" s="39">
        <f t="shared" si="8597"/>
        <v>0</v>
      </c>
      <c r="EO516" s="39">
        <f t="shared" si="8597"/>
        <v>0</v>
      </c>
      <c r="EP516" s="39">
        <f t="shared" si="8597"/>
        <v>225.88865000000001</v>
      </c>
      <c r="EQ516" s="39">
        <f t="shared" si="8597"/>
        <v>47.275310123999986</v>
      </c>
      <c r="ER516" s="39">
        <f t="shared" ref="ER516:EV516" si="8598">ER$1*DY516/1000000</f>
        <v>0</v>
      </c>
      <c r="ES516" s="39">
        <f t="shared" si="8598"/>
        <v>0</v>
      </c>
      <c r="ET516" s="39">
        <f t="shared" si="8598"/>
        <v>0</v>
      </c>
      <c r="EU516" s="39">
        <f t="shared" si="8598"/>
        <v>0</v>
      </c>
      <c r="EV516" s="39">
        <f t="shared" si="8598"/>
        <v>0</v>
      </c>
      <c r="EW516" s="39">
        <f t="shared" ref="EW516:EX516" si="8599">EW$1*ED516</f>
        <v>0</v>
      </c>
      <c r="EX516" s="39">
        <f t="shared" si="8599"/>
        <v>0</v>
      </c>
      <c r="EY516" s="2"/>
      <c r="EZ516" s="39">
        <f t="shared" si="8565"/>
        <v>0</v>
      </c>
      <c r="FA516" s="39">
        <f t="shared" si="8566"/>
        <v>0</v>
      </c>
      <c r="FB516" s="2">
        <f t="shared" si="8567"/>
        <v>0</v>
      </c>
      <c r="FC516" s="2">
        <f t="shared" ref="FC516:FD516" si="8600">BV516*$BT516+CQ516*$CO516</f>
        <v>0</v>
      </c>
      <c r="FD516" s="2">
        <f t="shared" si="8600"/>
        <v>0</v>
      </c>
      <c r="FE516" s="2">
        <f t="shared" ref="FE516:FJ516" si="8601">(BX516*$BT516+CS516*$CO516)/100</f>
        <v>0</v>
      </c>
      <c r="FF516" s="2">
        <f t="shared" si="8601"/>
        <v>0</v>
      </c>
      <c r="FG516" s="2">
        <f t="shared" si="8601"/>
        <v>0</v>
      </c>
      <c r="FH516" s="2">
        <f t="shared" si="8601"/>
        <v>0</v>
      </c>
      <c r="FI516" s="2">
        <f t="shared" si="8601"/>
        <v>0</v>
      </c>
      <c r="FJ516" s="2">
        <f t="shared" si="8601"/>
        <v>0</v>
      </c>
      <c r="FK516" s="2">
        <f t="shared" ref="FK516:FO516" si="8602">CD516*$BT516+CY516*$CO516</f>
        <v>0</v>
      </c>
      <c r="FL516" s="2">
        <f t="shared" si="8602"/>
        <v>0</v>
      </c>
      <c r="FM516" s="2">
        <f t="shared" si="8602"/>
        <v>0</v>
      </c>
      <c r="FN516" s="2">
        <f t="shared" si="8602"/>
        <v>0</v>
      </c>
      <c r="FO516" s="2">
        <f t="shared" si="8602"/>
        <v>0</v>
      </c>
      <c r="FP516" s="2">
        <f t="shared" ref="FP516:FQ516" si="8603">(CI516*$BT516+DD516*$CO516)/100</f>
        <v>0</v>
      </c>
      <c r="FQ516" s="2">
        <f t="shared" si="8603"/>
        <v>0</v>
      </c>
      <c r="FR516" s="2"/>
      <c r="FS516" s="2">
        <f t="shared" si="8572"/>
        <v>0</v>
      </c>
      <c r="FT516" s="2">
        <f t="shared" si="8573"/>
        <v>0</v>
      </c>
      <c r="FU516" s="39">
        <f t="shared" si="8574"/>
        <v>0</v>
      </c>
      <c r="FV516" s="39">
        <f t="shared" ref="FV516:FW516" si="8604">FV$1*FC516/1000000</f>
        <v>0</v>
      </c>
      <c r="FW516" s="39">
        <f t="shared" si="8604"/>
        <v>0</v>
      </c>
      <c r="FX516" s="39">
        <f t="shared" ref="FX516:GC516" si="8605">FX$1*FE516</f>
        <v>0</v>
      </c>
      <c r="FY516" s="39">
        <f t="shared" si="8605"/>
        <v>0</v>
      </c>
      <c r="FZ516" s="39">
        <f t="shared" si="8605"/>
        <v>0</v>
      </c>
      <c r="GA516" s="39">
        <f t="shared" si="8605"/>
        <v>0</v>
      </c>
      <c r="GB516" s="39">
        <f t="shared" si="8605"/>
        <v>0</v>
      </c>
      <c r="GC516" s="39">
        <f t="shared" si="8605"/>
        <v>0</v>
      </c>
      <c r="GD516" s="39">
        <f t="shared" ref="GD516:GH516" si="8606">GD$1*FK516/1000000</f>
        <v>0</v>
      </c>
      <c r="GE516" s="39">
        <f t="shared" si="8606"/>
        <v>0</v>
      </c>
      <c r="GF516" s="39">
        <f t="shared" si="8606"/>
        <v>0</v>
      </c>
      <c r="GG516" s="39">
        <f t="shared" si="8606"/>
        <v>0</v>
      </c>
      <c r="GH516" s="39">
        <f t="shared" si="8606"/>
        <v>0</v>
      </c>
      <c r="GI516" s="39">
        <f t="shared" ref="GI516:GJ516" si="8607">GI$1*FP516</f>
        <v>0</v>
      </c>
      <c r="GJ516" s="39">
        <f t="shared" si="8607"/>
        <v>0</v>
      </c>
      <c r="GK516" s="2"/>
      <c r="GL516" s="39">
        <f t="shared" si="8579"/>
        <v>0</v>
      </c>
      <c r="GM516" s="39">
        <f t="shared" si="8580"/>
        <v>0</v>
      </c>
      <c r="GN516" s="2" t="s">
        <v>3</v>
      </c>
      <c r="GO516" s="2">
        <f t="shared" si="8581"/>
        <v>2.5099999999999998</v>
      </c>
      <c r="GP516" s="4">
        <f t="shared" si="8582"/>
        <v>0.68625498007968144</v>
      </c>
      <c r="GQ516" s="15">
        <f t="shared" si="8583"/>
        <v>17.225000000000005</v>
      </c>
      <c r="GR516" s="15">
        <f t="shared" si="8584"/>
        <v>332.12942629999998</v>
      </c>
      <c r="GS516" s="15">
        <f t="shared" si="8585"/>
        <v>132.32248059760957</v>
      </c>
      <c r="GT516" s="2">
        <f t="shared" si="8586"/>
        <v>0</v>
      </c>
      <c r="GU516" s="2">
        <f t="shared" si="8587"/>
        <v>7.2419999999999991</v>
      </c>
      <c r="GV516" s="2">
        <f t="shared" si="8588"/>
        <v>9.9830000000000005</v>
      </c>
      <c r="GW516" s="2">
        <f t="shared" si="8589"/>
        <v>0</v>
      </c>
      <c r="GX516" s="2"/>
      <c r="GY516" s="2"/>
      <c r="GZ516" s="2"/>
      <c r="HA516" s="2"/>
      <c r="HB516" s="2">
        <f t="shared" si="8590"/>
        <v>0</v>
      </c>
      <c r="HC516" s="2">
        <f t="shared" si="8591"/>
        <v>0</v>
      </c>
      <c r="HD516" s="2" t="s">
        <v>3</v>
      </c>
      <c r="HE516" s="2" t="s">
        <v>89</v>
      </c>
      <c r="HF516" s="2" t="s">
        <v>123</v>
      </c>
      <c r="HG516" s="2" t="s">
        <v>123</v>
      </c>
      <c r="HH516" s="2"/>
      <c r="HI516" s="2" t="s">
        <v>81</v>
      </c>
      <c r="HJ516" s="2" t="s">
        <v>3</v>
      </c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 t="s">
        <v>3</v>
      </c>
    </row>
    <row r="517" spans="1:268" ht="15.75" customHeight="1" x14ac:dyDescent="0.2">
      <c r="A517" s="16" t="s">
        <v>1232</v>
      </c>
      <c r="B517" s="2" t="s">
        <v>99</v>
      </c>
      <c r="C517" s="2"/>
      <c r="D517" s="2"/>
      <c r="E517" s="2"/>
      <c r="F517" s="2" t="s">
        <v>611</v>
      </c>
      <c r="G517" s="2"/>
      <c r="H517" s="2"/>
      <c r="I517" s="2">
        <v>0</v>
      </c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>
        <f>8.46+1.369</f>
        <v>9.8290000000000006</v>
      </c>
      <c r="AE517" s="4">
        <f>(0.25*8.46+0.43*1.369)/AD517</f>
        <v>0.27507070912605558</v>
      </c>
      <c r="AF517" s="4">
        <f>(0.07*8.46+0.11*1.369)/AD517</f>
        <v>7.557126869467902E-2</v>
      </c>
      <c r="AG517" s="4">
        <f>(1.04*8.46+1.65*1.369)/AD517</f>
        <v>1.1249618475938548</v>
      </c>
      <c r="AH517" s="2"/>
      <c r="AI517" s="2"/>
      <c r="AJ517" s="2"/>
      <c r="AK517" s="2"/>
      <c r="AL517" s="4">
        <f>(0.18*8.46+0.24*1.369)/AD517</f>
        <v>0.18835690304201852</v>
      </c>
      <c r="AM517" s="19">
        <f>(0.014*8.46+0.016*1.369)/AD517</f>
        <v>1.4278563434733951E-2</v>
      </c>
      <c r="AN517" s="4">
        <f>(0.98*8.46+1.54*1.369)/AD517</f>
        <v>1.0579977617255061</v>
      </c>
      <c r="AO517" s="4">
        <f>(0.04*8.46+0.08*1.369)/AD517</f>
        <v>4.5571268694679014E-2</v>
      </c>
      <c r="AP517" s="2"/>
      <c r="AQ517" s="2"/>
      <c r="AR517" s="2"/>
      <c r="AS517" s="2"/>
      <c r="AT517" s="2"/>
      <c r="AU517" s="2"/>
      <c r="AV517" s="2"/>
      <c r="AW517" s="2"/>
      <c r="AX517" s="2"/>
      <c r="AY517" s="2">
        <f>0.053+0.472</f>
        <v>0.52500000000000002</v>
      </c>
      <c r="AZ517" s="4">
        <f>(0.22*0.053+0.36*0.472)/AY517</f>
        <v>0.34586666666666666</v>
      </c>
      <c r="BA517" s="4">
        <f>(0.07*0.053+0.09*0.472)/AY517</f>
        <v>8.7980952380952368E-2</v>
      </c>
      <c r="BB517" s="4">
        <f>(0.96*0.053+1.32*0.472)/AY517</f>
        <v>1.2836571428571431</v>
      </c>
      <c r="BC517" s="2"/>
      <c r="BD517" s="2"/>
      <c r="BE517" s="2"/>
      <c r="BF517" s="2"/>
      <c r="BG517" s="4">
        <f>(0.18*0.053+0.19*0.472)/AY517</f>
        <v>0.18899047619047618</v>
      </c>
      <c r="BH517" s="19">
        <f>(0.014*0.053+0.011*0.472)/AY517</f>
        <v>1.1302857142857142E-2</v>
      </c>
      <c r="BI517" s="4">
        <f>(0.89*0.053+1.25*0.472)/AY517</f>
        <v>1.2136571428571428</v>
      </c>
      <c r="BJ517" s="4">
        <f>(0.04*0.053+0.06*0.472)/AY517</f>
        <v>5.7980952380952376E-2</v>
      </c>
      <c r="BK517" s="2"/>
      <c r="BL517" s="2"/>
      <c r="BM517" s="2"/>
      <c r="BN517" s="2"/>
      <c r="BO517" s="2"/>
      <c r="BP517" s="2"/>
      <c r="BQ517" s="2"/>
      <c r="BR517" s="2"/>
      <c r="BS517" s="2"/>
      <c r="BT517" s="2">
        <v>0</v>
      </c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>
        <v>0</v>
      </c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 t="s">
        <v>81</v>
      </c>
      <c r="DK517" s="2" t="s">
        <v>81</v>
      </c>
      <c r="DL517" s="2">
        <f t="shared" si="8551"/>
        <v>0.18838902839482327</v>
      </c>
      <c r="DM517" s="2">
        <f t="shared" si="8552"/>
        <v>1.4127680123623721E-2</v>
      </c>
      <c r="DN517" s="2" t="s">
        <v>211</v>
      </c>
      <c r="DO517" s="2" t="s">
        <v>3</v>
      </c>
      <c r="DP517" s="2">
        <f t="shared" si="8553"/>
        <v>2.88525E-2</v>
      </c>
      <c r="DQ517" s="2">
        <f t="shared" ref="DQ517:DR517" si="8608">K517*$I517+AF517*$AD517+BA517*$AY517</f>
        <v>0.78898000000000013</v>
      </c>
      <c r="DR517" s="2">
        <f t="shared" si="8608"/>
        <v>11.731170000000001</v>
      </c>
      <c r="DS517" s="2">
        <f t="shared" ref="DS517:DX517" si="8609">(M517*$I517+AH517*$AD517+BC517*$AY517)/100</f>
        <v>0</v>
      </c>
      <c r="DT517" s="2">
        <f t="shared" si="8609"/>
        <v>0</v>
      </c>
      <c r="DU517" s="2">
        <f t="shared" si="8609"/>
        <v>0</v>
      </c>
      <c r="DV517" s="2">
        <f t="shared" si="8609"/>
        <v>0</v>
      </c>
      <c r="DW517" s="2">
        <f t="shared" si="8609"/>
        <v>1.9505800000000004E-2</v>
      </c>
      <c r="DX517" s="2">
        <f t="shared" si="8609"/>
        <v>1.4627800000000001E-3</v>
      </c>
      <c r="DY517" s="2">
        <f t="shared" ref="DY517:EC517" si="8610">S517*$I517+AN517*$AD517+BI517*$AY517</f>
        <v>11.03623</v>
      </c>
      <c r="DZ517" s="2">
        <f t="shared" si="8610"/>
        <v>0.47836000000000006</v>
      </c>
      <c r="EA517" s="2">
        <f t="shared" si="8610"/>
        <v>0</v>
      </c>
      <c r="EB517" s="2">
        <f t="shared" si="8610"/>
        <v>0</v>
      </c>
      <c r="EC517" s="2">
        <f t="shared" si="8610"/>
        <v>0</v>
      </c>
      <c r="ED517" s="2">
        <f t="shared" ref="ED517:EE517" si="8611">(X517*$I517+AS517*$AD517+BN517*$AY517)/100</f>
        <v>0</v>
      </c>
      <c r="EE517" s="2">
        <f t="shared" si="8611"/>
        <v>0</v>
      </c>
      <c r="EF517" s="2"/>
      <c r="EG517" s="2">
        <f t="shared" si="8558"/>
        <v>0</v>
      </c>
      <c r="EH517" s="2">
        <f t="shared" si="8559"/>
        <v>0</v>
      </c>
      <c r="EI517" s="39">
        <f t="shared" si="8560"/>
        <v>188.28033564</v>
      </c>
      <c r="EJ517" s="39">
        <f t="shared" ref="EJ517:EK517" si="8612">EJ$1*DQ517/1000000</f>
        <v>32.269535691318332</v>
      </c>
      <c r="EK517" s="39">
        <f t="shared" si="8612"/>
        <v>5.9410266077170411</v>
      </c>
      <c r="EL517" s="39">
        <f t="shared" ref="EL517:EQ517" si="8613">EL$1*DS517</f>
        <v>0</v>
      </c>
      <c r="EM517" s="39">
        <f t="shared" si="8613"/>
        <v>0</v>
      </c>
      <c r="EN517" s="39">
        <f t="shared" si="8613"/>
        <v>0</v>
      </c>
      <c r="EO517" s="39">
        <f t="shared" si="8613"/>
        <v>0</v>
      </c>
      <c r="EP517" s="39">
        <f t="shared" si="8613"/>
        <v>255.79906120000004</v>
      </c>
      <c r="EQ517" s="39">
        <f t="shared" si="8613"/>
        <v>106.22638731671999</v>
      </c>
      <c r="ER517" s="39">
        <f t="shared" ref="ER517:EV517" si="8614">ER$1*DY517/1000000</f>
        <v>313.22311163344045</v>
      </c>
      <c r="ES517" s="39">
        <f t="shared" si="8614"/>
        <v>15.941693080385855</v>
      </c>
      <c r="ET517" s="39">
        <f t="shared" si="8614"/>
        <v>0</v>
      </c>
      <c r="EU517" s="39">
        <f t="shared" si="8614"/>
        <v>0</v>
      </c>
      <c r="EV517" s="39">
        <f t="shared" si="8614"/>
        <v>0</v>
      </c>
      <c r="EW517" s="39">
        <f t="shared" ref="EW517:EX517" si="8615">EW$1*ED517</f>
        <v>0</v>
      </c>
      <c r="EX517" s="39">
        <f t="shared" si="8615"/>
        <v>0</v>
      </c>
      <c r="EY517" s="2"/>
      <c r="EZ517" s="39">
        <f t="shared" si="8565"/>
        <v>0</v>
      </c>
      <c r="FA517" s="39">
        <f t="shared" si="8566"/>
        <v>0</v>
      </c>
      <c r="FB517" s="2">
        <f t="shared" si="8567"/>
        <v>0</v>
      </c>
      <c r="FC517" s="2">
        <f t="shared" ref="FC517:FD517" si="8616">BV517*$BT517+CQ517*$CO517</f>
        <v>0</v>
      </c>
      <c r="FD517" s="2">
        <f t="shared" si="8616"/>
        <v>0</v>
      </c>
      <c r="FE517" s="2">
        <f t="shared" ref="FE517:FJ517" si="8617">(BX517*$BT517+CS517*$CO517)/100</f>
        <v>0</v>
      </c>
      <c r="FF517" s="2">
        <f t="shared" si="8617"/>
        <v>0</v>
      </c>
      <c r="FG517" s="2">
        <f t="shared" si="8617"/>
        <v>0</v>
      </c>
      <c r="FH517" s="2">
        <f t="shared" si="8617"/>
        <v>0</v>
      </c>
      <c r="FI517" s="2">
        <f t="shared" si="8617"/>
        <v>0</v>
      </c>
      <c r="FJ517" s="2">
        <f t="shared" si="8617"/>
        <v>0</v>
      </c>
      <c r="FK517" s="2">
        <f t="shared" ref="FK517:FO517" si="8618">CD517*$BT517+CY517*$CO517</f>
        <v>0</v>
      </c>
      <c r="FL517" s="2">
        <f t="shared" si="8618"/>
        <v>0</v>
      </c>
      <c r="FM517" s="2">
        <f t="shared" si="8618"/>
        <v>0</v>
      </c>
      <c r="FN517" s="2">
        <f t="shared" si="8618"/>
        <v>0</v>
      </c>
      <c r="FO517" s="2">
        <f t="shared" si="8618"/>
        <v>0</v>
      </c>
      <c r="FP517" s="2">
        <f t="shared" ref="FP517:FQ517" si="8619">(CI517*$BT517+DD517*$CO517)/100</f>
        <v>0</v>
      </c>
      <c r="FQ517" s="2">
        <f t="shared" si="8619"/>
        <v>0</v>
      </c>
      <c r="FR517" s="2"/>
      <c r="FS517" s="2">
        <f t="shared" si="8572"/>
        <v>0</v>
      </c>
      <c r="FT517" s="2">
        <f t="shared" si="8573"/>
        <v>0</v>
      </c>
      <c r="FU517" s="39">
        <f t="shared" si="8574"/>
        <v>0</v>
      </c>
      <c r="FV517" s="39">
        <f t="shared" ref="FV517:FW517" si="8620">FV$1*FC517/1000000</f>
        <v>0</v>
      </c>
      <c r="FW517" s="39">
        <f t="shared" si="8620"/>
        <v>0</v>
      </c>
      <c r="FX517" s="39">
        <f t="shared" ref="FX517:GC517" si="8621">FX$1*FE517</f>
        <v>0</v>
      </c>
      <c r="FY517" s="39">
        <f t="shared" si="8621"/>
        <v>0</v>
      </c>
      <c r="FZ517" s="39">
        <f t="shared" si="8621"/>
        <v>0</v>
      </c>
      <c r="GA517" s="39">
        <f t="shared" si="8621"/>
        <v>0</v>
      </c>
      <c r="GB517" s="39">
        <f t="shared" si="8621"/>
        <v>0</v>
      </c>
      <c r="GC517" s="39">
        <f t="shared" si="8621"/>
        <v>0</v>
      </c>
      <c r="GD517" s="39">
        <f t="shared" ref="GD517:GH517" si="8622">GD$1*FK517/1000000</f>
        <v>0</v>
      </c>
      <c r="GE517" s="39">
        <f t="shared" si="8622"/>
        <v>0</v>
      </c>
      <c r="GF517" s="39">
        <f t="shared" si="8622"/>
        <v>0</v>
      </c>
      <c r="GG517" s="39">
        <f t="shared" si="8622"/>
        <v>0</v>
      </c>
      <c r="GH517" s="39">
        <f t="shared" si="8622"/>
        <v>0</v>
      </c>
      <c r="GI517" s="39">
        <f t="shared" ref="GI517:GJ517" si="8623">GI$1*FP517</f>
        <v>0</v>
      </c>
      <c r="GJ517" s="39">
        <f t="shared" si="8623"/>
        <v>0</v>
      </c>
      <c r="GK517" s="2"/>
      <c r="GL517" s="39">
        <f t="shared" si="8579"/>
        <v>0</v>
      </c>
      <c r="GM517" s="39">
        <f t="shared" si="8580"/>
        <v>0</v>
      </c>
      <c r="GN517" s="2" t="s">
        <v>3</v>
      </c>
      <c r="GO517" s="4">
        <f t="shared" si="8581"/>
        <v>10.354000000000001</v>
      </c>
      <c r="GP517" s="4">
        <f t="shared" si="8582"/>
        <v>0.18838902839482327</v>
      </c>
      <c r="GQ517" s="15">
        <f t="shared" si="8583"/>
        <v>19.505800000000004</v>
      </c>
      <c r="GR517" s="15">
        <f t="shared" si="8584"/>
        <v>917.68115116958177</v>
      </c>
      <c r="GS517" s="15">
        <f t="shared" si="8585"/>
        <v>88.630592154682404</v>
      </c>
      <c r="GT517" s="2">
        <f t="shared" si="8586"/>
        <v>0</v>
      </c>
      <c r="GU517" s="2">
        <f t="shared" si="8587"/>
        <v>18.5136</v>
      </c>
      <c r="GV517" s="2">
        <f t="shared" si="8588"/>
        <v>0.99219999999999997</v>
      </c>
      <c r="GW517" s="2">
        <f t="shared" si="8589"/>
        <v>0</v>
      </c>
      <c r="GX517" s="2"/>
      <c r="GY517" s="2"/>
      <c r="GZ517" s="2"/>
      <c r="HA517" s="2"/>
      <c r="HB517" s="2">
        <f t="shared" si="8590"/>
        <v>0</v>
      </c>
      <c r="HC517" s="2">
        <f t="shared" si="8591"/>
        <v>0</v>
      </c>
      <c r="HD517" s="2" t="s">
        <v>3</v>
      </c>
      <c r="HE517" s="2" t="s">
        <v>89</v>
      </c>
      <c r="HF517" s="2" t="s">
        <v>123</v>
      </c>
      <c r="HG517" s="2" t="s">
        <v>123</v>
      </c>
      <c r="HH517" s="2"/>
      <c r="HI517" s="2" t="s">
        <v>81</v>
      </c>
      <c r="HJ517" s="2" t="s">
        <v>3</v>
      </c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 t="s">
        <v>3</v>
      </c>
    </row>
    <row r="518" spans="1:268" ht="15.75" customHeight="1" x14ac:dyDescent="0.2">
      <c r="A518" s="16" t="s">
        <v>1275</v>
      </c>
      <c r="B518" s="2" t="s">
        <v>109</v>
      </c>
      <c r="C518" s="2"/>
      <c r="D518" s="2"/>
      <c r="E518" s="2"/>
      <c r="F518" s="2" t="s">
        <v>200</v>
      </c>
      <c r="G518" s="2"/>
      <c r="H518" s="2"/>
      <c r="I518" s="2">
        <v>15.5</v>
      </c>
      <c r="J518" s="4">
        <v>1</v>
      </c>
      <c r="K518" s="2"/>
      <c r="L518" s="2"/>
      <c r="M518" s="2"/>
      <c r="N518" s="2"/>
      <c r="O518" s="2"/>
      <c r="P518" s="2"/>
      <c r="Q518" s="2">
        <v>2.2400000000000002</v>
      </c>
      <c r="R518" s="2">
        <v>0.13</v>
      </c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>
        <v>15.5</v>
      </c>
      <c r="AE518" s="2">
        <v>0.88</v>
      </c>
      <c r="AF518" s="2"/>
      <c r="AG518" s="2"/>
      <c r="AH518" s="2"/>
      <c r="AI518" s="2"/>
      <c r="AJ518" s="2"/>
      <c r="AK518" s="2"/>
      <c r="AL518" s="4">
        <v>2</v>
      </c>
      <c r="AM518" s="2">
        <v>0.12</v>
      </c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>
        <v>0</v>
      </c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>
        <v>15.5</v>
      </c>
      <c r="BU518" s="4">
        <v>1</v>
      </c>
      <c r="BV518" s="2"/>
      <c r="BW518" s="2"/>
      <c r="BX518" s="2"/>
      <c r="BY518" s="2"/>
      <c r="BZ518" s="2"/>
      <c r="CA518" s="2"/>
      <c r="CB518" s="2">
        <v>2.2400000000000002</v>
      </c>
      <c r="CC518" s="2">
        <v>0.13</v>
      </c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>
        <v>15.5</v>
      </c>
      <c r="CP518" s="2">
        <v>0.88</v>
      </c>
      <c r="CQ518" s="2"/>
      <c r="CR518" s="2"/>
      <c r="CS518" s="2"/>
      <c r="CT518" s="2"/>
      <c r="CU518" s="2"/>
      <c r="CV518" s="2"/>
      <c r="CW518" s="4">
        <v>2</v>
      </c>
      <c r="CX518" s="2">
        <v>0.12</v>
      </c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 t="s">
        <v>81</v>
      </c>
      <c r="DK518" s="2" t="s">
        <v>81</v>
      </c>
      <c r="DL518" s="2">
        <f t="shared" si="8551"/>
        <v>2.12</v>
      </c>
      <c r="DM518" s="2">
        <f t="shared" si="8552"/>
        <v>0.125</v>
      </c>
      <c r="DN518" s="2" t="s">
        <v>965</v>
      </c>
      <c r="DO518" s="2" t="s">
        <v>3</v>
      </c>
      <c r="DP518" s="2">
        <f t="shared" si="8553"/>
        <v>0.29139999999999999</v>
      </c>
      <c r="DQ518" s="2">
        <f t="shared" ref="DQ518:DR518" si="8624">K518*$I518+AF518*$AD518+BA518*$AY518</f>
        <v>0</v>
      </c>
      <c r="DR518" s="2">
        <f t="shared" si="8624"/>
        <v>0</v>
      </c>
      <c r="DS518" s="2">
        <f t="shared" ref="DS518:DX518" si="8625">(M518*$I518+AH518*$AD518+BC518*$AY518)/100</f>
        <v>0</v>
      </c>
      <c r="DT518" s="2">
        <f t="shared" si="8625"/>
        <v>0</v>
      </c>
      <c r="DU518" s="2">
        <f t="shared" si="8625"/>
        <v>0</v>
      </c>
      <c r="DV518" s="2">
        <f t="shared" si="8625"/>
        <v>0</v>
      </c>
      <c r="DW518" s="2">
        <f t="shared" si="8625"/>
        <v>0.65720000000000001</v>
      </c>
      <c r="DX518" s="2">
        <f t="shared" si="8625"/>
        <v>3.875E-2</v>
      </c>
      <c r="DY518" s="2">
        <f t="shared" ref="DY518:EC518" si="8626">S518*$I518+AN518*$AD518+BI518*$AY518</f>
        <v>0</v>
      </c>
      <c r="DZ518" s="2">
        <f t="shared" si="8626"/>
        <v>0</v>
      </c>
      <c r="EA518" s="2">
        <f t="shared" si="8626"/>
        <v>0</v>
      </c>
      <c r="EB518" s="2">
        <f t="shared" si="8626"/>
        <v>0</v>
      </c>
      <c r="EC518" s="2">
        <f t="shared" si="8626"/>
        <v>0</v>
      </c>
      <c r="ED518" s="2">
        <f t="shared" ref="ED518:EE518" si="8627">(X518*$I518+AS518*$AD518+BN518*$AY518)/100</f>
        <v>0</v>
      </c>
      <c r="EE518" s="2">
        <f t="shared" si="8627"/>
        <v>0</v>
      </c>
      <c r="EF518" s="2"/>
      <c r="EG518" s="2">
        <f t="shared" si="8558"/>
        <v>0</v>
      </c>
      <c r="EH518" s="2">
        <f t="shared" si="8559"/>
        <v>0</v>
      </c>
      <c r="EI518" s="39">
        <f t="shared" si="8560"/>
        <v>1901.5645024</v>
      </c>
      <c r="EJ518" s="39">
        <f t="shared" ref="EJ518:EK518" si="8628">EJ$1*DQ518/1000000</f>
        <v>0</v>
      </c>
      <c r="EK518" s="39">
        <f t="shared" si="8628"/>
        <v>0</v>
      </c>
      <c r="EL518" s="39">
        <f t="shared" ref="EL518:EQ518" si="8629">EL$1*DS518</f>
        <v>0</v>
      </c>
      <c r="EM518" s="39">
        <f t="shared" si="8629"/>
        <v>0</v>
      </c>
      <c r="EN518" s="39">
        <f t="shared" si="8629"/>
        <v>0</v>
      </c>
      <c r="EO518" s="39">
        <f t="shared" si="8629"/>
        <v>0</v>
      </c>
      <c r="EP518" s="39">
        <f t="shared" si="8629"/>
        <v>8618.5208000000002</v>
      </c>
      <c r="EQ518" s="39">
        <f t="shared" si="8629"/>
        <v>2814.0065549999995</v>
      </c>
      <c r="ER518" s="39">
        <f t="shared" ref="ER518:EV518" si="8630">ER$1*DY518/1000000</f>
        <v>0</v>
      </c>
      <c r="ES518" s="39">
        <f t="shared" si="8630"/>
        <v>0</v>
      </c>
      <c r="ET518" s="39">
        <f t="shared" si="8630"/>
        <v>0</v>
      </c>
      <c r="EU518" s="39">
        <f t="shared" si="8630"/>
        <v>0</v>
      </c>
      <c r="EV518" s="39">
        <f t="shared" si="8630"/>
        <v>0</v>
      </c>
      <c r="EW518" s="39">
        <f t="shared" ref="EW518:EX518" si="8631">EW$1*ED518</f>
        <v>0</v>
      </c>
      <c r="EX518" s="39">
        <f t="shared" si="8631"/>
        <v>0</v>
      </c>
      <c r="EY518" s="2"/>
      <c r="EZ518" s="39">
        <f t="shared" si="8565"/>
        <v>0</v>
      </c>
      <c r="FA518" s="39">
        <f t="shared" si="8566"/>
        <v>0</v>
      </c>
      <c r="FB518" s="2">
        <f t="shared" si="8567"/>
        <v>0.29139999999999999</v>
      </c>
      <c r="FC518" s="2">
        <f t="shared" ref="FC518:FD518" si="8632">BV518*$BT518+CQ518*$CO518</f>
        <v>0</v>
      </c>
      <c r="FD518" s="2">
        <f t="shared" si="8632"/>
        <v>0</v>
      </c>
      <c r="FE518" s="2">
        <f t="shared" ref="FE518:FJ518" si="8633">(BX518*$BT518+CS518*$CO518)/100</f>
        <v>0</v>
      </c>
      <c r="FF518" s="2">
        <f t="shared" si="8633"/>
        <v>0</v>
      </c>
      <c r="FG518" s="2">
        <f t="shared" si="8633"/>
        <v>0</v>
      </c>
      <c r="FH518" s="2">
        <f t="shared" si="8633"/>
        <v>0</v>
      </c>
      <c r="FI518" s="2">
        <f t="shared" si="8633"/>
        <v>0.65720000000000001</v>
      </c>
      <c r="FJ518" s="2">
        <f t="shared" si="8633"/>
        <v>3.875E-2</v>
      </c>
      <c r="FK518" s="2">
        <f t="shared" ref="FK518:FO518" si="8634">CD518*$BT518+CY518*$CO518</f>
        <v>0</v>
      </c>
      <c r="FL518" s="2">
        <f t="shared" si="8634"/>
        <v>0</v>
      </c>
      <c r="FM518" s="2">
        <f t="shared" si="8634"/>
        <v>0</v>
      </c>
      <c r="FN518" s="2">
        <f t="shared" si="8634"/>
        <v>0</v>
      </c>
      <c r="FO518" s="2">
        <f t="shared" si="8634"/>
        <v>0</v>
      </c>
      <c r="FP518" s="2">
        <f t="shared" ref="FP518:FQ518" si="8635">(CI518*$BT518+DD518*$CO518)/100</f>
        <v>0</v>
      </c>
      <c r="FQ518" s="2">
        <f t="shared" si="8635"/>
        <v>0</v>
      </c>
      <c r="FR518" s="2"/>
      <c r="FS518" s="2">
        <f t="shared" si="8572"/>
        <v>0</v>
      </c>
      <c r="FT518" s="2">
        <f t="shared" si="8573"/>
        <v>0</v>
      </c>
      <c r="FU518" s="39">
        <f t="shared" si="8574"/>
        <v>1901.5645024</v>
      </c>
      <c r="FV518" s="39">
        <f t="shared" ref="FV518:FW518" si="8636">FV$1*FC518/1000000</f>
        <v>0</v>
      </c>
      <c r="FW518" s="39">
        <f t="shared" si="8636"/>
        <v>0</v>
      </c>
      <c r="FX518" s="39">
        <f t="shared" ref="FX518:GC518" si="8637">FX$1*FE518</f>
        <v>0</v>
      </c>
      <c r="FY518" s="39">
        <f t="shared" si="8637"/>
        <v>0</v>
      </c>
      <c r="FZ518" s="39">
        <f t="shared" si="8637"/>
        <v>0</v>
      </c>
      <c r="GA518" s="39">
        <f t="shared" si="8637"/>
        <v>0</v>
      </c>
      <c r="GB518" s="39">
        <f t="shared" si="8637"/>
        <v>8618.5208000000002</v>
      </c>
      <c r="GC518" s="39">
        <f t="shared" si="8637"/>
        <v>2814.0065549999995</v>
      </c>
      <c r="GD518" s="39">
        <f t="shared" ref="GD518:GH518" si="8638">GD$1*FK518/1000000</f>
        <v>0</v>
      </c>
      <c r="GE518" s="39">
        <f t="shared" si="8638"/>
        <v>0</v>
      </c>
      <c r="GF518" s="39">
        <f t="shared" si="8638"/>
        <v>0</v>
      </c>
      <c r="GG518" s="39">
        <f t="shared" si="8638"/>
        <v>0</v>
      </c>
      <c r="GH518" s="39">
        <f t="shared" si="8638"/>
        <v>0</v>
      </c>
      <c r="GI518" s="39">
        <f t="shared" ref="GI518:GJ518" si="8639">GI$1*FP518</f>
        <v>0</v>
      </c>
      <c r="GJ518" s="39">
        <f t="shared" si="8639"/>
        <v>0</v>
      </c>
      <c r="GK518" s="2"/>
      <c r="GL518" s="39">
        <f t="shared" si="8579"/>
        <v>0</v>
      </c>
      <c r="GM518" s="39">
        <f t="shared" si="8580"/>
        <v>0</v>
      </c>
      <c r="GN518" s="2" t="s">
        <v>3</v>
      </c>
      <c r="GO518" s="2">
        <f t="shared" si="8581"/>
        <v>31</v>
      </c>
      <c r="GP518" s="2">
        <f t="shared" si="8582"/>
        <v>2.12</v>
      </c>
      <c r="GQ518" s="15">
        <f t="shared" si="8583"/>
        <v>657.2</v>
      </c>
      <c r="GR518" s="15">
        <f t="shared" si="8584"/>
        <v>13334.091857400001</v>
      </c>
      <c r="GS518" s="15">
        <f t="shared" si="8585"/>
        <v>430.13199539999999</v>
      </c>
      <c r="GT518" s="2">
        <f t="shared" si="8586"/>
        <v>347.20000000000005</v>
      </c>
      <c r="GU518" s="2">
        <f t="shared" si="8587"/>
        <v>310</v>
      </c>
      <c r="GV518" s="2">
        <f t="shared" si="8588"/>
        <v>0</v>
      </c>
      <c r="GW518" s="2">
        <f t="shared" si="8589"/>
        <v>31</v>
      </c>
      <c r="GX518" s="4">
        <f>(BT518*CB518+CO518*CW518)/GW518</f>
        <v>2.12</v>
      </c>
      <c r="GY518" s="15">
        <f>1000*GW518*GX518/100</f>
        <v>657.2</v>
      </c>
      <c r="GZ518" s="15">
        <f>SUM(FU518:GM518)</f>
        <v>13334.091857400001</v>
      </c>
      <c r="HA518" s="15">
        <f>GZ518/GW518</f>
        <v>430.13199539999999</v>
      </c>
      <c r="HB518" s="2">
        <f t="shared" si="8590"/>
        <v>347.20000000000005</v>
      </c>
      <c r="HC518" s="2">
        <f t="shared" si="8591"/>
        <v>310</v>
      </c>
      <c r="HD518" s="2" t="s">
        <v>3</v>
      </c>
      <c r="HE518" s="2" t="s">
        <v>89</v>
      </c>
      <c r="HF518" s="2" t="s">
        <v>123</v>
      </c>
      <c r="HG518" s="2" t="s">
        <v>123</v>
      </c>
      <c r="HH518" s="2"/>
      <c r="HI518" s="2" t="s">
        <v>81</v>
      </c>
      <c r="HJ518" s="2" t="s">
        <v>3</v>
      </c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 t="s">
        <v>3</v>
      </c>
    </row>
    <row r="519" spans="1:268" ht="15.75" customHeight="1" x14ac:dyDescent="0.2">
      <c r="A519" s="16" t="s">
        <v>721</v>
      </c>
      <c r="B519" s="2" t="s">
        <v>99</v>
      </c>
      <c r="C519" s="2"/>
      <c r="D519" s="2"/>
      <c r="E519" s="2"/>
      <c r="F519" s="2" t="s">
        <v>722</v>
      </c>
      <c r="G519" s="2"/>
      <c r="H519" s="2"/>
      <c r="I519" s="2">
        <v>0</v>
      </c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19">
        <v>4.223821</v>
      </c>
      <c r="AE519" s="2">
        <v>0.38</v>
      </c>
      <c r="AF519" s="2">
        <v>0.04</v>
      </c>
      <c r="AG519" s="2"/>
      <c r="AH519" s="2"/>
      <c r="AI519" s="2"/>
      <c r="AJ519" s="2"/>
      <c r="AK519" s="2"/>
      <c r="AL519" s="2">
        <v>0.36</v>
      </c>
      <c r="AM519" s="2">
        <v>0.03</v>
      </c>
      <c r="AN519" s="2">
        <v>0.14000000000000001</v>
      </c>
      <c r="AO519" s="2">
        <v>0.17</v>
      </c>
      <c r="AP519" s="2"/>
      <c r="AQ519" s="2"/>
      <c r="AR519" s="2"/>
      <c r="AS519" s="2"/>
      <c r="AT519" s="2"/>
      <c r="AU519" s="2"/>
      <c r="AV519" s="2"/>
      <c r="AW519" s="2"/>
      <c r="AX519" s="2"/>
      <c r="AY519" s="19">
        <v>2.0053670000000001</v>
      </c>
      <c r="AZ519" s="2">
        <v>0.34</v>
      </c>
      <c r="BA519" s="2">
        <v>0.02</v>
      </c>
      <c r="BB519" s="2"/>
      <c r="BC519" s="2"/>
      <c r="BD519" s="2"/>
      <c r="BE519" s="2"/>
      <c r="BF519" s="2"/>
      <c r="BG519" s="2">
        <v>0.33</v>
      </c>
      <c r="BH519" s="2">
        <v>0.02</v>
      </c>
      <c r="BI519" s="2">
        <v>0.02</v>
      </c>
      <c r="BJ519" s="2">
        <v>0.02</v>
      </c>
      <c r="BK519" s="2"/>
      <c r="BL519" s="2"/>
      <c r="BM519" s="2"/>
      <c r="BN519" s="2"/>
      <c r="BO519" s="2"/>
      <c r="BP519" s="2"/>
      <c r="BQ519" s="2"/>
      <c r="BR519" s="2"/>
      <c r="BS519" s="2"/>
      <c r="BT519" s="2">
        <v>0</v>
      </c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>
        <v>0</v>
      </c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 t="s">
        <v>81</v>
      </c>
      <c r="DK519" s="2" t="s">
        <v>81</v>
      </c>
      <c r="DL519" s="2">
        <f t="shared" si="8551"/>
        <v>0.35034207829335062</v>
      </c>
      <c r="DM519" s="2">
        <f t="shared" si="8552"/>
        <v>2.6780692764450192E-2</v>
      </c>
      <c r="DN519" s="2" t="s">
        <v>723</v>
      </c>
      <c r="DO519" s="2" t="s">
        <v>3</v>
      </c>
      <c r="DP519" s="2">
        <f t="shared" si="8553"/>
        <v>2.2868767600000003E-2</v>
      </c>
      <c r="DQ519" s="2">
        <f t="shared" ref="DQ519:DR519" si="8640">K519*$I519+AF519*$AD519+BA519*$AY519</f>
        <v>0.20906017999999998</v>
      </c>
      <c r="DR519" s="2">
        <f t="shared" si="8640"/>
        <v>0</v>
      </c>
      <c r="DS519" s="2">
        <f t="shared" ref="DS519:DX519" si="8641">(M519*$I519+AH519*$AD519+BC519*$AY519)/100</f>
        <v>0</v>
      </c>
      <c r="DT519" s="2">
        <f t="shared" si="8641"/>
        <v>0</v>
      </c>
      <c r="DU519" s="2">
        <f t="shared" si="8641"/>
        <v>0</v>
      </c>
      <c r="DV519" s="2">
        <f t="shared" si="8641"/>
        <v>0</v>
      </c>
      <c r="DW519" s="2">
        <f t="shared" si="8641"/>
        <v>2.1823466700000002E-2</v>
      </c>
      <c r="DX519" s="2">
        <f t="shared" si="8641"/>
        <v>1.6682196999999999E-3</v>
      </c>
      <c r="DY519" s="2">
        <f t="shared" ref="DY519:EC519" si="8642">S519*$I519+AN519*$AD519+BI519*$AY519</f>
        <v>0.63144228000000013</v>
      </c>
      <c r="DZ519" s="2">
        <f t="shared" si="8642"/>
        <v>0.75815691000000007</v>
      </c>
      <c r="EA519" s="2">
        <f t="shared" si="8642"/>
        <v>0</v>
      </c>
      <c r="EB519" s="2">
        <f t="shared" si="8642"/>
        <v>0</v>
      </c>
      <c r="EC519" s="2">
        <f t="shared" si="8642"/>
        <v>0</v>
      </c>
      <c r="ED519" s="2">
        <f t="shared" ref="ED519:EE519" si="8643">(X519*$I519+AS519*$AD519+BN519*$AY519)/100</f>
        <v>0</v>
      </c>
      <c r="EE519" s="2">
        <f t="shared" si="8643"/>
        <v>0</v>
      </c>
      <c r="EF519" s="2"/>
      <c r="EG519" s="2">
        <f t="shared" si="8558"/>
        <v>0</v>
      </c>
      <c r="EH519" s="2">
        <f t="shared" si="8559"/>
        <v>0</v>
      </c>
      <c r="EI519" s="39">
        <f t="shared" si="8560"/>
        <v>149.2327957508416</v>
      </c>
      <c r="EJ519" s="39">
        <f t="shared" ref="EJ519:EK519" si="8644">EJ$1*DQ519/1000000</f>
        <v>8.550628583922828</v>
      </c>
      <c r="EK519" s="39">
        <f t="shared" si="8644"/>
        <v>0</v>
      </c>
      <c r="EL519" s="39">
        <f t="shared" ref="EL519:EQ519" si="8645">EL$1*DS519</f>
        <v>0</v>
      </c>
      <c r="EM519" s="39">
        <f t="shared" si="8645"/>
        <v>0</v>
      </c>
      <c r="EN519" s="39">
        <f t="shared" si="8645"/>
        <v>0</v>
      </c>
      <c r="EO519" s="39">
        <f t="shared" si="8645"/>
        <v>0</v>
      </c>
      <c r="EP519" s="39">
        <f t="shared" si="8645"/>
        <v>286.19294230380001</v>
      </c>
      <c r="EQ519" s="39">
        <f t="shared" si="8645"/>
        <v>121.14532054142278</v>
      </c>
      <c r="ER519" s="39">
        <f t="shared" ref="ER519:EV519" si="8646">ER$1*DY519/1000000</f>
        <v>17.921184658032157</v>
      </c>
      <c r="ES519" s="39">
        <f t="shared" si="8646"/>
        <v>25.26612753155306</v>
      </c>
      <c r="ET519" s="39">
        <f t="shared" si="8646"/>
        <v>0</v>
      </c>
      <c r="EU519" s="39">
        <f t="shared" si="8646"/>
        <v>0</v>
      </c>
      <c r="EV519" s="39">
        <f t="shared" si="8646"/>
        <v>0</v>
      </c>
      <c r="EW519" s="39">
        <f t="shared" ref="EW519:EX519" si="8647">EW$1*ED519</f>
        <v>0</v>
      </c>
      <c r="EX519" s="39">
        <f t="shared" si="8647"/>
        <v>0</v>
      </c>
      <c r="EY519" s="2"/>
      <c r="EZ519" s="39">
        <f t="shared" si="8565"/>
        <v>0</v>
      </c>
      <c r="FA519" s="39">
        <f t="shared" si="8566"/>
        <v>0</v>
      </c>
      <c r="FB519" s="2">
        <f t="shared" si="8567"/>
        <v>0</v>
      </c>
      <c r="FC519" s="2">
        <f t="shared" ref="FC519:FD519" si="8648">BV519*$BT519+CQ519*$CO519</f>
        <v>0</v>
      </c>
      <c r="FD519" s="2">
        <f t="shared" si="8648"/>
        <v>0</v>
      </c>
      <c r="FE519" s="2">
        <f t="shared" ref="FE519:FJ519" si="8649">(BX519*$BT519+CS519*$CO519)/100</f>
        <v>0</v>
      </c>
      <c r="FF519" s="2">
        <f t="shared" si="8649"/>
        <v>0</v>
      </c>
      <c r="FG519" s="2">
        <f t="shared" si="8649"/>
        <v>0</v>
      </c>
      <c r="FH519" s="2">
        <f t="shared" si="8649"/>
        <v>0</v>
      </c>
      <c r="FI519" s="2">
        <f t="shared" si="8649"/>
        <v>0</v>
      </c>
      <c r="FJ519" s="2">
        <f t="shared" si="8649"/>
        <v>0</v>
      </c>
      <c r="FK519" s="2">
        <f t="shared" ref="FK519:FO519" si="8650">CD519*$BT519+CY519*$CO519</f>
        <v>0</v>
      </c>
      <c r="FL519" s="2">
        <f t="shared" si="8650"/>
        <v>0</v>
      </c>
      <c r="FM519" s="2">
        <f t="shared" si="8650"/>
        <v>0</v>
      </c>
      <c r="FN519" s="2">
        <f t="shared" si="8650"/>
        <v>0</v>
      </c>
      <c r="FO519" s="2">
        <f t="shared" si="8650"/>
        <v>0</v>
      </c>
      <c r="FP519" s="2">
        <f t="shared" ref="FP519:FQ519" si="8651">(CI519*$BT519+DD519*$CO519)/100</f>
        <v>0</v>
      </c>
      <c r="FQ519" s="2">
        <f t="shared" si="8651"/>
        <v>0</v>
      </c>
      <c r="FR519" s="2"/>
      <c r="FS519" s="2">
        <f t="shared" si="8572"/>
        <v>0</v>
      </c>
      <c r="FT519" s="2">
        <f t="shared" si="8573"/>
        <v>0</v>
      </c>
      <c r="FU519" s="39">
        <f t="shared" si="8574"/>
        <v>0</v>
      </c>
      <c r="FV519" s="39">
        <f t="shared" ref="FV519:FW519" si="8652">FV$1*FC519/1000000</f>
        <v>0</v>
      </c>
      <c r="FW519" s="39">
        <f t="shared" si="8652"/>
        <v>0</v>
      </c>
      <c r="FX519" s="39">
        <f t="shared" ref="FX519:GC519" si="8653">FX$1*FE519</f>
        <v>0</v>
      </c>
      <c r="FY519" s="39">
        <f t="shared" si="8653"/>
        <v>0</v>
      </c>
      <c r="FZ519" s="39">
        <f t="shared" si="8653"/>
        <v>0</v>
      </c>
      <c r="GA519" s="39">
        <f t="shared" si="8653"/>
        <v>0</v>
      </c>
      <c r="GB519" s="39">
        <f t="shared" si="8653"/>
        <v>0</v>
      </c>
      <c r="GC519" s="39">
        <f t="shared" si="8653"/>
        <v>0</v>
      </c>
      <c r="GD519" s="39">
        <f t="shared" ref="GD519:GH519" si="8654">GD$1*FK519/1000000</f>
        <v>0</v>
      </c>
      <c r="GE519" s="39">
        <f t="shared" si="8654"/>
        <v>0</v>
      </c>
      <c r="GF519" s="39">
        <f t="shared" si="8654"/>
        <v>0</v>
      </c>
      <c r="GG519" s="39">
        <f t="shared" si="8654"/>
        <v>0</v>
      </c>
      <c r="GH519" s="39">
        <f t="shared" si="8654"/>
        <v>0</v>
      </c>
      <c r="GI519" s="39">
        <f t="shared" ref="GI519:GJ519" si="8655">GI$1*FP519</f>
        <v>0</v>
      </c>
      <c r="GJ519" s="39">
        <f t="shared" si="8655"/>
        <v>0</v>
      </c>
      <c r="GK519" s="2"/>
      <c r="GL519" s="39">
        <f t="shared" si="8579"/>
        <v>0</v>
      </c>
      <c r="GM519" s="39">
        <f t="shared" si="8580"/>
        <v>0</v>
      </c>
      <c r="GN519" s="2" t="s">
        <v>3</v>
      </c>
      <c r="GO519" s="19">
        <f t="shared" si="8581"/>
        <v>6.2291880000000006</v>
      </c>
      <c r="GP519" s="4">
        <f t="shared" si="8582"/>
        <v>0.35034207829335062</v>
      </c>
      <c r="GQ519" s="15">
        <f t="shared" si="8583"/>
        <v>21.823466700000004</v>
      </c>
      <c r="GR519" s="15">
        <f t="shared" si="8584"/>
        <v>608.30899936957235</v>
      </c>
      <c r="GS519" s="15">
        <f t="shared" si="8585"/>
        <v>97.654621977948381</v>
      </c>
      <c r="GT519" s="2">
        <f t="shared" si="8586"/>
        <v>0</v>
      </c>
      <c r="GU519" s="2">
        <f t="shared" si="8587"/>
        <v>15.2057556</v>
      </c>
      <c r="GV519" s="2">
        <f t="shared" si="8588"/>
        <v>6.6177111000000011</v>
      </c>
      <c r="GW519" s="2">
        <f t="shared" si="8589"/>
        <v>0</v>
      </c>
      <c r="GX519" s="2"/>
      <c r="GY519" s="2"/>
      <c r="GZ519" s="2"/>
      <c r="HA519" s="2"/>
      <c r="HB519" s="2">
        <f t="shared" si="8590"/>
        <v>0</v>
      </c>
      <c r="HC519" s="2">
        <f t="shared" si="8591"/>
        <v>0</v>
      </c>
      <c r="HD519" s="2" t="s">
        <v>3</v>
      </c>
      <c r="HE519" s="2" t="s">
        <v>89</v>
      </c>
      <c r="HF519" s="2" t="s">
        <v>123</v>
      </c>
      <c r="HG519" s="2"/>
      <c r="HH519" s="2"/>
      <c r="HI519" s="2" t="s">
        <v>81</v>
      </c>
      <c r="HJ519" s="2" t="s">
        <v>3</v>
      </c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 t="s">
        <v>3</v>
      </c>
    </row>
    <row r="520" spans="1:268" ht="15.75" customHeight="1" x14ac:dyDescent="0.2">
      <c r="A520" s="16" t="s">
        <v>1308</v>
      </c>
      <c r="B520" s="2" t="s">
        <v>99</v>
      </c>
      <c r="C520" s="2"/>
      <c r="D520" s="2"/>
      <c r="E520" s="2" t="s">
        <v>78</v>
      </c>
      <c r="F520" s="2" t="s">
        <v>1307</v>
      </c>
      <c r="G520" s="2"/>
      <c r="H520" s="2" t="s">
        <v>181</v>
      </c>
      <c r="I520" s="2">
        <v>0</v>
      </c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>
        <v>37.799999999999997</v>
      </c>
      <c r="AE520" s="2">
        <v>0.44</v>
      </c>
      <c r="AF520" s="2">
        <v>0.04</v>
      </c>
      <c r="AG520" s="2"/>
      <c r="AH520" s="2"/>
      <c r="AI520" s="2"/>
      <c r="AJ520" s="2"/>
      <c r="AK520" s="2"/>
      <c r="AL520" s="2">
        <v>0.49</v>
      </c>
      <c r="AM520" s="19">
        <v>2.1100000000000001E-2</v>
      </c>
      <c r="AN520" s="2">
        <v>7.0000000000000007E-2</v>
      </c>
      <c r="AO520" s="2">
        <v>0.08</v>
      </c>
      <c r="AP520" s="2"/>
      <c r="AQ520" s="2"/>
      <c r="AR520" s="2"/>
      <c r="AS520" s="2"/>
      <c r="AT520" s="2"/>
      <c r="AU520" s="2"/>
      <c r="AV520" s="2"/>
      <c r="AW520" s="2"/>
      <c r="AX520" s="2"/>
      <c r="AY520" s="2">
        <v>1.9</v>
      </c>
      <c r="AZ520" s="2">
        <v>0.34</v>
      </c>
      <c r="BA520" s="2">
        <v>0.04</v>
      </c>
      <c r="BB520" s="2"/>
      <c r="BC520" s="2"/>
      <c r="BD520" s="2"/>
      <c r="BE520" s="2"/>
      <c r="BF520" s="2"/>
      <c r="BG520" s="2">
        <v>0.37</v>
      </c>
      <c r="BH520" s="19">
        <v>2.29E-2</v>
      </c>
      <c r="BI520" s="2">
        <v>0.08</v>
      </c>
      <c r="BJ520" s="2">
        <v>7.0000000000000007E-2</v>
      </c>
      <c r="BK520" s="2"/>
      <c r="BL520" s="2"/>
      <c r="BM520" s="2"/>
      <c r="BN520" s="2"/>
      <c r="BO520" s="2"/>
      <c r="BP520" s="2"/>
      <c r="BQ520" s="2"/>
      <c r="BR520" s="2"/>
      <c r="BS520" s="2"/>
      <c r="BT520" s="2">
        <v>0</v>
      </c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>
        <v>0</v>
      </c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 t="s">
        <v>81</v>
      </c>
      <c r="DK520" s="2" t="s">
        <v>81</v>
      </c>
      <c r="DL520" s="2">
        <f t="shared" si="8551"/>
        <v>0.48425692695214106</v>
      </c>
      <c r="DM520" s="2">
        <f t="shared" si="8552"/>
        <v>2.1186146095717888E-2</v>
      </c>
      <c r="DN520" s="2" t="s">
        <v>211</v>
      </c>
      <c r="DO520" s="2" t="s">
        <v>3</v>
      </c>
      <c r="DP520" s="2">
        <f t="shared" si="8553"/>
        <v>0.17277999999999999</v>
      </c>
      <c r="DQ520" s="2">
        <f t="shared" ref="DQ520:DR520" si="8656">K520*$I520+AF520*$AD520+BA520*$AY520</f>
        <v>1.5880000000000001</v>
      </c>
      <c r="DR520" s="2">
        <f t="shared" si="8656"/>
        <v>0</v>
      </c>
      <c r="DS520" s="2">
        <f t="shared" ref="DS520:DX520" si="8657">(M520*$I520+AH520*$AD520+BC520*$AY520)/100</f>
        <v>0</v>
      </c>
      <c r="DT520" s="2">
        <f t="shared" si="8657"/>
        <v>0</v>
      </c>
      <c r="DU520" s="2">
        <f t="shared" si="8657"/>
        <v>0</v>
      </c>
      <c r="DV520" s="2">
        <f t="shared" si="8657"/>
        <v>0</v>
      </c>
      <c r="DW520" s="2">
        <f t="shared" si="8657"/>
        <v>0.19224999999999998</v>
      </c>
      <c r="DX520" s="2">
        <f t="shared" si="8657"/>
        <v>8.4109000000000007E-3</v>
      </c>
      <c r="DY520" s="2">
        <f t="shared" ref="DY520:EC520" si="8658">S520*$I520+AN520*$AD520+BI520*$AY520</f>
        <v>2.798</v>
      </c>
      <c r="DZ520" s="2">
        <f t="shared" si="8658"/>
        <v>3.157</v>
      </c>
      <c r="EA520" s="2">
        <f t="shared" si="8658"/>
        <v>0</v>
      </c>
      <c r="EB520" s="2">
        <f t="shared" si="8658"/>
        <v>0</v>
      </c>
      <c r="EC520" s="2">
        <f t="shared" si="8658"/>
        <v>0</v>
      </c>
      <c r="ED520" s="2">
        <f t="shared" ref="ED520:EE520" si="8659">(X520*$I520+AS520*$AD520+BN520*$AY520)/100</f>
        <v>0</v>
      </c>
      <c r="EE520" s="2">
        <f t="shared" si="8659"/>
        <v>0</v>
      </c>
      <c r="EF520" s="2"/>
      <c r="EG520" s="2">
        <f t="shared" si="8558"/>
        <v>0</v>
      </c>
      <c r="EH520" s="2">
        <f t="shared" si="8559"/>
        <v>0</v>
      </c>
      <c r="EI520" s="39">
        <f t="shared" si="8560"/>
        <v>1127.49593248</v>
      </c>
      <c r="EJ520" s="39">
        <f t="shared" ref="EJ520:EK520" si="8660">EJ$1*DQ520/1000000</f>
        <v>64.94971061093247</v>
      </c>
      <c r="EK520" s="39">
        <f t="shared" si="8660"/>
        <v>0</v>
      </c>
      <c r="EL520" s="39">
        <f t="shared" ref="EL520:EQ520" si="8661">EL$1*DS520</f>
        <v>0</v>
      </c>
      <c r="EM520" s="39">
        <f t="shared" si="8661"/>
        <v>0</v>
      </c>
      <c r="EN520" s="39">
        <f t="shared" si="8661"/>
        <v>0</v>
      </c>
      <c r="EO520" s="39">
        <f t="shared" si="8661"/>
        <v>0</v>
      </c>
      <c r="EP520" s="39">
        <f t="shared" si="8661"/>
        <v>2521.1664999999998</v>
      </c>
      <c r="EQ520" s="39">
        <f t="shared" si="8661"/>
        <v>610.79555441159994</v>
      </c>
      <c r="ER520" s="39">
        <f t="shared" ref="ER520:EV520" si="8662">ER$1*DY520/1000000</f>
        <v>79.411018649517672</v>
      </c>
      <c r="ES520" s="39">
        <f t="shared" si="8662"/>
        <v>105.20930900321544</v>
      </c>
      <c r="ET520" s="39">
        <f t="shared" si="8662"/>
        <v>0</v>
      </c>
      <c r="EU520" s="39">
        <f t="shared" si="8662"/>
        <v>0</v>
      </c>
      <c r="EV520" s="39">
        <f t="shared" si="8662"/>
        <v>0</v>
      </c>
      <c r="EW520" s="39">
        <f t="shared" ref="EW520:EX520" si="8663">EW$1*ED520</f>
        <v>0</v>
      </c>
      <c r="EX520" s="39">
        <f t="shared" si="8663"/>
        <v>0</v>
      </c>
      <c r="EY520" s="2"/>
      <c r="EZ520" s="39">
        <f t="shared" si="8565"/>
        <v>0</v>
      </c>
      <c r="FA520" s="39">
        <f t="shared" si="8566"/>
        <v>0</v>
      </c>
      <c r="FB520" s="2">
        <f t="shared" si="8567"/>
        <v>0</v>
      </c>
      <c r="FC520" s="2">
        <f t="shared" ref="FC520:FD520" si="8664">BV520*$BT520+CQ520*$CO520</f>
        <v>0</v>
      </c>
      <c r="FD520" s="2">
        <f t="shared" si="8664"/>
        <v>0</v>
      </c>
      <c r="FE520" s="2">
        <f t="shared" ref="FE520:FJ520" si="8665">(BX520*$BT520+CS520*$CO520)/100</f>
        <v>0</v>
      </c>
      <c r="FF520" s="2">
        <f t="shared" si="8665"/>
        <v>0</v>
      </c>
      <c r="FG520" s="2">
        <f t="shared" si="8665"/>
        <v>0</v>
      </c>
      <c r="FH520" s="2">
        <f t="shared" si="8665"/>
        <v>0</v>
      </c>
      <c r="FI520" s="2">
        <f t="shared" si="8665"/>
        <v>0</v>
      </c>
      <c r="FJ520" s="2">
        <f t="shared" si="8665"/>
        <v>0</v>
      </c>
      <c r="FK520" s="2">
        <f t="shared" ref="FK520:FO520" si="8666">CD520*$BT520+CY520*$CO520</f>
        <v>0</v>
      </c>
      <c r="FL520" s="2">
        <f t="shared" si="8666"/>
        <v>0</v>
      </c>
      <c r="FM520" s="2">
        <f t="shared" si="8666"/>
        <v>0</v>
      </c>
      <c r="FN520" s="2">
        <f t="shared" si="8666"/>
        <v>0</v>
      </c>
      <c r="FO520" s="2">
        <f t="shared" si="8666"/>
        <v>0</v>
      </c>
      <c r="FP520" s="2">
        <f t="shared" ref="FP520:FQ520" si="8667">(CI520*$BT520+DD520*$CO520)/100</f>
        <v>0</v>
      </c>
      <c r="FQ520" s="2">
        <f t="shared" si="8667"/>
        <v>0</v>
      </c>
      <c r="FR520" s="2"/>
      <c r="FS520" s="2">
        <f t="shared" si="8572"/>
        <v>0</v>
      </c>
      <c r="FT520" s="2">
        <f t="shared" si="8573"/>
        <v>0</v>
      </c>
      <c r="FU520" s="39">
        <f t="shared" si="8574"/>
        <v>0</v>
      </c>
      <c r="FV520" s="39">
        <f t="shared" ref="FV520:FW520" si="8668">FV$1*FC520/1000000</f>
        <v>0</v>
      </c>
      <c r="FW520" s="39">
        <f t="shared" si="8668"/>
        <v>0</v>
      </c>
      <c r="FX520" s="39">
        <f t="shared" ref="FX520:GC520" si="8669">FX$1*FE520</f>
        <v>0</v>
      </c>
      <c r="FY520" s="39">
        <f t="shared" si="8669"/>
        <v>0</v>
      </c>
      <c r="FZ520" s="39">
        <f t="shared" si="8669"/>
        <v>0</v>
      </c>
      <c r="GA520" s="39">
        <f t="shared" si="8669"/>
        <v>0</v>
      </c>
      <c r="GB520" s="39">
        <f t="shared" si="8669"/>
        <v>0</v>
      </c>
      <c r="GC520" s="39">
        <f t="shared" si="8669"/>
        <v>0</v>
      </c>
      <c r="GD520" s="39">
        <f t="shared" ref="GD520:GH520" si="8670">GD$1*FK520/1000000</f>
        <v>0</v>
      </c>
      <c r="GE520" s="39">
        <f t="shared" si="8670"/>
        <v>0</v>
      </c>
      <c r="GF520" s="39">
        <f t="shared" si="8670"/>
        <v>0</v>
      </c>
      <c r="GG520" s="39">
        <f t="shared" si="8670"/>
        <v>0</v>
      </c>
      <c r="GH520" s="39">
        <f t="shared" si="8670"/>
        <v>0</v>
      </c>
      <c r="GI520" s="39">
        <f t="shared" ref="GI520:GJ520" si="8671">GI$1*FP520</f>
        <v>0</v>
      </c>
      <c r="GJ520" s="39">
        <f t="shared" si="8671"/>
        <v>0</v>
      </c>
      <c r="GK520" s="2"/>
      <c r="GL520" s="39">
        <f t="shared" si="8579"/>
        <v>0</v>
      </c>
      <c r="GM520" s="39">
        <f t="shared" si="8580"/>
        <v>0</v>
      </c>
      <c r="GN520" s="2" t="s">
        <v>3</v>
      </c>
      <c r="GO520" s="2">
        <f t="shared" si="8581"/>
        <v>39.699999999999996</v>
      </c>
      <c r="GP520" s="4">
        <f t="shared" si="8582"/>
        <v>0.48425692695214106</v>
      </c>
      <c r="GQ520" s="15">
        <f t="shared" si="8583"/>
        <v>192.24999999999997</v>
      </c>
      <c r="GR520" s="15">
        <f t="shared" si="8584"/>
        <v>4509.0280251552658</v>
      </c>
      <c r="GS520" s="15">
        <f t="shared" si="8585"/>
        <v>113.57753211978</v>
      </c>
      <c r="GT520" s="2">
        <f t="shared" si="8586"/>
        <v>0</v>
      </c>
      <c r="GU520" s="2">
        <f t="shared" si="8587"/>
        <v>185.22</v>
      </c>
      <c r="GV520" s="2">
        <f t="shared" si="8588"/>
        <v>7.03</v>
      </c>
      <c r="GW520" s="2">
        <f t="shared" si="8589"/>
        <v>0</v>
      </c>
      <c r="GX520" s="2"/>
      <c r="GY520" s="2"/>
      <c r="GZ520" s="2"/>
      <c r="HA520" s="2"/>
      <c r="HB520" s="2">
        <f t="shared" si="8590"/>
        <v>0</v>
      </c>
      <c r="HC520" s="2">
        <f t="shared" si="8591"/>
        <v>0</v>
      </c>
      <c r="HD520" s="2" t="s">
        <v>3</v>
      </c>
      <c r="HE520" s="2" t="s">
        <v>89</v>
      </c>
      <c r="HF520" s="2" t="s">
        <v>123</v>
      </c>
      <c r="HG520" s="2"/>
      <c r="HH520" s="2"/>
      <c r="HI520" s="2" t="s">
        <v>81</v>
      </c>
      <c r="HJ520" s="2" t="s">
        <v>3</v>
      </c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 t="s">
        <v>3</v>
      </c>
    </row>
    <row r="521" spans="1:268" ht="15.75" customHeight="1" x14ac:dyDescent="0.2">
      <c r="A521" s="16" t="s">
        <v>1306</v>
      </c>
      <c r="B521" s="2" t="s">
        <v>99</v>
      </c>
      <c r="C521" s="2"/>
      <c r="D521" s="2"/>
      <c r="E521" s="2" t="s">
        <v>78</v>
      </c>
      <c r="F521" s="2" t="s">
        <v>1307</v>
      </c>
      <c r="G521" s="2"/>
      <c r="H521" s="2" t="s">
        <v>181</v>
      </c>
      <c r="I521" s="2">
        <v>0</v>
      </c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>
        <v>73.900000000000006</v>
      </c>
      <c r="AE521" s="2">
        <v>0.41</v>
      </c>
      <c r="AF521" s="2">
        <v>0.06</v>
      </c>
      <c r="AG521" s="2"/>
      <c r="AH521" s="2"/>
      <c r="AI521" s="2"/>
      <c r="AJ521" s="2"/>
      <c r="AK521" s="2"/>
      <c r="AL521" s="2">
        <v>0.36</v>
      </c>
      <c r="AM521" s="19">
        <v>1.32E-2</v>
      </c>
      <c r="AN521" s="2">
        <v>0.09</v>
      </c>
      <c r="AO521" s="4">
        <v>0.1</v>
      </c>
      <c r="AP521" s="2"/>
      <c r="AQ521" s="2"/>
      <c r="AR521" s="2"/>
      <c r="AS521" s="2"/>
      <c r="AT521" s="2"/>
      <c r="AU521" s="2"/>
      <c r="AV521" s="2"/>
      <c r="AW521" s="2"/>
      <c r="AX521" s="2"/>
      <c r="AY521" s="2">
        <v>169.4</v>
      </c>
      <c r="AZ521" s="2">
        <v>0.37</v>
      </c>
      <c r="BA521" s="2">
        <v>0.06</v>
      </c>
      <c r="BB521" s="2"/>
      <c r="BC521" s="2"/>
      <c r="BD521" s="2"/>
      <c r="BE521" s="2"/>
      <c r="BF521" s="2"/>
      <c r="BG521" s="2">
        <v>0.33</v>
      </c>
      <c r="BH521" s="19">
        <v>1.23E-2</v>
      </c>
      <c r="BI521" s="2">
        <v>0.09</v>
      </c>
      <c r="BJ521" s="4">
        <v>0.1</v>
      </c>
      <c r="BK521" s="2"/>
      <c r="BL521" s="2"/>
      <c r="BM521" s="2"/>
      <c r="BN521" s="2"/>
      <c r="BO521" s="2"/>
      <c r="BP521" s="2"/>
      <c r="BQ521" s="2"/>
      <c r="BR521" s="2"/>
      <c r="BS521" s="2"/>
      <c r="BT521" s="2">
        <v>0</v>
      </c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>
        <v>0</v>
      </c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 t="s">
        <v>81</v>
      </c>
      <c r="DK521" s="2" t="s">
        <v>81</v>
      </c>
      <c r="DL521" s="2">
        <f t="shared" si="8551"/>
        <v>0.33911220715166462</v>
      </c>
      <c r="DM521" s="2">
        <f t="shared" si="8552"/>
        <v>1.2573366214549939E-2</v>
      </c>
      <c r="DN521" s="2" t="s">
        <v>211</v>
      </c>
      <c r="DO521" s="2" t="s">
        <v>3</v>
      </c>
      <c r="DP521" s="2">
        <f t="shared" si="8553"/>
        <v>0.92976999999999999</v>
      </c>
      <c r="DQ521" s="2">
        <f t="shared" ref="DQ521:DR521" si="8672">K521*$I521+AF521*$AD521+BA521*$AY521</f>
        <v>14.597999999999999</v>
      </c>
      <c r="DR521" s="2">
        <f t="shared" si="8672"/>
        <v>0</v>
      </c>
      <c r="DS521" s="2">
        <f t="shared" ref="DS521:DX521" si="8673">(M521*$I521+AH521*$AD521+BC521*$AY521)/100</f>
        <v>0</v>
      </c>
      <c r="DT521" s="2">
        <f t="shared" si="8673"/>
        <v>0</v>
      </c>
      <c r="DU521" s="2">
        <f t="shared" si="8673"/>
        <v>0</v>
      </c>
      <c r="DV521" s="2">
        <f t="shared" si="8673"/>
        <v>0</v>
      </c>
      <c r="DW521" s="2">
        <f t="shared" si="8673"/>
        <v>0.82506000000000002</v>
      </c>
      <c r="DX521" s="2">
        <f t="shared" si="8673"/>
        <v>3.0591000000000004E-2</v>
      </c>
      <c r="DY521" s="2">
        <f t="shared" ref="DY521:EC521" si="8674">S521*$I521+AN521*$AD521+BI521*$AY521</f>
        <v>21.897000000000002</v>
      </c>
      <c r="DZ521" s="2">
        <f t="shared" si="8674"/>
        <v>24.330000000000002</v>
      </c>
      <c r="EA521" s="2">
        <f t="shared" si="8674"/>
        <v>0</v>
      </c>
      <c r="EB521" s="2">
        <f t="shared" si="8674"/>
        <v>0</v>
      </c>
      <c r="EC521" s="2">
        <f t="shared" si="8674"/>
        <v>0</v>
      </c>
      <c r="ED521" s="2">
        <f t="shared" ref="ED521:EE521" si="8675">(X521*$I521+AS521*$AD521+BN521*$AY521)/100</f>
        <v>0</v>
      </c>
      <c r="EE521" s="2">
        <f t="shared" si="8675"/>
        <v>0</v>
      </c>
      <c r="EF521" s="2"/>
      <c r="EG521" s="2">
        <f t="shared" si="8558"/>
        <v>0</v>
      </c>
      <c r="EH521" s="2">
        <f t="shared" si="8559"/>
        <v>0</v>
      </c>
      <c r="EI521" s="39">
        <f t="shared" si="8560"/>
        <v>6067.3219883199999</v>
      </c>
      <c r="EJ521" s="39">
        <f t="shared" ref="EJ521:EK521" si="8676">EJ$1*DQ521/1000000</f>
        <v>597.06289389067524</v>
      </c>
      <c r="EK521" s="39">
        <f t="shared" si="8676"/>
        <v>0</v>
      </c>
      <c r="EL521" s="39">
        <f t="shared" ref="EL521:EQ521" si="8677">EL$1*DS521</f>
        <v>0</v>
      </c>
      <c r="EM521" s="39">
        <f t="shared" si="8677"/>
        <v>0</v>
      </c>
      <c r="EN521" s="39">
        <f t="shared" si="8677"/>
        <v>0</v>
      </c>
      <c r="EO521" s="39">
        <f t="shared" si="8677"/>
        <v>0</v>
      </c>
      <c r="EP521" s="39">
        <f t="shared" si="8677"/>
        <v>10819.83684</v>
      </c>
      <c r="EQ521" s="39">
        <f t="shared" si="8677"/>
        <v>2221.5038586840001</v>
      </c>
      <c r="ER521" s="39">
        <f t="shared" ref="ER521:EV521" si="8678">ER$1*DY521/1000000</f>
        <v>621.46643151125397</v>
      </c>
      <c r="ES521" s="39">
        <f t="shared" si="8678"/>
        <v>810.81485209003222</v>
      </c>
      <c r="ET521" s="39">
        <f t="shared" si="8678"/>
        <v>0</v>
      </c>
      <c r="EU521" s="39">
        <f t="shared" si="8678"/>
        <v>0</v>
      </c>
      <c r="EV521" s="39">
        <f t="shared" si="8678"/>
        <v>0</v>
      </c>
      <c r="EW521" s="39">
        <f t="shared" ref="EW521:EX521" si="8679">EW$1*ED521</f>
        <v>0</v>
      </c>
      <c r="EX521" s="39">
        <f t="shared" si="8679"/>
        <v>0</v>
      </c>
      <c r="EY521" s="2"/>
      <c r="EZ521" s="39">
        <f t="shared" si="8565"/>
        <v>0</v>
      </c>
      <c r="FA521" s="39">
        <f t="shared" si="8566"/>
        <v>0</v>
      </c>
      <c r="FB521" s="2">
        <f t="shared" si="8567"/>
        <v>0</v>
      </c>
      <c r="FC521" s="2">
        <f t="shared" ref="FC521:FD521" si="8680">BV521*$BT521+CQ521*$CO521</f>
        <v>0</v>
      </c>
      <c r="FD521" s="2">
        <f t="shared" si="8680"/>
        <v>0</v>
      </c>
      <c r="FE521" s="2">
        <f t="shared" ref="FE521:FJ521" si="8681">(BX521*$BT521+CS521*$CO521)/100</f>
        <v>0</v>
      </c>
      <c r="FF521" s="2">
        <f t="shared" si="8681"/>
        <v>0</v>
      </c>
      <c r="FG521" s="2">
        <f t="shared" si="8681"/>
        <v>0</v>
      </c>
      <c r="FH521" s="2">
        <f t="shared" si="8681"/>
        <v>0</v>
      </c>
      <c r="FI521" s="2">
        <f t="shared" si="8681"/>
        <v>0</v>
      </c>
      <c r="FJ521" s="2">
        <f t="shared" si="8681"/>
        <v>0</v>
      </c>
      <c r="FK521" s="2">
        <f t="shared" ref="FK521:FO521" si="8682">CD521*$BT521+CY521*$CO521</f>
        <v>0</v>
      </c>
      <c r="FL521" s="2">
        <f t="shared" si="8682"/>
        <v>0</v>
      </c>
      <c r="FM521" s="2">
        <f t="shared" si="8682"/>
        <v>0</v>
      </c>
      <c r="FN521" s="2">
        <f t="shared" si="8682"/>
        <v>0</v>
      </c>
      <c r="FO521" s="2">
        <f t="shared" si="8682"/>
        <v>0</v>
      </c>
      <c r="FP521" s="2">
        <f t="shared" ref="FP521:FQ521" si="8683">(CI521*$BT521+DD521*$CO521)/100</f>
        <v>0</v>
      </c>
      <c r="FQ521" s="2">
        <f t="shared" si="8683"/>
        <v>0</v>
      </c>
      <c r="FR521" s="2"/>
      <c r="FS521" s="2">
        <f t="shared" si="8572"/>
        <v>0</v>
      </c>
      <c r="FT521" s="2">
        <f t="shared" si="8573"/>
        <v>0</v>
      </c>
      <c r="FU521" s="39">
        <f t="shared" si="8574"/>
        <v>0</v>
      </c>
      <c r="FV521" s="39">
        <f t="shared" ref="FV521:FW521" si="8684">FV$1*FC521/1000000</f>
        <v>0</v>
      </c>
      <c r="FW521" s="39">
        <f t="shared" si="8684"/>
        <v>0</v>
      </c>
      <c r="FX521" s="39">
        <f t="shared" ref="FX521:GC521" si="8685">FX$1*FE521</f>
        <v>0</v>
      </c>
      <c r="FY521" s="39">
        <f t="shared" si="8685"/>
        <v>0</v>
      </c>
      <c r="FZ521" s="39">
        <f t="shared" si="8685"/>
        <v>0</v>
      </c>
      <c r="GA521" s="39">
        <f t="shared" si="8685"/>
        <v>0</v>
      </c>
      <c r="GB521" s="39">
        <f t="shared" si="8685"/>
        <v>0</v>
      </c>
      <c r="GC521" s="39">
        <f t="shared" si="8685"/>
        <v>0</v>
      </c>
      <c r="GD521" s="39">
        <f t="shared" ref="GD521:GH521" si="8686">GD$1*FK521/1000000</f>
        <v>0</v>
      </c>
      <c r="GE521" s="39">
        <f t="shared" si="8686"/>
        <v>0</v>
      </c>
      <c r="GF521" s="39">
        <f t="shared" si="8686"/>
        <v>0</v>
      </c>
      <c r="GG521" s="39">
        <f t="shared" si="8686"/>
        <v>0</v>
      </c>
      <c r="GH521" s="39">
        <f t="shared" si="8686"/>
        <v>0</v>
      </c>
      <c r="GI521" s="39">
        <f t="shared" ref="GI521:GJ521" si="8687">GI$1*FP521</f>
        <v>0</v>
      </c>
      <c r="GJ521" s="39">
        <f t="shared" si="8687"/>
        <v>0</v>
      </c>
      <c r="GK521" s="2"/>
      <c r="GL521" s="39">
        <f t="shared" si="8579"/>
        <v>0</v>
      </c>
      <c r="GM521" s="39">
        <f t="shared" si="8580"/>
        <v>0</v>
      </c>
      <c r="GN521" s="2" t="s">
        <v>3</v>
      </c>
      <c r="GO521" s="2">
        <f t="shared" si="8581"/>
        <v>243.3</v>
      </c>
      <c r="GP521" s="4">
        <f t="shared" si="8582"/>
        <v>0.33911220715166462</v>
      </c>
      <c r="GQ521" s="15">
        <f t="shared" si="8583"/>
        <v>825.06</v>
      </c>
      <c r="GR521" s="15">
        <f t="shared" si="8584"/>
        <v>21138.006864495965</v>
      </c>
      <c r="GS521" s="15">
        <f t="shared" si="8585"/>
        <v>86.880422788721589</v>
      </c>
      <c r="GT521" s="2">
        <f t="shared" si="8586"/>
        <v>0</v>
      </c>
      <c r="GU521" s="2">
        <f t="shared" si="8587"/>
        <v>266.04000000000002</v>
      </c>
      <c r="GV521" s="2">
        <f t="shared" si="8588"/>
        <v>559.02</v>
      </c>
      <c r="GW521" s="2">
        <f t="shared" si="8589"/>
        <v>0</v>
      </c>
      <c r="GX521" s="2"/>
      <c r="GY521" s="2"/>
      <c r="GZ521" s="2"/>
      <c r="HA521" s="2"/>
      <c r="HB521" s="2">
        <f t="shared" si="8590"/>
        <v>0</v>
      </c>
      <c r="HC521" s="2">
        <f t="shared" si="8591"/>
        <v>0</v>
      </c>
      <c r="HD521" s="2" t="s">
        <v>3</v>
      </c>
      <c r="HE521" s="2" t="s">
        <v>89</v>
      </c>
      <c r="HF521" s="2" t="s">
        <v>123</v>
      </c>
      <c r="HG521" s="2"/>
      <c r="HH521" s="2"/>
      <c r="HI521" s="2" t="s">
        <v>81</v>
      </c>
      <c r="HJ521" s="2" t="s">
        <v>3</v>
      </c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 t="s">
        <v>3</v>
      </c>
    </row>
    <row r="522" spans="1:268" ht="15.75" customHeight="1" x14ac:dyDescent="0.2">
      <c r="A522" s="16" t="s">
        <v>417</v>
      </c>
      <c r="B522" s="2" t="s">
        <v>99</v>
      </c>
      <c r="C522" s="2"/>
      <c r="D522" s="2"/>
      <c r="E522" s="2"/>
      <c r="F522" s="2" t="s">
        <v>79</v>
      </c>
      <c r="G522" s="2"/>
      <c r="H522" s="2"/>
      <c r="I522" s="2">
        <v>0</v>
      </c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>
        <v>0</v>
      </c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>
        <v>4.0999999999999996</v>
      </c>
      <c r="AZ522" s="2">
        <v>0.5</v>
      </c>
      <c r="BA522" s="2"/>
      <c r="BB522" s="2"/>
      <c r="BC522" s="2"/>
      <c r="BD522" s="2"/>
      <c r="BE522" s="2"/>
      <c r="BF522" s="2"/>
      <c r="BG522" s="2">
        <v>0.7</v>
      </c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>
        <v>0</v>
      </c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>
        <v>0</v>
      </c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 t="s">
        <v>81</v>
      </c>
      <c r="DK522" s="2"/>
      <c r="DL522" s="2">
        <f t="shared" si="8551"/>
        <v>0.7</v>
      </c>
      <c r="DM522" s="2">
        <f t="shared" si="8552"/>
        <v>0</v>
      </c>
      <c r="DN522" s="2" t="s">
        <v>418</v>
      </c>
      <c r="DO522" s="2" t="s">
        <v>3</v>
      </c>
      <c r="DP522" s="2">
        <f t="shared" si="8553"/>
        <v>2.0499999999999997E-2</v>
      </c>
      <c r="DQ522" s="2">
        <f t="shared" ref="DQ522:DR522" si="8688">K522*$I522+AF522*$AD522+BA522*$AY522</f>
        <v>0</v>
      </c>
      <c r="DR522" s="2">
        <f t="shared" si="8688"/>
        <v>0</v>
      </c>
      <c r="DS522" s="2">
        <f t="shared" ref="DS522:DX522" si="8689">(M522*$I522+AH522*$AD522+BC522*$AY522)/100</f>
        <v>0</v>
      </c>
      <c r="DT522" s="2">
        <f t="shared" si="8689"/>
        <v>0</v>
      </c>
      <c r="DU522" s="2">
        <f t="shared" si="8689"/>
        <v>0</v>
      </c>
      <c r="DV522" s="2">
        <f t="shared" si="8689"/>
        <v>0</v>
      </c>
      <c r="DW522" s="2">
        <f t="shared" si="8689"/>
        <v>2.8699999999999996E-2</v>
      </c>
      <c r="DX522" s="2">
        <f t="shared" si="8689"/>
        <v>0</v>
      </c>
      <c r="DY522" s="2">
        <f t="shared" ref="DY522:EC522" si="8690">S522*$I522+AN522*$AD522+BI522*$AY522</f>
        <v>0</v>
      </c>
      <c r="DZ522" s="2">
        <f t="shared" si="8690"/>
        <v>0</v>
      </c>
      <c r="EA522" s="2">
        <f t="shared" si="8690"/>
        <v>0</v>
      </c>
      <c r="EB522" s="2">
        <f t="shared" si="8690"/>
        <v>0</v>
      </c>
      <c r="EC522" s="2">
        <f t="shared" si="8690"/>
        <v>0</v>
      </c>
      <c r="ED522" s="2">
        <f t="shared" ref="ED522:EE522" si="8691">(X522*$I522+AS522*$AD522+BN522*$AY522)/100</f>
        <v>0</v>
      </c>
      <c r="EE522" s="2">
        <f t="shared" si="8691"/>
        <v>0</v>
      </c>
      <c r="EF522" s="2"/>
      <c r="EG522" s="2">
        <f t="shared" si="8558"/>
        <v>0</v>
      </c>
      <c r="EH522" s="2">
        <f t="shared" si="8559"/>
        <v>0</v>
      </c>
      <c r="EI522" s="39">
        <f t="shared" si="8560"/>
        <v>133.775128</v>
      </c>
      <c r="EJ522" s="39">
        <f t="shared" ref="EJ522:EK522" si="8692">EJ$1*DQ522/1000000</f>
        <v>0</v>
      </c>
      <c r="EK522" s="39">
        <f t="shared" si="8692"/>
        <v>0</v>
      </c>
      <c r="EL522" s="39">
        <f t="shared" ref="EL522:EQ522" si="8693">EL$1*DS522</f>
        <v>0</v>
      </c>
      <c r="EM522" s="39">
        <f t="shared" si="8693"/>
        <v>0</v>
      </c>
      <c r="EN522" s="39">
        <f t="shared" si="8693"/>
        <v>0</v>
      </c>
      <c r="EO522" s="39">
        <f t="shared" si="8693"/>
        <v>0</v>
      </c>
      <c r="EP522" s="39">
        <f t="shared" si="8693"/>
        <v>376.37179999999995</v>
      </c>
      <c r="EQ522" s="39">
        <f t="shared" si="8693"/>
        <v>0</v>
      </c>
      <c r="ER522" s="39">
        <f t="shared" ref="ER522:EV522" si="8694">ER$1*DY522/1000000</f>
        <v>0</v>
      </c>
      <c r="ES522" s="39">
        <f t="shared" si="8694"/>
        <v>0</v>
      </c>
      <c r="ET522" s="39">
        <f t="shared" si="8694"/>
        <v>0</v>
      </c>
      <c r="EU522" s="39">
        <f t="shared" si="8694"/>
        <v>0</v>
      </c>
      <c r="EV522" s="39">
        <f t="shared" si="8694"/>
        <v>0</v>
      </c>
      <c r="EW522" s="39">
        <f t="shared" ref="EW522:EX522" si="8695">EW$1*ED522</f>
        <v>0</v>
      </c>
      <c r="EX522" s="39">
        <f t="shared" si="8695"/>
        <v>0</v>
      </c>
      <c r="EY522" s="2"/>
      <c r="EZ522" s="39">
        <f t="shared" si="8565"/>
        <v>0</v>
      </c>
      <c r="FA522" s="39">
        <f t="shared" si="8566"/>
        <v>0</v>
      </c>
      <c r="FB522" s="2">
        <f t="shared" si="8567"/>
        <v>0</v>
      </c>
      <c r="FC522" s="2">
        <f t="shared" ref="FC522:FD522" si="8696">BV522*$BT522+CQ522*$CO522</f>
        <v>0</v>
      </c>
      <c r="FD522" s="2">
        <f t="shared" si="8696"/>
        <v>0</v>
      </c>
      <c r="FE522" s="2">
        <f t="shared" ref="FE522:FJ522" si="8697">(BX522*$BT522+CS522*$CO522)/100</f>
        <v>0</v>
      </c>
      <c r="FF522" s="2">
        <f t="shared" si="8697"/>
        <v>0</v>
      </c>
      <c r="FG522" s="2">
        <f t="shared" si="8697"/>
        <v>0</v>
      </c>
      <c r="FH522" s="2">
        <f t="shared" si="8697"/>
        <v>0</v>
      </c>
      <c r="FI522" s="2">
        <f t="shared" si="8697"/>
        <v>0</v>
      </c>
      <c r="FJ522" s="2">
        <f t="shared" si="8697"/>
        <v>0</v>
      </c>
      <c r="FK522" s="2">
        <f t="shared" ref="FK522:FO522" si="8698">CD522*$BT522+CY522*$CO522</f>
        <v>0</v>
      </c>
      <c r="FL522" s="2">
        <f t="shared" si="8698"/>
        <v>0</v>
      </c>
      <c r="FM522" s="2">
        <f t="shared" si="8698"/>
        <v>0</v>
      </c>
      <c r="FN522" s="2">
        <f t="shared" si="8698"/>
        <v>0</v>
      </c>
      <c r="FO522" s="2">
        <f t="shared" si="8698"/>
        <v>0</v>
      </c>
      <c r="FP522" s="2">
        <f t="shared" ref="FP522:FQ522" si="8699">(CI522*$BT522+DD522*$CO522)/100</f>
        <v>0</v>
      </c>
      <c r="FQ522" s="2">
        <f t="shared" si="8699"/>
        <v>0</v>
      </c>
      <c r="FR522" s="2"/>
      <c r="FS522" s="2">
        <f t="shared" si="8572"/>
        <v>0</v>
      </c>
      <c r="FT522" s="2">
        <f t="shared" si="8573"/>
        <v>0</v>
      </c>
      <c r="FU522" s="39">
        <f t="shared" si="8574"/>
        <v>0</v>
      </c>
      <c r="FV522" s="39">
        <f t="shared" ref="FV522:FW522" si="8700">FV$1*FC522/1000000</f>
        <v>0</v>
      </c>
      <c r="FW522" s="39">
        <f t="shared" si="8700"/>
        <v>0</v>
      </c>
      <c r="FX522" s="39">
        <f t="shared" ref="FX522:GC522" si="8701">FX$1*FE522</f>
        <v>0</v>
      </c>
      <c r="FY522" s="39">
        <f t="shared" si="8701"/>
        <v>0</v>
      </c>
      <c r="FZ522" s="39">
        <f t="shared" si="8701"/>
        <v>0</v>
      </c>
      <c r="GA522" s="39">
        <f t="shared" si="8701"/>
        <v>0</v>
      </c>
      <c r="GB522" s="39">
        <f t="shared" si="8701"/>
        <v>0</v>
      </c>
      <c r="GC522" s="39">
        <f t="shared" si="8701"/>
        <v>0</v>
      </c>
      <c r="GD522" s="39">
        <f t="shared" ref="GD522:GH522" si="8702">GD$1*FK522/1000000</f>
        <v>0</v>
      </c>
      <c r="GE522" s="39">
        <f t="shared" si="8702"/>
        <v>0</v>
      </c>
      <c r="GF522" s="39">
        <f t="shared" si="8702"/>
        <v>0</v>
      </c>
      <c r="GG522" s="39">
        <f t="shared" si="8702"/>
        <v>0</v>
      </c>
      <c r="GH522" s="39">
        <f t="shared" si="8702"/>
        <v>0</v>
      </c>
      <c r="GI522" s="39">
        <f t="shared" ref="GI522:GJ522" si="8703">GI$1*FP522</f>
        <v>0</v>
      </c>
      <c r="GJ522" s="39">
        <f t="shared" si="8703"/>
        <v>0</v>
      </c>
      <c r="GK522" s="2"/>
      <c r="GL522" s="39">
        <f t="shared" si="8579"/>
        <v>0</v>
      </c>
      <c r="GM522" s="39">
        <f t="shared" si="8580"/>
        <v>0</v>
      </c>
      <c r="GN522" s="2" t="s">
        <v>3</v>
      </c>
      <c r="GO522" s="2">
        <f t="shared" si="8581"/>
        <v>4.0999999999999996</v>
      </c>
      <c r="GP522" s="2">
        <f t="shared" si="8582"/>
        <v>0.7</v>
      </c>
      <c r="GQ522" s="15">
        <f t="shared" si="8583"/>
        <v>28.7</v>
      </c>
      <c r="GR522" s="15">
        <f t="shared" si="8584"/>
        <v>510.14692799999995</v>
      </c>
      <c r="GS522" s="15">
        <f t="shared" si="8585"/>
        <v>124.42608</v>
      </c>
      <c r="GT522" s="2">
        <f t="shared" si="8586"/>
        <v>0</v>
      </c>
      <c r="GU522" s="2">
        <f t="shared" si="8587"/>
        <v>0</v>
      </c>
      <c r="GV522" s="2">
        <f t="shared" si="8588"/>
        <v>28.699999999999996</v>
      </c>
      <c r="GW522" s="2">
        <f t="shared" si="8589"/>
        <v>0</v>
      </c>
      <c r="GX522" s="2"/>
      <c r="GY522" s="2"/>
      <c r="GZ522" s="2"/>
      <c r="HA522" s="2"/>
      <c r="HB522" s="2">
        <f t="shared" si="8590"/>
        <v>0</v>
      </c>
      <c r="HC522" s="2">
        <f t="shared" si="8591"/>
        <v>0</v>
      </c>
      <c r="HD522" s="2" t="s">
        <v>3</v>
      </c>
      <c r="HE522" s="2" t="s">
        <v>89</v>
      </c>
      <c r="HF522" s="2" t="s">
        <v>123</v>
      </c>
      <c r="HG522" s="2"/>
      <c r="HH522" s="2"/>
      <c r="HI522" s="2" t="s">
        <v>81</v>
      </c>
      <c r="HJ522" s="2" t="s">
        <v>3</v>
      </c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 t="s">
        <v>3</v>
      </c>
    </row>
    <row r="523" spans="1:268" ht="15.75" customHeight="1" x14ac:dyDescent="0.2">
      <c r="A523" s="16" t="s">
        <v>1221</v>
      </c>
      <c r="B523" s="2" t="s">
        <v>120</v>
      </c>
      <c r="C523" s="2"/>
      <c r="D523" s="2"/>
      <c r="E523" s="2"/>
      <c r="F523" s="2" t="s">
        <v>536</v>
      </c>
      <c r="G523" s="2"/>
      <c r="H523" s="2"/>
      <c r="I523" s="2">
        <v>0</v>
      </c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15">
        <v>106</v>
      </c>
      <c r="AE523" s="2">
        <v>0.17</v>
      </c>
      <c r="AF523" s="2"/>
      <c r="AG523" s="2"/>
      <c r="AH523" s="2"/>
      <c r="AI523" s="2"/>
      <c r="AJ523" s="2"/>
      <c r="AK523" s="2"/>
      <c r="AL523" s="2">
        <v>0.21</v>
      </c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>
        <v>0</v>
      </c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>
        <v>0</v>
      </c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>
        <v>0</v>
      </c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 t="s">
        <v>81</v>
      </c>
      <c r="DK523" s="2"/>
      <c r="DL523" s="2">
        <f t="shared" si="8551"/>
        <v>0.21</v>
      </c>
      <c r="DM523" s="2">
        <f t="shared" si="8552"/>
        <v>0</v>
      </c>
      <c r="DN523" s="2" t="s">
        <v>1222</v>
      </c>
      <c r="DO523" s="2" t="s">
        <v>3</v>
      </c>
      <c r="DP523" s="2">
        <f t="shared" si="8553"/>
        <v>0.1802</v>
      </c>
      <c r="DQ523" s="2">
        <f t="shared" ref="DQ523:DR523" si="8704">K523*$I523+AF523*$AD523+BA523*$AY523</f>
        <v>0</v>
      </c>
      <c r="DR523" s="2">
        <f t="shared" si="8704"/>
        <v>0</v>
      </c>
      <c r="DS523" s="2">
        <f t="shared" ref="DS523:DX523" si="8705">(M523*$I523+AH523*$AD523+BC523*$AY523)/100</f>
        <v>0</v>
      </c>
      <c r="DT523" s="2">
        <f t="shared" si="8705"/>
        <v>0</v>
      </c>
      <c r="DU523" s="2">
        <f t="shared" si="8705"/>
        <v>0</v>
      </c>
      <c r="DV523" s="2">
        <f t="shared" si="8705"/>
        <v>0</v>
      </c>
      <c r="DW523" s="2">
        <f t="shared" si="8705"/>
        <v>0.22259999999999999</v>
      </c>
      <c r="DX523" s="2">
        <f t="shared" si="8705"/>
        <v>0</v>
      </c>
      <c r="DY523" s="2">
        <f t="shared" ref="DY523:EC523" si="8706">S523*$I523+AN523*$AD523+BI523*$AY523</f>
        <v>0</v>
      </c>
      <c r="DZ523" s="2">
        <f t="shared" si="8706"/>
        <v>0</v>
      </c>
      <c r="EA523" s="2">
        <f t="shared" si="8706"/>
        <v>0</v>
      </c>
      <c r="EB523" s="2">
        <f t="shared" si="8706"/>
        <v>0</v>
      </c>
      <c r="EC523" s="2">
        <f t="shared" si="8706"/>
        <v>0</v>
      </c>
      <c r="ED523" s="2">
        <f t="shared" ref="ED523:EE523" si="8707">(X523*$I523+AS523*$AD523+BN523*$AY523)/100</f>
        <v>0</v>
      </c>
      <c r="EE523" s="2">
        <f t="shared" si="8707"/>
        <v>0</v>
      </c>
      <c r="EF523" s="2"/>
      <c r="EG523" s="2">
        <f t="shared" si="8558"/>
        <v>0</v>
      </c>
      <c r="EH523" s="2">
        <f t="shared" si="8559"/>
        <v>0</v>
      </c>
      <c r="EI523" s="39">
        <f t="shared" si="8560"/>
        <v>1175.9160032</v>
      </c>
      <c r="EJ523" s="39">
        <f t="shared" ref="EJ523:EK523" si="8708">EJ$1*DQ523/1000000</f>
        <v>0</v>
      </c>
      <c r="EK523" s="39">
        <f t="shared" si="8708"/>
        <v>0</v>
      </c>
      <c r="EL523" s="39">
        <f t="shared" ref="EL523:EQ523" si="8709">EL$1*DS523</f>
        <v>0</v>
      </c>
      <c r="EM523" s="39">
        <f t="shared" si="8709"/>
        <v>0</v>
      </c>
      <c r="EN523" s="39">
        <f t="shared" si="8709"/>
        <v>0</v>
      </c>
      <c r="EO523" s="39">
        <f t="shared" si="8709"/>
        <v>0</v>
      </c>
      <c r="EP523" s="39">
        <f t="shared" si="8709"/>
        <v>2919.1763999999998</v>
      </c>
      <c r="EQ523" s="39">
        <f t="shared" si="8709"/>
        <v>0</v>
      </c>
      <c r="ER523" s="39">
        <f t="shared" ref="ER523:EV523" si="8710">ER$1*DY523/1000000</f>
        <v>0</v>
      </c>
      <c r="ES523" s="39">
        <f t="shared" si="8710"/>
        <v>0</v>
      </c>
      <c r="ET523" s="39">
        <f t="shared" si="8710"/>
        <v>0</v>
      </c>
      <c r="EU523" s="39">
        <f t="shared" si="8710"/>
        <v>0</v>
      </c>
      <c r="EV523" s="39">
        <f t="shared" si="8710"/>
        <v>0</v>
      </c>
      <c r="EW523" s="39">
        <f t="shared" ref="EW523:EX523" si="8711">EW$1*ED523</f>
        <v>0</v>
      </c>
      <c r="EX523" s="39">
        <f t="shared" si="8711"/>
        <v>0</v>
      </c>
      <c r="EY523" s="2"/>
      <c r="EZ523" s="39">
        <f t="shared" si="8565"/>
        <v>0</v>
      </c>
      <c r="FA523" s="39">
        <f t="shared" si="8566"/>
        <v>0</v>
      </c>
      <c r="FB523" s="2">
        <f t="shared" si="8567"/>
        <v>0</v>
      </c>
      <c r="FC523" s="2">
        <f t="shared" ref="FC523:FD523" si="8712">BV523*$BT523+CQ523*$CO523</f>
        <v>0</v>
      </c>
      <c r="FD523" s="2">
        <f t="shared" si="8712"/>
        <v>0</v>
      </c>
      <c r="FE523" s="2">
        <f t="shared" ref="FE523:FJ523" si="8713">(BX523*$BT523+CS523*$CO523)/100</f>
        <v>0</v>
      </c>
      <c r="FF523" s="2">
        <f t="shared" si="8713"/>
        <v>0</v>
      </c>
      <c r="FG523" s="2">
        <f t="shared" si="8713"/>
        <v>0</v>
      </c>
      <c r="FH523" s="2">
        <f t="shared" si="8713"/>
        <v>0</v>
      </c>
      <c r="FI523" s="2">
        <f t="shared" si="8713"/>
        <v>0</v>
      </c>
      <c r="FJ523" s="2">
        <f t="shared" si="8713"/>
        <v>0</v>
      </c>
      <c r="FK523" s="2">
        <f t="shared" ref="FK523:FO523" si="8714">CD523*$BT523+CY523*$CO523</f>
        <v>0</v>
      </c>
      <c r="FL523" s="2">
        <f t="shared" si="8714"/>
        <v>0</v>
      </c>
      <c r="FM523" s="2">
        <f t="shared" si="8714"/>
        <v>0</v>
      </c>
      <c r="FN523" s="2">
        <f t="shared" si="8714"/>
        <v>0</v>
      </c>
      <c r="FO523" s="2">
        <f t="shared" si="8714"/>
        <v>0</v>
      </c>
      <c r="FP523" s="2">
        <f t="shared" ref="FP523:FQ523" si="8715">(CI523*$BT523+DD523*$CO523)/100</f>
        <v>0</v>
      </c>
      <c r="FQ523" s="2">
        <f t="shared" si="8715"/>
        <v>0</v>
      </c>
      <c r="FR523" s="2"/>
      <c r="FS523" s="2">
        <f t="shared" si="8572"/>
        <v>0</v>
      </c>
      <c r="FT523" s="2">
        <f t="shared" si="8573"/>
        <v>0</v>
      </c>
      <c r="FU523" s="39">
        <f t="shared" si="8574"/>
        <v>0</v>
      </c>
      <c r="FV523" s="39">
        <f t="shared" ref="FV523:FW523" si="8716">FV$1*FC523/1000000</f>
        <v>0</v>
      </c>
      <c r="FW523" s="39">
        <f t="shared" si="8716"/>
        <v>0</v>
      </c>
      <c r="FX523" s="39">
        <f t="shared" ref="FX523:GC523" si="8717">FX$1*FE523</f>
        <v>0</v>
      </c>
      <c r="FY523" s="39">
        <f t="shared" si="8717"/>
        <v>0</v>
      </c>
      <c r="FZ523" s="39">
        <f t="shared" si="8717"/>
        <v>0</v>
      </c>
      <c r="GA523" s="39">
        <f t="shared" si="8717"/>
        <v>0</v>
      </c>
      <c r="GB523" s="39">
        <f t="shared" si="8717"/>
        <v>0</v>
      </c>
      <c r="GC523" s="39">
        <f t="shared" si="8717"/>
        <v>0</v>
      </c>
      <c r="GD523" s="39">
        <f t="shared" ref="GD523:GH523" si="8718">GD$1*FK523/1000000</f>
        <v>0</v>
      </c>
      <c r="GE523" s="39">
        <f t="shared" si="8718"/>
        <v>0</v>
      </c>
      <c r="GF523" s="39">
        <f t="shared" si="8718"/>
        <v>0</v>
      </c>
      <c r="GG523" s="39">
        <f t="shared" si="8718"/>
        <v>0</v>
      </c>
      <c r="GH523" s="39">
        <f t="shared" si="8718"/>
        <v>0</v>
      </c>
      <c r="GI523" s="39">
        <f t="shared" ref="GI523:GJ523" si="8719">GI$1*FP523</f>
        <v>0</v>
      </c>
      <c r="GJ523" s="39">
        <f t="shared" si="8719"/>
        <v>0</v>
      </c>
      <c r="GK523" s="2"/>
      <c r="GL523" s="39">
        <f t="shared" si="8579"/>
        <v>0</v>
      </c>
      <c r="GM523" s="39">
        <f t="shared" si="8580"/>
        <v>0</v>
      </c>
      <c r="GN523" s="2" t="s">
        <v>3</v>
      </c>
      <c r="GO523" s="15">
        <f t="shared" si="8581"/>
        <v>106</v>
      </c>
      <c r="GP523" s="2">
        <f t="shared" si="8582"/>
        <v>0.21</v>
      </c>
      <c r="GQ523" s="15">
        <f t="shared" si="8583"/>
        <v>222.6</v>
      </c>
      <c r="GR523" s="15">
        <f t="shared" si="8584"/>
        <v>4095.0924031999998</v>
      </c>
      <c r="GS523" s="15">
        <f t="shared" si="8585"/>
        <v>38.632947199999997</v>
      </c>
      <c r="GT523" s="2">
        <f t="shared" si="8586"/>
        <v>0</v>
      </c>
      <c r="GU523" s="2">
        <f t="shared" si="8587"/>
        <v>222.59999999999997</v>
      </c>
      <c r="GV523" s="2">
        <f t="shared" si="8588"/>
        <v>0</v>
      </c>
      <c r="GW523" s="2">
        <f t="shared" si="8589"/>
        <v>0</v>
      </c>
      <c r="GX523" s="2"/>
      <c r="GY523" s="2"/>
      <c r="GZ523" s="2"/>
      <c r="HA523" s="2"/>
      <c r="HB523" s="2">
        <f t="shared" si="8590"/>
        <v>0</v>
      </c>
      <c r="HC523" s="2">
        <f t="shared" si="8591"/>
        <v>0</v>
      </c>
      <c r="HD523" s="2" t="s">
        <v>3</v>
      </c>
      <c r="HE523" s="2" t="s">
        <v>89</v>
      </c>
      <c r="HF523" s="2" t="s">
        <v>123</v>
      </c>
      <c r="HG523" s="2"/>
      <c r="HH523" s="2"/>
      <c r="HI523" s="2" t="s">
        <v>81</v>
      </c>
      <c r="HJ523" s="2" t="s">
        <v>3</v>
      </c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 t="s">
        <v>3</v>
      </c>
    </row>
    <row r="524" spans="1:268" ht="15.75" customHeight="1" x14ac:dyDescent="0.2">
      <c r="A524" s="16" t="s">
        <v>996</v>
      </c>
      <c r="B524" s="2" t="s">
        <v>120</v>
      </c>
      <c r="C524" s="2"/>
      <c r="D524" s="2"/>
      <c r="E524" s="2"/>
      <c r="F524" s="2" t="s">
        <v>997</v>
      </c>
      <c r="G524" s="2"/>
      <c r="H524" s="2"/>
      <c r="I524" s="2">
        <v>0</v>
      </c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>
        <v>0</v>
      </c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4">
        <v>37.201155999999997</v>
      </c>
      <c r="AZ524" s="2">
        <v>0.42</v>
      </c>
      <c r="BA524" s="2"/>
      <c r="BB524" s="2"/>
      <c r="BC524" s="2"/>
      <c r="BD524" s="2"/>
      <c r="BE524" s="2"/>
      <c r="BF524" s="2"/>
      <c r="BG524" s="2">
        <v>0.46</v>
      </c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>
        <v>0</v>
      </c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>
        <v>0</v>
      </c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 t="s">
        <v>81</v>
      </c>
      <c r="DK524" s="2"/>
      <c r="DL524" s="2">
        <f t="shared" si="8551"/>
        <v>0.46</v>
      </c>
      <c r="DM524" s="2">
        <f t="shared" si="8552"/>
        <v>0</v>
      </c>
      <c r="DN524" s="2" t="s">
        <v>998</v>
      </c>
      <c r="DO524" s="2" t="s">
        <v>3</v>
      </c>
      <c r="DP524" s="2">
        <f t="shared" si="8553"/>
        <v>0.15624485519999998</v>
      </c>
      <c r="DQ524" s="2">
        <f t="shared" ref="DQ524:DR524" si="8720">K524*$I524+AF524*$AD524+BA524*$AY524</f>
        <v>0</v>
      </c>
      <c r="DR524" s="2">
        <f t="shared" si="8720"/>
        <v>0</v>
      </c>
      <c r="DS524" s="2">
        <f t="shared" ref="DS524:DX524" si="8721">(M524*$I524+AH524*$AD524+BC524*$AY524)/100</f>
        <v>0</v>
      </c>
      <c r="DT524" s="2">
        <f t="shared" si="8721"/>
        <v>0</v>
      </c>
      <c r="DU524" s="2">
        <f t="shared" si="8721"/>
        <v>0</v>
      </c>
      <c r="DV524" s="2">
        <f t="shared" si="8721"/>
        <v>0</v>
      </c>
      <c r="DW524" s="2">
        <f t="shared" si="8721"/>
        <v>0.17112531759999999</v>
      </c>
      <c r="DX524" s="2">
        <f t="shared" si="8721"/>
        <v>0</v>
      </c>
      <c r="DY524" s="2">
        <f t="shared" ref="DY524:EC524" si="8722">S524*$I524+AN524*$AD524+BI524*$AY524</f>
        <v>0</v>
      </c>
      <c r="DZ524" s="2">
        <f t="shared" si="8722"/>
        <v>0</v>
      </c>
      <c r="EA524" s="2">
        <f t="shared" si="8722"/>
        <v>0</v>
      </c>
      <c r="EB524" s="2">
        <f t="shared" si="8722"/>
        <v>0</v>
      </c>
      <c r="EC524" s="2">
        <f t="shared" si="8722"/>
        <v>0</v>
      </c>
      <c r="ED524" s="2">
        <f t="shared" ref="ED524:EE524" si="8723">(X524*$I524+AS524*$AD524+BN524*$AY524)/100</f>
        <v>0</v>
      </c>
      <c r="EE524" s="2">
        <f t="shared" si="8723"/>
        <v>0</v>
      </c>
      <c r="EF524" s="2"/>
      <c r="EG524" s="2">
        <f t="shared" si="8558"/>
        <v>0</v>
      </c>
      <c r="EH524" s="2">
        <f t="shared" si="8559"/>
        <v>0</v>
      </c>
      <c r="EI524" s="39">
        <f t="shared" si="8560"/>
        <v>1019.5939270108031</v>
      </c>
      <c r="EJ524" s="39">
        <f t="shared" ref="EJ524:EK524" si="8724">EJ$1*DQ524/1000000</f>
        <v>0</v>
      </c>
      <c r="EK524" s="39">
        <f t="shared" si="8724"/>
        <v>0</v>
      </c>
      <c r="EL524" s="39">
        <f t="shared" ref="EL524:EQ524" si="8725">EL$1*DS524</f>
        <v>0</v>
      </c>
      <c r="EM524" s="39">
        <f t="shared" si="8725"/>
        <v>0</v>
      </c>
      <c r="EN524" s="39">
        <f t="shared" si="8725"/>
        <v>0</v>
      </c>
      <c r="EO524" s="39">
        <f t="shared" si="8725"/>
        <v>0</v>
      </c>
      <c r="EP524" s="39">
        <f t="shared" si="8725"/>
        <v>2244.1374150063998</v>
      </c>
      <c r="EQ524" s="39">
        <f t="shared" si="8725"/>
        <v>0</v>
      </c>
      <c r="ER524" s="39">
        <f t="shared" ref="ER524:EV524" si="8726">ER$1*DY524/1000000</f>
        <v>0</v>
      </c>
      <c r="ES524" s="39">
        <f t="shared" si="8726"/>
        <v>0</v>
      </c>
      <c r="ET524" s="39">
        <f t="shared" si="8726"/>
        <v>0</v>
      </c>
      <c r="EU524" s="39">
        <f t="shared" si="8726"/>
        <v>0</v>
      </c>
      <c r="EV524" s="39">
        <f t="shared" si="8726"/>
        <v>0</v>
      </c>
      <c r="EW524" s="39">
        <f t="shared" ref="EW524:EX524" si="8727">EW$1*ED524</f>
        <v>0</v>
      </c>
      <c r="EX524" s="39">
        <f t="shared" si="8727"/>
        <v>0</v>
      </c>
      <c r="EY524" s="2"/>
      <c r="EZ524" s="39">
        <f t="shared" si="8565"/>
        <v>0</v>
      </c>
      <c r="FA524" s="39">
        <f t="shared" si="8566"/>
        <v>0</v>
      </c>
      <c r="FB524" s="2">
        <f t="shared" si="8567"/>
        <v>0</v>
      </c>
      <c r="FC524" s="2">
        <f t="shared" ref="FC524:FD524" si="8728">BV524*$BT524+CQ524*$CO524</f>
        <v>0</v>
      </c>
      <c r="FD524" s="2">
        <f t="shared" si="8728"/>
        <v>0</v>
      </c>
      <c r="FE524" s="2">
        <f t="shared" ref="FE524:FJ524" si="8729">(BX524*$BT524+CS524*$CO524)/100</f>
        <v>0</v>
      </c>
      <c r="FF524" s="2">
        <f t="shared" si="8729"/>
        <v>0</v>
      </c>
      <c r="FG524" s="2">
        <f t="shared" si="8729"/>
        <v>0</v>
      </c>
      <c r="FH524" s="2">
        <f t="shared" si="8729"/>
        <v>0</v>
      </c>
      <c r="FI524" s="2">
        <f t="shared" si="8729"/>
        <v>0</v>
      </c>
      <c r="FJ524" s="2">
        <f t="shared" si="8729"/>
        <v>0</v>
      </c>
      <c r="FK524" s="2">
        <f t="shared" ref="FK524:FO524" si="8730">CD524*$BT524+CY524*$CO524</f>
        <v>0</v>
      </c>
      <c r="FL524" s="2">
        <f t="shared" si="8730"/>
        <v>0</v>
      </c>
      <c r="FM524" s="2">
        <f t="shared" si="8730"/>
        <v>0</v>
      </c>
      <c r="FN524" s="2">
        <f t="shared" si="8730"/>
        <v>0</v>
      </c>
      <c r="FO524" s="2">
        <f t="shared" si="8730"/>
        <v>0</v>
      </c>
      <c r="FP524" s="2">
        <f t="shared" ref="FP524:FQ524" si="8731">(CI524*$BT524+DD524*$CO524)/100</f>
        <v>0</v>
      </c>
      <c r="FQ524" s="2">
        <f t="shared" si="8731"/>
        <v>0</v>
      </c>
      <c r="FR524" s="2"/>
      <c r="FS524" s="2">
        <f t="shared" si="8572"/>
        <v>0</v>
      </c>
      <c r="FT524" s="2">
        <f t="shared" si="8573"/>
        <v>0</v>
      </c>
      <c r="FU524" s="39">
        <f t="shared" si="8574"/>
        <v>0</v>
      </c>
      <c r="FV524" s="39">
        <f t="shared" ref="FV524:FW524" si="8732">FV$1*FC524/1000000</f>
        <v>0</v>
      </c>
      <c r="FW524" s="39">
        <f t="shared" si="8732"/>
        <v>0</v>
      </c>
      <c r="FX524" s="39">
        <f t="shared" ref="FX524:GC524" si="8733">FX$1*FE524</f>
        <v>0</v>
      </c>
      <c r="FY524" s="39">
        <f t="shared" si="8733"/>
        <v>0</v>
      </c>
      <c r="FZ524" s="39">
        <f t="shared" si="8733"/>
        <v>0</v>
      </c>
      <c r="GA524" s="39">
        <f t="shared" si="8733"/>
        <v>0</v>
      </c>
      <c r="GB524" s="39">
        <f t="shared" si="8733"/>
        <v>0</v>
      </c>
      <c r="GC524" s="39">
        <f t="shared" si="8733"/>
        <v>0</v>
      </c>
      <c r="GD524" s="39">
        <f t="shared" ref="GD524:GH524" si="8734">GD$1*FK524/1000000</f>
        <v>0</v>
      </c>
      <c r="GE524" s="39">
        <f t="shared" si="8734"/>
        <v>0</v>
      </c>
      <c r="GF524" s="39">
        <f t="shared" si="8734"/>
        <v>0</v>
      </c>
      <c r="GG524" s="39">
        <f t="shared" si="8734"/>
        <v>0</v>
      </c>
      <c r="GH524" s="39">
        <f t="shared" si="8734"/>
        <v>0</v>
      </c>
      <c r="GI524" s="39">
        <f t="shared" ref="GI524:GJ524" si="8735">GI$1*FP524</f>
        <v>0</v>
      </c>
      <c r="GJ524" s="39">
        <f t="shared" si="8735"/>
        <v>0</v>
      </c>
      <c r="GK524" s="2"/>
      <c r="GL524" s="39">
        <f t="shared" si="8579"/>
        <v>0</v>
      </c>
      <c r="GM524" s="39">
        <f t="shared" si="8580"/>
        <v>0</v>
      </c>
      <c r="GN524" s="2" t="s">
        <v>3</v>
      </c>
      <c r="GO524" s="4">
        <f t="shared" si="8581"/>
        <v>37.201155999999997</v>
      </c>
      <c r="GP524" s="2">
        <f t="shared" si="8582"/>
        <v>0.46</v>
      </c>
      <c r="GQ524" s="15">
        <f t="shared" si="8583"/>
        <v>171.12531759999999</v>
      </c>
      <c r="GR524" s="15">
        <f t="shared" si="8584"/>
        <v>3263.7313420172031</v>
      </c>
      <c r="GS524" s="15">
        <f t="shared" si="8585"/>
        <v>87.731987200000006</v>
      </c>
      <c r="GT524" s="2">
        <f t="shared" si="8586"/>
        <v>0</v>
      </c>
      <c r="GU524" s="2">
        <f t="shared" si="8587"/>
        <v>0</v>
      </c>
      <c r="GV524" s="2">
        <f t="shared" si="8588"/>
        <v>171.12531759999999</v>
      </c>
      <c r="GW524" s="2">
        <f t="shared" si="8589"/>
        <v>0</v>
      </c>
      <c r="GX524" s="2"/>
      <c r="GY524" s="2"/>
      <c r="GZ524" s="2"/>
      <c r="HA524" s="2"/>
      <c r="HB524" s="2">
        <f t="shared" si="8590"/>
        <v>0</v>
      </c>
      <c r="HC524" s="2">
        <f t="shared" si="8591"/>
        <v>0</v>
      </c>
      <c r="HD524" s="2" t="s">
        <v>3</v>
      </c>
      <c r="HE524" s="2" t="s">
        <v>89</v>
      </c>
      <c r="HF524" s="2" t="s">
        <v>123</v>
      </c>
      <c r="HG524" s="2"/>
      <c r="HH524" s="2"/>
      <c r="HI524" s="2" t="s">
        <v>81</v>
      </c>
      <c r="HJ524" s="2" t="s">
        <v>3</v>
      </c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 t="s">
        <v>3</v>
      </c>
    </row>
    <row r="525" spans="1:268" ht="15.75" customHeight="1" x14ac:dyDescent="0.2">
      <c r="A525" s="16" t="s">
        <v>1113</v>
      </c>
      <c r="B525" s="2" t="s">
        <v>120</v>
      </c>
      <c r="C525" s="2"/>
      <c r="D525" s="2"/>
      <c r="E525" s="2"/>
      <c r="F525" s="2" t="s">
        <v>997</v>
      </c>
      <c r="G525" s="2"/>
      <c r="H525" s="2"/>
      <c r="I525" s="2">
        <v>0</v>
      </c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>
        <v>0</v>
      </c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4">
        <v>4.4675609999999999</v>
      </c>
      <c r="AZ525" s="2">
        <v>1.19</v>
      </c>
      <c r="BA525" s="2"/>
      <c r="BB525" s="2"/>
      <c r="BC525" s="2"/>
      <c r="BD525" s="2"/>
      <c r="BE525" s="2"/>
      <c r="BF525" s="2"/>
      <c r="BG525" s="2">
        <v>1.47</v>
      </c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>
        <v>0</v>
      </c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>
        <v>0</v>
      </c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 t="s">
        <v>81</v>
      </c>
      <c r="DK525" s="2"/>
      <c r="DL525" s="2">
        <f t="shared" si="8551"/>
        <v>1.47</v>
      </c>
      <c r="DM525" s="2">
        <f t="shared" si="8552"/>
        <v>0</v>
      </c>
      <c r="DN525" s="2" t="s">
        <v>998</v>
      </c>
      <c r="DO525" s="2" t="s">
        <v>3</v>
      </c>
      <c r="DP525" s="2">
        <f t="shared" si="8553"/>
        <v>5.3163975899999993E-2</v>
      </c>
      <c r="DQ525" s="2">
        <f t="shared" ref="DQ525:DR525" si="8736">K525*$I525+AF525*$AD525+BA525*$AY525</f>
        <v>0</v>
      </c>
      <c r="DR525" s="2">
        <f t="shared" si="8736"/>
        <v>0</v>
      </c>
      <c r="DS525" s="2">
        <f t="shared" ref="DS525:DX525" si="8737">(M525*$I525+AH525*$AD525+BC525*$AY525)/100</f>
        <v>0</v>
      </c>
      <c r="DT525" s="2">
        <f t="shared" si="8737"/>
        <v>0</v>
      </c>
      <c r="DU525" s="2">
        <f t="shared" si="8737"/>
        <v>0</v>
      </c>
      <c r="DV525" s="2">
        <f t="shared" si="8737"/>
        <v>0</v>
      </c>
      <c r="DW525" s="2">
        <f t="shared" si="8737"/>
        <v>6.5673146700000004E-2</v>
      </c>
      <c r="DX525" s="2">
        <f t="shared" si="8737"/>
        <v>0</v>
      </c>
      <c r="DY525" s="2">
        <f t="shared" ref="DY525:EC525" si="8738">S525*$I525+AN525*$AD525+BI525*$AY525</f>
        <v>0</v>
      </c>
      <c r="DZ525" s="2">
        <f t="shared" si="8738"/>
        <v>0</v>
      </c>
      <c r="EA525" s="2">
        <f t="shared" si="8738"/>
        <v>0</v>
      </c>
      <c r="EB525" s="2">
        <f t="shared" si="8738"/>
        <v>0</v>
      </c>
      <c r="EC525" s="2">
        <f t="shared" si="8738"/>
        <v>0</v>
      </c>
      <c r="ED525" s="2">
        <f t="shared" ref="ED525:EE525" si="8739">(X525*$I525+AS525*$AD525+BN525*$AY525)/100</f>
        <v>0</v>
      </c>
      <c r="EE525" s="2">
        <f t="shared" si="8739"/>
        <v>0</v>
      </c>
      <c r="EF525" s="2"/>
      <c r="EG525" s="2">
        <f t="shared" si="8558"/>
        <v>0</v>
      </c>
      <c r="EH525" s="2">
        <f t="shared" si="8559"/>
        <v>0</v>
      </c>
      <c r="EI525" s="39">
        <f t="shared" si="8560"/>
        <v>346.92769175665438</v>
      </c>
      <c r="EJ525" s="39">
        <f t="shared" ref="EJ525:EK525" si="8740">EJ$1*DQ525/1000000</f>
        <v>0</v>
      </c>
      <c r="EK525" s="39">
        <f t="shared" si="8740"/>
        <v>0</v>
      </c>
      <c r="EL525" s="39">
        <f t="shared" ref="EL525:EQ525" si="8741">EL$1*DS525</f>
        <v>0</v>
      </c>
      <c r="EM525" s="39">
        <f t="shared" si="8741"/>
        <v>0</v>
      </c>
      <c r="EN525" s="39">
        <f t="shared" si="8741"/>
        <v>0</v>
      </c>
      <c r="EO525" s="39">
        <f t="shared" si="8741"/>
        <v>0</v>
      </c>
      <c r="EP525" s="39">
        <f t="shared" si="8741"/>
        <v>861.23764582380011</v>
      </c>
      <c r="EQ525" s="39">
        <f t="shared" si="8741"/>
        <v>0</v>
      </c>
      <c r="ER525" s="39">
        <f t="shared" ref="ER525:EV525" si="8742">ER$1*DY525/1000000</f>
        <v>0</v>
      </c>
      <c r="ES525" s="39">
        <f t="shared" si="8742"/>
        <v>0</v>
      </c>
      <c r="ET525" s="39">
        <f t="shared" si="8742"/>
        <v>0</v>
      </c>
      <c r="EU525" s="39">
        <f t="shared" si="8742"/>
        <v>0</v>
      </c>
      <c r="EV525" s="39">
        <f t="shared" si="8742"/>
        <v>0</v>
      </c>
      <c r="EW525" s="39">
        <f t="shared" ref="EW525:EX525" si="8743">EW$1*ED525</f>
        <v>0</v>
      </c>
      <c r="EX525" s="39">
        <f t="shared" si="8743"/>
        <v>0</v>
      </c>
      <c r="EY525" s="2"/>
      <c r="EZ525" s="39">
        <f t="shared" si="8565"/>
        <v>0</v>
      </c>
      <c r="FA525" s="39">
        <f t="shared" si="8566"/>
        <v>0</v>
      </c>
      <c r="FB525" s="2">
        <f t="shared" si="8567"/>
        <v>0</v>
      </c>
      <c r="FC525" s="2">
        <f t="shared" ref="FC525:FD525" si="8744">BV525*$BT525+CQ525*$CO525</f>
        <v>0</v>
      </c>
      <c r="FD525" s="2">
        <f t="shared" si="8744"/>
        <v>0</v>
      </c>
      <c r="FE525" s="2">
        <f t="shared" ref="FE525:FJ525" si="8745">(BX525*$BT525+CS525*$CO525)/100</f>
        <v>0</v>
      </c>
      <c r="FF525" s="2">
        <f t="shared" si="8745"/>
        <v>0</v>
      </c>
      <c r="FG525" s="2">
        <f t="shared" si="8745"/>
        <v>0</v>
      </c>
      <c r="FH525" s="2">
        <f t="shared" si="8745"/>
        <v>0</v>
      </c>
      <c r="FI525" s="2">
        <f t="shared" si="8745"/>
        <v>0</v>
      </c>
      <c r="FJ525" s="2">
        <f t="shared" si="8745"/>
        <v>0</v>
      </c>
      <c r="FK525" s="2">
        <f t="shared" ref="FK525:FO525" si="8746">CD525*$BT525+CY525*$CO525</f>
        <v>0</v>
      </c>
      <c r="FL525" s="2">
        <f t="shared" si="8746"/>
        <v>0</v>
      </c>
      <c r="FM525" s="2">
        <f t="shared" si="8746"/>
        <v>0</v>
      </c>
      <c r="FN525" s="2">
        <f t="shared" si="8746"/>
        <v>0</v>
      </c>
      <c r="FO525" s="2">
        <f t="shared" si="8746"/>
        <v>0</v>
      </c>
      <c r="FP525" s="2">
        <f t="shared" ref="FP525:FQ525" si="8747">(CI525*$BT525+DD525*$CO525)/100</f>
        <v>0</v>
      </c>
      <c r="FQ525" s="2">
        <f t="shared" si="8747"/>
        <v>0</v>
      </c>
      <c r="FR525" s="2"/>
      <c r="FS525" s="2">
        <f t="shared" si="8572"/>
        <v>0</v>
      </c>
      <c r="FT525" s="2">
        <f t="shared" si="8573"/>
        <v>0</v>
      </c>
      <c r="FU525" s="39">
        <f t="shared" si="8574"/>
        <v>0</v>
      </c>
      <c r="FV525" s="39">
        <f t="shared" ref="FV525:FW525" si="8748">FV$1*FC525/1000000</f>
        <v>0</v>
      </c>
      <c r="FW525" s="39">
        <f t="shared" si="8748"/>
        <v>0</v>
      </c>
      <c r="FX525" s="39">
        <f t="shared" ref="FX525:GC525" si="8749">FX$1*FE525</f>
        <v>0</v>
      </c>
      <c r="FY525" s="39">
        <f t="shared" si="8749"/>
        <v>0</v>
      </c>
      <c r="FZ525" s="39">
        <f t="shared" si="8749"/>
        <v>0</v>
      </c>
      <c r="GA525" s="39">
        <f t="shared" si="8749"/>
        <v>0</v>
      </c>
      <c r="GB525" s="39">
        <f t="shared" si="8749"/>
        <v>0</v>
      </c>
      <c r="GC525" s="39">
        <f t="shared" si="8749"/>
        <v>0</v>
      </c>
      <c r="GD525" s="39">
        <f t="shared" ref="GD525:GH525" si="8750">GD$1*FK525/1000000</f>
        <v>0</v>
      </c>
      <c r="GE525" s="39">
        <f t="shared" si="8750"/>
        <v>0</v>
      </c>
      <c r="GF525" s="39">
        <f t="shared" si="8750"/>
        <v>0</v>
      </c>
      <c r="GG525" s="39">
        <f t="shared" si="8750"/>
        <v>0</v>
      </c>
      <c r="GH525" s="39">
        <f t="shared" si="8750"/>
        <v>0</v>
      </c>
      <c r="GI525" s="39">
        <f t="shared" ref="GI525:GJ525" si="8751">GI$1*FP525</f>
        <v>0</v>
      </c>
      <c r="GJ525" s="39">
        <f t="shared" si="8751"/>
        <v>0</v>
      </c>
      <c r="GK525" s="2"/>
      <c r="GL525" s="39">
        <f t="shared" si="8579"/>
        <v>0</v>
      </c>
      <c r="GM525" s="39">
        <f t="shared" si="8580"/>
        <v>0</v>
      </c>
      <c r="GN525" s="2" t="s">
        <v>3</v>
      </c>
      <c r="GO525" s="19">
        <f t="shared" si="8581"/>
        <v>4.4675609999999999</v>
      </c>
      <c r="GP525" s="2">
        <f t="shared" si="8582"/>
        <v>1.47</v>
      </c>
      <c r="GQ525" s="15">
        <f t="shared" si="8583"/>
        <v>65.673146700000004</v>
      </c>
      <c r="GR525" s="15">
        <f t="shared" si="8584"/>
        <v>1208.1653375804544</v>
      </c>
      <c r="GS525" s="15">
        <f t="shared" si="8585"/>
        <v>270.43063040000004</v>
      </c>
      <c r="GT525" s="2">
        <f t="shared" si="8586"/>
        <v>0</v>
      </c>
      <c r="GU525" s="2">
        <f t="shared" si="8587"/>
        <v>0</v>
      </c>
      <c r="GV525" s="2">
        <f t="shared" si="8588"/>
        <v>65.673146700000004</v>
      </c>
      <c r="GW525" s="2">
        <f t="shared" si="8589"/>
        <v>0</v>
      </c>
      <c r="GX525" s="2"/>
      <c r="GY525" s="2"/>
      <c r="GZ525" s="2"/>
      <c r="HA525" s="2"/>
      <c r="HB525" s="2">
        <f t="shared" si="8590"/>
        <v>0</v>
      </c>
      <c r="HC525" s="2">
        <f t="shared" si="8591"/>
        <v>0</v>
      </c>
      <c r="HD525" s="2" t="s">
        <v>3</v>
      </c>
      <c r="HE525" s="2" t="s">
        <v>89</v>
      </c>
      <c r="HF525" s="2" t="s">
        <v>123</v>
      </c>
      <c r="HG525" s="2"/>
      <c r="HH525" s="2"/>
      <c r="HI525" s="2" t="s">
        <v>81</v>
      </c>
      <c r="HJ525" s="2" t="s">
        <v>3</v>
      </c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 t="s">
        <v>3</v>
      </c>
    </row>
    <row r="526" spans="1:268" ht="15.75" customHeight="1" x14ac:dyDescent="0.2">
      <c r="A526" s="16" t="s">
        <v>1116</v>
      </c>
      <c r="B526" s="2" t="s">
        <v>120</v>
      </c>
      <c r="C526" s="2"/>
      <c r="D526" s="2"/>
      <c r="E526" s="2"/>
      <c r="F526" s="2" t="s">
        <v>997</v>
      </c>
      <c r="G526" s="2"/>
      <c r="H526" s="2"/>
      <c r="I526" s="2">
        <v>0</v>
      </c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>
        <v>0</v>
      </c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4">
        <v>26.753516999999999</v>
      </c>
      <c r="AZ526" s="2">
        <v>1.1499999999999999</v>
      </c>
      <c r="BA526" s="2"/>
      <c r="BB526" s="2"/>
      <c r="BC526" s="2"/>
      <c r="BD526" s="2"/>
      <c r="BE526" s="2"/>
      <c r="BF526" s="2"/>
      <c r="BG526" s="2">
        <v>0.79</v>
      </c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>
        <v>0</v>
      </c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>
        <v>0</v>
      </c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 t="s">
        <v>81</v>
      </c>
      <c r="DK526" s="2"/>
      <c r="DL526" s="2">
        <f t="shared" si="8551"/>
        <v>0.79</v>
      </c>
      <c r="DM526" s="2">
        <f t="shared" si="8552"/>
        <v>0</v>
      </c>
      <c r="DN526" s="2" t="s">
        <v>998</v>
      </c>
      <c r="DO526" s="2" t="s">
        <v>3</v>
      </c>
      <c r="DP526" s="2">
        <f t="shared" si="8553"/>
        <v>0.30766544549999997</v>
      </c>
      <c r="DQ526" s="2">
        <f t="shared" ref="DQ526:DR526" si="8752">K526*$I526+AF526*$AD526+BA526*$AY526</f>
        <v>0</v>
      </c>
      <c r="DR526" s="2">
        <f t="shared" si="8752"/>
        <v>0</v>
      </c>
      <c r="DS526" s="2">
        <f t="shared" ref="DS526:DX526" si="8753">(M526*$I526+AH526*$AD526+BC526*$AY526)/100</f>
        <v>0</v>
      </c>
      <c r="DT526" s="2">
        <f t="shared" si="8753"/>
        <v>0</v>
      </c>
      <c r="DU526" s="2">
        <f t="shared" si="8753"/>
        <v>0</v>
      </c>
      <c r="DV526" s="2">
        <f t="shared" si="8753"/>
        <v>0</v>
      </c>
      <c r="DW526" s="2">
        <f t="shared" si="8753"/>
        <v>0.21135278429999999</v>
      </c>
      <c r="DX526" s="2">
        <f t="shared" si="8753"/>
        <v>0</v>
      </c>
      <c r="DY526" s="2">
        <f t="shared" ref="DY526:EC526" si="8754">S526*$I526+AN526*$AD526+BI526*$AY526</f>
        <v>0</v>
      </c>
      <c r="DZ526" s="2">
        <f t="shared" si="8754"/>
        <v>0</v>
      </c>
      <c r="EA526" s="2">
        <f t="shared" si="8754"/>
        <v>0</v>
      </c>
      <c r="EB526" s="2">
        <f t="shared" si="8754"/>
        <v>0</v>
      </c>
      <c r="EC526" s="2">
        <f t="shared" si="8754"/>
        <v>0</v>
      </c>
      <c r="ED526" s="2">
        <f t="shared" ref="ED526:EE526" si="8755">(X526*$I526+AS526*$AD526+BN526*$AY526)/100</f>
        <v>0</v>
      </c>
      <c r="EE526" s="2">
        <f t="shared" si="8755"/>
        <v>0</v>
      </c>
      <c r="EF526" s="2"/>
      <c r="EG526" s="2">
        <f t="shared" si="8558"/>
        <v>0</v>
      </c>
      <c r="EH526" s="2">
        <f t="shared" si="8559"/>
        <v>0</v>
      </c>
      <c r="EI526" s="39">
        <f t="shared" si="8560"/>
        <v>2007.7065538019278</v>
      </c>
      <c r="EJ526" s="39">
        <f t="shared" ref="EJ526:EK526" si="8756">EJ$1*DQ526/1000000</f>
        <v>0</v>
      </c>
      <c r="EK526" s="39">
        <f t="shared" si="8756"/>
        <v>0</v>
      </c>
      <c r="EL526" s="39">
        <f t="shared" ref="EL526:EQ526" si="8757">EL$1*DS526</f>
        <v>0</v>
      </c>
      <c r="EM526" s="39">
        <f t="shared" si="8757"/>
        <v>0</v>
      </c>
      <c r="EN526" s="39">
        <f t="shared" si="8757"/>
        <v>0</v>
      </c>
      <c r="EO526" s="39">
        <f t="shared" si="8757"/>
        <v>0</v>
      </c>
      <c r="EP526" s="39">
        <f t="shared" si="8757"/>
        <v>2771.6804133101996</v>
      </c>
      <c r="EQ526" s="39">
        <f t="shared" si="8757"/>
        <v>0</v>
      </c>
      <c r="ER526" s="39">
        <f t="shared" ref="ER526:EV526" si="8758">ER$1*DY526/1000000</f>
        <v>0</v>
      </c>
      <c r="ES526" s="39">
        <f t="shared" si="8758"/>
        <v>0</v>
      </c>
      <c r="ET526" s="39">
        <f t="shared" si="8758"/>
        <v>0</v>
      </c>
      <c r="EU526" s="39">
        <f t="shared" si="8758"/>
        <v>0</v>
      </c>
      <c r="EV526" s="39">
        <f t="shared" si="8758"/>
        <v>0</v>
      </c>
      <c r="EW526" s="39">
        <f t="shared" ref="EW526:EX526" si="8759">EW$1*ED526</f>
        <v>0</v>
      </c>
      <c r="EX526" s="39">
        <f t="shared" si="8759"/>
        <v>0</v>
      </c>
      <c r="EY526" s="2"/>
      <c r="EZ526" s="39">
        <f t="shared" si="8565"/>
        <v>0</v>
      </c>
      <c r="FA526" s="39">
        <f t="shared" si="8566"/>
        <v>0</v>
      </c>
      <c r="FB526" s="2">
        <f t="shared" si="8567"/>
        <v>0</v>
      </c>
      <c r="FC526" s="2">
        <f t="shared" ref="FC526:FD526" si="8760">BV526*$BT526+CQ526*$CO526</f>
        <v>0</v>
      </c>
      <c r="FD526" s="2">
        <f t="shared" si="8760"/>
        <v>0</v>
      </c>
      <c r="FE526" s="2">
        <f t="shared" ref="FE526:FJ526" si="8761">(BX526*$BT526+CS526*$CO526)/100</f>
        <v>0</v>
      </c>
      <c r="FF526" s="2">
        <f t="shared" si="8761"/>
        <v>0</v>
      </c>
      <c r="FG526" s="2">
        <f t="shared" si="8761"/>
        <v>0</v>
      </c>
      <c r="FH526" s="2">
        <f t="shared" si="8761"/>
        <v>0</v>
      </c>
      <c r="FI526" s="2">
        <f t="shared" si="8761"/>
        <v>0</v>
      </c>
      <c r="FJ526" s="2">
        <f t="shared" si="8761"/>
        <v>0</v>
      </c>
      <c r="FK526" s="2">
        <f t="shared" ref="FK526:FO526" si="8762">CD526*$BT526+CY526*$CO526</f>
        <v>0</v>
      </c>
      <c r="FL526" s="2">
        <f t="shared" si="8762"/>
        <v>0</v>
      </c>
      <c r="FM526" s="2">
        <f t="shared" si="8762"/>
        <v>0</v>
      </c>
      <c r="FN526" s="2">
        <f t="shared" si="8762"/>
        <v>0</v>
      </c>
      <c r="FO526" s="2">
        <f t="shared" si="8762"/>
        <v>0</v>
      </c>
      <c r="FP526" s="2">
        <f t="shared" ref="FP526:FQ526" si="8763">(CI526*$BT526+DD526*$CO526)/100</f>
        <v>0</v>
      </c>
      <c r="FQ526" s="2">
        <f t="shared" si="8763"/>
        <v>0</v>
      </c>
      <c r="FR526" s="2"/>
      <c r="FS526" s="2">
        <f t="shared" si="8572"/>
        <v>0</v>
      </c>
      <c r="FT526" s="2">
        <f t="shared" si="8573"/>
        <v>0</v>
      </c>
      <c r="FU526" s="39">
        <f t="shared" si="8574"/>
        <v>0</v>
      </c>
      <c r="FV526" s="39">
        <f t="shared" ref="FV526:FW526" si="8764">FV$1*FC526/1000000</f>
        <v>0</v>
      </c>
      <c r="FW526" s="39">
        <f t="shared" si="8764"/>
        <v>0</v>
      </c>
      <c r="FX526" s="39">
        <f t="shared" ref="FX526:GC526" si="8765">FX$1*FE526</f>
        <v>0</v>
      </c>
      <c r="FY526" s="39">
        <f t="shared" si="8765"/>
        <v>0</v>
      </c>
      <c r="FZ526" s="39">
        <f t="shared" si="8765"/>
        <v>0</v>
      </c>
      <c r="GA526" s="39">
        <f t="shared" si="8765"/>
        <v>0</v>
      </c>
      <c r="GB526" s="39">
        <f t="shared" si="8765"/>
        <v>0</v>
      </c>
      <c r="GC526" s="39">
        <f t="shared" si="8765"/>
        <v>0</v>
      </c>
      <c r="GD526" s="39">
        <f t="shared" ref="GD526:GH526" si="8766">GD$1*FK526/1000000</f>
        <v>0</v>
      </c>
      <c r="GE526" s="39">
        <f t="shared" si="8766"/>
        <v>0</v>
      </c>
      <c r="GF526" s="39">
        <f t="shared" si="8766"/>
        <v>0</v>
      </c>
      <c r="GG526" s="39">
        <f t="shared" si="8766"/>
        <v>0</v>
      </c>
      <c r="GH526" s="39">
        <f t="shared" si="8766"/>
        <v>0</v>
      </c>
      <c r="GI526" s="39">
        <f t="shared" ref="GI526:GJ526" si="8767">GI$1*FP526</f>
        <v>0</v>
      </c>
      <c r="GJ526" s="39">
        <f t="shared" si="8767"/>
        <v>0</v>
      </c>
      <c r="GK526" s="2"/>
      <c r="GL526" s="39">
        <f t="shared" si="8579"/>
        <v>0</v>
      </c>
      <c r="GM526" s="39">
        <f t="shared" si="8580"/>
        <v>0</v>
      </c>
      <c r="GN526" s="2" t="s">
        <v>3</v>
      </c>
      <c r="GO526" s="4">
        <f t="shared" si="8581"/>
        <v>26.753516999999999</v>
      </c>
      <c r="GP526" s="2">
        <f t="shared" si="8582"/>
        <v>0.79</v>
      </c>
      <c r="GQ526" s="15">
        <f t="shared" si="8583"/>
        <v>211.35278430000002</v>
      </c>
      <c r="GR526" s="15">
        <f t="shared" si="8584"/>
        <v>4779.3869671121274</v>
      </c>
      <c r="GS526" s="15">
        <f t="shared" si="8585"/>
        <v>178.645184</v>
      </c>
      <c r="GT526" s="2">
        <f t="shared" si="8586"/>
        <v>0</v>
      </c>
      <c r="GU526" s="2">
        <f t="shared" si="8587"/>
        <v>0</v>
      </c>
      <c r="GV526" s="2">
        <f t="shared" si="8588"/>
        <v>211.3527843</v>
      </c>
      <c r="GW526" s="2">
        <f t="shared" si="8589"/>
        <v>0</v>
      </c>
      <c r="GX526" s="2"/>
      <c r="GY526" s="2"/>
      <c r="GZ526" s="2"/>
      <c r="HA526" s="2"/>
      <c r="HB526" s="2">
        <f t="shared" si="8590"/>
        <v>0</v>
      </c>
      <c r="HC526" s="2">
        <f t="shared" si="8591"/>
        <v>0</v>
      </c>
      <c r="HD526" s="2" t="s">
        <v>3</v>
      </c>
      <c r="HE526" s="2" t="s">
        <v>89</v>
      </c>
      <c r="HF526" s="2" t="s">
        <v>123</v>
      </c>
      <c r="HG526" s="2"/>
      <c r="HH526" s="2"/>
      <c r="HI526" s="2" t="s">
        <v>81</v>
      </c>
      <c r="HJ526" s="2" t="s">
        <v>3</v>
      </c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 t="s">
        <v>3</v>
      </c>
    </row>
    <row r="527" spans="1:268" ht="15.75" customHeight="1" x14ac:dyDescent="0.2">
      <c r="A527" s="16" t="s">
        <v>1117</v>
      </c>
      <c r="B527" s="2" t="s">
        <v>120</v>
      </c>
      <c r="C527" s="2"/>
      <c r="D527" s="2"/>
      <c r="E527" s="2"/>
      <c r="F527" s="2" t="s">
        <v>997</v>
      </c>
      <c r="G527" s="2"/>
      <c r="H527" s="2"/>
      <c r="I527" s="2">
        <v>0</v>
      </c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>
        <v>0</v>
      </c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4">
        <v>19.505586000000001</v>
      </c>
      <c r="AZ527" s="2">
        <v>0.75</v>
      </c>
      <c r="BA527" s="2"/>
      <c r="BB527" s="2"/>
      <c r="BC527" s="2"/>
      <c r="BD527" s="2"/>
      <c r="BE527" s="2"/>
      <c r="BF527" s="2"/>
      <c r="BG527" s="2">
        <v>0.68</v>
      </c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>
        <v>0</v>
      </c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>
        <v>0</v>
      </c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 t="s">
        <v>81</v>
      </c>
      <c r="DK527" s="2"/>
      <c r="DL527" s="2">
        <f t="shared" si="8551"/>
        <v>0.68</v>
      </c>
      <c r="DM527" s="2">
        <f t="shared" si="8552"/>
        <v>0</v>
      </c>
      <c r="DN527" s="2" t="s">
        <v>998</v>
      </c>
      <c r="DO527" s="2" t="s">
        <v>3</v>
      </c>
      <c r="DP527" s="2">
        <f t="shared" si="8553"/>
        <v>0.14629189500000001</v>
      </c>
      <c r="DQ527" s="2">
        <f t="shared" ref="DQ527:DR527" si="8768">K527*$I527+AF527*$AD527+BA527*$AY527</f>
        <v>0</v>
      </c>
      <c r="DR527" s="2">
        <f t="shared" si="8768"/>
        <v>0</v>
      </c>
      <c r="DS527" s="2">
        <f t="shared" ref="DS527:DX527" si="8769">(M527*$I527+AH527*$AD527+BC527*$AY527)/100</f>
        <v>0</v>
      </c>
      <c r="DT527" s="2">
        <f t="shared" si="8769"/>
        <v>0</v>
      </c>
      <c r="DU527" s="2">
        <f t="shared" si="8769"/>
        <v>0</v>
      </c>
      <c r="DV527" s="2">
        <f t="shared" si="8769"/>
        <v>0</v>
      </c>
      <c r="DW527" s="2">
        <f t="shared" si="8769"/>
        <v>0.13263798480000002</v>
      </c>
      <c r="DX527" s="2">
        <f t="shared" si="8769"/>
        <v>0</v>
      </c>
      <c r="DY527" s="2">
        <f t="shared" ref="DY527:EC527" si="8770">S527*$I527+AN527*$AD527+BI527*$AY527</f>
        <v>0</v>
      </c>
      <c r="DZ527" s="2">
        <f t="shared" si="8770"/>
        <v>0</v>
      </c>
      <c r="EA527" s="2">
        <f t="shared" si="8770"/>
        <v>0</v>
      </c>
      <c r="EB527" s="2">
        <f t="shared" si="8770"/>
        <v>0</v>
      </c>
      <c r="EC527" s="2">
        <f t="shared" si="8770"/>
        <v>0</v>
      </c>
      <c r="ED527" s="2">
        <f t="shared" ref="ED527:EE527" si="8771">(X527*$I527+AS527*$AD527+BN527*$AY527)/100</f>
        <v>0</v>
      </c>
      <c r="EE527" s="2">
        <f t="shared" si="8771"/>
        <v>0</v>
      </c>
      <c r="EF527" s="2"/>
      <c r="EG527" s="2">
        <f t="shared" si="8558"/>
        <v>0</v>
      </c>
      <c r="EH527" s="2">
        <f t="shared" si="8559"/>
        <v>0</v>
      </c>
      <c r="EI527" s="39">
        <f t="shared" si="8560"/>
        <v>954.64473068232007</v>
      </c>
      <c r="EJ527" s="39">
        <f t="shared" ref="EJ527:EK527" si="8772">EJ$1*DQ527/1000000</f>
        <v>0</v>
      </c>
      <c r="EK527" s="39">
        <f t="shared" si="8772"/>
        <v>0</v>
      </c>
      <c r="EL527" s="39">
        <f t="shared" ref="EL527:EQ527" si="8773">EL$1*DS527</f>
        <v>0</v>
      </c>
      <c r="EM527" s="39">
        <f t="shared" si="8773"/>
        <v>0</v>
      </c>
      <c r="EN527" s="39">
        <f t="shared" si="8773"/>
        <v>0</v>
      </c>
      <c r="EO527" s="39">
        <f t="shared" si="8773"/>
        <v>0</v>
      </c>
      <c r="EP527" s="39">
        <f t="shared" si="8773"/>
        <v>1739.4145326672003</v>
      </c>
      <c r="EQ527" s="39">
        <f t="shared" si="8773"/>
        <v>0</v>
      </c>
      <c r="ER527" s="39">
        <f t="shared" ref="ER527:EV527" si="8774">ER$1*DY527/1000000</f>
        <v>0</v>
      </c>
      <c r="ES527" s="39">
        <f t="shared" si="8774"/>
        <v>0</v>
      </c>
      <c r="ET527" s="39">
        <f t="shared" si="8774"/>
        <v>0</v>
      </c>
      <c r="EU527" s="39">
        <f t="shared" si="8774"/>
        <v>0</v>
      </c>
      <c r="EV527" s="39">
        <f t="shared" si="8774"/>
        <v>0</v>
      </c>
      <c r="EW527" s="39">
        <f t="shared" ref="EW527:EX527" si="8775">EW$1*ED527</f>
        <v>0</v>
      </c>
      <c r="EX527" s="39">
        <f t="shared" si="8775"/>
        <v>0</v>
      </c>
      <c r="EY527" s="2"/>
      <c r="EZ527" s="39">
        <f t="shared" si="8565"/>
        <v>0</v>
      </c>
      <c r="FA527" s="39">
        <f t="shared" si="8566"/>
        <v>0</v>
      </c>
      <c r="FB527" s="2">
        <f t="shared" si="8567"/>
        <v>0</v>
      </c>
      <c r="FC527" s="2">
        <f t="shared" ref="FC527:FD527" si="8776">BV527*$BT527+CQ527*$CO527</f>
        <v>0</v>
      </c>
      <c r="FD527" s="2">
        <f t="shared" si="8776"/>
        <v>0</v>
      </c>
      <c r="FE527" s="2">
        <f t="shared" ref="FE527:FJ527" si="8777">(BX527*$BT527+CS527*$CO527)/100</f>
        <v>0</v>
      </c>
      <c r="FF527" s="2">
        <f t="shared" si="8777"/>
        <v>0</v>
      </c>
      <c r="FG527" s="2">
        <f t="shared" si="8777"/>
        <v>0</v>
      </c>
      <c r="FH527" s="2">
        <f t="shared" si="8777"/>
        <v>0</v>
      </c>
      <c r="FI527" s="2">
        <f t="shared" si="8777"/>
        <v>0</v>
      </c>
      <c r="FJ527" s="2">
        <f t="shared" si="8777"/>
        <v>0</v>
      </c>
      <c r="FK527" s="2">
        <f t="shared" ref="FK527:FO527" si="8778">CD527*$BT527+CY527*$CO527</f>
        <v>0</v>
      </c>
      <c r="FL527" s="2">
        <f t="shared" si="8778"/>
        <v>0</v>
      </c>
      <c r="FM527" s="2">
        <f t="shared" si="8778"/>
        <v>0</v>
      </c>
      <c r="FN527" s="2">
        <f t="shared" si="8778"/>
        <v>0</v>
      </c>
      <c r="FO527" s="2">
        <f t="shared" si="8778"/>
        <v>0</v>
      </c>
      <c r="FP527" s="2">
        <f t="shared" ref="FP527:FQ527" si="8779">(CI527*$BT527+DD527*$CO527)/100</f>
        <v>0</v>
      </c>
      <c r="FQ527" s="2">
        <f t="shared" si="8779"/>
        <v>0</v>
      </c>
      <c r="FR527" s="2"/>
      <c r="FS527" s="2">
        <f t="shared" si="8572"/>
        <v>0</v>
      </c>
      <c r="FT527" s="2">
        <f t="shared" si="8573"/>
        <v>0</v>
      </c>
      <c r="FU527" s="39">
        <f t="shared" si="8574"/>
        <v>0</v>
      </c>
      <c r="FV527" s="39">
        <f t="shared" ref="FV527:FW527" si="8780">FV$1*FC527/1000000</f>
        <v>0</v>
      </c>
      <c r="FW527" s="39">
        <f t="shared" si="8780"/>
        <v>0</v>
      </c>
      <c r="FX527" s="39">
        <f t="shared" ref="FX527:GC527" si="8781">FX$1*FE527</f>
        <v>0</v>
      </c>
      <c r="FY527" s="39">
        <f t="shared" si="8781"/>
        <v>0</v>
      </c>
      <c r="FZ527" s="39">
        <f t="shared" si="8781"/>
        <v>0</v>
      </c>
      <c r="GA527" s="39">
        <f t="shared" si="8781"/>
        <v>0</v>
      </c>
      <c r="GB527" s="39">
        <f t="shared" si="8781"/>
        <v>0</v>
      </c>
      <c r="GC527" s="39">
        <f t="shared" si="8781"/>
        <v>0</v>
      </c>
      <c r="GD527" s="39">
        <f t="shared" ref="GD527:GH527" si="8782">GD$1*FK527/1000000</f>
        <v>0</v>
      </c>
      <c r="GE527" s="39">
        <f t="shared" si="8782"/>
        <v>0</v>
      </c>
      <c r="GF527" s="39">
        <f t="shared" si="8782"/>
        <v>0</v>
      </c>
      <c r="GG527" s="39">
        <f t="shared" si="8782"/>
        <v>0</v>
      </c>
      <c r="GH527" s="39">
        <f t="shared" si="8782"/>
        <v>0</v>
      </c>
      <c r="GI527" s="39">
        <f t="shared" ref="GI527:GJ527" si="8783">GI$1*FP527</f>
        <v>0</v>
      </c>
      <c r="GJ527" s="39">
        <f t="shared" si="8783"/>
        <v>0</v>
      </c>
      <c r="GK527" s="2"/>
      <c r="GL527" s="39">
        <f t="shared" si="8579"/>
        <v>0</v>
      </c>
      <c r="GM527" s="39">
        <f t="shared" si="8580"/>
        <v>0</v>
      </c>
      <c r="GN527" s="2" t="s">
        <v>3</v>
      </c>
      <c r="GO527" s="4">
        <f t="shared" si="8581"/>
        <v>19.505586000000001</v>
      </c>
      <c r="GP527" s="2">
        <f t="shared" si="8582"/>
        <v>0.68</v>
      </c>
      <c r="GQ527" s="15">
        <f t="shared" si="8583"/>
        <v>132.63798480000003</v>
      </c>
      <c r="GR527" s="15">
        <f t="shared" si="8584"/>
        <v>2694.0592633495203</v>
      </c>
      <c r="GS527" s="15">
        <f t="shared" si="8585"/>
        <v>138.11732000000001</v>
      </c>
      <c r="GT527" s="2">
        <f t="shared" si="8586"/>
        <v>0</v>
      </c>
      <c r="GU527" s="2">
        <f t="shared" si="8587"/>
        <v>0</v>
      </c>
      <c r="GV527" s="2">
        <f t="shared" si="8588"/>
        <v>132.63798480000003</v>
      </c>
      <c r="GW527" s="2">
        <f t="shared" si="8589"/>
        <v>0</v>
      </c>
      <c r="GX527" s="2"/>
      <c r="GY527" s="2"/>
      <c r="GZ527" s="2"/>
      <c r="HA527" s="2"/>
      <c r="HB527" s="2">
        <f t="shared" si="8590"/>
        <v>0</v>
      </c>
      <c r="HC527" s="2">
        <f t="shared" si="8591"/>
        <v>0</v>
      </c>
      <c r="HD527" s="2" t="s">
        <v>3</v>
      </c>
      <c r="HE527" s="2" t="s">
        <v>89</v>
      </c>
      <c r="HF527" s="2" t="s">
        <v>123</v>
      </c>
      <c r="HG527" s="2"/>
      <c r="HH527" s="2"/>
      <c r="HI527" s="2" t="s">
        <v>81</v>
      </c>
      <c r="HJ527" s="2" t="s">
        <v>3</v>
      </c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 t="s">
        <v>3</v>
      </c>
    </row>
    <row r="528" spans="1:268" ht="15.75" customHeight="1" x14ac:dyDescent="0.2">
      <c r="A528" s="16" t="s">
        <v>1118</v>
      </c>
      <c r="B528" s="2" t="s">
        <v>120</v>
      </c>
      <c r="C528" s="2"/>
      <c r="D528" s="2"/>
      <c r="E528" s="2"/>
      <c r="F528" s="2" t="s">
        <v>997</v>
      </c>
      <c r="G528" s="2"/>
      <c r="H528" s="2"/>
      <c r="I528" s="2">
        <v>0</v>
      </c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>
        <v>0</v>
      </c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4">
        <v>5.9466710000000003</v>
      </c>
      <c r="AZ528" s="2">
        <v>0.95</v>
      </c>
      <c r="BA528" s="2"/>
      <c r="BB528" s="2"/>
      <c r="BC528" s="2"/>
      <c r="BD528" s="2"/>
      <c r="BE528" s="2"/>
      <c r="BF528" s="2"/>
      <c r="BG528" s="2">
        <v>1.0900000000000001</v>
      </c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>
        <v>0</v>
      </c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>
        <v>0</v>
      </c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 t="s">
        <v>81</v>
      </c>
      <c r="DK528" s="2"/>
      <c r="DL528" s="2">
        <f t="shared" si="8551"/>
        <v>1.0900000000000001</v>
      </c>
      <c r="DM528" s="2">
        <f t="shared" si="8552"/>
        <v>0</v>
      </c>
      <c r="DN528" s="2" t="s">
        <v>998</v>
      </c>
      <c r="DO528" s="2" t="s">
        <v>3</v>
      </c>
      <c r="DP528" s="2">
        <f t="shared" si="8553"/>
        <v>5.6493374499999999E-2</v>
      </c>
      <c r="DQ528" s="2">
        <f t="shared" ref="DQ528:DR528" si="8784">K528*$I528+AF528*$AD528+BA528*$AY528</f>
        <v>0</v>
      </c>
      <c r="DR528" s="2">
        <f t="shared" si="8784"/>
        <v>0</v>
      </c>
      <c r="DS528" s="2">
        <f t="shared" ref="DS528:DX528" si="8785">(M528*$I528+AH528*$AD528+BC528*$AY528)/100</f>
        <v>0</v>
      </c>
      <c r="DT528" s="2">
        <f t="shared" si="8785"/>
        <v>0</v>
      </c>
      <c r="DU528" s="2">
        <f t="shared" si="8785"/>
        <v>0</v>
      </c>
      <c r="DV528" s="2">
        <f t="shared" si="8785"/>
        <v>0</v>
      </c>
      <c r="DW528" s="2">
        <f t="shared" si="8785"/>
        <v>6.4818713900000005E-2</v>
      </c>
      <c r="DX528" s="2">
        <f t="shared" si="8785"/>
        <v>0</v>
      </c>
      <c r="DY528" s="2">
        <f t="shared" ref="DY528:EC528" si="8786">S528*$I528+AN528*$AD528+BI528*$AY528</f>
        <v>0</v>
      </c>
      <c r="DZ528" s="2">
        <f t="shared" si="8786"/>
        <v>0</v>
      </c>
      <c r="EA528" s="2">
        <f t="shared" si="8786"/>
        <v>0</v>
      </c>
      <c r="EB528" s="2">
        <f t="shared" si="8786"/>
        <v>0</v>
      </c>
      <c r="EC528" s="2">
        <f t="shared" si="8786"/>
        <v>0</v>
      </c>
      <c r="ED528" s="2">
        <f t="shared" ref="ED528:EE528" si="8787">(X528*$I528+AS528*$AD528+BN528*$AY528)/100</f>
        <v>0</v>
      </c>
      <c r="EE528" s="2">
        <f t="shared" si="8787"/>
        <v>0</v>
      </c>
      <c r="EF528" s="2"/>
      <c r="EG528" s="2">
        <f t="shared" si="8558"/>
        <v>0</v>
      </c>
      <c r="EH528" s="2">
        <f t="shared" si="8559"/>
        <v>0</v>
      </c>
      <c r="EI528" s="39">
        <f t="shared" si="8560"/>
        <v>368.65406853119197</v>
      </c>
      <c r="EJ528" s="39">
        <f t="shared" ref="EJ528:EK528" si="8788">EJ$1*DQ528/1000000</f>
        <v>0</v>
      </c>
      <c r="EK528" s="39">
        <f t="shared" si="8788"/>
        <v>0</v>
      </c>
      <c r="EL528" s="39">
        <f t="shared" ref="EL528:EQ528" si="8789">EL$1*DS528</f>
        <v>0</v>
      </c>
      <c r="EM528" s="39">
        <f t="shared" si="8789"/>
        <v>0</v>
      </c>
      <c r="EN528" s="39">
        <f t="shared" si="8789"/>
        <v>0</v>
      </c>
      <c r="EO528" s="39">
        <f t="shared" si="8789"/>
        <v>0</v>
      </c>
      <c r="EP528" s="39">
        <f t="shared" si="8789"/>
        <v>850.03261408460003</v>
      </c>
      <c r="EQ528" s="39">
        <f t="shared" si="8789"/>
        <v>0</v>
      </c>
      <c r="ER528" s="39">
        <f t="shared" ref="ER528:EV528" si="8790">ER$1*DY528/1000000</f>
        <v>0</v>
      </c>
      <c r="ES528" s="39">
        <f t="shared" si="8790"/>
        <v>0</v>
      </c>
      <c r="ET528" s="39">
        <f t="shared" si="8790"/>
        <v>0</v>
      </c>
      <c r="EU528" s="39">
        <f t="shared" si="8790"/>
        <v>0</v>
      </c>
      <c r="EV528" s="39">
        <f t="shared" si="8790"/>
        <v>0</v>
      </c>
      <c r="EW528" s="39">
        <f t="shared" ref="EW528:EX528" si="8791">EW$1*ED528</f>
        <v>0</v>
      </c>
      <c r="EX528" s="39">
        <f t="shared" si="8791"/>
        <v>0</v>
      </c>
      <c r="EY528" s="2"/>
      <c r="EZ528" s="39">
        <f t="shared" si="8565"/>
        <v>0</v>
      </c>
      <c r="FA528" s="39">
        <f t="shared" si="8566"/>
        <v>0</v>
      </c>
      <c r="FB528" s="2">
        <f t="shared" si="8567"/>
        <v>0</v>
      </c>
      <c r="FC528" s="2">
        <f t="shared" ref="FC528:FD528" si="8792">BV528*$BT528+CQ528*$CO528</f>
        <v>0</v>
      </c>
      <c r="FD528" s="2">
        <f t="shared" si="8792"/>
        <v>0</v>
      </c>
      <c r="FE528" s="2">
        <f t="shared" ref="FE528:FJ528" si="8793">(BX528*$BT528+CS528*$CO528)/100</f>
        <v>0</v>
      </c>
      <c r="FF528" s="2">
        <f t="shared" si="8793"/>
        <v>0</v>
      </c>
      <c r="FG528" s="2">
        <f t="shared" si="8793"/>
        <v>0</v>
      </c>
      <c r="FH528" s="2">
        <f t="shared" si="8793"/>
        <v>0</v>
      </c>
      <c r="FI528" s="2">
        <f t="shared" si="8793"/>
        <v>0</v>
      </c>
      <c r="FJ528" s="2">
        <f t="shared" si="8793"/>
        <v>0</v>
      </c>
      <c r="FK528" s="2">
        <f t="shared" ref="FK528:FO528" si="8794">CD528*$BT528+CY528*$CO528</f>
        <v>0</v>
      </c>
      <c r="FL528" s="2">
        <f t="shared" si="8794"/>
        <v>0</v>
      </c>
      <c r="FM528" s="2">
        <f t="shared" si="8794"/>
        <v>0</v>
      </c>
      <c r="FN528" s="2">
        <f t="shared" si="8794"/>
        <v>0</v>
      </c>
      <c r="FO528" s="2">
        <f t="shared" si="8794"/>
        <v>0</v>
      </c>
      <c r="FP528" s="2">
        <f t="shared" ref="FP528:FQ528" si="8795">(CI528*$BT528+DD528*$CO528)/100</f>
        <v>0</v>
      </c>
      <c r="FQ528" s="2">
        <f t="shared" si="8795"/>
        <v>0</v>
      </c>
      <c r="FR528" s="2"/>
      <c r="FS528" s="2">
        <f t="shared" si="8572"/>
        <v>0</v>
      </c>
      <c r="FT528" s="2">
        <f t="shared" si="8573"/>
        <v>0</v>
      </c>
      <c r="FU528" s="39">
        <f t="shared" si="8574"/>
        <v>0</v>
      </c>
      <c r="FV528" s="39">
        <f t="shared" ref="FV528:FW528" si="8796">FV$1*FC528/1000000</f>
        <v>0</v>
      </c>
      <c r="FW528" s="39">
        <f t="shared" si="8796"/>
        <v>0</v>
      </c>
      <c r="FX528" s="39">
        <f t="shared" ref="FX528:GC528" si="8797">FX$1*FE528</f>
        <v>0</v>
      </c>
      <c r="FY528" s="39">
        <f t="shared" si="8797"/>
        <v>0</v>
      </c>
      <c r="FZ528" s="39">
        <f t="shared" si="8797"/>
        <v>0</v>
      </c>
      <c r="GA528" s="39">
        <f t="shared" si="8797"/>
        <v>0</v>
      </c>
      <c r="GB528" s="39">
        <f t="shared" si="8797"/>
        <v>0</v>
      </c>
      <c r="GC528" s="39">
        <f t="shared" si="8797"/>
        <v>0</v>
      </c>
      <c r="GD528" s="39">
        <f t="shared" ref="GD528:GH528" si="8798">GD$1*FK528/1000000</f>
        <v>0</v>
      </c>
      <c r="GE528" s="39">
        <f t="shared" si="8798"/>
        <v>0</v>
      </c>
      <c r="GF528" s="39">
        <f t="shared" si="8798"/>
        <v>0</v>
      </c>
      <c r="GG528" s="39">
        <f t="shared" si="8798"/>
        <v>0</v>
      </c>
      <c r="GH528" s="39">
        <f t="shared" si="8798"/>
        <v>0</v>
      </c>
      <c r="GI528" s="39">
        <f t="shared" ref="GI528:GJ528" si="8799">GI$1*FP528</f>
        <v>0</v>
      </c>
      <c r="GJ528" s="39">
        <f t="shared" si="8799"/>
        <v>0</v>
      </c>
      <c r="GK528" s="2"/>
      <c r="GL528" s="39">
        <f t="shared" si="8579"/>
        <v>0</v>
      </c>
      <c r="GM528" s="39">
        <f t="shared" si="8580"/>
        <v>0</v>
      </c>
      <c r="GN528" s="2" t="s">
        <v>3</v>
      </c>
      <c r="GO528" s="19">
        <f t="shared" si="8581"/>
        <v>5.9466710000000003</v>
      </c>
      <c r="GP528" s="2">
        <f t="shared" si="8582"/>
        <v>1.0900000000000001</v>
      </c>
      <c r="GQ528" s="15">
        <f t="shared" si="8583"/>
        <v>64.818713900000006</v>
      </c>
      <c r="GR528" s="15">
        <f t="shared" si="8584"/>
        <v>1218.6866826157921</v>
      </c>
      <c r="GS528" s="15">
        <f t="shared" si="8585"/>
        <v>204.93595199999999</v>
      </c>
      <c r="GT528" s="2">
        <f t="shared" si="8586"/>
        <v>0</v>
      </c>
      <c r="GU528" s="2">
        <f t="shared" si="8587"/>
        <v>0</v>
      </c>
      <c r="GV528" s="2">
        <f t="shared" si="8588"/>
        <v>64.818713900000006</v>
      </c>
      <c r="GW528" s="2">
        <f t="shared" si="8589"/>
        <v>0</v>
      </c>
      <c r="GX528" s="2"/>
      <c r="GY528" s="2"/>
      <c r="GZ528" s="2"/>
      <c r="HA528" s="2"/>
      <c r="HB528" s="2">
        <f t="shared" si="8590"/>
        <v>0</v>
      </c>
      <c r="HC528" s="2">
        <f t="shared" si="8591"/>
        <v>0</v>
      </c>
      <c r="HD528" s="2" t="s">
        <v>3</v>
      </c>
      <c r="HE528" s="2" t="s">
        <v>89</v>
      </c>
      <c r="HF528" s="2" t="s">
        <v>123</v>
      </c>
      <c r="HG528" s="2"/>
      <c r="HH528" s="2"/>
      <c r="HI528" s="2" t="s">
        <v>81</v>
      </c>
      <c r="HJ528" s="2" t="s">
        <v>3</v>
      </c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 t="s">
        <v>3</v>
      </c>
    </row>
    <row r="529" spans="1:268" ht="15.75" customHeight="1" x14ac:dyDescent="0.2">
      <c r="A529" s="16" t="s">
        <v>252</v>
      </c>
      <c r="B529" s="2" t="s">
        <v>99</v>
      </c>
      <c r="C529" s="2"/>
      <c r="D529" s="2"/>
      <c r="E529" s="2"/>
      <c r="F529" s="2" t="s">
        <v>79</v>
      </c>
      <c r="G529" s="2"/>
      <c r="H529" s="2"/>
      <c r="I529" s="2">
        <v>0</v>
      </c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>
        <v>0</v>
      </c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19">
        <v>4.3749169999999999</v>
      </c>
      <c r="AZ529" s="2">
        <v>0.87</v>
      </c>
      <c r="BA529" s="2"/>
      <c r="BB529" s="2"/>
      <c r="BC529" s="2"/>
      <c r="BD529" s="2"/>
      <c r="BE529" s="2"/>
      <c r="BF529" s="2"/>
      <c r="BG529" s="2">
        <v>0.52</v>
      </c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>
        <v>0</v>
      </c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>
        <v>0</v>
      </c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 t="s">
        <v>81</v>
      </c>
      <c r="DK529" s="2"/>
      <c r="DL529" s="2">
        <f t="shared" si="8551"/>
        <v>0.52</v>
      </c>
      <c r="DM529" s="2">
        <f t="shared" si="8552"/>
        <v>0</v>
      </c>
      <c r="DN529" s="2" t="s">
        <v>253</v>
      </c>
      <c r="DO529" s="2" t="s">
        <v>3</v>
      </c>
      <c r="DP529" s="2">
        <f t="shared" si="8553"/>
        <v>3.8061777900000003E-2</v>
      </c>
      <c r="DQ529" s="2">
        <f t="shared" ref="DQ529:DR529" si="8800">K529*$I529+AF529*$AD529+BA529*$AY529</f>
        <v>0</v>
      </c>
      <c r="DR529" s="2">
        <f t="shared" si="8800"/>
        <v>0</v>
      </c>
      <c r="DS529" s="2">
        <f t="shared" ref="DS529:DX529" si="8801">(M529*$I529+AH529*$AD529+BC529*$AY529)/100</f>
        <v>0</v>
      </c>
      <c r="DT529" s="2">
        <f t="shared" si="8801"/>
        <v>0</v>
      </c>
      <c r="DU529" s="2">
        <f t="shared" si="8801"/>
        <v>0</v>
      </c>
      <c r="DV529" s="2">
        <f t="shared" si="8801"/>
        <v>0</v>
      </c>
      <c r="DW529" s="2">
        <f t="shared" si="8801"/>
        <v>2.2749568400000003E-2</v>
      </c>
      <c r="DX529" s="2">
        <f t="shared" si="8801"/>
        <v>0</v>
      </c>
      <c r="DY529" s="2">
        <f t="shared" ref="DY529:EC529" si="8802">S529*$I529+AN529*$AD529+BI529*$AY529</f>
        <v>0</v>
      </c>
      <c r="DZ529" s="2">
        <f t="shared" si="8802"/>
        <v>0</v>
      </c>
      <c r="EA529" s="2">
        <f t="shared" si="8802"/>
        <v>0</v>
      </c>
      <c r="EB529" s="2">
        <f t="shared" si="8802"/>
        <v>0</v>
      </c>
      <c r="EC529" s="2">
        <f t="shared" si="8802"/>
        <v>0</v>
      </c>
      <c r="ED529" s="2">
        <f t="shared" ref="ED529:EE529" si="8803">(X529*$I529+AS529*$AD529+BN529*$AY529)/100</f>
        <v>0</v>
      </c>
      <c r="EE529" s="2">
        <f t="shared" si="8803"/>
        <v>0</v>
      </c>
      <c r="EF529" s="2"/>
      <c r="EG529" s="2">
        <f t="shared" si="8558"/>
        <v>0</v>
      </c>
      <c r="EH529" s="2">
        <f t="shared" si="8559"/>
        <v>0</v>
      </c>
      <c r="EI529" s="39">
        <f t="shared" si="8560"/>
        <v>248.37654685268643</v>
      </c>
      <c r="EJ529" s="39">
        <f t="shared" ref="EJ529:EK529" si="8804">EJ$1*DQ529/1000000</f>
        <v>0</v>
      </c>
      <c r="EK529" s="39">
        <f t="shared" si="8804"/>
        <v>0</v>
      </c>
      <c r="EL529" s="39">
        <f t="shared" ref="EL529:EQ529" si="8805">EL$1*DS529</f>
        <v>0</v>
      </c>
      <c r="EM529" s="39">
        <f t="shared" si="8805"/>
        <v>0</v>
      </c>
      <c r="EN529" s="39">
        <f t="shared" si="8805"/>
        <v>0</v>
      </c>
      <c r="EO529" s="39">
        <f t="shared" si="8805"/>
        <v>0</v>
      </c>
      <c r="EP529" s="39">
        <f t="shared" si="8805"/>
        <v>298.33783999760004</v>
      </c>
      <c r="EQ529" s="39">
        <f t="shared" si="8805"/>
        <v>0</v>
      </c>
      <c r="ER529" s="39">
        <f t="shared" ref="ER529:EV529" si="8806">ER$1*DY529/1000000</f>
        <v>0</v>
      </c>
      <c r="ES529" s="39">
        <f t="shared" si="8806"/>
        <v>0</v>
      </c>
      <c r="ET529" s="39">
        <f t="shared" si="8806"/>
        <v>0</v>
      </c>
      <c r="EU529" s="39">
        <f t="shared" si="8806"/>
        <v>0</v>
      </c>
      <c r="EV529" s="39">
        <f t="shared" si="8806"/>
        <v>0</v>
      </c>
      <c r="EW529" s="39">
        <f t="shared" ref="EW529:EX529" si="8807">EW$1*ED529</f>
        <v>0</v>
      </c>
      <c r="EX529" s="39">
        <f t="shared" si="8807"/>
        <v>0</v>
      </c>
      <c r="EY529" s="2"/>
      <c r="EZ529" s="39">
        <f t="shared" si="8565"/>
        <v>0</v>
      </c>
      <c r="FA529" s="39">
        <f t="shared" si="8566"/>
        <v>0</v>
      </c>
      <c r="FB529" s="2">
        <f t="shared" si="8567"/>
        <v>0</v>
      </c>
      <c r="FC529" s="2">
        <f t="shared" ref="FC529:FD529" si="8808">BV529*$BT529+CQ529*$CO529</f>
        <v>0</v>
      </c>
      <c r="FD529" s="2">
        <f t="shared" si="8808"/>
        <v>0</v>
      </c>
      <c r="FE529" s="2">
        <f t="shared" ref="FE529:FJ529" si="8809">(BX529*$BT529+CS529*$CO529)/100</f>
        <v>0</v>
      </c>
      <c r="FF529" s="2">
        <f t="shared" si="8809"/>
        <v>0</v>
      </c>
      <c r="FG529" s="2">
        <f t="shared" si="8809"/>
        <v>0</v>
      </c>
      <c r="FH529" s="2">
        <f t="shared" si="8809"/>
        <v>0</v>
      </c>
      <c r="FI529" s="2">
        <f t="shared" si="8809"/>
        <v>0</v>
      </c>
      <c r="FJ529" s="2">
        <f t="shared" si="8809"/>
        <v>0</v>
      </c>
      <c r="FK529" s="2">
        <f t="shared" ref="FK529:FO529" si="8810">CD529*$BT529+CY529*$CO529</f>
        <v>0</v>
      </c>
      <c r="FL529" s="2">
        <f t="shared" si="8810"/>
        <v>0</v>
      </c>
      <c r="FM529" s="2">
        <f t="shared" si="8810"/>
        <v>0</v>
      </c>
      <c r="FN529" s="2">
        <f t="shared" si="8810"/>
        <v>0</v>
      </c>
      <c r="FO529" s="2">
        <f t="shared" si="8810"/>
        <v>0</v>
      </c>
      <c r="FP529" s="2">
        <f t="shared" ref="FP529:FQ529" si="8811">(CI529*$BT529+DD529*$CO529)/100</f>
        <v>0</v>
      </c>
      <c r="FQ529" s="2">
        <f t="shared" si="8811"/>
        <v>0</v>
      </c>
      <c r="FR529" s="2"/>
      <c r="FS529" s="2">
        <f t="shared" si="8572"/>
        <v>0</v>
      </c>
      <c r="FT529" s="2">
        <f t="shared" si="8573"/>
        <v>0</v>
      </c>
      <c r="FU529" s="39">
        <f t="shared" si="8574"/>
        <v>0</v>
      </c>
      <c r="FV529" s="39">
        <f t="shared" ref="FV529:FW529" si="8812">FV$1*FC529/1000000</f>
        <v>0</v>
      </c>
      <c r="FW529" s="39">
        <f t="shared" si="8812"/>
        <v>0</v>
      </c>
      <c r="FX529" s="39">
        <f t="shared" ref="FX529:GC529" si="8813">FX$1*FE529</f>
        <v>0</v>
      </c>
      <c r="FY529" s="39">
        <f t="shared" si="8813"/>
        <v>0</v>
      </c>
      <c r="FZ529" s="39">
        <f t="shared" si="8813"/>
        <v>0</v>
      </c>
      <c r="GA529" s="39">
        <f t="shared" si="8813"/>
        <v>0</v>
      </c>
      <c r="GB529" s="39">
        <f t="shared" si="8813"/>
        <v>0</v>
      </c>
      <c r="GC529" s="39">
        <f t="shared" si="8813"/>
        <v>0</v>
      </c>
      <c r="GD529" s="39">
        <f t="shared" ref="GD529:GH529" si="8814">GD$1*FK529/1000000</f>
        <v>0</v>
      </c>
      <c r="GE529" s="39">
        <f t="shared" si="8814"/>
        <v>0</v>
      </c>
      <c r="GF529" s="39">
        <f t="shared" si="8814"/>
        <v>0</v>
      </c>
      <c r="GG529" s="39">
        <f t="shared" si="8814"/>
        <v>0</v>
      </c>
      <c r="GH529" s="39">
        <f t="shared" si="8814"/>
        <v>0</v>
      </c>
      <c r="GI529" s="39">
        <f t="shared" ref="GI529:GJ529" si="8815">GI$1*FP529</f>
        <v>0</v>
      </c>
      <c r="GJ529" s="39">
        <f t="shared" si="8815"/>
        <v>0</v>
      </c>
      <c r="GK529" s="2"/>
      <c r="GL529" s="39">
        <f t="shared" si="8579"/>
        <v>0</v>
      </c>
      <c r="GM529" s="39">
        <f t="shared" si="8580"/>
        <v>0</v>
      </c>
      <c r="GN529" s="2" t="s">
        <v>3</v>
      </c>
      <c r="GO529" s="19">
        <f t="shared" si="8581"/>
        <v>4.3749169999999999</v>
      </c>
      <c r="GP529" s="2">
        <f t="shared" si="8582"/>
        <v>0.52</v>
      </c>
      <c r="GQ529" s="15">
        <f t="shared" si="8583"/>
        <v>22.749568400000001</v>
      </c>
      <c r="GR529" s="15">
        <f t="shared" si="8584"/>
        <v>546.71438685028647</v>
      </c>
      <c r="GS529" s="15">
        <f t="shared" si="8585"/>
        <v>124.96565920000002</v>
      </c>
      <c r="GT529" s="2">
        <f t="shared" si="8586"/>
        <v>0</v>
      </c>
      <c r="GU529" s="2">
        <f t="shared" si="8587"/>
        <v>0</v>
      </c>
      <c r="GV529" s="2">
        <f t="shared" si="8588"/>
        <v>22.749568400000001</v>
      </c>
      <c r="GW529" s="2">
        <f t="shared" si="8589"/>
        <v>0</v>
      </c>
      <c r="GX529" s="2"/>
      <c r="GY529" s="2"/>
      <c r="GZ529" s="2"/>
      <c r="HA529" s="2"/>
      <c r="HB529" s="2">
        <f t="shared" si="8590"/>
        <v>0</v>
      </c>
      <c r="HC529" s="2">
        <f t="shared" si="8591"/>
        <v>0</v>
      </c>
      <c r="HD529" s="2" t="s">
        <v>3</v>
      </c>
      <c r="HE529" s="2" t="s">
        <v>89</v>
      </c>
      <c r="HF529" s="2" t="s">
        <v>123</v>
      </c>
      <c r="HG529" s="2"/>
      <c r="HH529" s="2"/>
      <c r="HI529" s="2" t="s">
        <v>81</v>
      </c>
      <c r="HJ529" s="2" t="s">
        <v>3</v>
      </c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 t="s">
        <v>3</v>
      </c>
    </row>
    <row r="530" spans="1:268" ht="15.75" customHeight="1" x14ac:dyDescent="0.2">
      <c r="A530" s="16" t="s">
        <v>439</v>
      </c>
      <c r="B530" s="2" t="s">
        <v>99</v>
      </c>
      <c r="C530" s="2"/>
      <c r="D530" s="2"/>
      <c r="E530" s="2"/>
      <c r="F530" s="2" t="s">
        <v>440</v>
      </c>
      <c r="G530" s="2"/>
      <c r="H530" s="2"/>
      <c r="I530" s="2">
        <v>5.3460000000000001</v>
      </c>
      <c r="J530" s="2">
        <v>1.07</v>
      </c>
      <c r="K530" s="2"/>
      <c r="L530" s="2"/>
      <c r="M530" s="2"/>
      <c r="N530" s="2"/>
      <c r="O530" s="2"/>
      <c r="P530" s="2"/>
      <c r="Q530" s="2">
        <v>2.08</v>
      </c>
      <c r="R530" s="2"/>
      <c r="S530" s="2">
        <v>1.04</v>
      </c>
      <c r="T530" s="2">
        <v>3.55</v>
      </c>
      <c r="U530" s="2"/>
      <c r="V530" s="2"/>
      <c r="W530" s="2"/>
      <c r="X530" s="2"/>
      <c r="Y530" s="2"/>
      <c r="Z530" s="2"/>
      <c r="AA530" s="2"/>
      <c r="AB530" s="2"/>
      <c r="AC530" s="2"/>
      <c r="AD530" s="2">
        <v>5.6429999999999998</v>
      </c>
      <c r="AE530" s="2">
        <v>0.89</v>
      </c>
      <c r="AF530" s="2"/>
      <c r="AG530" s="2"/>
      <c r="AH530" s="2"/>
      <c r="AI530" s="2"/>
      <c r="AJ530" s="2"/>
      <c r="AK530" s="2"/>
      <c r="AL530" s="4">
        <v>1.5</v>
      </c>
      <c r="AM530" s="2"/>
      <c r="AN530" s="2">
        <v>0.94</v>
      </c>
      <c r="AO530" s="2">
        <v>3.27</v>
      </c>
      <c r="AP530" s="2"/>
      <c r="AQ530" s="2"/>
      <c r="AR530" s="2"/>
      <c r="AS530" s="2"/>
      <c r="AT530" s="2"/>
      <c r="AU530" s="2"/>
      <c r="AV530" s="2"/>
      <c r="AW530" s="2"/>
      <c r="AX530" s="2"/>
      <c r="AY530" s="2">
        <v>8.9659999999999993</v>
      </c>
      <c r="AZ530" s="2">
        <v>1.1399999999999999</v>
      </c>
      <c r="BA530" s="2"/>
      <c r="BB530" s="2"/>
      <c r="BC530" s="2"/>
      <c r="BD530" s="2"/>
      <c r="BE530" s="2"/>
      <c r="BF530" s="2"/>
      <c r="BG530" s="4">
        <v>1.1000000000000001</v>
      </c>
      <c r="BH530" s="2"/>
      <c r="BI530" s="2">
        <v>1.1599999999999999</v>
      </c>
      <c r="BJ530" s="2">
        <v>3.49</v>
      </c>
      <c r="BK530" s="2"/>
      <c r="BL530" s="2"/>
      <c r="BM530" s="2"/>
      <c r="BN530" s="2"/>
      <c r="BO530" s="2"/>
      <c r="BP530" s="2"/>
      <c r="BQ530" s="2"/>
      <c r="BR530" s="2"/>
      <c r="BS530" s="2"/>
      <c r="BT530" s="2">
        <v>5.2640000000000002</v>
      </c>
      <c r="BU530" s="2">
        <v>1.04</v>
      </c>
      <c r="BV530" s="2"/>
      <c r="BW530" s="2"/>
      <c r="BX530" s="2"/>
      <c r="BY530" s="2"/>
      <c r="BZ530" s="2"/>
      <c r="CA530" s="2"/>
      <c r="CB530" s="2">
        <v>2.02</v>
      </c>
      <c r="CC530" s="2"/>
      <c r="CD530" s="2">
        <v>1.1000000000000001</v>
      </c>
      <c r="CE530" s="2">
        <v>3.45</v>
      </c>
      <c r="CF530" s="2"/>
      <c r="CG530" s="2"/>
      <c r="CH530" s="2"/>
      <c r="CI530" s="2"/>
      <c r="CJ530" s="2"/>
      <c r="CK530" s="2"/>
      <c r="CL530" s="2"/>
      <c r="CM530" s="2"/>
      <c r="CN530" s="2"/>
      <c r="CO530" s="2">
        <v>5.867</v>
      </c>
      <c r="CP530" s="2">
        <v>0.72</v>
      </c>
      <c r="CQ530" s="2"/>
      <c r="CR530" s="2"/>
      <c r="CS530" s="2"/>
      <c r="CT530" s="2"/>
      <c r="CU530" s="2"/>
      <c r="CV530" s="2"/>
      <c r="CW530" s="2">
        <v>1.38</v>
      </c>
      <c r="CX530" s="2"/>
      <c r="CY530" s="2">
        <v>0.78</v>
      </c>
      <c r="CZ530" s="2">
        <v>2.76</v>
      </c>
      <c r="DA530" s="2"/>
      <c r="DB530" s="2"/>
      <c r="DC530" s="2"/>
      <c r="DD530" s="2"/>
      <c r="DE530" s="2"/>
      <c r="DF530" s="2"/>
      <c r="DG530" s="2"/>
      <c r="DH530" s="2"/>
      <c r="DI530" s="2"/>
      <c r="DJ530" s="2" t="s">
        <v>81</v>
      </c>
      <c r="DK530" s="2"/>
      <c r="DL530" s="2">
        <f t="shared" si="8551"/>
        <v>1.4756592332748686</v>
      </c>
      <c r="DM530" s="2">
        <f t="shared" si="8552"/>
        <v>0</v>
      </c>
      <c r="DN530" s="2" t="s">
        <v>150</v>
      </c>
      <c r="DO530" s="2" t="s">
        <v>3</v>
      </c>
      <c r="DP530" s="2">
        <f t="shared" si="8553"/>
        <v>0.20963729999999997</v>
      </c>
      <c r="DQ530" s="2">
        <f t="shared" ref="DQ530:DR530" si="8816">K530*$I530+AF530*$AD530+BA530*$AY530</f>
        <v>0</v>
      </c>
      <c r="DR530" s="2">
        <f t="shared" si="8816"/>
        <v>0</v>
      </c>
      <c r="DS530" s="2">
        <f t="shared" ref="DS530:DX530" si="8817">(M530*$I530+AH530*$AD530+BC530*$AY530)/100</f>
        <v>0</v>
      </c>
      <c r="DT530" s="2">
        <f t="shared" si="8817"/>
        <v>0</v>
      </c>
      <c r="DU530" s="2">
        <f t="shared" si="8817"/>
        <v>0</v>
      </c>
      <c r="DV530" s="2">
        <f t="shared" si="8817"/>
        <v>0</v>
      </c>
      <c r="DW530" s="2">
        <f t="shared" si="8817"/>
        <v>0.2944678</v>
      </c>
      <c r="DX530" s="2">
        <f t="shared" si="8817"/>
        <v>0</v>
      </c>
      <c r="DY530" s="2">
        <f t="shared" ref="DY530:EC530" si="8818">S530*$I530+AN530*$AD530+BI530*$AY530</f>
        <v>21.26482</v>
      </c>
      <c r="DZ530" s="2">
        <f t="shared" si="8818"/>
        <v>68.722250000000003</v>
      </c>
      <c r="EA530" s="2">
        <f t="shared" si="8818"/>
        <v>0</v>
      </c>
      <c r="EB530" s="2">
        <f t="shared" si="8818"/>
        <v>0</v>
      </c>
      <c r="EC530" s="2">
        <f t="shared" si="8818"/>
        <v>0</v>
      </c>
      <c r="ED530" s="2">
        <f t="shared" ref="ED530:EE530" si="8819">(X530*$I530+AS530*$AD530+BN530*$AY530)/100</f>
        <v>0</v>
      </c>
      <c r="EE530" s="2">
        <f t="shared" si="8819"/>
        <v>0</v>
      </c>
      <c r="EF530" s="2"/>
      <c r="EG530" s="2">
        <f t="shared" si="8558"/>
        <v>0</v>
      </c>
      <c r="EH530" s="2">
        <f t="shared" si="8559"/>
        <v>0</v>
      </c>
      <c r="EI530" s="39">
        <f t="shared" si="8560"/>
        <v>1368.0125190767999</v>
      </c>
      <c r="EJ530" s="39">
        <f t="shared" ref="EJ530:EK530" si="8820">EJ$1*DQ530/1000000</f>
        <v>0</v>
      </c>
      <c r="EK530" s="39">
        <f t="shared" si="8820"/>
        <v>0</v>
      </c>
      <c r="EL530" s="39">
        <f t="shared" ref="EL530:EQ530" si="8821">EL$1*DS530</f>
        <v>0</v>
      </c>
      <c r="EM530" s="39">
        <f t="shared" si="8821"/>
        <v>0</v>
      </c>
      <c r="EN530" s="39">
        <f t="shared" si="8821"/>
        <v>0</v>
      </c>
      <c r="EO530" s="39">
        <f t="shared" si="8821"/>
        <v>0</v>
      </c>
      <c r="EP530" s="39">
        <f t="shared" si="8821"/>
        <v>3861.6507292000001</v>
      </c>
      <c r="EQ530" s="39">
        <f t="shared" si="8821"/>
        <v>0</v>
      </c>
      <c r="ER530" s="39">
        <f t="shared" ref="ER530:EV530" si="8822">ER$1*DY530/1000000</f>
        <v>603.52430936334395</v>
      </c>
      <c r="ES530" s="39">
        <f t="shared" si="8822"/>
        <v>2290.2186999196142</v>
      </c>
      <c r="ET530" s="39">
        <f t="shared" si="8822"/>
        <v>0</v>
      </c>
      <c r="EU530" s="39">
        <f t="shared" si="8822"/>
        <v>0</v>
      </c>
      <c r="EV530" s="39">
        <f t="shared" si="8822"/>
        <v>0</v>
      </c>
      <c r="EW530" s="39">
        <f t="shared" ref="EW530:EX530" si="8823">EW$1*ED530</f>
        <v>0</v>
      </c>
      <c r="EX530" s="39">
        <f t="shared" si="8823"/>
        <v>0</v>
      </c>
      <c r="EY530" s="2"/>
      <c r="EZ530" s="39">
        <f t="shared" si="8565"/>
        <v>0</v>
      </c>
      <c r="FA530" s="39">
        <f t="shared" si="8566"/>
        <v>0</v>
      </c>
      <c r="FB530" s="2">
        <f t="shared" si="8567"/>
        <v>9.6988000000000005E-2</v>
      </c>
      <c r="FC530" s="2">
        <f t="shared" ref="FC530:FD530" si="8824">BV530*$BT530+CQ530*$CO530</f>
        <v>0</v>
      </c>
      <c r="FD530" s="2">
        <f t="shared" si="8824"/>
        <v>0</v>
      </c>
      <c r="FE530" s="2">
        <f t="shared" ref="FE530:FJ530" si="8825">(BX530*$BT530+CS530*$CO530)/100</f>
        <v>0</v>
      </c>
      <c r="FF530" s="2">
        <f t="shared" si="8825"/>
        <v>0</v>
      </c>
      <c r="FG530" s="2">
        <f t="shared" si="8825"/>
        <v>0</v>
      </c>
      <c r="FH530" s="2">
        <f t="shared" si="8825"/>
        <v>0</v>
      </c>
      <c r="FI530" s="2">
        <f t="shared" si="8825"/>
        <v>0.1872974</v>
      </c>
      <c r="FJ530" s="2">
        <f t="shared" si="8825"/>
        <v>0</v>
      </c>
      <c r="FK530" s="2">
        <f t="shared" ref="FK530:FO530" si="8826">CD530*$BT530+CY530*$CO530</f>
        <v>10.366660000000001</v>
      </c>
      <c r="FL530" s="2">
        <f t="shared" si="8826"/>
        <v>34.353719999999996</v>
      </c>
      <c r="FM530" s="2">
        <f t="shared" si="8826"/>
        <v>0</v>
      </c>
      <c r="FN530" s="2">
        <f t="shared" si="8826"/>
        <v>0</v>
      </c>
      <c r="FO530" s="2">
        <f t="shared" si="8826"/>
        <v>0</v>
      </c>
      <c r="FP530" s="2">
        <f t="shared" ref="FP530:FQ530" si="8827">(CI530*$BT530+DD530*$CO530)/100</f>
        <v>0</v>
      </c>
      <c r="FQ530" s="2">
        <f t="shared" si="8827"/>
        <v>0</v>
      </c>
      <c r="FR530" s="2"/>
      <c r="FS530" s="2">
        <f t="shared" si="8572"/>
        <v>0</v>
      </c>
      <c r="FT530" s="2">
        <f t="shared" si="8573"/>
        <v>0</v>
      </c>
      <c r="FU530" s="39">
        <f t="shared" si="8574"/>
        <v>632.90644460800002</v>
      </c>
      <c r="FV530" s="39">
        <f t="shared" ref="FV530:FW530" si="8828">FV$1*FC530/1000000</f>
        <v>0</v>
      </c>
      <c r="FW530" s="39">
        <f t="shared" si="8828"/>
        <v>0</v>
      </c>
      <c r="FX530" s="39">
        <f t="shared" ref="FX530:GC530" si="8829">FX$1*FE530</f>
        <v>0</v>
      </c>
      <c r="FY530" s="39">
        <f t="shared" si="8829"/>
        <v>0</v>
      </c>
      <c r="FZ530" s="39">
        <f t="shared" si="8829"/>
        <v>0</v>
      </c>
      <c r="GA530" s="39">
        <f t="shared" si="8829"/>
        <v>0</v>
      </c>
      <c r="GB530" s="39">
        <f t="shared" si="8829"/>
        <v>2456.2181036000002</v>
      </c>
      <c r="GC530" s="39">
        <f t="shared" si="8829"/>
        <v>0</v>
      </c>
      <c r="GD530" s="39">
        <f t="shared" ref="GD530:GH530" si="8830">GD$1*FK530/1000000</f>
        <v>294.2198107909968</v>
      </c>
      <c r="GE530" s="39">
        <f t="shared" si="8830"/>
        <v>1144.8625729774919</v>
      </c>
      <c r="GF530" s="39">
        <f t="shared" si="8830"/>
        <v>0</v>
      </c>
      <c r="GG530" s="39">
        <f t="shared" si="8830"/>
        <v>0</v>
      </c>
      <c r="GH530" s="39">
        <f t="shared" si="8830"/>
        <v>0</v>
      </c>
      <c r="GI530" s="39">
        <f t="shared" ref="GI530:GJ530" si="8831">GI$1*FP530</f>
        <v>0</v>
      </c>
      <c r="GJ530" s="39">
        <f t="shared" si="8831"/>
        <v>0</v>
      </c>
      <c r="GK530" s="2"/>
      <c r="GL530" s="39">
        <f t="shared" si="8579"/>
        <v>0</v>
      </c>
      <c r="GM530" s="39">
        <f t="shared" si="8580"/>
        <v>0</v>
      </c>
      <c r="GN530" s="2" t="s">
        <v>3</v>
      </c>
      <c r="GO530" s="4">
        <f t="shared" si="8581"/>
        <v>19.954999999999998</v>
      </c>
      <c r="GP530" s="4">
        <f t="shared" si="8582"/>
        <v>1.4756592332748686</v>
      </c>
      <c r="GQ530" s="15">
        <f t="shared" si="8583"/>
        <v>294.46780000000001</v>
      </c>
      <c r="GR530" s="15">
        <f t="shared" si="8584"/>
        <v>8123.4062575597582</v>
      </c>
      <c r="GS530" s="15">
        <f t="shared" si="8585"/>
        <v>407.08625695613927</v>
      </c>
      <c r="GT530" s="2">
        <f t="shared" si="8586"/>
        <v>111.1968</v>
      </c>
      <c r="GU530" s="2">
        <f t="shared" si="8587"/>
        <v>84.644999999999996</v>
      </c>
      <c r="GV530" s="2">
        <f t="shared" si="8588"/>
        <v>98.626000000000005</v>
      </c>
      <c r="GW530" s="4">
        <f t="shared" si="8589"/>
        <v>11.131</v>
      </c>
      <c r="GX530" s="4">
        <f>(BT530*CB530+CO530*CW530)/GW530</f>
        <v>1.6826646303117418</v>
      </c>
      <c r="GY530" s="15">
        <f>1000*GW530*GX530/100</f>
        <v>187.29739999999998</v>
      </c>
      <c r="GZ530" s="15">
        <f>SUM(FU530:GM530)</f>
        <v>4528.2069319764887</v>
      </c>
      <c r="HA530" s="15">
        <f>GZ530/GW530</f>
        <v>406.81043320245158</v>
      </c>
      <c r="HB530" s="2">
        <f t="shared" si="8590"/>
        <v>106.33280000000001</v>
      </c>
      <c r="HC530" s="2">
        <f t="shared" si="8591"/>
        <v>80.964599999999976</v>
      </c>
      <c r="HD530" s="2" t="s">
        <v>3</v>
      </c>
      <c r="HE530" s="2" t="s">
        <v>89</v>
      </c>
      <c r="HF530" s="2" t="s">
        <v>123</v>
      </c>
      <c r="HG530" s="2"/>
      <c r="HH530" s="2"/>
      <c r="HI530" s="2" t="s">
        <v>81</v>
      </c>
      <c r="HJ530" s="2" t="s">
        <v>3</v>
      </c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 t="s">
        <v>3</v>
      </c>
    </row>
    <row r="531" spans="1:268" ht="15.75" customHeight="1" x14ac:dyDescent="0.2">
      <c r="A531" s="16" t="s">
        <v>463</v>
      </c>
      <c r="B531" s="2" t="s">
        <v>99</v>
      </c>
      <c r="C531" s="2"/>
      <c r="D531" s="2"/>
      <c r="E531" s="2"/>
      <c r="F531" s="2" t="s">
        <v>79</v>
      </c>
      <c r="G531" s="2"/>
      <c r="H531" s="2"/>
      <c r="I531" s="2">
        <v>0</v>
      </c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>
        <v>15.8</v>
      </c>
      <c r="AE531" s="2">
        <v>0.99</v>
      </c>
      <c r="AF531" s="2"/>
      <c r="AG531" s="2"/>
      <c r="AH531" s="2"/>
      <c r="AI531" s="2"/>
      <c r="AJ531" s="2"/>
      <c r="AK531" s="2"/>
      <c r="AL531" s="2">
        <v>0.65</v>
      </c>
      <c r="AM531" s="2">
        <v>7.0000000000000007E-2</v>
      </c>
      <c r="AN531" s="2">
        <v>0.25</v>
      </c>
      <c r="AO531" s="2">
        <v>1.55</v>
      </c>
      <c r="AP531" s="2"/>
      <c r="AQ531" s="2"/>
      <c r="AR531" s="2"/>
      <c r="AS531" s="2"/>
      <c r="AT531" s="2"/>
      <c r="AU531" s="2"/>
      <c r="AV531" s="2"/>
      <c r="AW531" s="2"/>
      <c r="AX531" s="2"/>
      <c r="AY531" s="2">
        <v>30.2</v>
      </c>
      <c r="AZ531" s="4">
        <v>1</v>
      </c>
      <c r="BA531" s="2"/>
      <c r="BB531" s="2"/>
      <c r="BC531" s="2"/>
      <c r="BD531" s="2"/>
      <c r="BE531" s="2"/>
      <c r="BF531" s="2"/>
      <c r="BG531" s="2">
        <v>0.67</v>
      </c>
      <c r="BH531" s="2">
        <v>0.05</v>
      </c>
      <c r="BI531" s="2">
        <v>0.19</v>
      </c>
      <c r="BJ531" s="2">
        <v>1.18</v>
      </c>
      <c r="BK531" s="2"/>
      <c r="BL531" s="2"/>
      <c r="BM531" s="2"/>
      <c r="BN531" s="2"/>
      <c r="BO531" s="2"/>
      <c r="BP531" s="2"/>
      <c r="BQ531" s="2"/>
      <c r="BR531" s="2"/>
      <c r="BS531" s="2"/>
      <c r="BT531" s="2">
        <v>0</v>
      </c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>
        <v>0</v>
      </c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 t="s">
        <v>81</v>
      </c>
      <c r="DK531" s="2" t="s">
        <v>81</v>
      </c>
      <c r="DL531" s="2">
        <f t="shared" si="8551"/>
        <v>0.6631304347826088</v>
      </c>
      <c r="DM531" s="2">
        <f t="shared" si="8552"/>
        <v>5.6869565217391303E-2</v>
      </c>
      <c r="DN531" s="2" t="s">
        <v>464</v>
      </c>
      <c r="DO531" s="2" t="s">
        <v>3</v>
      </c>
      <c r="DP531" s="2">
        <f t="shared" si="8553"/>
        <v>0.45841999999999999</v>
      </c>
      <c r="DQ531" s="2">
        <f t="shared" ref="DQ531:DR531" si="8832">K531*$I531+AF531*$AD531+BA531*$AY531</f>
        <v>0</v>
      </c>
      <c r="DR531" s="2">
        <f t="shared" si="8832"/>
        <v>0</v>
      </c>
      <c r="DS531" s="2">
        <f t="shared" ref="DS531:DX531" si="8833">(M531*$I531+AH531*$AD531+BC531*$AY531)/100</f>
        <v>0</v>
      </c>
      <c r="DT531" s="2">
        <f t="shared" si="8833"/>
        <v>0</v>
      </c>
      <c r="DU531" s="2">
        <f t="shared" si="8833"/>
        <v>0</v>
      </c>
      <c r="DV531" s="2">
        <f t="shared" si="8833"/>
        <v>0</v>
      </c>
      <c r="DW531" s="2">
        <f t="shared" si="8833"/>
        <v>0.30504000000000003</v>
      </c>
      <c r="DX531" s="2">
        <f t="shared" si="8833"/>
        <v>2.6160000000000003E-2</v>
      </c>
      <c r="DY531" s="2">
        <f t="shared" ref="DY531:EC531" si="8834">S531*$I531+AN531*$AD531+BI531*$AY531</f>
        <v>9.6879999999999988</v>
      </c>
      <c r="DZ531" s="2">
        <f t="shared" si="8834"/>
        <v>60.125999999999998</v>
      </c>
      <c r="EA531" s="2">
        <f t="shared" si="8834"/>
        <v>0</v>
      </c>
      <c r="EB531" s="2">
        <f t="shared" si="8834"/>
        <v>0</v>
      </c>
      <c r="EC531" s="2">
        <f t="shared" si="8834"/>
        <v>0</v>
      </c>
      <c r="ED531" s="2">
        <f t="shared" ref="ED531:EE531" si="8835">(X531*$I531+AS531*$AD531+BN531*$AY531)/100</f>
        <v>0</v>
      </c>
      <c r="EE531" s="2">
        <f t="shared" si="8835"/>
        <v>0</v>
      </c>
      <c r="EF531" s="2"/>
      <c r="EG531" s="2">
        <f t="shared" si="8558"/>
        <v>0</v>
      </c>
      <c r="EH531" s="2">
        <f t="shared" si="8559"/>
        <v>0</v>
      </c>
      <c r="EI531" s="39">
        <f t="shared" si="8560"/>
        <v>2991.4728867200001</v>
      </c>
      <c r="EJ531" s="39">
        <f t="shared" ref="EJ531:EK531" si="8836">EJ$1*DQ531/1000000</f>
        <v>0</v>
      </c>
      <c r="EK531" s="39">
        <f t="shared" si="8836"/>
        <v>0</v>
      </c>
      <c r="EL531" s="39">
        <f t="shared" ref="EL531:EQ531" si="8837">EL$1*DS531</f>
        <v>0</v>
      </c>
      <c r="EM531" s="39">
        <f t="shared" si="8837"/>
        <v>0</v>
      </c>
      <c r="EN531" s="39">
        <f t="shared" si="8837"/>
        <v>0</v>
      </c>
      <c r="EO531" s="39">
        <f t="shared" si="8837"/>
        <v>0</v>
      </c>
      <c r="EP531" s="39">
        <f t="shared" si="8837"/>
        <v>4000.2945600000003</v>
      </c>
      <c r="EQ531" s="39">
        <f t="shared" si="8837"/>
        <v>1899.7267478399999</v>
      </c>
      <c r="ER531" s="39">
        <f t="shared" ref="ER531:EV531" si="8838">ER$1*DY531/1000000</f>
        <v>274.95852347266873</v>
      </c>
      <c r="ES531" s="39">
        <f t="shared" si="8838"/>
        <v>2003.7424495176849</v>
      </c>
      <c r="ET531" s="39">
        <f t="shared" si="8838"/>
        <v>0</v>
      </c>
      <c r="EU531" s="39">
        <f t="shared" si="8838"/>
        <v>0</v>
      </c>
      <c r="EV531" s="39">
        <f t="shared" si="8838"/>
        <v>0</v>
      </c>
      <c r="EW531" s="39">
        <f t="shared" ref="EW531:EX531" si="8839">EW$1*ED531</f>
        <v>0</v>
      </c>
      <c r="EX531" s="39">
        <f t="shared" si="8839"/>
        <v>0</v>
      </c>
      <c r="EY531" s="2"/>
      <c r="EZ531" s="39">
        <f t="shared" si="8565"/>
        <v>0</v>
      </c>
      <c r="FA531" s="39">
        <f t="shared" si="8566"/>
        <v>0</v>
      </c>
      <c r="FB531" s="2">
        <f t="shared" si="8567"/>
        <v>0</v>
      </c>
      <c r="FC531" s="2">
        <f t="shared" ref="FC531:FD531" si="8840">BV531*$BT531+CQ531*$CO531</f>
        <v>0</v>
      </c>
      <c r="FD531" s="2">
        <f t="shared" si="8840"/>
        <v>0</v>
      </c>
      <c r="FE531" s="2">
        <f t="shared" ref="FE531:FJ531" si="8841">(BX531*$BT531+CS531*$CO531)/100</f>
        <v>0</v>
      </c>
      <c r="FF531" s="2">
        <f t="shared" si="8841"/>
        <v>0</v>
      </c>
      <c r="FG531" s="2">
        <f t="shared" si="8841"/>
        <v>0</v>
      </c>
      <c r="FH531" s="2">
        <f t="shared" si="8841"/>
        <v>0</v>
      </c>
      <c r="FI531" s="2">
        <f t="shared" si="8841"/>
        <v>0</v>
      </c>
      <c r="FJ531" s="2">
        <f t="shared" si="8841"/>
        <v>0</v>
      </c>
      <c r="FK531" s="2">
        <f t="shared" ref="FK531:FO531" si="8842">CD531*$BT531+CY531*$CO531</f>
        <v>0</v>
      </c>
      <c r="FL531" s="2">
        <f t="shared" si="8842"/>
        <v>0</v>
      </c>
      <c r="FM531" s="2">
        <f t="shared" si="8842"/>
        <v>0</v>
      </c>
      <c r="FN531" s="2">
        <f t="shared" si="8842"/>
        <v>0</v>
      </c>
      <c r="FO531" s="2">
        <f t="shared" si="8842"/>
        <v>0</v>
      </c>
      <c r="FP531" s="2">
        <f t="shared" ref="FP531:FQ531" si="8843">(CI531*$BT531+DD531*$CO531)/100</f>
        <v>0</v>
      </c>
      <c r="FQ531" s="2">
        <f t="shared" si="8843"/>
        <v>0</v>
      </c>
      <c r="FR531" s="2"/>
      <c r="FS531" s="2">
        <f t="shared" si="8572"/>
        <v>0</v>
      </c>
      <c r="FT531" s="2">
        <f t="shared" si="8573"/>
        <v>0</v>
      </c>
      <c r="FU531" s="39">
        <f t="shared" si="8574"/>
        <v>0</v>
      </c>
      <c r="FV531" s="39">
        <f t="shared" ref="FV531:FW531" si="8844">FV$1*FC531/1000000</f>
        <v>0</v>
      </c>
      <c r="FW531" s="39">
        <f t="shared" si="8844"/>
        <v>0</v>
      </c>
      <c r="FX531" s="39">
        <f t="shared" ref="FX531:GC531" si="8845">FX$1*FE531</f>
        <v>0</v>
      </c>
      <c r="FY531" s="39">
        <f t="shared" si="8845"/>
        <v>0</v>
      </c>
      <c r="FZ531" s="39">
        <f t="shared" si="8845"/>
        <v>0</v>
      </c>
      <c r="GA531" s="39">
        <f t="shared" si="8845"/>
        <v>0</v>
      </c>
      <c r="GB531" s="39">
        <f t="shared" si="8845"/>
        <v>0</v>
      </c>
      <c r="GC531" s="39">
        <f t="shared" si="8845"/>
        <v>0</v>
      </c>
      <c r="GD531" s="39">
        <f t="shared" ref="GD531:GH531" si="8846">GD$1*FK531/1000000</f>
        <v>0</v>
      </c>
      <c r="GE531" s="39">
        <f t="shared" si="8846"/>
        <v>0</v>
      </c>
      <c r="GF531" s="39">
        <f t="shared" si="8846"/>
        <v>0</v>
      </c>
      <c r="GG531" s="39">
        <f t="shared" si="8846"/>
        <v>0</v>
      </c>
      <c r="GH531" s="39">
        <f t="shared" si="8846"/>
        <v>0</v>
      </c>
      <c r="GI531" s="39">
        <f t="shared" ref="GI531:GJ531" si="8847">GI$1*FP531</f>
        <v>0</v>
      </c>
      <c r="GJ531" s="39">
        <f t="shared" si="8847"/>
        <v>0</v>
      </c>
      <c r="GK531" s="2"/>
      <c r="GL531" s="39">
        <f t="shared" si="8579"/>
        <v>0</v>
      </c>
      <c r="GM531" s="39">
        <f t="shared" si="8580"/>
        <v>0</v>
      </c>
      <c r="GN531" s="2" t="s">
        <v>3</v>
      </c>
      <c r="GO531" s="2">
        <f t="shared" si="8581"/>
        <v>46</v>
      </c>
      <c r="GP531" s="4">
        <f t="shared" si="8582"/>
        <v>0.6631304347826088</v>
      </c>
      <c r="GQ531" s="15">
        <f t="shared" si="8583"/>
        <v>305.04000000000002</v>
      </c>
      <c r="GR531" s="15">
        <f t="shared" si="8584"/>
        <v>11170.195167550355</v>
      </c>
      <c r="GS531" s="15">
        <f t="shared" si="8585"/>
        <v>242.83032972935555</v>
      </c>
      <c r="GT531" s="2">
        <f t="shared" si="8586"/>
        <v>0</v>
      </c>
      <c r="GU531" s="2">
        <f t="shared" si="8587"/>
        <v>102.70000000000002</v>
      </c>
      <c r="GV531" s="2">
        <f t="shared" si="8588"/>
        <v>202.34</v>
      </c>
      <c r="GW531" s="2">
        <f t="shared" si="8589"/>
        <v>0</v>
      </c>
      <c r="GX531" s="2"/>
      <c r="GY531" s="2"/>
      <c r="GZ531" s="2"/>
      <c r="HA531" s="2"/>
      <c r="HB531" s="2">
        <f t="shared" si="8590"/>
        <v>0</v>
      </c>
      <c r="HC531" s="2">
        <f t="shared" si="8591"/>
        <v>0</v>
      </c>
      <c r="HD531" s="2" t="s">
        <v>3</v>
      </c>
      <c r="HE531" s="2" t="s">
        <v>89</v>
      </c>
      <c r="HF531" s="2" t="s">
        <v>123</v>
      </c>
      <c r="HG531" s="2"/>
      <c r="HH531" s="2"/>
      <c r="HI531" s="2" t="s">
        <v>81</v>
      </c>
      <c r="HJ531" s="2" t="s">
        <v>3</v>
      </c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 t="s">
        <v>3</v>
      </c>
    </row>
    <row r="532" spans="1:268" ht="15.75" customHeight="1" x14ac:dyDescent="0.2">
      <c r="A532" s="16" t="s">
        <v>488</v>
      </c>
      <c r="B532" s="2" t="s">
        <v>99</v>
      </c>
      <c r="C532" s="2"/>
      <c r="D532" s="2"/>
      <c r="E532" s="2"/>
      <c r="F532" s="2" t="s">
        <v>454</v>
      </c>
      <c r="G532" s="2"/>
      <c r="H532" s="2"/>
      <c r="I532" s="2">
        <v>13.97</v>
      </c>
      <c r="J532" s="2">
        <v>0.20799999999999999</v>
      </c>
      <c r="K532" s="2">
        <v>3.7999999999999999E-2</v>
      </c>
      <c r="L532" s="2">
        <v>1.847</v>
      </c>
      <c r="M532" s="2"/>
      <c r="N532" s="2"/>
      <c r="O532" s="2"/>
      <c r="P532" s="2"/>
      <c r="Q532" s="2">
        <v>8.9999999999999993E-3</v>
      </c>
      <c r="R532" s="2">
        <v>7.0000000000000001E-3</v>
      </c>
      <c r="S532" s="2">
        <v>2.5999999999999999E-2</v>
      </c>
      <c r="T532" s="2">
        <v>0.34100000000000003</v>
      </c>
      <c r="U532" s="2"/>
      <c r="V532" s="2"/>
      <c r="W532" s="2"/>
      <c r="X532" s="2"/>
      <c r="Y532" s="2"/>
      <c r="Z532" s="2"/>
      <c r="AA532" s="2"/>
      <c r="AB532" s="2"/>
      <c r="AC532" s="2"/>
      <c r="AD532" s="2">
        <v>37.54</v>
      </c>
      <c r="AE532" s="2">
        <v>0.216</v>
      </c>
      <c r="AF532" s="2">
        <v>3.9E-2</v>
      </c>
      <c r="AG532" s="2">
        <v>1.8879999999999999</v>
      </c>
      <c r="AH532" s="2"/>
      <c r="AI532" s="2"/>
      <c r="AJ532" s="2"/>
      <c r="AK532" s="2"/>
      <c r="AL532" s="2">
        <v>0.01</v>
      </c>
      <c r="AM532" s="2">
        <v>7.0000000000000001E-3</v>
      </c>
      <c r="AN532" s="2">
        <v>2.5999999999999999E-2</v>
      </c>
      <c r="AO532" s="2">
        <v>0.36199999999999999</v>
      </c>
      <c r="AP532" s="2"/>
      <c r="AQ532" s="2"/>
      <c r="AR532" s="2"/>
      <c r="AS532" s="2"/>
      <c r="AT532" s="2"/>
      <c r="AU532" s="2"/>
      <c r="AV532" s="2"/>
      <c r="AW532" s="2"/>
      <c r="AX532" s="2"/>
      <c r="AY532" s="2">
        <v>17.920000000000002</v>
      </c>
      <c r="AZ532" s="2">
        <v>0.20300000000000001</v>
      </c>
      <c r="BA532" s="2">
        <v>3.6999999999999998E-2</v>
      </c>
      <c r="BB532" s="2">
        <v>1.62</v>
      </c>
      <c r="BC532" s="2"/>
      <c r="BD532" s="2"/>
      <c r="BE532" s="2"/>
      <c r="BF532" s="2"/>
      <c r="BG532" s="2">
        <v>8.9999999999999993E-3</v>
      </c>
      <c r="BH532" s="2">
        <v>6.0000000000000001E-3</v>
      </c>
      <c r="BI532" s="2">
        <v>2.5000000000000001E-2</v>
      </c>
      <c r="BJ532" s="2">
        <v>0.34899999999999998</v>
      </c>
      <c r="BK532" s="2"/>
      <c r="BL532" s="2"/>
      <c r="BM532" s="2"/>
      <c r="BN532" s="2"/>
      <c r="BO532" s="2"/>
      <c r="BP532" s="2"/>
      <c r="BQ532" s="2"/>
      <c r="BR532" s="2"/>
      <c r="BS532" s="2"/>
      <c r="BT532" s="2">
        <v>0</v>
      </c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>
        <v>0</v>
      </c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 t="s">
        <v>81</v>
      </c>
      <c r="DK532" s="2" t="s">
        <v>81</v>
      </c>
      <c r="DL532" s="2">
        <f t="shared" si="8551"/>
        <v>9.5406884632003447E-3</v>
      </c>
      <c r="DM532" s="2">
        <f t="shared" si="8552"/>
        <v>6.7418983148494881E-3</v>
      </c>
      <c r="DN532" s="2" t="s">
        <v>489</v>
      </c>
      <c r="DO532" s="2" t="s">
        <v>3</v>
      </c>
      <c r="DP532" s="2">
        <f t="shared" si="8553"/>
        <v>0.14652159999999997</v>
      </c>
      <c r="DQ532" s="2">
        <f t="shared" ref="DQ532:DR532" si="8848">K532*$I532+AF532*$AD532+BA532*$AY532</f>
        <v>2.6579600000000001</v>
      </c>
      <c r="DR532" s="2">
        <f t="shared" si="8848"/>
        <v>125.70851</v>
      </c>
      <c r="DS532" s="2">
        <f t="shared" ref="DS532:DX532" si="8849">(M532*$I532+AH532*$AD532+BC532*$AY532)/100</f>
        <v>0</v>
      </c>
      <c r="DT532" s="2">
        <f t="shared" si="8849"/>
        <v>0</v>
      </c>
      <c r="DU532" s="2">
        <f t="shared" si="8849"/>
        <v>0</v>
      </c>
      <c r="DV532" s="2">
        <f t="shared" si="8849"/>
        <v>0</v>
      </c>
      <c r="DW532" s="2">
        <f t="shared" si="8849"/>
        <v>6.6241000000000008E-3</v>
      </c>
      <c r="DX532" s="2">
        <f t="shared" si="8849"/>
        <v>4.6809E-3</v>
      </c>
      <c r="DY532" s="2">
        <f t="shared" ref="DY532:EC532" si="8850">S532*$I532+AN532*$AD532+BI532*$AY532</f>
        <v>1.7872599999999998</v>
      </c>
      <c r="DZ532" s="2">
        <f t="shared" si="8850"/>
        <v>24.607330000000005</v>
      </c>
      <c r="EA532" s="2">
        <f t="shared" si="8850"/>
        <v>0</v>
      </c>
      <c r="EB532" s="2">
        <f t="shared" si="8850"/>
        <v>0</v>
      </c>
      <c r="EC532" s="2">
        <f t="shared" si="8850"/>
        <v>0</v>
      </c>
      <c r="ED532" s="2">
        <f t="shared" ref="ED532:EE532" si="8851">(X532*$I532+AS532*$AD532+BN532*$AY532)/100</f>
        <v>0</v>
      </c>
      <c r="EE532" s="2">
        <f t="shared" si="8851"/>
        <v>0</v>
      </c>
      <c r="EF532" s="2"/>
      <c r="EG532" s="2">
        <f t="shared" si="8558"/>
        <v>0</v>
      </c>
      <c r="EH532" s="2">
        <f t="shared" si="8559"/>
        <v>0</v>
      </c>
      <c r="EI532" s="39">
        <f t="shared" si="8560"/>
        <v>956.14369730559986</v>
      </c>
      <c r="EJ532" s="39">
        <f t="shared" ref="EJ532:EK532" si="8852">EJ$1*DQ532/1000000</f>
        <v>108.71141864951768</v>
      </c>
      <c r="EK532" s="39">
        <f t="shared" si="8852"/>
        <v>63.662669855305467</v>
      </c>
      <c r="EL532" s="39">
        <f t="shared" ref="EL532:EQ532" si="8853">EL$1*DS532</f>
        <v>0</v>
      </c>
      <c r="EM532" s="39">
        <f t="shared" si="8853"/>
        <v>0</v>
      </c>
      <c r="EN532" s="39">
        <f t="shared" si="8853"/>
        <v>0</v>
      </c>
      <c r="EO532" s="39">
        <f t="shared" si="8853"/>
        <v>0</v>
      </c>
      <c r="EP532" s="39">
        <f t="shared" si="8853"/>
        <v>86.868447400000008</v>
      </c>
      <c r="EQ532" s="39">
        <f t="shared" si="8853"/>
        <v>339.92472989159995</v>
      </c>
      <c r="ER532" s="39">
        <f t="shared" ref="ER532:EV532" si="8854">ER$1*DY532/1000000</f>
        <v>50.724852463022494</v>
      </c>
      <c r="ES532" s="39">
        <f t="shared" si="8854"/>
        <v>820.05707498070751</v>
      </c>
      <c r="ET532" s="39">
        <f t="shared" si="8854"/>
        <v>0</v>
      </c>
      <c r="EU532" s="39">
        <f t="shared" si="8854"/>
        <v>0</v>
      </c>
      <c r="EV532" s="39">
        <f t="shared" si="8854"/>
        <v>0</v>
      </c>
      <c r="EW532" s="39">
        <f t="shared" ref="EW532:EX532" si="8855">EW$1*ED532</f>
        <v>0</v>
      </c>
      <c r="EX532" s="39">
        <f t="shared" si="8855"/>
        <v>0</v>
      </c>
      <c r="EY532" s="2"/>
      <c r="EZ532" s="39">
        <f t="shared" si="8565"/>
        <v>0</v>
      </c>
      <c r="FA532" s="39">
        <f t="shared" si="8566"/>
        <v>0</v>
      </c>
      <c r="FB532" s="2">
        <f t="shared" si="8567"/>
        <v>0</v>
      </c>
      <c r="FC532" s="2">
        <f t="shared" ref="FC532:FD532" si="8856">BV532*$BT532+CQ532*$CO532</f>
        <v>0</v>
      </c>
      <c r="FD532" s="2">
        <f t="shared" si="8856"/>
        <v>0</v>
      </c>
      <c r="FE532" s="2">
        <f t="shared" ref="FE532:FJ532" si="8857">(BX532*$BT532+CS532*$CO532)/100</f>
        <v>0</v>
      </c>
      <c r="FF532" s="2">
        <f t="shared" si="8857"/>
        <v>0</v>
      </c>
      <c r="FG532" s="2">
        <f t="shared" si="8857"/>
        <v>0</v>
      </c>
      <c r="FH532" s="2">
        <f t="shared" si="8857"/>
        <v>0</v>
      </c>
      <c r="FI532" s="2">
        <f t="shared" si="8857"/>
        <v>0</v>
      </c>
      <c r="FJ532" s="2">
        <f t="shared" si="8857"/>
        <v>0</v>
      </c>
      <c r="FK532" s="2">
        <f t="shared" ref="FK532:FO532" si="8858">CD532*$BT532+CY532*$CO532</f>
        <v>0</v>
      </c>
      <c r="FL532" s="2">
        <f t="shared" si="8858"/>
        <v>0</v>
      </c>
      <c r="FM532" s="2">
        <f t="shared" si="8858"/>
        <v>0</v>
      </c>
      <c r="FN532" s="2">
        <f t="shared" si="8858"/>
        <v>0</v>
      </c>
      <c r="FO532" s="2">
        <f t="shared" si="8858"/>
        <v>0</v>
      </c>
      <c r="FP532" s="2">
        <f t="shared" ref="FP532:FQ532" si="8859">(CI532*$BT532+DD532*$CO532)/100</f>
        <v>0</v>
      </c>
      <c r="FQ532" s="2">
        <f t="shared" si="8859"/>
        <v>0</v>
      </c>
      <c r="FR532" s="2"/>
      <c r="FS532" s="2">
        <f t="shared" si="8572"/>
        <v>0</v>
      </c>
      <c r="FT532" s="2">
        <f t="shared" si="8573"/>
        <v>0</v>
      </c>
      <c r="FU532" s="39">
        <f t="shared" si="8574"/>
        <v>0</v>
      </c>
      <c r="FV532" s="39">
        <f t="shared" ref="FV532:FW532" si="8860">FV$1*FC532/1000000</f>
        <v>0</v>
      </c>
      <c r="FW532" s="39">
        <f t="shared" si="8860"/>
        <v>0</v>
      </c>
      <c r="FX532" s="39">
        <f t="shared" ref="FX532:GC532" si="8861">FX$1*FE532</f>
        <v>0</v>
      </c>
      <c r="FY532" s="39">
        <f t="shared" si="8861"/>
        <v>0</v>
      </c>
      <c r="FZ532" s="39">
        <f t="shared" si="8861"/>
        <v>0</v>
      </c>
      <c r="GA532" s="39">
        <f t="shared" si="8861"/>
        <v>0</v>
      </c>
      <c r="GB532" s="39">
        <f t="shared" si="8861"/>
        <v>0</v>
      </c>
      <c r="GC532" s="39">
        <f t="shared" si="8861"/>
        <v>0</v>
      </c>
      <c r="GD532" s="39">
        <f t="shared" ref="GD532:GH532" si="8862">GD$1*FK532/1000000</f>
        <v>0</v>
      </c>
      <c r="GE532" s="39">
        <f t="shared" si="8862"/>
        <v>0</v>
      </c>
      <c r="GF532" s="39">
        <f t="shared" si="8862"/>
        <v>0</v>
      </c>
      <c r="GG532" s="39">
        <f t="shared" si="8862"/>
        <v>0</v>
      </c>
      <c r="GH532" s="39">
        <f t="shared" si="8862"/>
        <v>0</v>
      </c>
      <c r="GI532" s="39">
        <f t="shared" ref="GI532:GJ532" si="8863">GI$1*FP532</f>
        <v>0</v>
      </c>
      <c r="GJ532" s="39">
        <f t="shared" si="8863"/>
        <v>0</v>
      </c>
      <c r="GK532" s="2"/>
      <c r="GL532" s="39">
        <f t="shared" si="8579"/>
        <v>0</v>
      </c>
      <c r="GM532" s="39">
        <f t="shared" si="8580"/>
        <v>0</v>
      </c>
      <c r="GN532" s="2" t="s">
        <v>3</v>
      </c>
      <c r="GO532" s="2">
        <f t="shared" si="8581"/>
        <v>69.430000000000007</v>
      </c>
      <c r="GP532" s="2">
        <f t="shared" si="8582"/>
        <v>9.5406884632003447E-3</v>
      </c>
      <c r="GQ532" s="15">
        <f t="shared" si="8583"/>
        <v>6.6240999999999994</v>
      </c>
      <c r="GR532" s="15">
        <f t="shared" si="8584"/>
        <v>2426.0928905457531</v>
      </c>
      <c r="GS532" s="15">
        <f t="shared" si="8585"/>
        <v>34.943005769058807</v>
      </c>
      <c r="GT532" s="2">
        <f t="shared" si="8586"/>
        <v>1.2573000000000001</v>
      </c>
      <c r="GU532" s="2">
        <f t="shared" si="8587"/>
        <v>3.7540000000000004</v>
      </c>
      <c r="GV532" s="2">
        <f t="shared" si="8588"/>
        <v>1.6128</v>
      </c>
      <c r="GW532" s="2">
        <f t="shared" si="8589"/>
        <v>0</v>
      </c>
      <c r="GX532" s="2"/>
      <c r="GY532" s="2"/>
      <c r="GZ532" s="2"/>
      <c r="HA532" s="2"/>
      <c r="HB532" s="2">
        <f t="shared" si="8590"/>
        <v>0</v>
      </c>
      <c r="HC532" s="2">
        <f t="shared" si="8591"/>
        <v>0</v>
      </c>
      <c r="HD532" s="2" t="s">
        <v>3</v>
      </c>
      <c r="HE532" s="2" t="s">
        <v>89</v>
      </c>
      <c r="HF532" s="2" t="s">
        <v>123</v>
      </c>
      <c r="HG532" s="2"/>
      <c r="HH532" s="2"/>
      <c r="HI532" s="2" t="s">
        <v>81</v>
      </c>
      <c r="HJ532" s="2" t="s">
        <v>3</v>
      </c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 t="s">
        <v>3</v>
      </c>
    </row>
    <row r="533" spans="1:268" ht="15.75" customHeight="1" x14ac:dyDescent="0.2">
      <c r="A533" s="16" t="s">
        <v>699</v>
      </c>
      <c r="B533" s="2" t="s">
        <v>99</v>
      </c>
      <c r="C533" s="2"/>
      <c r="D533" s="2"/>
      <c r="E533" s="2"/>
      <c r="F533" s="2" t="s">
        <v>700</v>
      </c>
      <c r="G533" s="2"/>
      <c r="H533" s="2"/>
      <c r="I533" s="2">
        <v>1.2549999999999999</v>
      </c>
      <c r="J533" s="2">
        <v>0.56000000000000005</v>
      </c>
      <c r="K533" s="2"/>
      <c r="L533" s="2"/>
      <c r="M533" s="2"/>
      <c r="N533" s="2"/>
      <c r="O533" s="2"/>
      <c r="P533" s="2"/>
      <c r="Q533" s="2">
        <v>1.0900000000000001</v>
      </c>
      <c r="R533" s="2">
        <v>7.0000000000000007E-2</v>
      </c>
      <c r="S533" s="4">
        <v>0.2</v>
      </c>
      <c r="T533" s="2">
        <v>1.1100000000000001</v>
      </c>
      <c r="U533" s="2"/>
      <c r="V533" s="2"/>
      <c r="W533" s="2"/>
      <c r="X533" s="2"/>
      <c r="Y533" s="2"/>
      <c r="Z533" s="2"/>
      <c r="AA533" s="2"/>
      <c r="AB533" s="2"/>
      <c r="AC533" s="2"/>
      <c r="AD533" s="2">
        <v>0.78300000000000003</v>
      </c>
      <c r="AE533" s="2">
        <v>0.53</v>
      </c>
      <c r="AF533" s="2"/>
      <c r="AG533" s="2"/>
      <c r="AH533" s="2"/>
      <c r="AI533" s="2"/>
      <c r="AJ533" s="2"/>
      <c r="AK533" s="2"/>
      <c r="AL533" s="4">
        <v>1</v>
      </c>
      <c r="AM533" s="2">
        <v>0.06</v>
      </c>
      <c r="AN533" s="2">
        <v>0.28999999999999998</v>
      </c>
      <c r="AO533" s="2">
        <v>0.91</v>
      </c>
      <c r="AP533" s="2"/>
      <c r="AQ533" s="2"/>
      <c r="AR533" s="2"/>
      <c r="AS533" s="2"/>
      <c r="AT533" s="2"/>
      <c r="AU533" s="2"/>
      <c r="AV533" s="2"/>
      <c r="AW533" s="2"/>
      <c r="AX533" s="2"/>
      <c r="AY533" s="2">
        <v>1.0529999999999999</v>
      </c>
      <c r="AZ533" s="2">
        <v>0.32</v>
      </c>
      <c r="BA533" s="2"/>
      <c r="BB533" s="2"/>
      <c r="BC533" s="2"/>
      <c r="BD533" s="2"/>
      <c r="BE533" s="2"/>
      <c r="BF533" s="2"/>
      <c r="BG533" s="2">
        <v>0.81</v>
      </c>
      <c r="BH533" s="2">
        <v>0.06</v>
      </c>
      <c r="BI533" s="4">
        <v>0.5</v>
      </c>
      <c r="BJ533" s="2">
        <v>1.06</v>
      </c>
      <c r="BK533" s="2"/>
      <c r="BL533" s="2"/>
      <c r="BM533" s="2"/>
      <c r="BN533" s="2"/>
      <c r="BO533" s="2"/>
      <c r="BP533" s="2"/>
      <c r="BQ533" s="2"/>
      <c r="BR533" s="2"/>
      <c r="BS533" s="2"/>
      <c r="BT533" s="2">
        <v>0</v>
      </c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>
        <v>0</v>
      </c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 t="s">
        <v>81</v>
      </c>
      <c r="DK533" s="2" t="s">
        <v>81</v>
      </c>
      <c r="DL533" s="2">
        <f t="shared" si="8551"/>
        <v>0.97181494661921708</v>
      </c>
      <c r="DM533" s="2">
        <f t="shared" si="8552"/>
        <v>6.4060174700744113E-2</v>
      </c>
      <c r="DN533" s="2" t="s">
        <v>701</v>
      </c>
      <c r="DO533" s="2" t="s">
        <v>3</v>
      </c>
      <c r="DP533" s="2">
        <f t="shared" si="8553"/>
        <v>1.45475E-2</v>
      </c>
      <c r="DQ533" s="2">
        <f t="shared" ref="DQ533:DR533" si="8864">K533*$I533+AF533*$AD533+BA533*$AY533</f>
        <v>0</v>
      </c>
      <c r="DR533" s="2">
        <f t="shared" si="8864"/>
        <v>0</v>
      </c>
      <c r="DS533" s="2">
        <f t="shared" ref="DS533:DX533" si="8865">(M533*$I533+AH533*$AD533+BC533*$AY533)/100</f>
        <v>0</v>
      </c>
      <c r="DT533" s="2">
        <f t="shared" si="8865"/>
        <v>0</v>
      </c>
      <c r="DU533" s="2">
        <f t="shared" si="8865"/>
        <v>0</v>
      </c>
      <c r="DV533" s="2">
        <f t="shared" si="8865"/>
        <v>0</v>
      </c>
      <c r="DW533" s="2">
        <f t="shared" si="8865"/>
        <v>3.0038799999999997E-2</v>
      </c>
      <c r="DX533" s="2">
        <f t="shared" si="8865"/>
        <v>1.9801000000000003E-3</v>
      </c>
      <c r="DY533" s="2">
        <f t="shared" ref="DY533:EC533" si="8866">S533*$I533+AN533*$AD533+BI533*$AY533</f>
        <v>1.00457</v>
      </c>
      <c r="DZ533" s="2">
        <f t="shared" si="8866"/>
        <v>3.2217599999999997</v>
      </c>
      <c r="EA533" s="2">
        <f t="shared" si="8866"/>
        <v>0</v>
      </c>
      <c r="EB533" s="2">
        <f t="shared" si="8866"/>
        <v>0</v>
      </c>
      <c r="EC533" s="2">
        <f t="shared" si="8866"/>
        <v>0</v>
      </c>
      <c r="ED533" s="2">
        <f t="shared" ref="ED533:EE533" si="8867">(X533*$I533+AS533*$AD533+BN533*$AY533)/100</f>
        <v>0</v>
      </c>
      <c r="EE533" s="2">
        <f t="shared" si="8867"/>
        <v>0</v>
      </c>
      <c r="EF533" s="2"/>
      <c r="EG533" s="2">
        <f t="shared" si="8558"/>
        <v>0</v>
      </c>
      <c r="EH533" s="2">
        <f t="shared" si="8559"/>
        <v>0</v>
      </c>
      <c r="EI533" s="39">
        <f t="shared" si="8560"/>
        <v>94.931398759999993</v>
      </c>
      <c r="EJ533" s="39">
        <f t="shared" ref="EJ533:EK533" si="8868">EJ$1*DQ533/1000000</f>
        <v>0</v>
      </c>
      <c r="EK533" s="39">
        <f t="shared" si="8868"/>
        <v>0</v>
      </c>
      <c r="EL533" s="39">
        <f t="shared" ref="EL533:EQ533" si="8869">EL$1*DS533</f>
        <v>0</v>
      </c>
      <c r="EM533" s="39">
        <f t="shared" si="8869"/>
        <v>0</v>
      </c>
      <c r="EN533" s="39">
        <f t="shared" si="8869"/>
        <v>0</v>
      </c>
      <c r="EO533" s="39">
        <f t="shared" si="8869"/>
        <v>0</v>
      </c>
      <c r="EP533" s="39">
        <f t="shared" si="8869"/>
        <v>393.92882319999995</v>
      </c>
      <c r="EQ533" s="39">
        <f t="shared" si="8869"/>
        <v>143.79391947240001</v>
      </c>
      <c r="ER533" s="39">
        <f t="shared" ref="ER533:EV533" si="8870">ER$1*DY533/1000000</f>
        <v>28.511053254019288</v>
      </c>
      <c r="ES533" s="39">
        <f t="shared" si="8870"/>
        <v>107.36748285530547</v>
      </c>
      <c r="ET533" s="39">
        <f t="shared" si="8870"/>
        <v>0</v>
      </c>
      <c r="EU533" s="39">
        <f t="shared" si="8870"/>
        <v>0</v>
      </c>
      <c r="EV533" s="39">
        <f t="shared" si="8870"/>
        <v>0</v>
      </c>
      <c r="EW533" s="39">
        <f t="shared" ref="EW533:EX533" si="8871">EW$1*ED533</f>
        <v>0</v>
      </c>
      <c r="EX533" s="39">
        <f t="shared" si="8871"/>
        <v>0</v>
      </c>
      <c r="EY533" s="2"/>
      <c r="EZ533" s="39">
        <f t="shared" si="8565"/>
        <v>0</v>
      </c>
      <c r="FA533" s="39">
        <f t="shared" si="8566"/>
        <v>0</v>
      </c>
      <c r="FB533" s="2">
        <f t="shared" si="8567"/>
        <v>0</v>
      </c>
      <c r="FC533" s="2">
        <f t="shared" ref="FC533:FD533" si="8872">BV533*$BT533+CQ533*$CO533</f>
        <v>0</v>
      </c>
      <c r="FD533" s="2">
        <f t="shared" si="8872"/>
        <v>0</v>
      </c>
      <c r="FE533" s="2">
        <f t="shared" ref="FE533:FJ533" si="8873">(BX533*$BT533+CS533*$CO533)/100</f>
        <v>0</v>
      </c>
      <c r="FF533" s="2">
        <f t="shared" si="8873"/>
        <v>0</v>
      </c>
      <c r="FG533" s="2">
        <f t="shared" si="8873"/>
        <v>0</v>
      </c>
      <c r="FH533" s="2">
        <f t="shared" si="8873"/>
        <v>0</v>
      </c>
      <c r="FI533" s="2">
        <f t="shared" si="8873"/>
        <v>0</v>
      </c>
      <c r="FJ533" s="2">
        <f t="shared" si="8873"/>
        <v>0</v>
      </c>
      <c r="FK533" s="2">
        <f t="shared" ref="FK533:FO533" si="8874">CD533*$BT533+CY533*$CO533</f>
        <v>0</v>
      </c>
      <c r="FL533" s="2">
        <f t="shared" si="8874"/>
        <v>0</v>
      </c>
      <c r="FM533" s="2">
        <f t="shared" si="8874"/>
        <v>0</v>
      </c>
      <c r="FN533" s="2">
        <f t="shared" si="8874"/>
        <v>0</v>
      </c>
      <c r="FO533" s="2">
        <f t="shared" si="8874"/>
        <v>0</v>
      </c>
      <c r="FP533" s="2">
        <f t="shared" ref="FP533:FQ533" si="8875">(CI533*$BT533+DD533*$CO533)/100</f>
        <v>0</v>
      </c>
      <c r="FQ533" s="2">
        <f t="shared" si="8875"/>
        <v>0</v>
      </c>
      <c r="FR533" s="2"/>
      <c r="FS533" s="2">
        <f t="shared" si="8572"/>
        <v>0</v>
      </c>
      <c r="FT533" s="2">
        <f t="shared" si="8573"/>
        <v>0</v>
      </c>
      <c r="FU533" s="39">
        <f t="shared" si="8574"/>
        <v>0</v>
      </c>
      <c r="FV533" s="39">
        <f t="shared" ref="FV533:FW533" si="8876">FV$1*FC533/1000000</f>
        <v>0</v>
      </c>
      <c r="FW533" s="39">
        <f t="shared" si="8876"/>
        <v>0</v>
      </c>
      <c r="FX533" s="39">
        <f t="shared" ref="FX533:GC533" si="8877">FX$1*FE533</f>
        <v>0</v>
      </c>
      <c r="FY533" s="39">
        <f t="shared" si="8877"/>
        <v>0</v>
      </c>
      <c r="FZ533" s="39">
        <f t="shared" si="8877"/>
        <v>0</v>
      </c>
      <c r="GA533" s="39">
        <f t="shared" si="8877"/>
        <v>0</v>
      </c>
      <c r="GB533" s="39">
        <f t="shared" si="8877"/>
        <v>0</v>
      </c>
      <c r="GC533" s="39">
        <f t="shared" si="8877"/>
        <v>0</v>
      </c>
      <c r="GD533" s="39">
        <f t="shared" ref="GD533:GH533" si="8878">GD$1*FK533/1000000</f>
        <v>0</v>
      </c>
      <c r="GE533" s="39">
        <f t="shared" si="8878"/>
        <v>0</v>
      </c>
      <c r="GF533" s="39">
        <f t="shared" si="8878"/>
        <v>0</v>
      </c>
      <c r="GG533" s="39">
        <f t="shared" si="8878"/>
        <v>0</v>
      </c>
      <c r="GH533" s="39">
        <f t="shared" si="8878"/>
        <v>0</v>
      </c>
      <c r="GI533" s="39">
        <f t="shared" ref="GI533:GJ533" si="8879">GI$1*FP533</f>
        <v>0</v>
      </c>
      <c r="GJ533" s="39">
        <f t="shared" si="8879"/>
        <v>0</v>
      </c>
      <c r="GK533" s="2"/>
      <c r="GL533" s="39">
        <f t="shared" si="8579"/>
        <v>0</v>
      </c>
      <c r="GM533" s="39">
        <f t="shared" si="8580"/>
        <v>0</v>
      </c>
      <c r="GN533" s="2" t="s">
        <v>3</v>
      </c>
      <c r="GO533" s="2">
        <f t="shared" si="8581"/>
        <v>3.0909999999999997</v>
      </c>
      <c r="GP533" s="4">
        <f t="shared" si="8582"/>
        <v>0.97181494661921708</v>
      </c>
      <c r="GQ533" s="15">
        <f t="shared" si="8583"/>
        <v>30.038799999999995</v>
      </c>
      <c r="GR533" s="15">
        <f t="shared" si="8584"/>
        <v>768.53267754172475</v>
      </c>
      <c r="GS533" s="15">
        <f t="shared" si="8585"/>
        <v>248.63561227490288</v>
      </c>
      <c r="GT533" s="2">
        <f t="shared" si="8586"/>
        <v>13.679500000000001</v>
      </c>
      <c r="GU533" s="2">
        <f t="shared" si="8587"/>
        <v>7.83</v>
      </c>
      <c r="GV533" s="2">
        <f t="shared" si="8588"/>
        <v>8.5292999999999992</v>
      </c>
      <c r="GW533" s="2">
        <f t="shared" si="8589"/>
        <v>0</v>
      </c>
      <c r="GX533" s="2"/>
      <c r="GY533" s="2"/>
      <c r="GZ533" s="2"/>
      <c r="HA533" s="2"/>
      <c r="HB533" s="2">
        <f t="shared" si="8590"/>
        <v>0</v>
      </c>
      <c r="HC533" s="2">
        <f t="shared" si="8591"/>
        <v>0</v>
      </c>
      <c r="HD533" s="2" t="s">
        <v>3</v>
      </c>
      <c r="HE533" s="2" t="s">
        <v>89</v>
      </c>
      <c r="HF533" s="2" t="s">
        <v>123</v>
      </c>
      <c r="HG533" s="2"/>
      <c r="HH533" s="2"/>
      <c r="HI533" s="2" t="s">
        <v>81</v>
      </c>
      <c r="HJ533" s="2" t="s">
        <v>3</v>
      </c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 t="s">
        <v>3</v>
      </c>
    </row>
    <row r="534" spans="1:268" ht="15.75" customHeight="1" x14ac:dyDescent="0.2">
      <c r="A534" s="16" t="s">
        <v>762</v>
      </c>
      <c r="B534" s="2" t="s">
        <v>99</v>
      </c>
      <c r="C534" s="2"/>
      <c r="D534" s="2"/>
      <c r="E534" s="2"/>
      <c r="F534" s="2" t="s">
        <v>763</v>
      </c>
      <c r="G534" s="2"/>
      <c r="H534" s="2"/>
      <c r="I534" s="2">
        <v>0</v>
      </c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>
        <v>1.899</v>
      </c>
      <c r="AE534" s="2">
        <v>0.33</v>
      </c>
      <c r="AF534" s="2"/>
      <c r="AG534" s="2"/>
      <c r="AH534" s="2"/>
      <c r="AI534" s="2"/>
      <c r="AJ534" s="2"/>
      <c r="AK534" s="2"/>
      <c r="AL534" s="2">
        <v>0.7</v>
      </c>
      <c r="AM534" s="2">
        <v>3.4000000000000002E-2</v>
      </c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>
        <v>2.403</v>
      </c>
      <c r="AZ534" s="2">
        <v>0.35</v>
      </c>
      <c r="BA534" s="2"/>
      <c r="BB534" s="2"/>
      <c r="BC534" s="2"/>
      <c r="BD534" s="2"/>
      <c r="BE534" s="2"/>
      <c r="BF534" s="2"/>
      <c r="BG534" s="2">
        <v>0.86</v>
      </c>
      <c r="BH534" s="2">
        <v>3.4000000000000002E-2</v>
      </c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>
        <v>0</v>
      </c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>
        <v>0</v>
      </c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 t="s">
        <v>81</v>
      </c>
      <c r="DK534" s="2" t="s">
        <v>81</v>
      </c>
      <c r="DL534" s="2">
        <f t="shared" si="8551"/>
        <v>0.7893723849372386</v>
      </c>
      <c r="DM534" s="2">
        <f t="shared" si="8552"/>
        <v>3.4000000000000002E-2</v>
      </c>
      <c r="DN534" s="2" t="s">
        <v>764</v>
      </c>
      <c r="DO534" s="2" t="s">
        <v>3</v>
      </c>
      <c r="DP534" s="2">
        <f t="shared" si="8553"/>
        <v>1.46772E-2</v>
      </c>
      <c r="DQ534" s="2">
        <f t="shared" ref="DQ534:DR534" si="8880">K534*$I534+AF534*$AD534+BA534*$AY534</f>
        <v>0</v>
      </c>
      <c r="DR534" s="2">
        <f t="shared" si="8880"/>
        <v>0</v>
      </c>
      <c r="DS534" s="2">
        <f t="shared" ref="DS534:DX534" si="8881">(M534*$I534+AH534*$AD534+BC534*$AY534)/100</f>
        <v>0</v>
      </c>
      <c r="DT534" s="2">
        <f t="shared" si="8881"/>
        <v>0</v>
      </c>
      <c r="DU534" s="2">
        <f t="shared" si="8881"/>
        <v>0</v>
      </c>
      <c r="DV534" s="2">
        <f t="shared" si="8881"/>
        <v>0</v>
      </c>
      <c r="DW534" s="2">
        <f t="shared" si="8881"/>
        <v>3.3958799999999997E-2</v>
      </c>
      <c r="DX534" s="2">
        <f t="shared" si="8881"/>
        <v>1.4626800000000001E-3</v>
      </c>
      <c r="DY534" s="2">
        <f t="shared" ref="DY534:EC534" si="8882">S534*$I534+AN534*$AD534+BI534*$AY534</f>
        <v>0</v>
      </c>
      <c r="DZ534" s="2">
        <f t="shared" si="8882"/>
        <v>0</v>
      </c>
      <c r="EA534" s="2">
        <f t="shared" si="8882"/>
        <v>0</v>
      </c>
      <c r="EB534" s="2">
        <f t="shared" si="8882"/>
        <v>0</v>
      </c>
      <c r="EC534" s="2">
        <f t="shared" si="8882"/>
        <v>0</v>
      </c>
      <c r="ED534" s="2">
        <f t="shared" ref="ED534:EE534" si="8883">(X534*$I534+AS534*$AD534+BN534*$AY534)/100</f>
        <v>0</v>
      </c>
      <c r="EE534" s="2">
        <f t="shared" si="8883"/>
        <v>0</v>
      </c>
      <c r="EF534" s="2"/>
      <c r="EG534" s="2">
        <f t="shared" si="8558"/>
        <v>0</v>
      </c>
      <c r="EH534" s="2">
        <f t="shared" si="8559"/>
        <v>0</v>
      </c>
      <c r="EI534" s="39">
        <f t="shared" si="8560"/>
        <v>95.7777711552</v>
      </c>
      <c r="EJ534" s="39">
        <f t="shared" ref="EJ534:EK534" si="8884">EJ$1*DQ534/1000000</f>
        <v>0</v>
      </c>
      <c r="EK534" s="39">
        <f t="shared" si="8884"/>
        <v>0</v>
      </c>
      <c r="EL534" s="39">
        <f t="shared" ref="EL534:EQ534" si="8885">EL$1*DS534</f>
        <v>0</v>
      </c>
      <c r="EM534" s="39">
        <f t="shared" si="8885"/>
        <v>0</v>
      </c>
      <c r="EN534" s="39">
        <f t="shared" si="8885"/>
        <v>0</v>
      </c>
      <c r="EO534" s="39">
        <f t="shared" si="8885"/>
        <v>0</v>
      </c>
      <c r="EP534" s="39">
        <f t="shared" si="8885"/>
        <v>445.33570319999995</v>
      </c>
      <c r="EQ534" s="39">
        <f t="shared" si="8885"/>
        <v>106.21912536431999</v>
      </c>
      <c r="ER534" s="39">
        <f t="shared" ref="ER534:EV534" si="8886">ER$1*DY534/1000000</f>
        <v>0</v>
      </c>
      <c r="ES534" s="39">
        <f t="shared" si="8886"/>
        <v>0</v>
      </c>
      <c r="ET534" s="39">
        <f t="shared" si="8886"/>
        <v>0</v>
      </c>
      <c r="EU534" s="39">
        <f t="shared" si="8886"/>
        <v>0</v>
      </c>
      <c r="EV534" s="39">
        <f t="shared" si="8886"/>
        <v>0</v>
      </c>
      <c r="EW534" s="39">
        <f t="shared" ref="EW534:EX534" si="8887">EW$1*ED534</f>
        <v>0</v>
      </c>
      <c r="EX534" s="39">
        <f t="shared" si="8887"/>
        <v>0</v>
      </c>
      <c r="EY534" s="2"/>
      <c r="EZ534" s="39">
        <f t="shared" si="8565"/>
        <v>0</v>
      </c>
      <c r="FA534" s="39">
        <f t="shared" si="8566"/>
        <v>0</v>
      </c>
      <c r="FB534" s="2">
        <f t="shared" si="8567"/>
        <v>0</v>
      </c>
      <c r="FC534" s="2">
        <f t="shared" ref="FC534:FD534" si="8888">BV534*$BT534+CQ534*$CO534</f>
        <v>0</v>
      </c>
      <c r="FD534" s="2">
        <f t="shared" si="8888"/>
        <v>0</v>
      </c>
      <c r="FE534" s="2">
        <f t="shared" ref="FE534:FJ534" si="8889">(BX534*$BT534+CS534*$CO534)/100</f>
        <v>0</v>
      </c>
      <c r="FF534" s="2">
        <f t="shared" si="8889"/>
        <v>0</v>
      </c>
      <c r="FG534" s="2">
        <f t="shared" si="8889"/>
        <v>0</v>
      </c>
      <c r="FH534" s="2">
        <f t="shared" si="8889"/>
        <v>0</v>
      </c>
      <c r="FI534" s="2">
        <f t="shared" si="8889"/>
        <v>0</v>
      </c>
      <c r="FJ534" s="2">
        <f t="shared" si="8889"/>
        <v>0</v>
      </c>
      <c r="FK534" s="2">
        <f t="shared" ref="FK534:FO534" si="8890">CD534*$BT534+CY534*$CO534</f>
        <v>0</v>
      </c>
      <c r="FL534" s="2">
        <f t="shared" si="8890"/>
        <v>0</v>
      </c>
      <c r="FM534" s="2">
        <f t="shared" si="8890"/>
        <v>0</v>
      </c>
      <c r="FN534" s="2">
        <f t="shared" si="8890"/>
        <v>0</v>
      </c>
      <c r="FO534" s="2">
        <f t="shared" si="8890"/>
        <v>0</v>
      </c>
      <c r="FP534" s="2">
        <f t="shared" ref="FP534:FQ534" si="8891">(CI534*$BT534+DD534*$CO534)/100</f>
        <v>0</v>
      </c>
      <c r="FQ534" s="2">
        <f t="shared" si="8891"/>
        <v>0</v>
      </c>
      <c r="FR534" s="2"/>
      <c r="FS534" s="2">
        <f t="shared" si="8572"/>
        <v>0</v>
      </c>
      <c r="FT534" s="2">
        <f t="shared" si="8573"/>
        <v>0</v>
      </c>
      <c r="FU534" s="39">
        <f t="shared" si="8574"/>
        <v>0</v>
      </c>
      <c r="FV534" s="39">
        <f t="shared" ref="FV534:FW534" si="8892">FV$1*FC534/1000000</f>
        <v>0</v>
      </c>
      <c r="FW534" s="39">
        <f t="shared" si="8892"/>
        <v>0</v>
      </c>
      <c r="FX534" s="39">
        <f t="shared" ref="FX534:GC534" si="8893">FX$1*FE534</f>
        <v>0</v>
      </c>
      <c r="FY534" s="39">
        <f t="shared" si="8893"/>
        <v>0</v>
      </c>
      <c r="FZ534" s="39">
        <f t="shared" si="8893"/>
        <v>0</v>
      </c>
      <c r="GA534" s="39">
        <f t="shared" si="8893"/>
        <v>0</v>
      </c>
      <c r="GB534" s="39">
        <f t="shared" si="8893"/>
        <v>0</v>
      </c>
      <c r="GC534" s="39">
        <f t="shared" si="8893"/>
        <v>0</v>
      </c>
      <c r="GD534" s="39">
        <f t="shared" ref="GD534:GH534" si="8894">GD$1*FK534/1000000</f>
        <v>0</v>
      </c>
      <c r="GE534" s="39">
        <f t="shared" si="8894"/>
        <v>0</v>
      </c>
      <c r="GF534" s="39">
        <f t="shared" si="8894"/>
        <v>0</v>
      </c>
      <c r="GG534" s="39">
        <f t="shared" si="8894"/>
        <v>0</v>
      </c>
      <c r="GH534" s="39">
        <f t="shared" si="8894"/>
        <v>0</v>
      </c>
      <c r="GI534" s="39">
        <f t="shared" ref="GI534:GJ534" si="8895">GI$1*FP534</f>
        <v>0</v>
      </c>
      <c r="GJ534" s="39">
        <f t="shared" si="8895"/>
        <v>0</v>
      </c>
      <c r="GK534" s="2"/>
      <c r="GL534" s="39">
        <f t="shared" si="8579"/>
        <v>0</v>
      </c>
      <c r="GM534" s="39">
        <f t="shared" si="8580"/>
        <v>0</v>
      </c>
      <c r="GN534" s="2" t="s">
        <v>3</v>
      </c>
      <c r="GO534" s="2">
        <f t="shared" si="8581"/>
        <v>4.3019999999999996</v>
      </c>
      <c r="GP534" s="4">
        <f t="shared" si="8582"/>
        <v>0.7893723849372386</v>
      </c>
      <c r="GQ534" s="15">
        <f t="shared" si="8583"/>
        <v>33.958800000000004</v>
      </c>
      <c r="GR534" s="15">
        <f t="shared" si="8584"/>
        <v>647.33259971951998</v>
      </c>
      <c r="GS534" s="15">
        <f t="shared" si="8585"/>
        <v>150.47247785205022</v>
      </c>
      <c r="GT534" s="2">
        <f t="shared" si="8586"/>
        <v>0</v>
      </c>
      <c r="GU534" s="2">
        <f t="shared" si="8587"/>
        <v>13.292999999999999</v>
      </c>
      <c r="GV534" s="2">
        <f t="shared" si="8588"/>
        <v>20.665800000000001</v>
      </c>
      <c r="GW534" s="2">
        <f t="shared" si="8589"/>
        <v>0</v>
      </c>
      <c r="GX534" s="2"/>
      <c r="GY534" s="2"/>
      <c r="GZ534" s="2"/>
      <c r="HA534" s="2"/>
      <c r="HB534" s="2">
        <f t="shared" si="8590"/>
        <v>0</v>
      </c>
      <c r="HC534" s="2">
        <f t="shared" si="8591"/>
        <v>0</v>
      </c>
      <c r="HD534" s="2" t="s">
        <v>3</v>
      </c>
      <c r="HE534" s="2" t="s">
        <v>89</v>
      </c>
      <c r="HF534" s="2" t="s">
        <v>123</v>
      </c>
      <c r="HG534" s="2"/>
      <c r="HH534" s="2"/>
      <c r="HI534" s="2" t="s">
        <v>81</v>
      </c>
      <c r="HJ534" s="2" t="s">
        <v>3</v>
      </c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 t="s">
        <v>3</v>
      </c>
    </row>
    <row r="535" spans="1:268" ht="15.75" customHeight="1" x14ac:dyDescent="0.2">
      <c r="A535" s="16" t="s">
        <v>767</v>
      </c>
      <c r="B535" s="2" t="s">
        <v>99</v>
      </c>
      <c r="C535" s="2"/>
      <c r="D535" s="2"/>
      <c r="E535" s="2"/>
      <c r="F535" s="2" t="s">
        <v>768</v>
      </c>
      <c r="G535" s="2"/>
      <c r="H535" s="2"/>
      <c r="I535" s="2">
        <v>0</v>
      </c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>
        <v>7.2</v>
      </c>
      <c r="AE535" s="4">
        <v>0.13</v>
      </c>
      <c r="AF535" s="4"/>
      <c r="AG535" s="2"/>
      <c r="AH535" s="2"/>
      <c r="AI535" s="2"/>
      <c r="AJ535" s="2"/>
      <c r="AK535" s="2"/>
      <c r="AL535" s="4">
        <v>0.61</v>
      </c>
      <c r="AM535" s="2">
        <v>0.01</v>
      </c>
      <c r="AN535" s="4">
        <v>0.1</v>
      </c>
      <c r="AO535" s="4">
        <v>0.36</v>
      </c>
      <c r="AP535" s="2"/>
      <c r="AQ535" s="2"/>
      <c r="AR535" s="2"/>
      <c r="AS535" s="2"/>
      <c r="AT535" s="2"/>
      <c r="AU535" s="2"/>
      <c r="AV535" s="2"/>
      <c r="AW535" s="2"/>
      <c r="AX535" s="2"/>
      <c r="AY535" s="2">
        <v>0.67300000000000004</v>
      </c>
      <c r="AZ535" s="4">
        <v>0.08</v>
      </c>
      <c r="BA535" s="4"/>
      <c r="BB535" s="2"/>
      <c r="BC535" s="2"/>
      <c r="BD535" s="2"/>
      <c r="BE535" s="2"/>
      <c r="BF535" s="2"/>
      <c r="BG535" s="4">
        <v>0.27</v>
      </c>
      <c r="BH535" s="2">
        <v>0.02</v>
      </c>
      <c r="BI535" s="4">
        <v>0.05</v>
      </c>
      <c r="BJ535" s="4">
        <v>0.14000000000000001</v>
      </c>
      <c r="BK535" s="2"/>
      <c r="BL535" s="2"/>
      <c r="BM535" s="2"/>
      <c r="BN535" s="2"/>
      <c r="BO535" s="2"/>
      <c r="BP535" s="2"/>
      <c r="BQ535" s="2"/>
      <c r="BR535" s="2"/>
      <c r="BS535" s="2"/>
      <c r="BT535" s="2">
        <v>0</v>
      </c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>
        <v>0</v>
      </c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 t="s">
        <v>81</v>
      </c>
      <c r="DK535" s="2" t="s">
        <v>81</v>
      </c>
      <c r="DL535" s="2">
        <f t="shared" si="8551"/>
        <v>0.58093611075828777</v>
      </c>
      <c r="DM535" s="2">
        <f t="shared" si="8552"/>
        <v>1.0854820271815065E-2</v>
      </c>
      <c r="DN535" s="2" t="s">
        <v>769</v>
      </c>
      <c r="DO535" s="2" t="s">
        <v>3</v>
      </c>
      <c r="DP535" s="2">
        <f t="shared" si="8553"/>
        <v>9.8983999999999999E-3</v>
      </c>
      <c r="DQ535" s="2">
        <f t="shared" ref="DQ535:DR535" si="8896">K535*$I535+AF535*$AD535+BA535*$AY535</f>
        <v>0</v>
      </c>
      <c r="DR535" s="2">
        <f t="shared" si="8896"/>
        <v>0</v>
      </c>
      <c r="DS535" s="2">
        <f t="shared" ref="DS535:DX535" si="8897">(M535*$I535+AH535*$AD535+BC535*$AY535)/100</f>
        <v>0</v>
      </c>
      <c r="DT535" s="2">
        <f t="shared" si="8897"/>
        <v>0</v>
      </c>
      <c r="DU535" s="2">
        <f t="shared" si="8897"/>
        <v>0</v>
      </c>
      <c r="DV535" s="2">
        <f t="shared" si="8897"/>
        <v>0</v>
      </c>
      <c r="DW535" s="2">
        <f t="shared" si="8897"/>
        <v>4.5737100000000003E-2</v>
      </c>
      <c r="DX535" s="2">
        <f t="shared" si="8897"/>
        <v>8.5460000000000006E-4</v>
      </c>
      <c r="DY535" s="2">
        <f t="shared" ref="DY535:EC535" si="8898">S535*$I535+AN535*$AD535+BI535*$AY535</f>
        <v>0.75365000000000004</v>
      </c>
      <c r="DZ535" s="2">
        <f t="shared" si="8898"/>
        <v>2.6862200000000001</v>
      </c>
      <c r="EA535" s="2">
        <f t="shared" si="8898"/>
        <v>0</v>
      </c>
      <c r="EB535" s="2">
        <f t="shared" si="8898"/>
        <v>0</v>
      </c>
      <c r="EC535" s="2">
        <f t="shared" si="8898"/>
        <v>0</v>
      </c>
      <c r="ED535" s="2">
        <f t="shared" ref="ED535:EE535" si="8899">(X535*$I535+AS535*$AD535+BN535*$AY535)/100</f>
        <v>0</v>
      </c>
      <c r="EE535" s="2">
        <f t="shared" si="8899"/>
        <v>0</v>
      </c>
      <c r="EF535" s="2"/>
      <c r="EG535" s="2">
        <f t="shared" si="8558"/>
        <v>0</v>
      </c>
      <c r="EH535" s="2">
        <f t="shared" si="8559"/>
        <v>0</v>
      </c>
      <c r="EI535" s="39">
        <f t="shared" si="8560"/>
        <v>64.593157414399997</v>
      </c>
      <c r="EJ535" s="39">
        <f t="shared" ref="EJ535:EK535" si="8900">EJ$1*DQ535/1000000</f>
        <v>0</v>
      </c>
      <c r="EK535" s="39">
        <f t="shared" si="8900"/>
        <v>0</v>
      </c>
      <c r="EL535" s="39">
        <f t="shared" ref="EL535:EQ535" si="8901">EL$1*DS535</f>
        <v>0</v>
      </c>
      <c r="EM535" s="39">
        <f t="shared" si="8901"/>
        <v>0</v>
      </c>
      <c r="EN535" s="39">
        <f t="shared" si="8901"/>
        <v>0</v>
      </c>
      <c r="EO535" s="39">
        <f t="shared" si="8901"/>
        <v>0</v>
      </c>
      <c r="EP535" s="39">
        <f t="shared" si="8901"/>
        <v>599.79632939999999</v>
      </c>
      <c r="EQ535" s="39">
        <f t="shared" si="8901"/>
        <v>62.060645210399997</v>
      </c>
      <c r="ER535" s="39">
        <f t="shared" ref="ER535:EV535" si="8902">ER$1*DY535/1000000</f>
        <v>21.389604790996781</v>
      </c>
      <c r="ES535" s="39">
        <f t="shared" si="8902"/>
        <v>89.520224906752418</v>
      </c>
      <c r="ET535" s="39">
        <f t="shared" si="8902"/>
        <v>0</v>
      </c>
      <c r="EU535" s="39">
        <f t="shared" si="8902"/>
        <v>0</v>
      </c>
      <c r="EV535" s="39">
        <f t="shared" si="8902"/>
        <v>0</v>
      </c>
      <c r="EW535" s="39">
        <f t="shared" ref="EW535:EX535" si="8903">EW$1*ED535</f>
        <v>0</v>
      </c>
      <c r="EX535" s="39">
        <f t="shared" si="8903"/>
        <v>0</v>
      </c>
      <c r="EY535" s="2"/>
      <c r="EZ535" s="39">
        <f t="shared" si="8565"/>
        <v>0</v>
      </c>
      <c r="FA535" s="39">
        <f t="shared" si="8566"/>
        <v>0</v>
      </c>
      <c r="FB535" s="2">
        <f t="shared" si="8567"/>
        <v>0</v>
      </c>
      <c r="FC535" s="2">
        <f t="shared" ref="FC535:FD535" si="8904">BV535*$BT535+CQ535*$CO535</f>
        <v>0</v>
      </c>
      <c r="FD535" s="2">
        <f t="shared" si="8904"/>
        <v>0</v>
      </c>
      <c r="FE535" s="2">
        <f t="shared" ref="FE535:FJ535" si="8905">(BX535*$BT535+CS535*$CO535)/100</f>
        <v>0</v>
      </c>
      <c r="FF535" s="2">
        <f t="shared" si="8905"/>
        <v>0</v>
      </c>
      <c r="FG535" s="2">
        <f t="shared" si="8905"/>
        <v>0</v>
      </c>
      <c r="FH535" s="2">
        <f t="shared" si="8905"/>
        <v>0</v>
      </c>
      <c r="FI535" s="2">
        <f t="shared" si="8905"/>
        <v>0</v>
      </c>
      <c r="FJ535" s="2">
        <f t="shared" si="8905"/>
        <v>0</v>
      </c>
      <c r="FK535" s="2">
        <f t="shared" ref="FK535:FO535" si="8906">CD535*$BT535+CY535*$CO535</f>
        <v>0</v>
      </c>
      <c r="FL535" s="2">
        <f t="shared" si="8906"/>
        <v>0</v>
      </c>
      <c r="FM535" s="2">
        <f t="shared" si="8906"/>
        <v>0</v>
      </c>
      <c r="FN535" s="2">
        <f t="shared" si="8906"/>
        <v>0</v>
      </c>
      <c r="FO535" s="2">
        <f t="shared" si="8906"/>
        <v>0</v>
      </c>
      <c r="FP535" s="2">
        <f t="shared" ref="FP535:FQ535" si="8907">(CI535*$BT535+DD535*$CO535)/100</f>
        <v>0</v>
      </c>
      <c r="FQ535" s="2">
        <f t="shared" si="8907"/>
        <v>0</v>
      </c>
      <c r="FR535" s="2"/>
      <c r="FS535" s="2">
        <f t="shared" si="8572"/>
        <v>0</v>
      </c>
      <c r="FT535" s="2">
        <f t="shared" si="8573"/>
        <v>0</v>
      </c>
      <c r="FU535" s="39">
        <f t="shared" si="8574"/>
        <v>0</v>
      </c>
      <c r="FV535" s="39">
        <f t="shared" ref="FV535:FW535" si="8908">FV$1*FC535/1000000</f>
        <v>0</v>
      </c>
      <c r="FW535" s="39">
        <f t="shared" si="8908"/>
        <v>0</v>
      </c>
      <c r="FX535" s="39">
        <f t="shared" ref="FX535:GC535" si="8909">FX$1*FE535</f>
        <v>0</v>
      </c>
      <c r="FY535" s="39">
        <f t="shared" si="8909"/>
        <v>0</v>
      </c>
      <c r="FZ535" s="39">
        <f t="shared" si="8909"/>
        <v>0</v>
      </c>
      <c r="GA535" s="39">
        <f t="shared" si="8909"/>
        <v>0</v>
      </c>
      <c r="GB535" s="39">
        <f t="shared" si="8909"/>
        <v>0</v>
      </c>
      <c r="GC535" s="39">
        <f t="shared" si="8909"/>
        <v>0</v>
      </c>
      <c r="GD535" s="39">
        <f t="shared" ref="GD535:GH535" si="8910">GD$1*FK535/1000000</f>
        <v>0</v>
      </c>
      <c r="GE535" s="39">
        <f t="shared" si="8910"/>
        <v>0</v>
      </c>
      <c r="GF535" s="39">
        <f t="shared" si="8910"/>
        <v>0</v>
      </c>
      <c r="GG535" s="39">
        <f t="shared" si="8910"/>
        <v>0</v>
      </c>
      <c r="GH535" s="39">
        <f t="shared" si="8910"/>
        <v>0</v>
      </c>
      <c r="GI535" s="39">
        <f t="shared" ref="GI535:GJ535" si="8911">GI$1*FP535</f>
        <v>0</v>
      </c>
      <c r="GJ535" s="39">
        <f t="shared" si="8911"/>
        <v>0</v>
      </c>
      <c r="GK535" s="2"/>
      <c r="GL535" s="39">
        <f t="shared" si="8579"/>
        <v>0</v>
      </c>
      <c r="GM535" s="39">
        <f t="shared" si="8580"/>
        <v>0</v>
      </c>
      <c r="GN535" s="2" t="s">
        <v>3</v>
      </c>
      <c r="GO535" s="2">
        <f t="shared" si="8581"/>
        <v>7.8730000000000002</v>
      </c>
      <c r="GP535" s="4">
        <f t="shared" si="8582"/>
        <v>0.58093611075828777</v>
      </c>
      <c r="GQ535" s="15">
        <f t="shared" si="8583"/>
        <v>45.737099999999998</v>
      </c>
      <c r="GR535" s="15">
        <f t="shared" si="8584"/>
        <v>837.35996172254931</v>
      </c>
      <c r="GS535" s="15">
        <f t="shared" si="8585"/>
        <v>106.35843537692739</v>
      </c>
      <c r="GT535" s="2">
        <f t="shared" si="8586"/>
        <v>0</v>
      </c>
      <c r="GU535" s="2">
        <f t="shared" si="8587"/>
        <v>43.92</v>
      </c>
      <c r="GV535" s="2">
        <f t="shared" si="8588"/>
        <v>1.8171000000000002</v>
      </c>
      <c r="GW535" s="2">
        <f t="shared" si="8589"/>
        <v>0</v>
      </c>
      <c r="GX535" s="2"/>
      <c r="GY535" s="2"/>
      <c r="GZ535" s="2"/>
      <c r="HA535" s="2"/>
      <c r="HB535" s="2">
        <f t="shared" si="8590"/>
        <v>0</v>
      </c>
      <c r="HC535" s="2">
        <f t="shared" si="8591"/>
        <v>0</v>
      </c>
      <c r="HD535" s="2" t="s">
        <v>3</v>
      </c>
      <c r="HE535" s="2" t="s">
        <v>89</v>
      </c>
      <c r="HF535" s="2" t="s">
        <v>123</v>
      </c>
      <c r="HG535" s="2"/>
      <c r="HH535" s="2"/>
      <c r="HI535" s="2" t="s">
        <v>81</v>
      </c>
      <c r="HJ535" s="2" t="s">
        <v>3</v>
      </c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 t="s">
        <v>3</v>
      </c>
    </row>
    <row r="536" spans="1:268" ht="15.75" customHeight="1" x14ac:dyDescent="0.2">
      <c r="A536" s="16" t="s">
        <v>809</v>
      </c>
      <c r="B536" s="2" t="s">
        <v>99</v>
      </c>
      <c r="C536" s="2"/>
      <c r="D536" s="2"/>
      <c r="E536" s="2"/>
      <c r="F536" s="2" t="s">
        <v>768</v>
      </c>
      <c r="G536" s="2"/>
      <c r="H536" s="2"/>
      <c r="I536" s="2">
        <v>0</v>
      </c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>
        <v>27.9</v>
      </c>
      <c r="AE536" s="2">
        <v>0.43</v>
      </c>
      <c r="AF536" s="2">
        <v>0.05</v>
      </c>
      <c r="AG536" s="2"/>
      <c r="AH536" s="2"/>
      <c r="AI536" s="2"/>
      <c r="AJ536" s="2"/>
      <c r="AK536" s="2"/>
      <c r="AL536" s="2">
        <v>0.18</v>
      </c>
      <c r="AM536" s="2"/>
      <c r="AN536" s="2">
        <v>0.05</v>
      </c>
      <c r="AO536" s="2">
        <v>0.14000000000000001</v>
      </c>
      <c r="AP536" s="2"/>
      <c r="AQ536" s="2"/>
      <c r="AR536" s="2"/>
      <c r="AS536" s="2"/>
      <c r="AT536" s="2"/>
      <c r="AU536" s="2"/>
      <c r="AV536" s="2"/>
      <c r="AW536" s="2"/>
      <c r="AX536" s="2"/>
      <c r="AY536" s="2">
        <v>5.3</v>
      </c>
      <c r="AZ536" s="2">
        <v>0.48</v>
      </c>
      <c r="BA536" s="2">
        <v>0.04</v>
      </c>
      <c r="BB536" s="2"/>
      <c r="BC536" s="2"/>
      <c r="BD536" s="2"/>
      <c r="BE536" s="2"/>
      <c r="BF536" s="2"/>
      <c r="BG536" s="2">
        <v>0.18</v>
      </c>
      <c r="BH536" s="2"/>
      <c r="BI536" s="2">
        <v>0.06</v>
      </c>
      <c r="BJ536" s="2">
        <v>0.15</v>
      </c>
      <c r="BK536" s="2"/>
      <c r="BL536" s="2"/>
      <c r="BM536" s="2"/>
      <c r="BN536" s="2"/>
      <c r="BO536" s="2"/>
      <c r="BP536" s="2"/>
      <c r="BQ536" s="2"/>
      <c r="BR536" s="2"/>
      <c r="BS536" s="2"/>
      <c r="BT536" s="2">
        <v>0</v>
      </c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>
        <v>0</v>
      </c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 t="s">
        <v>81</v>
      </c>
      <c r="DK536" s="2"/>
      <c r="DL536" s="2">
        <f t="shared" si="8551"/>
        <v>0.18</v>
      </c>
      <c r="DM536" s="2">
        <f t="shared" si="8552"/>
        <v>0</v>
      </c>
      <c r="DN536" s="2" t="s">
        <v>769</v>
      </c>
      <c r="DO536" s="2" t="s">
        <v>3</v>
      </c>
      <c r="DP536" s="2">
        <f t="shared" si="8553"/>
        <v>0.14541000000000001</v>
      </c>
      <c r="DQ536" s="2">
        <f t="shared" ref="DQ536:DR536" si="8912">K536*$I536+AF536*$AD536+BA536*$AY536</f>
        <v>1.607</v>
      </c>
      <c r="DR536" s="2">
        <f t="shared" si="8912"/>
        <v>0</v>
      </c>
      <c r="DS536" s="2">
        <f t="shared" ref="DS536:DX536" si="8913">(M536*$I536+AH536*$AD536+BC536*$AY536)/100</f>
        <v>0</v>
      </c>
      <c r="DT536" s="2">
        <f t="shared" si="8913"/>
        <v>0</v>
      </c>
      <c r="DU536" s="2">
        <f t="shared" si="8913"/>
        <v>0</v>
      </c>
      <c r="DV536" s="2">
        <f t="shared" si="8913"/>
        <v>0</v>
      </c>
      <c r="DW536" s="2">
        <f t="shared" si="8913"/>
        <v>5.9759999999999994E-2</v>
      </c>
      <c r="DX536" s="2">
        <f t="shared" si="8913"/>
        <v>0</v>
      </c>
      <c r="DY536" s="2">
        <f t="shared" ref="DY536:EC536" si="8914">S536*$I536+AN536*$AD536+BI536*$AY536</f>
        <v>1.7130000000000001</v>
      </c>
      <c r="DZ536" s="2">
        <f t="shared" si="8914"/>
        <v>4.7010000000000005</v>
      </c>
      <c r="EA536" s="2">
        <f t="shared" si="8914"/>
        <v>0</v>
      </c>
      <c r="EB536" s="2">
        <f t="shared" si="8914"/>
        <v>0</v>
      </c>
      <c r="EC536" s="2">
        <f t="shared" si="8914"/>
        <v>0</v>
      </c>
      <c r="ED536" s="2">
        <f t="shared" ref="ED536:EE536" si="8915">(X536*$I536+AS536*$AD536+BN536*$AY536)/100</f>
        <v>0</v>
      </c>
      <c r="EE536" s="2">
        <f t="shared" si="8915"/>
        <v>0</v>
      </c>
      <c r="EF536" s="2"/>
      <c r="EG536" s="2">
        <f t="shared" si="8558"/>
        <v>0</v>
      </c>
      <c r="EH536" s="2">
        <f t="shared" si="8559"/>
        <v>0</v>
      </c>
      <c r="EI536" s="39">
        <f t="shared" si="8560"/>
        <v>948.88982256000008</v>
      </c>
      <c r="EJ536" s="39">
        <f t="shared" ref="EJ536:EK536" si="8916">EJ$1*DQ536/1000000</f>
        <v>65.726816720257233</v>
      </c>
      <c r="EK536" s="39">
        <f t="shared" si="8916"/>
        <v>0</v>
      </c>
      <c r="EL536" s="39">
        <f t="shared" ref="EL536:EQ536" si="8917">EL$1*DS536</f>
        <v>0</v>
      </c>
      <c r="EM536" s="39">
        <f t="shared" si="8917"/>
        <v>0</v>
      </c>
      <c r="EN536" s="39">
        <f t="shared" si="8917"/>
        <v>0</v>
      </c>
      <c r="EO536" s="39">
        <f t="shared" si="8917"/>
        <v>0</v>
      </c>
      <c r="EP536" s="39">
        <f t="shared" si="8917"/>
        <v>783.69263999999987</v>
      </c>
      <c r="EQ536" s="39">
        <f t="shared" si="8917"/>
        <v>0</v>
      </c>
      <c r="ER536" s="39">
        <f t="shared" ref="ER536:EV536" si="8918">ER$1*DY536/1000000</f>
        <v>48.617253376205781</v>
      </c>
      <c r="ES536" s="39">
        <f t="shared" si="8918"/>
        <v>156.66422604501611</v>
      </c>
      <c r="ET536" s="39">
        <f t="shared" si="8918"/>
        <v>0</v>
      </c>
      <c r="EU536" s="39">
        <f t="shared" si="8918"/>
        <v>0</v>
      </c>
      <c r="EV536" s="39">
        <f t="shared" si="8918"/>
        <v>0</v>
      </c>
      <c r="EW536" s="39">
        <f t="shared" ref="EW536:EX536" si="8919">EW$1*ED536</f>
        <v>0</v>
      </c>
      <c r="EX536" s="39">
        <f t="shared" si="8919"/>
        <v>0</v>
      </c>
      <c r="EY536" s="2"/>
      <c r="EZ536" s="39">
        <f t="shared" si="8565"/>
        <v>0</v>
      </c>
      <c r="FA536" s="39">
        <f t="shared" si="8566"/>
        <v>0</v>
      </c>
      <c r="FB536" s="2">
        <f t="shared" si="8567"/>
        <v>0</v>
      </c>
      <c r="FC536" s="2">
        <f t="shared" ref="FC536:FD536" si="8920">BV536*$BT536+CQ536*$CO536</f>
        <v>0</v>
      </c>
      <c r="FD536" s="2">
        <f t="shared" si="8920"/>
        <v>0</v>
      </c>
      <c r="FE536" s="2">
        <f t="shared" ref="FE536:FJ536" si="8921">(BX536*$BT536+CS536*$CO536)/100</f>
        <v>0</v>
      </c>
      <c r="FF536" s="2">
        <f t="shared" si="8921"/>
        <v>0</v>
      </c>
      <c r="FG536" s="2">
        <f t="shared" si="8921"/>
        <v>0</v>
      </c>
      <c r="FH536" s="2">
        <f t="shared" si="8921"/>
        <v>0</v>
      </c>
      <c r="FI536" s="2">
        <f t="shared" si="8921"/>
        <v>0</v>
      </c>
      <c r="FJ536" s="2">
        <f t="shared" si="8921"/>
        <v>0</v>
      </c>
      <c r="FK536" s="2">
        <f t="shared" ref="FK536:FO536" si="8922">CD536*$BT536+CY536*$CO536</f>
        <v>0</v>
      </c>
      <c r="FL536" s="2">
        <f t="shared" si="8922"/>
        <v>0</v>
      </c>
      <c r="FM536" s="2">
        <f t="shared" si="8922"/>
        <v>0</v>
      </c>
      <c r="FN536" s="2">
        <f t="shared" si="8922"/>
        <v>0</v>
      </c>
      <c r="FO536" s="2">
        <f t="shared" si="8922"/>
        <v>0</v>
      </c>
      <c r="FP536" s="2">
        <f t="shared" ref="FP536:FQ536" si="8923">(CI536*$BT536+DD536*$CO536)/100</f>
        <v>0</v>
      </c>
      <c r="FQ536" s="2">
        <f t="shared" si="8923"/>
        <v>0</v>
      </c>
      <c r="FR536" s="2"/>
      <c r="FS536" s="2">
        <f t="shared" si="8572"/>
        <v>0</v>
      </c>
      <c r="FT536" s="2">
        <f t="shared" si="8573"/>
        <v>0</v>
      </c>
      <c r="FU536" s="39">
        <f t="shared" si="8574"/>
        <v>0</v>
      </c>
      <c r="FV536" s="39">
        <f t="shared" ref="FV536:FW536" si="8924">FV$1*FC536/1000000</f>
        <v>0</v>
      </c>
      <c r="FW536" s="39">
        <f t="shared" si="8924"/>
        <v>0</v>
      </c>
      <c r="FX536" s="39">
        <f t="shared" ref="FX536:GC536" si="8925">FX$1*FE536</f>
        <v>0</v>
      </c>
      <c r="FY536" s="39">
        <f t="shared" si="8925"/>
        <v>0</v>
      </c>
      <c r="FZ536" s="39">
        <f t="shared" si="8925"/>
        <v>0</v>
      </c>
      <c r="GA536" s="39">
        <f t="shared" si="8925"/>
        <v>0</v>
      </c>
      <c r="GB536" s="39">
        <f t="shared" si="8925"/>
        <v>0</v>
      </c>
      <c r="GC536" s="39">
        <f t="shared" si="8925"/>
        <v>0</v>
      </c>
      <c r="GD536" s="39">
        <f t="shared" ref="GD536:GH536" si="8926">GD$1*FK536/1000000</f>
        <v>0</v>
      </c>
      <c r="GE536" s="39">
        <f t="shared" si="8926"/>
        <v>0</v>
      </c>
      <c r="GF536" s="39">
        <f t="shared" si="8926"/>
        <v>0</v>
      </c>
      <c r="GG536" s="39">
        <f t="shared" si="8926"/>
        <v>0</v>
      </c>
      <c r="GH536" s="39">
        <f t="shared" si="8926"/>
        <v>0</v>
      </c>
      <c r="GI536" s="39">
        <f t="shared" ref="GI536:GJ536" si="8927">GI$1*FP536</f>
        <v>0</v>
      </c>
      <c r="GJ536" s="39">
        <f t="shared" si="8927"/>
        <v>0</v>
      </c>
      <c r="GK536" s="2"/>
      <c r="GL536" s="39">
        <f t="shared" si="8579"/>
        <v>0</v>
      </c>
      <c r="GM536" s="39">
        <f t="shared" si="8580"/>
        <v>0</v>
      </c>
      <c r="GN536" s="2" t="s">
        <v>3</v>
      </c>
      <c r="GO536" s="2">
        <f t="shared" si="8581"/>
        <v>33.199999999999996</v>
      </c>
      <c r="GP536" s="2">
        <f t="shared" si="8582"/>
        <v>0.18</v>
      </c>
      <c r="GQ536" s="15">
        <f t="shared" si="8583"/>
        <v>59.759999999999984</v>
      </c>
      <c r="GR536" s="15">
        <f t="shared" si="8584"/>
        <v>2003.590758701479</v>
      </c>
      <c r="GS536" s="15">
        <f t="shared" si="8585"/>
        <v>60.349119237996362</v>
      </c>
      <c r="GT536" s="2">
        <f t="shared" si="8586"/>
        <v>0</v>
      </c>
      <c r="GU536" s="2">
        <f t="shared" si="8587"/>
        <v>50.219999999999992</v>
      </c>
      <c r="GV536" s="2">
        <f t="shared" si="8588"/>
        <v>9.5399999999999991</v>
      </c>
      <c r="GW536" s="2">
        <f t="shared" si="8589"/>
        <v>0</v>
      </c>
      <c r="GX536" s="2"/>
      <c r="GY536" s="2"/>
      <c r="GZ536" s="2"/>
      <c r="HA536" s="2"/>
      <c r="HB536" s="2">
        <f t="shared" si="8590"/>
        <v>0</v>
      </c>
      <c r="HC536" s="2">
        <f t="shared" si="8591"/>
        <v>0</v>
      </c>
      <c r="HD536" s="2" t="s">
        <v>3</v>
      </c>
      <c r="HE536" s="2" t="s">
        <v>89</v>
      </c>
      <c r="HF536" s="2" t="s">
        <v>123</v>
      </c>
      <c r="HG536" s="2"/>
      <c r="HH536" s="2"/>
      <c r="HI536" s="2" t="s">
        <v>81</v>
      </c>
      <c r="HJ536" s="2" t="s">
        <v>3</v>
      </c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 t="s">
        <v>3</v>
      </c>
    </row>
    <row r="537" spans="1:268" ht="15.75" customHeight="1" x14ac:dyDescent="0.2">
      <c r="A537" s="16" t="s">
        <v>950</v>
      </c>
      <c r="B537" s="2" t="s">
        <v>99</v>
      </c>
      <c r="C537" s="2"/>
      <c r="D537" s="2"/>
      <c r="E537" s="2"/>
      <c r="F537" s="2" t="s">
        <v>951</v>
      </c>
      <c r="G537" s="2"/>
      <c r="H537" s="2"/>
      <c r="I537" s="19">
        <v>1.7697210000000001</v>
      </c>
      <c r="J537" s="2">
        <v>0.61</v>
      </c>
      <c r="K537" s="2"/>
      <c r="L537" s="2"/>
      <c r="M537" s="2"/>
      <c r="N537" s="2"/>
      <c r="O537" s="2"/>
      <c r="P537" s="2"/>
      <c r="Q537" s="2">
        <v>0.67</v>
      </c>
      <c r="R537" s="2">
        <v>0.03</v>
      </c>
      <c r="S537" s="2"/>
      <c r="T537" s="2">
        <v>0.46</v>
      </c>
      <c r="U537" s="2"/>
      <c r="V537" s="2"/>
      <c r="W537" s="2"/>
      <c r="X537" s="2"/>
      <c r="Y537" s="2"/>
      <c r="Z537" s="2"/>
      <c r="AA537" s="2"/>
      <c r="AB537" s="2"/>
      <c r="AC537" s="2"/>
      <c r="AD537" s="19">
        <v>0.48893300000000001</v>
      </c>
      <c r="AE537" s="2">
        <v>0.61</v>
      </c>
      <c r="AF537" s="2"/>
      <c r="AG537" s="2"/>
      <c r="AH537" s="2"/>
      <c r="AI537" s="2"/>
      <c r="AJ537" s="2"/>
      <c r="AK537" s="2"/>
      <c r="AL537" s="2">
        <v>0.67</v>
      </c>
      <c r="AM537" s="2">
        <v>0.03</v>
      </c>
      <c r="AN537" s="2"/>
      <c r="AO537" s="2">
        <v>0.47</v>
      </c>
      <c r="AP537" s="2"/>
      <c r="AQ537" s="2"/>
      <c r="AR537" s="2"/>
      <c r="AS537" s="2"/>
      <c r="AT537" s="2"/>
      <c r="AU537" s="2"/>
      <c r="AV537" s="2"/>
      <c r="AW537" s="2"/>
      <c r="AX537" s="2"/>
      <c r="AY537" s="19">
        <v>0.198571</v>
      </c>
      <c r="AZ537" s="2">
        <v>0.59</v>
      </c>
      <c r="BA537" s="2"/>
      <c r="BB537" s="2"/>
      <c r="BC537" s="2"/>
      <c r="BD537" s="2"/>
      <c r="BE537" s="2"/>
      <c r="BF537" s="2"/>
      <c r="BG537" s="2">
        <v>0.66</v>
      </c>
      <c r="BH537" s="2">
        <v>0.03</v>
      </c>
      <c r="BI537" s="2"/>
      <c r="BJ537" s="2">
        <v>0.47</v>
      </c>
      <c r="BK537" s="2"/>
      <c r="BL537" s="2"/>
      <c r="BM537" s="2"/>
      <c r="BN537" s="2"/>
      <c r="BO537" s="2"/>
      <c r="BP537" s="2"/>
      <c r="BQ537" s="2"/>
      <c r="BR537" s="2"/>
      <c r="BS537" s="2"/>
      <c r="BT537" s="2">
        <v>0</v>
      </c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>
        <v>0</v>
      </c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 t="s">
        <v>81</v>
      </c>
      <c r="DK537" s="2" t="s">
        <v>81</v>
      </c>
      <c r="DL537" s="2">
        <f t="shared" si="8551"/>
        <v>0.66919188922463357</v>
      </c>
      <c r="DM537" s="2">
        <f t="shared" si="8552"/>
        <v>3.0000000000000002E-2</v>
      </c>
      <c r="DN537" s="2" t="s">
        <v>952</v>
      </c>
      <c r="DO537" s="2" t="s">
        <v>3</v>
      </c>
      <c r="DP537" s="2">
        <f t="shared" si="8553"/>
        <v>1.4949358300000002E-2</v>
      </c>
      <c r="DQ537" s="2">
        <f t="shared" ref="DQ537:DR537" si="8928">K537*$I537+AF537*$AD537+BA537*$AY537</f>
        <v>0</v>
      </c>
      <c r="DR537" s="2">
        <f t="shared" si="8928"/>
        <v>0</v>
      </c>
      <c r="DS537" s="2">
        <f t="shared" ref="DS537:DX537" si="8929">(M537*$I537+AH537*$AD537+BC537*$AY537)/100</f>
        <v>0</v>
      </c>
      <c r="DT537" s="2">
        <f t="shared" si="8929"/>
        <v>0</v>
      </c>
      <c r="DU537" s="2">
        <f t="shared" si="8929"/>
        <v>0</v>
      </c>
      <c r="DV537" s="2">
        <f t="shared" si="8929"/>
        <v>0</v>
      </c>
      <c r="DW537" s="2">
        <f t="shared" si="8929"/>
        <v>1.64435504E-2</v>
      </c>
      <c r="DX537" s="2">
        <f t="shared" si="8929"/>
        <v>7.3716750000000001E-4</v>
      </c>
      <c r="DY537" s="2">
        <f t="shared" ref="DY537:EC537" si="8930">S537*$I537+AN537*$AD537+BI537*$AY537</f>
        <v>0</v>
      </c>
      <c r="DZ537" s="2">
        <f t="shared" si="8930"/>
        <v>1.1371985400000002</v>
      </c>
      <c r="EA537" s="2">
        <f t="shared" si="8930"/>
        <v>0</v>
      </c>
      <c r="EB537" s="2">
        <f t="shared" si="8930"/>
        <v>0</v>
      </c>
      <c r="EC537" s="2">
        <f t="shared" si="8930"/>
        <v>0</v>
      </c>
      <c r="ED537" s="2">
        <f t="shared" ref="ED537:EE537" si="8931">(X537*$I537+AS537*$AD537+BN537*$AY537)/100</f>
        <v>0</v>
      </c>
      <c r="EE537" s="2">
        <f t="shared" si="8931"/>
        <v>0</v>
      </c>
      <c r="EF537" s="2"/>
      <c r="EG537" s="2">
        <f t="shared" si="8558"/>
        <v>0</v>
      </c>
      <c r="EH537" s="2">
        <f t="shared" si="8559"/>
        <v>0</v>
      </c>
      <c r="EI537" s="39">
        <f t="shared" si="8560"/>
        <v>97.553771712212807</v>
      </c>
      <c r="EJ537" s="39">
        <f t="shared" ref="EJ537:EK537" si="8932">EJ$1*DQ537/1000000</f>
        <v>0</v>
      </c>
      <c r="EK537" s="39">
        <f t="shared" si="8932"/>
        <v>0</v>
      </c>
      <c r="EL537" s="39">
        <f t="shared" ref="EL537:EQ537" si="8933">EL$1*DS537</f>
        <v>0</v>
      </c>
      <c r="EM537" s="39">
        <f t="shared" si="8933"/>
        <v>0</v>
      </c>
      <c r="EN537" s="39">
        <f t="shared" si="8933"/>
        <v>0</v>
      </c>
      <c r="EO537" s="39">
        <f t="shared" si="8933"/>
        <v>0</v>
      </c>
      <c r="EP537" s="39">
        <f t="shared" si="8933"/>
        <v>215.64071994559998</v>
      </c>
      <c r="EQ537" s="39">
        <f t="shared" si="8933"/>
        <v>53.532752958269995</v>
      </c>
      <c r="ER537" s="39">
        <f t="shared" ref="ER537:EV537" si="8934">ER$1*DY537/1000000</f>
        <v>0</v>
      </c>
      <c r="ES537" s="39">
        <f t="shared" si="8934"/>
        <v>37.897964077562712</v>
      </c>
      <c r="ET537" s="39">
        <f t="shared" si="8934"/>
        <v>0</v>
      </c>
      <c r="EU537" s="39">
        <f t="shared" si="8934"/>
        <v>0</v>
      </c>
      <c r="EV537" s="39">
        <f t="shared" si="8934"/>
        <v>0</v>
      </c>
      <c r="EW537" s="39">
        <f t="shared" ref="EW537:EX537" si="8935">EW$1*ED537</f>
        <v>0</v>
      </c>
      <c r="EX537" s="39">
        <f t="shared" si="8935"/>
        <v>0</v>
      </c>
      <c r="EY537" s="2"/>
      <c r="EZ537" s="39">
        <f t="shared" si="8565"/>
        <v>0</v>
      </c>
      <c r="FA537" s="39">
        <f t="shared" si="8566"/>
        <v>0</v>
      </c>
      <c r="FB537" s="2">
        <f t="shared" si="8567"/>
        <v>0</v>
      </c>
      <c r="FC537" s="2">
        <f t="shared" ref="FC537:FD537" si="8936">BV537*$BT537+CQ537*$CO537</f>
        <v>0</v>
      </c>
      <c r="FD537" s="2">
        <f t="shared" si="8936"/>
        <v>0</v>
      </c>
      <c r="FE537" s="2">
        <f t="shared" ref="FE537:FJ537" si="8937">(BX537*$BT537+CS537*$CO537)/100</f>
        <v>0</v>
      </c>
      <c r="FF537" s="2">
        <f t="shared" si="8937"/>
        <v>0</v>
      </c>
      <c r="FG537" s="2">
        <f t="shared" si="8937"/>
        <v>0</v>
      </c>
      <c r="FH537" s="2">
        <f t="shared" si="8937"/>
        <v>0</v>
      </c>
      <c r="FI537" s="2">
        <f t="shared" si="8937"/>
        <v>0</v>
      </c>
      <c r="FJ537" s="2">
        <f t="shared" si="8937"/>
        <v>0</v>
      </c>
      <c r="FK537" s="2">
        <f t="shared" ref="FK537:FO537" si="8938">CD537*$BT537+CY537*$CO537</f>
        <v>0</v>
      </c>
      <c r="FL537" s="2">
        <f t="shared" si="8938"/>
        <v>0</v>
      </c>
      <c r="FM537" s="2">
        <f t="shared" si="8938"/>
        <v>0</v>
      </c>
      <c r="FN537" s="2">
        <f t="shared" si="8938"/>
        <v>0</v>
      </c>
      <c r="FO537" s="2">
        <f t="shared" si="8938"/>
        <v>0</v>
      </c>
      <c r="FP537" s="2">
        <f t="shared" ref="FP537:FQ537" si="8939">(CI537*$BT537+DD537*$CO537)/100</f>
        <v>0</v>
      </c>
      <c r="FQ537" s="2">
        <f t="shared" si="8939"/>
        <v>0</v>
      </c>
      <c r="FR537" s="2"/>
      <c r="FS537" s="2">
        <f t="shared" si="8572"/>
        <v>0</v>
      </c>
      <c r="FT537" s="2">
        <f t="shared" si="8573"/>
        <v>0</v>
      </c>
      <c r="FU537" s="39">
        <f t="shared" si="8574"/>
        <v>0</v>
      </c>
      <c r="FV537" s="39">
        <f t="shared" ref="FV537:FW537" si="8940">FV$1*FC537/1000000</f>
        <v>0</v>
      </c>
      <c r="FW537" s="39">
        <f t="shared" si="8940"/>
        <v>0</v>
      </c>
      <c r="FX537" s="39">
        <f t="shared" ref="FX537:GC537" si="8941">FX$1*FE537</f>
        <v>0</v>
      </c>
      <c r="FY537" s="39">
        <f t="shared" si="8941"/>
        <v>0</v>
      </c>
      <c r="FZ537" s="39">
        <f t="shared" si="8941"/>
        <v>0</v>
      </c>
      <c r="GA537" s="39">
        <f t="shared" si="8941"/>
        <v>0</v>
      </c>
      <c r="GB537" s="39">
        <f t="shared" si="8941"/>
        <v>0</v>
      </c>
      <c r="GC537" s="39">
        <f t="shared" si="8941"/>
        <v>0</v>
      </c>
      <c r="GD537" s="39">
        <f t="shared" ref="GD537:GH537" si="8942">GD$1*FK537/1000000</f>
        <v>0</v>
      </c>
      <c r="GE537" s="39">
        <f t="shared" si="8942"/>
        <v>0</v>
      </c>
      <c r="GF537" s="39">
        <f t="shared" si="8942"/>
        <v>0</v>
      </c>
      <c r="GG537" s="39">
        <f t="shared" si="8942"/>
        <v>0</v>
      </c>
      <c r="GH537" s="39">
        <f t="shared" si="8942"/>
        <v>0</v>
      </c>
      <c r="GI537" s="39">
        <f t="shared" ref="GI537:GJ537" si="8943">GI$1*FP537</f>
        <v>0</v>
      </c>
      <c r="GJ537" s="39">
        <f t="shared" si="8943"/>
        <v>0</v>
      </c>
      <c r="GK537" s="2"/>
      <c r="GL537" s="39">
        <f t="shared" si="8579"/>
        <v>0</v>
      </c>
      <c r="GM537" s="39">
        <f t="shared" si="8580"/>
        <v>0</v>
      </c>
      <c r="GN537" s="2" t="s">
        <v>3</v>
      </c>
      <c r="GO537" s="19">
        <f t="shared" si="8581"/>
        <v>2.4572249999999998</v>
      </c>
      <c r="GP537" s="4">
        <f t="shared" si="8582"/>
        <v>0.66919188922463357</v>
      </c>
      <c r="GQ537" s="15">
        <f t="shared" si="8583"/>
        <v>16.443550400000003</v>
      </c>
      <c r="GR537" s="15">
        <f t="shared" si="8584"/>
        <v>404.62520869364556</v>
      </c>
      <c r="GS537" s="15">
        <f t="shared" si="8585"/>
        <v>164.66754517540949</v>
      </c>
      <c r="GT537" s="2">
        <f t="shared" si="8586"/>
        <v>11.857130700000001</v>
      </c>
      <c r="GU537" s="2">
        <f t="shared" si="8587"/>
        <v>3.2758510999999997</v>
      </c>
      <c r="GV537" s="2">
        <f t="shared" si="8588"/>
        <v>1.3105686000000001</v>
      </c>
      <c r="GW537" s="2">
        <f t="shared" si="8589"/>
        <v>0</v>
      </c>
      <c r="GX537" s="2"/>
      <c r="GY537" s="2"/>
      <c r="GZ537" s="2"/>
      <c r="HA537" s="2"/>
      <c r="HB537" s="2">
        <f t="shared" si="8590"/>
        <v>0</v>
      </c>
      <c r="HC537" s="2">
        <f t="shared" si="8591"/>
        <v>0</v>
      </c>
      <c r="HD537" s="2" t="s">
        <v>3</v>
      </c>
      <c r="HE537" s="2" t="s">
        <v>89</v>
      </c>
      <c r="HF537" s="2" t="s">
        <v>123</v>
      </c>
      <c r="HG537" s="2"/>
      <c r="HH537" s="2"/>
      <c r="HI537" s="2" t="s">
        <v>81</v>
      </c>
      <c r="HJ537" s="2" t="s">
        <v>3</v>
      </c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 t="s">
        <v>3</v>
      </c>
    </row>
    <row r="538" spans="1:268" ht="15.75" customHeight="1" x14ac:dyDescent="0.2">
      <c r="A538" s="16" t="s">
        <v>1053</v>
      </c>
      <c r="B538" s="2" t="s">
        <v>99</v>
      </c>
      <c r="C538" s="2"/>
      <c r="D538" s="2"/>
      <c r="E538" s="2"/>
      <c r="F538" s="2" t="s">
        <v>1054</v>
      </c>
      <c r="G538" s="2"/>
      <c r="H538" s="2"/>
      <c r="I538" s="4">
        <v>56.096699999999998</v>
      </c>
      <c r="J538" s="2">
        <v>0.06</v>
      </c>
      <c r="K538" s="2">
        <v>0.03</v>
      </c>
      <c r="L538" s="2"/>
      <c r="M538" s="2"/>
      <c r="N538" s="2"/>
      <c r="O538" s="2"/>
      <c r="P538" s="2"/>
      <c r="Q538" s="2">
        <v>0.02</v>
      </c>
      <c r="R538" s="2">
        <v>6.0000000000000001E-3</v>
      </c>
      <c r="S538" s="4">
        <v>0.2</v>
      </c>
      <c r="T538" s="2">
        <v>0.54</v>
      </c>
      <c r="U538" s="2">
        <v>1.2999999999999999E-2</v>
      </c>
      <c r="V538" s="2"/>
      <c r="W538" s="2"/>
      <c r="X538" s="2"/>
      <c r="Y538" s="2"/>
      <c r="Z538" s="2"/>
      <c r="AA538" s="2"/>
      <c r="AB538" s="2"/>
      <c r="AC538" s="2"/>
      <c r="AD538" s="4">
        <v>43.158499999999997</v>
      </c>
      <c r="AE538" s="2">
        <v>0.05</v>
      </c>
      <c r="AF538" s="2">
        <v>0.03</v>
      </c>
      <c r="AG538" s="2"/>
      <c r="AH538" s="2"/>
      <c r="AI538" s="2"/>
      <c r="AJ538" s="2"/>
      <c r="AK538" s="2"/>
      <c r="AL538" s="2">
        <v>0.02</v>
      </c>
      <c r="AM538" s="2">
        <v>6.0000000000000001E-3</v>
      </c>
      <c r="AN538" s="2">
        <v>0.19</v>
      </c>
      <c r="AO538" s="2">
        <v>0.49</v>
      </c>
      <c r="AP538" s="2">
        <v>3.0000000000000001E-3</v>
      </c>
      <c r="AQ538" s="2"/>
      <c r="AR538" s="2"/>
      <c r="AS538" s="2"/>
      <c r="AT538" s="2"/>
      <c r="AU538" s="2"/>
      <c r="AV538" s="2"/>
      <c r="AW538" s="2"/>
      <c r="AX538" s="2"/>
      <c r="AY538" s="4">
        <v>52.305999999999997</v>
      </c>
      <c r="AZ538" s="2">
        <v>0.04</v>
      </c>
      <c r="BA538" s="2">
        <v>0.04</v>
      </c>
      <c r="BB538" s="2"/>
      <c r="BC538" s="2"/>
      <c r="BD538" s="2"/>
      <c r="BE538" s="2"/>
      <c r="BF538" s="2"/>
      <c r="BG538" s="2">
        <v>0.02</v>
      </c>
      <c r="BH538" s="2">
        <v>1E-3</v>
      </c>
      <c r="BI538" s="2">
        <v>0.15</v>
      </c>
      <c r="BJ538" s="2">
        <v>0.31</v>
      </c>
      <c r="BK538" s="2">
        <v>1.2E-2</v>
      </c>
      <c r="BL538" s="2"/>
      <c r="BM538" s="2"/>
      <c r="BN538" s="2"/>
      <c r="BO538" s="2"/>
      <c r="BP538" s="2"/>
      <c r="BQ538" s="2"/>
      <c r="BR538" s="2"/>
      <c r="BS538" s="2"/>
      <c r="BT538" s="2">
        <v>0</v>
      </c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>
        <v>0</v>
      </c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 t="s">
        <v>81</v>
      </c>
      <c r="DK538" s="2" t="s">
        <v>81</v>
      </c>
      <c r="DL538" s="2">
        <f t="shared" si="8551"/>
        <v>0.02</v>
      </c>
      <c r="DM538" s="2">
        <f t="shared" si="8552"/>
        <v>4.2744264363174739E-3</v>
      </c>
      <c r="DN538" s="2" t="s">
        <v>1055</v>
      </c>
      <c r="DO538" s="2" t="s">
        <v>3</v>
      </c>
      <c r="DP538" s="2">
        <f t="shared" si="8553"/>
        <v>7.6159669999999999E-2</v>
      </c>
      <c r="DQ538" s="2">
        <f t="shared" ref="DQ538:DR538" si="8944">K538*$I538+AF538*$AD538+BA538*$AY538</f>
        <v>5.069896</v>
      </c>
      <c r="DR538" s="2">
        <f t="shared" si="8944"/>
        <v>0</v>
      </c>
      <c r="DS538" s="2">
        <f t="shared" ref="DS538:DX538" si="8945">(M538*$I538+AH538*$AD538+BC538*$AY538)/100</f>
        <v>0</v>
      </c>
      <c r="DT538" s="2">
        <f t="shared" si="8945"/>
        <v>0</v>
      </c>
      <c r="DU538" s="2">
        <f t="shared" si="8945"/>
        <v>0</v>
      </c>
      <c r="DV538" s="2">
        <f t="shared" si="8945"/>
        <v>0</v>
      </c>
      <c r="DW538" s="2">
        <f t="shared" si="8945"/>
        <v>3.0312240000000001E-2</v>
      </c>
      <c r="DX538" s="2">
        <f t="shared" si="8945"/>
        <v>6.4783719999999987E-3</v>
      </c>
      <c r="DY538" s="2">
        <f t="shared" ref="DY538:EC538" si="8946">S538*$I538+AN538*$AD538+BI538*$AY538</f>
        <v>27.265355</v>
      </c>
      <c r="DZ538" s="2">
        <f t="shared" si="8946"/>
        <v>67.654742999999996</v>
      </c>
      <c r="EA538" s="2">
        <f t="shared" si="8946"/>
        <v>1.4864046</v>
      </c>
      <c r="EB538" s="2">
        <f t="shared" si="8946"/>
        <v>0</v>
      </c>
      <c r="EC538" s="2">
        <f t="shared" si="8946"/>
        <v>0</v>
      </c>
      <c r="ED538" s="2">
        <f t="shared" ref="ED538:EE538" si="8947">(X538*$I538+AS538*$AD538+BN538*$AY538)/100</f>
        <v>0</v>
      </c>
      <c r="EE538" s="2">
        <f t="shared" si="8947"/>
        <v>0</v>
      </c>
      <c r="EF538" s="2"/>
      <c r="EG538" s="2">
        <f t="shared" si="8558"/>
        <v>0</v>
      </c>
      <c r="EH538" s="2">
        <f t="shared" si="8559"/>
        <v>0</v>
      </c>
      <c r="EI538" s="39">
        <f t="shared" si="8560"/>
        <v>496.98876110672001</v>
      </c>
      <c r="EJ538" s="39">
        <f t="shared" ref="EJ538:EK538" si="8948">EJ$1*DQ538/1000000</f>
        <v>207.36037659163983</v>
      </c>
      <c r="EK538" s="39">
        <f t="shared" si="8948"/>
        <v>0</v>
      </c>
      <c r="EL538" s="39">
        <f t="shared" ref="EL538:EQ538" si="8949">EL$1*DS538</f>
        <v>0</v>
      </c>
      <c r="EM538" s="39">
        <f t="shared" si="8949"/>
        <v>0</v>
      </c>
      <c r="EN538" s="39">
        <f t="shared" si="8949"/>
        <v>0</v>
      </c>
      <c r="EO538" s="39">
        <f t="shared" si="8949"/>
        <v>0</v>
      </c>
      <c r="EP538" s="39">
        <f t="shared" si="8949"/>
        <v>397.51471536000003</v>
      </c>
      <c r="EQ538" s="39">
        <f t="shared" si="8949"/>
        <v>470.45629093492784</v>
      </c>
      <c r="ER538" s="39">
        <f t="shared" ref="ER538:EV538" si="8950">ER$1*DY538/1000000</f>
        <v>773.82759627974258</v>
      </c>
      <c r="ES538" s="39">
        <f t="shared" si="8950"/>
        <v>2254.6432568324758</v>
      </c>
      <c r="ET538" s="39">
        <f t="shared" si="8950"/>
        <v>106.35678959421223</v>
      </c>
      <c r="EU538" s="39">
        <f t="shared" si="8950"/>
        <v>0</v>
      </c>
      <c r="EV538" s="39">
        <f t="shared" si="8950"/>
        <v>0</v>
      </c>
      <c r="EW538" s="39">
        <f t="shared" ref="EW538:EX538" si="8951">EW$1*ED538</f>
        <v>0</v>
      </c>
      <c r="EX538" s="39">
        <f t="shared" si="8951"/>
        <v>0</v>
      </c>
      <c r="EY538" s="2"/>
      <c r="EZ538" s="39">
        <f t="shared" si="8565"/>
        <v>0</v>
      </c>
      <c r="FA538" s="39">
        <f t="shared" si="8566"/>
        <v>0</v>
      </c>
      <c r="FB538" s="2">
        <f t="shared" si="8567"/>
        <v>0</v>
      </c>
      <c r="FC538" s="2">
        <f t="shared" ref="FC538:FD538" si="8952">BV538*$BT538+CQ538*$CO538</f>
        <v>0</v>
      </c>
      <c r="FD538" s="2">
        <f t="shared" si="8952"/>
        <v>0</v>
      </c>
      <c r="FE538" s="2">
        <f t="shared" ref="FE538:FJ538" si="8953">(BX538*$BT538+CS538*$CO538)/100</f>
        <v>0</v>
      </c>
      <c r="FF538" s="2">
        <f t="shared" si="8953"/>
        <v>0</v>
      </c>
      <c r="FG538" s="2">
        <f t="shared" si="8953"/>
        <v>0</v>
      </c>
      <c r="FH538" s="2">
        <f t="shared" si="8953"/>
        <v>0</v>
      </c>
      <c r="FI538" s="2">
        <f t="shared" si="8953"/>
        <v>0</v>
      </c>
      <c r="FJ538" s="2">
        <f t="shared" si="8953"/>
        <v>0</v>
      </c>
      <c r="FK538" s="2">
        <f t="shared" ref="FK538:FO538" si="8954">CD538*$BT538+CY538*$CO538</f>
        <v>0</v>
      </c>
      <c r="FL538" s="2">
        <f t="shared" si="8954"/>
        <v>0</v>
      </c>
      <c r="FM538" s="2">
        <f t="shared" si="8954"/>
        <v>0</v>
      </c>
      <c r="FN538" s="2">
        <f t="shared" si="8954"/>
        <v>0</v>
      </c>
      <c r="FO538" s="2">
        <f t="shared" si="8954"/>
        <v>0</v>
      </c>
      <c r="FP538" s="2">
        <f t="shared" ref="FP538:FQ538" si="8955">(CI538*$BT538+DD538*$CO538)/100</f>
        <v>0</v>
      </c>
      <c r="FQ538" s="2">
        <f t="shared" si="8955"/>
        <v>0</v>
      </c>
      <c r="FR538" s="2"/>
      <c r="FS538" s="2">
        <f t="shared" si="8572"/>
        <v>0</v>
      </c>
      <c r="FT538" s="2">
        <f t="shared" si="8573"/>
        <v>0</v>
      </c>
      <c r="FU538" s="39">
        <f t="shared" si="8574"/>
        <v>0</v>
      </c>
      <c r="FV538" s="39">
        <f t="shared" ref="FV538:FW538" si="8956">FV$1*FC538/1000000</f>
        <v>0</v>
      </c>
      <c r="FW538" s="39">
        <f t="shared" si="8956"/>
        <v>0</v>
      </c>
      <c r="FX538" s="39">
        <f t="shared" ref="FX538:GC538" si="8957">FX$1*FE538</f>
        <v>0</v>
      </c>
      <c r="FY538" s="39">
        <f t="shared" si="8957"/>
        <v>0</v>
      </c>
      <c r="FZ538" s="39">
        <f t="shared" si="8957"/>
        <v>0</v>
      </c>
      <c r="GA538" s="39">
        <f t="shared" si="8957"/>
        <v>0</v>
      </c>
      <c r="GB538" s="39">
        <f t="shared" si="8957"/>
        <v>0</v>
      </c>
      <c r="GC538" s="39">
        <f t="shared" si="8957"/>
        <v>0</v>
      </c>
      <c r="GD538" s="39">
        <f t="shared" ref="GD538:GH538" si="8958">GD$1*FK538/1000000</f>
        <v>0</v>
      </c>
      <c r="GE538" s="39">
        <f t="shared" si="8958"/>
        <v>0</v>
      </c>
      <c r="GF538" s="39">
        <f t="shared" si="8958"/>
        <v>0</v>
      </c>
      <c r="GG538" s="39">
        <f t="shared" si="8958"/>
        <v>0</v>
      </c>
      <c r="GH538" s="39">
        <f t="shared" si="8958"/>
        <v>0</v>
      </c>
      <c r="GI538" s="39">
        <f t="shared" ref="GI538:GJ538" si="8959">GI$1*FP538</f>
        <v>0</v>
      </c>
      <c r="GJ538" s="39">
        <f t="shared" si="8959"/>
        <v>0</v>
      </c>
      <c r="GK538" s="2"/>
      <c r="GL538" s="39">
        <f t="shared" si="8579"/>
        <v>0</v>
      </c>
      <c r="GM538" s="39">
        <f t="shared" si="8580"/>
        <v>0</v>
      </c>
      <c r="GN538" s="2" t="s">
        <v>3</v>
      </c>
      <c r="GO538" s="4">
        <f t="shared" si="8581"/>
        <v>151.56119999999999</v>
      </c>
      <c r="GP538" s="2">
        <f t="shared" si="8582"/>
        <v>0.02</v>
      </c>
      <c r="GQ538" s="15">
        <f t="shared" si="8583"/>
        <v>30.312239999999996</v>
      </c>
      <c r="GR538" s="15">
        <f t="shared" si="8584"/>
        <v>4707.1477866997184</v>
      </c>
      <c r="GS538" s="15">
        <f t="shared" si="8585"/>
        <v>31.057736324994252</v>
      </c>
      <c r="GT538" s="2">
        <f t="shared" si="8586"/>
        <v>11.219339999999999</v>
      </c>
      <c r="GU538" s="2">
        <f t="shared" si="8587"/>
        <v>8.6317000000000004</v>
      </c>
      <c r="GV538" s="2">
        <f t="shared" si="8588"/>
        <v>10.461199999999998</v>
      </c>
      <c r="GW538" s="2">
        <f t="shared" si="8589"/>
        <v>0</v>
      </c>
      <c r="GX538" s="2"/>
      <c r="GY538" s="2"/>
      <c r="GZ538" s="2"/>
      <c r="HA538" s="2"/>
      <c r="HB538" s="2">
        <f t="shared" si="8590"/>
        <v>0</v>
      </c>
      <c r="HC538" s="2">
        <f t="shared" si="8591"/>
        <v>0</v>
      </c>
      <c r="HD538" s="2" t="s">
        <v>3</v>
      </c>
      <c r="HE538" s="2" t="s">
        <v>89</v>
      </c>
      <c r="HF538" s="2" t="s">
        <v>123</v>
      </c>
      <c r="HG538" s="2"/>
      <c r="HH538" s="2"/>
      <c r="HI538" s="2" t="s">
        <v>81</v>
      </c>
      <c r="HJ538" s="2" t="s">
        <v>3</v>
      </c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 t="s">
        <v>3</v>
      </c>
    </row>
    <row r="539" spans="1:268" ht="15.75" customHeight="1" x14ac:dyDescent="0.2">
      <c r="A539" s="16" t="s">
        <v>1298</v>
      </c>
      <c r="B539" s="2" t="s">
        <v>99</v>
      </c>
      <c r="C539" s="2"/>
      <c r="D539" s="2"/>
      <c r="E539" s="2"/>
      <c r="F539" s="2" t="s">
        <v>1299</v>
      </c>
      <c r="G539" s="2"/>
      <c r="H539" s="2"/>
      <c r="I539" s="2">
        <v>93.3</v>
      </c>
      <c r="J539" s="2">
        <v>0.17</v>
      </c>
      <c r="K539" s="2">
        <v>5.3999999999999999E-2</v>
      </c>
      <c r="L539" s="2"/>
      <c r="M539" s="2"/>
      <c r="N539" s="2"/>
      <c r="O539" s="2"/>
      <c r="P539" s="2"/>
      <c r="Q539" s="2">
        <v>0.25</v>
      </c>
      <c r="R539" s="2">
        <v>1.4999999999999999E-2</v>
      </c>
      <c r="S539" s="2">
        <v>0.26200000000000001</v>
      </c>
      <c r="T539" s="2">
        <v>0.24399999999999999</v>
      </c>
      <c r="U539" s="2"/>
      <c r="V539" s="2"/>
      <c r="W539" s="2"/>
      <c r="X539" s="2"/>
      <c r="Y539" s="2"/>
      <c r="Z539" s="2"/>
      <c r="AA539" s="2"/>
      <c r="AB539" s="2"/>
      <c r="AC539" s="2"/>
      <c r="AD539" s="2">
        <v>230.1</v>
      </c>
      <c r="AE539" s="2">
        <v>0.15</v>
      </c>
      <c r="AF539" s="2">
        <v>4.2999999999999997E-2</v>
      </c>
      <c r="AG539" s="2"/>
      <c r="AH539" s="2"/>
      <c r="AI539" s="2"/>
      <c r="AJ539" s="2"/>
      <c r="AK539" s="2"/>
      <c r="AL539" s="2">
        <v>0.27</v>
      </c>
      <c r="AM539" s="2">
        <v>1.4999999999999999E-2</v>
      </c>
      <c r="AN539" s="2">
        <v>0.249</v>
      </c>
      <c r="AO539" s="2">
        <v>0.25900000000000001</v>
      </c>
      <c r="AP539" s="2"/>
      <c r="AQ539" s="2"/>
      <c r="AR539" s="2"/>
      <c r="AS539" s="2"/>
      <c r="AT539" s="2"/>
      <c r="AU539" s="2"/>
      <c r="AV539" s="2"/>
      <c r="AW539" s="2"/>
      <c r="AX539" s="2"/>
      <c r="AY539" s="2">
        <v>108.1</v>
      </c>
      <c r="AZ539" s="2">
        <v>0.15</v>
      </c>
      <c r="BA539" s="19">
        <v>0.04</v>
      </c>
      <c r="BB539" s="2"/>
      <c r="BC539" s="2"/>
      <c r="BD539" s="2"/>
      <c r="BE539" s="2"/>
      <c r="BF539" s="2"/>
      <c r="BG539" s="2">
        <v>0.28999999999999998</v>
      </c>
      <c r="BH539" s="2">
        <v>1.6E-2</v>
      </c>
      <c r="BI539" s="2">
        <v>0.25600000000000001</v>
      </c>
      <c r="BJ539" s="2">
        <v>0.27900000000000003</v>
      </c>
      <c r="BK539" s="2"/>
      <c r="BL539" s="2"/>
      <c r="BM539" s="2"/>
      <c r="BN539" s="2"/>
      <c r="BO539" s="2"/>
      <c r="BP539" s="2"/>
      <c r="BQ539" s="2"/>
      <c r="BR539" s="2"/>
      <c r="BS539" s="2"/>
      <c r="BT539" s="2">
        <v>0</v>
      </c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>
        <v>0</v>
      </c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 t="s">
        <v>81</v>
      </c>
      <c r="DK539" s="2" t="s">
        <v>81</v>
      </c>
      <c r="DL539" s="2">
        <f t="shared" si="8551"/>
        <v>0.27068597914252607</v>
      </c>
      <c r="DM539" s="2">
        <f t="shared" si="8552"/>
        <v>1.5250521436848205E-2</v>
      </c>
      <c r="DN539" s="2" t="s">
        <v>157</v>
      </c>
      <c r="DO539" s="2" t="s">
        <v>3</v>
      </c>
      <c r="DP539" s="2">
        <f t="shared" si="8553"/>
        <v>0.66591000000000011</v>
      </c>
      <c r="DQ539" s="2">
        <f t="shared" ref="DQ539:DR539" si="8960">K539*$I539+AF539*$AD539+BA539*$AY539</f>
        <v>19.256499999999999</v>
      </c>
      <c r="DR539" s="2">
        <f t="shared" si="8960"/>
        <v>0</v>
      </c>
      <c r="DS539" s="2">
        <f t="shared" ref="DS539:DX539" si="8961">(M539*$I539+AH539*$AD539+BC539*$AY539)/100</f>
        <v>0</v>
      </c>
      <c r="DT539" s="2">
        <f t="shared" si="8961"/>
        <v>0</v>
      </c>
      <c r="DU539" s="2">
        <f t="shared" si="8961"/>
        <v>0</v>
      </c>
      <c r="DV539" s="2">
        <f t="shared" si="8961"/>
        <v>0</v>
      </c>
      <c r="DW539" s="2">
        <f t="shared" si="8961"/>
        <v>1.1680099999999998</v>
      </c>
      <c r="DX539" s="2">
        <f t="shared" si="8961"/>
        <v>6.5806000000000003E-2</v>
      </c>
      <c r="DY539" s="2">
        <f t="shared" ref="DY539:EC539" si="8962">S539*$I539+AN539*$AD539+BI539*$AY539</f>
        <v>109.41309999999999</v>
      </c>
      <c r="DZ539" s="2">
        <f t="shared" si="8962"/>
        <v>112.52099999999999</v>
      </c>
      <c r="EA539" s="2">
        <f t="shared" si="8962"/>
        <v>0</v>
      </c>
      <c r="EB539" s="2">
        <f t="shared" si="8962"/>
        <v>0</v>
      </c>
      <c r="EC539" s="2">
        <f t="shared" si="8962"/>
        <v>0</v>
      </c>
      <c r="ED539" s="2">
        <f t="shared" ref="ED539:EE539" si="8963">(X539*$I539+AS539*$AD539+BN539*$AY539)/100</f>
        <v>0</v>
      </c>
      <c r="EE539" s="2">
        <f t="shared" si="8963"/>
        <v>0</v>
      </c>
      <c r="EF539" s="2"/>
      <c r="EG539" s="2">
        <f t="shared" si="8558"/>
        <v>0</v>
      </c>
      <c r="EH539" s="2">
        <f t="shared" si="8559"/>
        <v>0</v>
      </c>
      <c r="EI539" s="39">
        <f t="shared" si="8560"/>
        <v>4345.4729505600008</v>
      </c>
      <c r="EJ539" s="39">
        <f t="shared" ref="EJ539:EK539" si="8964">EJ$1*DQ539/1000000</f>
        <v>787.59704180064296</v>
      </c>
      <c r="EK539" s="39">
        <f t="shared" si="8964"/>
        <v>0</v>
      </c>
      <c r="EL539" s="39">
        <f t="shared" ref="EL539:EQ539" si="8965">EL$1*DS539</f>
        <v>0</v>
      </c>
      <c r="EM539" s="39">
        <f t="shared" si="8965"/>
        <v>0</v>
      </c>
      <c r="EN539" s="39">
        <f t="shared" si="8965"/>
        <v>0</v>
      </c>
      <c r="EO539" s="39">
        <f t="shared" si="8965"/>
        <v>0</v>
      </c>
      <c r="EP539" s="39">
        <f t="shared" si="8965"/>
        <v>15317.283139999998</v>
      </c>
      <c r="EQ539" s="39">
        <f t="shared" si="8965"/>
        <v>4778.8003963439996</v>
      </c>
      <c r="ER539" s="39">
        <f t="shared" ref="ER539:EV539" si="8966">ER$1*DY539/1000000</f>
        <v>3105.2915384565908</v>
      </c>
      <c r="ES539" s="39">
        <f t="shared" si="8966"/>
        <v>3749.8437308681669</v>
      </c>
      <c r="ET539" s="39">
        <f t="shared" si="8966"/>
        <v>0</v>
      </c>
      <c r="EU539" s="39">
        <f t="shared" si="8966"/>
        <v>0</v>
      </c>
      <c r="EV539" s="39">
        <f t="shared" si="8966"/>
        <v>0</v>
      </c>
      <c r="EW539" s="39">
        <f t="shared" ref="EW539:EX539" si="8967">EW$1*ED539</f>
        <v>0</v>
      </c>
      <c r="EX539" s="39">
        <f t="shared" si="8967"/>
        <v>0</v>
      </c>
      <c r="EY539" s="2"/>
      <c r="EZ539" s="39">
        <f t="shared" si="8565"/>
        <v>0</v>
      </c>
      <c r="FA539" s="39">
        <f t="shared" si="8566"/>
        <v>0</v>
      </c>
      <c r="FB539" s="2">
        <f t="shared" si="8567"/>
        <v>0</v>
      </c>
      <c r="FC539" s="2">
        <f t="shared" ref="FC539:FD539" si="8968">BV539*$BT539+CQ539*$CO539</f>
        <v>0</v>
      </c>
      <c r="FD539" s="2">
        <f t="shared" si="8968"/>
        <v>0</v>
      </c>
      <c r="FE539" s="2">
        <f t="shared" ref="FE539:FJ539" si="8969">(BX539*$BT539+CS539*$CO539)/100</f>
        <v>0</v>
      </c>
      <c r="FF539" s="2">
        <f t="shared" si="8969"/>
        <v>0</v>
      </c>
      <c r="FG539" s="2">
        <f t="shared" si="8969"/>
        <v>0</v>
      </c>
      <c r="FH539" s="2">
        <f t="shared" si="8969"/>
        <v>0</v>
      </c>
      <c r="FI539" s="2">
        <f t="shared" si="8969"/>
        <v>0</v>
      </c>
      <c r="FJ539" s="2">
        <f t="shared" si="8969"/>
        <v>0</v>
      </c>
      <c r="FK539" s="2">
        <f t="shared" ref="FK539:FO539" si="8970">CD539*$BT539+CY539*$CO539</f>
        <v>0</v>
      </c>
      <c r="FL539" s="2">
        <f t="shared" si="8970"/>
        <v>0</v>
      </c>
      <c r="FM539" s="2">
        <f t="shared" si="8970"/>
        <v>0</v>
      </c>
      <c r="FN539" s="2">
        <f t="shared" si="8970"/>
        <v>0</v>
      </c>
      <c r="FO539" s="2">
        <f t="shared" si="8970"/>
        <v>0</v>
      </c>
      <c r="FP539" s="2">
        <f t="shared" ref="FP539:FQ539" si="8971">(CI539*$BT539+DD539*$CO539)/100</f>
        <v>0</v>
      </c>
      <c r="FQ539" s="2">
        <f t="shared" si="8971"/>
        <v>0</v>
      </c>
      <c r="FR539" s="2"/>
      <c r="FS539" s="2">
        <f t="shared" si="8572"/>
        <v>0</v>
      </c>
      <c r="FT539" s="2">
        <f t="shared" si="8573"/>
        <v>0</v>
      </c>
      <c r="FU539" s="39">
        <f t="shared" si="8574"/>
        <v>0</v>
      </c>
      <c r="FV539" s="39">
        <f t="shared" ref="FV539:FW539" si="8972">FV$1*FC539/1000000</f>
        <v>0</v>
      </c>
      <c r="FW539" s="39">
        <f t="shared" si="8972"/>
        <v>0</v>
      </c>
      <c r="FX539" s="39">
        <f t="shared" ref="FX539:GC539" si="8973">FX$1*FE539</f>
        <v>0</v>
      </c>
      <c r="FY539" s="39">
        <f t="shared" si="8973"/>
        <v>0</v>
      </c>
      <c r="FZ539" s="39">
        <f t="shared" si="8973"/>
        <v>0</v>
      </c>
      <c r="GA539" s="39">
        <f t="shared" si="8973"/>
        <v>0</v>
      </c>
      <c r="GB539" s="39">
        <f t="shared" si="8973"/>
        <v>0</v>
      </c>
      <c r="GC539" s="39">
        <f t="shared" si="8973"/>
        <v>0</v>
      </c>
      <c r="GD539" s="39">
        <f t="shared" ref="GD539:GH539" si="8974">GD$1*FK539/1000000</f>
        <v>0</v>
      </c>
      <c r="GE539" s="39">
        <f t="shared" si="8974"/>
        <v>0</v>
      </c>
      <c r="GF539" s="39">
        <f t="shared" si="8974"/>
        <v>0</v>
      </c>
      <c r="GG539" s="39">
        <f t="shared" si="8974"/>
        <v>0</v>
      </c>
      <c r="GH539" s="39">
        <f t="shared" si="8974"/>
        <v>0</v>
      </c>
      <c r="GI539" s="39">
        <f t="shared" ref="GI539:GJ539" si="8975">GI$1*FP539</f>
        <v>0</v>
      </c>
      <c r="GJ539" s="39">
        <f t="shared" si="8975"/>
        <v>0</v>
      </c>
      <c r="GK539" s="2"/>
      <c r="GL539" s="39">
        <f t="shared" si="8579"/>
        <v>0</v>
      </c>
      <c r="GM539" s="39">
        <f t="shared" si="8580"/>
        <v>0</v>
      </c>
      <c r="GN539" s="2" t="s">
        <v>3</v>
      </c>
      <c r="GO539" s="2">
        <f t="shared" si="8581"/>
        <v>431.5</v>
      </c>
      <c r="GP539" s="4">
        <f t="shared" si="8582"/>
        <v>0.27068597914252607</v>
      </c>
      <c r="GQ539" s="18">
        <f t="shared" si="8583"/>
        <v>1168.01</v>
      </c>
      <c r="GR539" s="15">
        <f t="shared" si="8584"/>
        <v>32084.288798029396</v>
      </c>
      <c r="GS539" s="15">
        <f t="shared" si="8585"/>
        <v>74.355246345375193</v>
      </c>
      <c r="GT539" s="2">
        <f t="shared" si="8586"/>
        <v>233.25</v>
      </c>
      <c r="GU539" s="2">
        <f t="shared" si="8587"/>
        <v>621.27</v>
      </c>
      <c r="GV539" s="2">
        <f t="shared" si="8588"/>
        <v>313.48999999999995</v>
      </c>
      <c r="GW539" s="2">
        <f t="shared" si="8589"/>
        <v>0</v>
      </c>
      <c r="GX539" s="2"/>
      <c r="GY539" s="2"/>
      <c r="GZ539" s="2"/>
      <c r="HA539" s="2"/>
      <c r="HB539" s="2">
        <f t="shared" si="8590"/>
        <v>0</v>
      </c>
      <c r="HC539" s="2">
        <f t="shared" si="8591"/>
        <v>0</v>
      </c>
      <c r="HD539" s="2" t="s">
        <v>3</v>
      </c>
      <c r="HE539" s="2" t="s">
        <v>89</v>
      </c>
      <c r="HF539" s="2" t="s">
        <v>123</v>
      </c>
      <c r="HG539" s="2"/>
      <c r="HH539" s="2"/>
      <c r="HI539" s="2" t="s">
        <v>81</v>
      </c>
      <c r="HJ539" s="2" t="s">
        <v>3</v>
      </c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 t="s">
        <v>3</v>
      </c>
    </row>
    <row r="540" spans="1:268" ht="15.75" customHeight="1" x14ac:dyDescent="0.2">
      <c r="A540" s="16" t="s">
        <v>543</v>
      </c>
      <c r="B540" s="2" t="s">
        <v>109</v>
      </c>
      <c r="C540" s="2"/>
      <c r="D540" s="2"/>
      <c r="E540" s="2"/>
      <c r="F540" s="2" t="s">
        <v>544</v>
      </c>
      <c r="G540" s="2"/>
      <c r="H540" s="2"/>
      <c r="I540" s="2">
        <v>0</v>
      </c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>
        <v>0</v>
      </c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4">
        <v>79.165654000000004</v>
      </c>
      <c r="AZ540" s="2">
        <v>0.27</v>
      </c>
      <c r="BA540" s="2"/>
      <c r="BB540" s="2"/>
      <c r="BC540" s="2"/>
      <c r="BD540" s="2"/>
      <c r="BE540" s="2"/>
      <c r="BF540" s="2"/>
      <c r="BG540" s="2">
        <v>0.45</v>
      </c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>
        <v>0</v>
      </c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4">
        <v>29.758687999999999</v>
      </c>
      <c r="CP540" s="2">
        <v>0.31</v>
      </c>
      <c r="CQ540" s="2"/>
      <c r="CR540" s="2"/>
      <c r="CS540" s="2"/>
      <c r="CT540" s="2"/>
      <c r="CU540" s="2"/>
      <c r="CV540" s="2"/>
      <c r="CW540" s="2">
        <v>0.49</v>
      </c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 t="s">
        <v>81</v>
      </c>
      <c r="DK540" s="2"/>
      <c r="DL540" s="2">
        <f t="shared" si="8551"/>
        <v>0.45</v>
      </c>
      <c r="DM540" s="2">
        <f t="shared" si="8552"/>
        <v>0</v>
      </c>
      <c r="DN540" s="2" t="s">
        <v>211</v>
      </c>
      <c r="DO540" s="2" t="s">
        <v>3</v>
      </c>
      <c r="DP540" s="2">
        <f t="shared" si="8553"/>
        <v>0.2137472658</v>
      </c>
      <c r="DQ540" s="2">
        <f t="shared" ref="DQ540:DR540" si="8976">K540*$I540+AF540*$AD540+BA540*$AY540</f>
        <v>0</v>
      </c>
      <c r="DR540" s="2">
        <f t="shared" si="8976"/>
        <v>0</v>
      </c>
      <c r="DS540" s="2">
        <f t="shared" ref="DS540:DX540" si="8977">(M540*$I540+AH540*$AD540+BC540*$AY540)/100</f>
        <v>0</v>
      </c>
      <c r="DT540" s="2">
        <f t="shared" si="8977"/>
        <v>0</v>
      </c>
      <c r="DU540" s="2">
        <f t="shared" si="8977"/>
        <v>0</v>
      </c>
      <c r="DV540" s="2">
        <f t="shared" si="8977"/>
        <v>0</v>
      </c>
      <c r="DW540" s="2">
        <f t="shared" si="8977"/>
        <v>0.35624544300000005</v>
      </c>
      <c r="DX540" s="2">
        <f t="shared" si="8977"/>
        <v>0</v>
      </c>
      <c r="DY540" s="2">
        <f t="shared" ref="DY540:EC540" si="8978">S540*$I540+AN540*$AD540+BI540*$AY540</f>
        <v>0</v>
      </c>
      <c r="DZ540" s="2">
        <f t="shared" si="8978"/>
        <v>0</v>
      </c>
      <c r="EA540" s="2">
        <f t="shared" si="8978"/>
        <v>0</v>
      </c>
      <c r="EB540" s="2">
        <f t="shared" si="8978"/>
        <v>0</v>
      </c>
      <c r="EC540" s="2">
        <f t="shared" si="8978"/>
        <v>0</v>
      </c>
      <c r="ED540" s="2">
        <f t="shared" ref="ED540:EE540" si="8979">(X540*$I540+AS540*$AD540+BN540*$AY540)/100</f>
        <v>0</v>
      </c>
      <c r="EE540" s="2">
        <f t="shared" si="8979"/>
        <v>0</v>
      </c>
      <c r="EF540" s="2"/>
      <c r="EG540" s="2">
        <f t="shared" si="8558"/>
        <v>0</v>
      </c>
      <c r="EH540" s="2">
        <f t="shared" si="8559"/>
        <v>0</v>
      </c>
      <c r="EI540" s="39">
        <f t="shared" si="8560"/>
        <v>1394.8325776607328</v>
      </c>
      <c r="EJ540" s="39">
        <f t="shared" ref="EJ540:EK540" si="8980">EJ$1*DQ540/1000000</f>
        <v>0</v>
      </c>
      <c r="EK540" s="39">
        <f t="shared" si="8980"/>
        <v>0</v>
      </c>
      <c r="EL540" s="39">
        <f t="shared" ref="EL540:EQ540" si="8981">EL$1*DS540</f>
        <v>0</v>
      </c>
      <c r="EM540" s="39">
        <f t="shared" si="8981"/>
        <v>0</v>
      </c>
      <c r="EN540" s="39">
        <f t="shared" si="8981"/>
        <v>0</v>
      </c>
      <c r="EO540" s="39">
        <f t="shared" si="8981"/>
        <v>0</v>
      </c>
      <c r="EP540" s="39">
        <f t="shared" si="8981"/>
        <v>4671.8027395020008</v>
      </c>
      <c r="EQ540" s="39">
        <f t="shared" si="8981"/>
        <v>0</v>
      </c>
      <c r="ER540" s="39">
        <f t="shared" ref="ER540:EV540" si="8982">ER$1*DY540/1000000</f>
        <v>0</v>
      </c>
      <c r="ES540" s="39">
        <f t="shared" si="8982"/>
        <v>0</v>
      </c>
      <c r="ET540" s="39">
        <f t="shared" si="8982"/>
        <v>0</v>
      </c>
      <c r="EU540" s="39">
        <f t="shared" si="8982"/>
        <v>0</v>
      </c>
      <c r="EV540" s="39">
        <f t="shared" si="8982"/>
        <v>0</v>
      </c>
      <c r="EW540" s="39">
        <f t="shared" ref="EW540:EX540" si="8983">EW$1*ED540</f>
        <v>0</v>
      </c>
      <c r="EX540" s="39">
        <f t="shared" si="8983"/>
        <v>0</v>
      </c>
      <c r="EY540" s="2"/>
      <c r="EZ540" s="39">
        <f t="shared" si="8565"/>
        <v>0</v>
      </c>
      <c r="FA540" s="39">
        <f t="shared" si="8566"/>
        <v>0</v>
      </c>
      <c r="FB540" s="2">
        <f t="shared" si="8567"/>
        <v>9.2251932799999992E-2</v>
      </c>
      <c r="FC540" s="2">
        <f t="shared" ref="FC540:FD540" si="8984">BV540*$BT540+CQ540*$CO540</f>
        <v>0</v>
      </c>
      <c r="FD540" s="2">
        <f t="shared" si="8984"/>
        <v>0</v>
      </c>
      <c r="FE540" s="2">
        <f t="shared" ref="FE540:FJ540" si="8985">(BX540*$BT540+CS540*$CO540)/100</f>
        <v>0</v>
      </c>
      <c r="FF540" s="2">
        <f t="shared" si="8985"/>
        <v>0</v>
      </c>
      <c r="FG540" s="2">
        <f t="shared" si="8985"/>
        <v>0</v>
      </c>
      <c r="FH540" s="2">
        <f t="shared" si="8985"/>
        <v>0</v>
      </c>
      <c r="FI540" s="2">
        <f t="shared" si="8985"/>
        <v>0.1458175712</v>
      </c>
      <c r="FJ540" s="2">
        <f t="shared" si="8985"/>
        <v>0</v>
      </c>
      <c r="FK540" s="2">
        <f t="shared" ref="FK540:FO540" si="8986">CD540*$BT540+CY540*$CO540</f>
        <v>0</v>
      </c>
      <c r="FL540" s="2">
        <f t="shared" si="8986"/>
        <v>0</v>
      </c>
      <c r="FM540" s="2">
        <f t="shared" si="8986"/>
        <v>0</v>
      </c>
      <c r="FN540" s="2">
        <f t="shared" si="8986"/>
        <v>0</v>
      </c>
      <c r="FO540" s="2">
        <f t="shared" si="8986"/>
        <v>0</v>
      </c>
      <c r="FP540" s="2">
        <f t="shared" ref="FP540:FQ540" si="8987">(CI540*$BT540+DD540*$CO540)/100</f>
        <v>0</v>
      </c>
      <c r="FQ540" s="2">
        <f t="shared" si="8987"/>
        <v>0</v>
      </c>
      <c r="FR540" s="2"/>
      <c r="FS540" s="2">
        <f t="shared" si="8572"/>
        <v>0</v>
      </c>
      <c r="FT540" s="2">
        <f t="shared" si="8573"/>
        <v>0</v>
      </c>
      <c r="FU540" s="39">
        <f t="shared" si="8574"/>
        <v>602.00068871060478</v>
      </c>
      <c r="FV540" s="39">
        <f t="shared" ref="FV540:FW540" si="8988">FV$1*FC540/1000000</f>
        <v>0</v>
      </c>
      <c r="FW540" s="39">
        <f t="shared" si="8988"/>
        <v>0</v>
      </c>
      <c r="FX540" s="39">
        <f t="shared" ref="FX540:GC540" si="8989">FX$1*FE540</f>
        <v>0</v>
      </c>
      <c r="FY540" s="39">
        <f t="shared" si="8989"/>
        <v>0</v>
      </c>
      <c r="FZ540" s="39">
        <f t="shared" si="8989"/>
        <v>0</v>
      </c>
      <c r="GA540" s="39">
        <f t="shared" si="8989"/>
        <v>0</v>
      </c>
      <c r="GB540" s="39">
        <f t="shared" si="8989"/>
        <v>1912.2516287168</v>
      </c>
      <c r="GC540" s="39">
        <f t="shared" si="8989"/>
        <v>0</v>
      </c>
      <c r="GD540" s="39">
        <f t="shared" ref="GD540:GH540" si="8990">GD$1*FK540/1000000</f>
        <v>0</v>
      </c>
      <c r="GE540" s="39">
        <f t="shared" si="8990"/>
        <v>0</v>
      </c>
      <c r="GF540" s="39">
        <f t="shared" si="8990"/>
        <v>0</v>
      </c>
      <c r="GG540" s="39">
        <f t="shared" si="8990"/>
        <v>0</v>
      </c>
      <c r="GH540" s="39">
        <f t="shared" si="8990"/>
        <v>0</v>
      </c>
      <c r="GI540" s="39">
        <f t="shared" ref="GI540:GJ540" si="8991">GI$1*FP540</f>
        <v>0</v>
      </c>
      <c r="GJ540" s="39">
        <f t="shared" si="8991"/>
        <v>0</v>
      </c>
      <c r="GK540" s="2"/>
      <c r="GL540" s="39">
        <f t="shared" si="8579"/>
        <v>0</v>
      </c>
      <c r="GM540" s="39">
        <f t="shared" si="8580"/>
        <v>0</v>
      </c>
      <c r="GN540" s="2" t="s">
        <v>3</v>
      </c>
      <c r="GO540" s="4">
        <f t="shared" si="8581"/>
        <v>79.165654000000004</v>
      </c>
      <c r="GP540" s="2">
        <f t="shared" si="8582"/>
        <v>0.45</v>
      </c>
      <c r="GQ540" s="15">
        <f t="shared" si="8583"/>
        <v>356.24544300000008</v>
      </c>
      <c r="GR540" s="15">
        <f t="shared" si="8584"/>
        <v>6066.6353171627334</v>
      </c>
      <c r="GS540" s="15">
        <f t="shared" si="8585"/>
        <v>76.632163200000008</v>
      </c>
      <c r="GT540" s="2">
        <f t="shared" si="8586"/>
        <v>0</v>
      </c>
      <c r="GU540" s="2">
        <f t="shared" si="8587"/>
        <v>0</v>
      </c>
      <c r="GV540" s="2">
        <f t="shared" si="8588"/>
        <v>356.24544300000002</v>
      </c>
      <c r="GW540" s="4">
        <f t="shared" si="8589"/>
        <v>29.758687999999999</v>
      </c>
      <c r="GX540" s="4">
        <f t="shared" ref="GX540:GX541" si="8992">(BT540*CB540+CO540*CW540)/GW540</f>
        <v>0.49</v>
      </c>
      <c r="GY540" s="15">
        <f t="shared" ref="GY540:GY541" si="8993">1000*GW540*GX540/100</f>
        <v>145.81757119999997</v>
      </c>
      <c r="GZ540" s="15">
        <f t="shared" ref="GZ540:GZ541" si="8994">SUM(FU540:GM540)</f>
        <v>2514.2523174274047</v>
      </c>
      <c r="HA540" s="15">
        <f t="shared" ref="HA540:HA541" si="8995">GZ540/GW540</f>
        <v>84.488009599999998</v>
      </c>
      <c r="HB540" s="2">
        <f t="shared" si="8590"/>
        <v>0</v>
      </c>
      <c r="HC540" s="2">
        <f t="shared" si="8591"/>
        <v>145.81757119999997</v>
      </c>
      <c r="HD540" s="2" t="s">
        <v>3</v>
      </c>
      <c r="HE540" s="2" t="s">
        <v>89</v>
      </c>
      <c r="HF540" s="2" t="s">
        <v>123</v>
      </c>
      <c r="HG540" s="2"/>
      <c r="HH540" s="2"/>
      <c r="HI540" s="2" t="s">
        <v>81</v>
      </c>
      <c r="HJ540" s="2" t="s">
        <v>3</v>
      </c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 t="s">
        <v>3</v>
      </c>
    </row>
    <row r="541" spans="1:268" ht="15.75" customHeight="1" x14ac:dyDescent="0.2">
      <c r="A541" s="16" t="s">
        <v>594</v>
      </c>
      <c r="B541" s="2" t="s">
        <v>109</v>
      </c>
      <c r="C541" s="2"/>
      <c r="D541" s="2"/>
      <c r="E541" s="2"/>
      <c r="F541" s="2" t="s">
        <v>544</v>
      </c>
      <c r="G541" s="2"/>
      <c r="H541" s="2"/>
      <c r="I541" s="2">
        <v>0</v>
      </c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>
        <v>0</v>
      </c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4">
        <v>29.825994000000001</v>
      </c>
      <c r="AZ541" s="2">
        <v>0.97</v>
      </c>
      <c r="BA541" s="2"/>
      <c r="BB541" s="2"/>
      <c r="BC541" s="2"/>
      <c r="BD541" s="2"/>
      <c r="BE541" s="2"/>
      <c r="BF541" s="2"/>
      <c r="BG541" s="2">
        <v>0.56000000000000005</v>
      </c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>
        <v>0</v>
      </c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4">
        <v>19.473970000000001</v>
      </c>
      <c r="CP541" s="4">
        <v>1</v>
      </c>
      <c r="CQ541" s="2"/>
      <c r="CR541" s="2"/>
      <c r="CS541" s="2"/>
      <c r="CT541" s="2"/>
      <c r="CU541" s="2"/>
      <c r="CV541" s="2"/>
      <c r="CW541" s="2">
        <v>0.62</v>
      </c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 t="s">
        <v>81</v>
      </c>
      <c r="DK541" s="2"/>
      <c r="DL541" s="2">
        <f t="shared" si="8551"/>
        <v>0.56000000000000005</v>
      </c>
      <c r="DM541" s="2">
        <f t="shared" si="8552"/>
        <v>0</v>
      </c>
      <c r="DN541" s="2" t="s">
        <v>211</v>
      </c>
      <c r="DO541" s="2" t="s">
        <v>3</v>
      </c>
      <c r="DP541" s="2">
        <f t="shared" si="8553"/>
        <v>0.28931214180000003</v>
      </c>
      <c r="DQ541" s="2">
        <f t="shared" ref="DQ541:DR541" si="8996">K541*$I541+AF541*$AD541+BA541*$AY541</f>
        <v>0</v>
      </c>
      <c r="DR541" s="2">
        <f t="shared" si="8996"/>
        <v>0</v>
      </c>
      <c r="DS541" s="2">
        <f t="shared" ref="DS541:DX541" si="8997">(M541*$I541+AH541*$AD541+BC541*$AY541)/100</f>
        <v>0</v>
      </c>
      <c r="DT541" s="2">
        <f t="shared" si="8997"/>
        <v>0</v>
      </c>
      <c r="DU541" s="2">
        <f t="shared" si="8997"/>
        <v>0</v>
      </c>
      <c r="DV541" s="2">
        <f t="shared" si="8997"/>
        <v>0</v>
      </c>
      <c r="DW541" s="2">
        <f t="shared" si="8997"/>
        <v>0.16702556640000002</v>
      </c>
      <c r="DX541" s="2">
        <f t="shared" si="8997"/>
        <v>0</v>
      </c>
      <c r="DY541" s="2">
        <f t="shared" ref="DY541:EC541" si="8998">S541*$I541+AN541*$AD541+BI541*$AY541</f>
        <v>0</v>
      </c>
      <c r="DZ541" s="2">
        <f t="shared" si="8998"/>
        <v>0</v>
      </c>
      <c r="EA541" s="2">
        <f t="shared" si="8998"/>
        <v>0</v>
      </c>
      <c r="EB541" s="2">
        <f t="shared" si="8998"/>
        <v>0</v>
      </c>
      <c r="EC541" s="2">
        <f t="shared" si="8998"/>
        <v>0</v>
      </c>
      <c r="ED541" s="2">
        <f t="shared" ref="ED541:EE541" si="8999">(X541*$I541+AS541*$AD541+BN541*$AY541)/100</f>
        <v>0</v>
      </c>
      <c r="EE541" s="2">
        <f t="shared" si="8999"/>
        <v>0</v>
      </c>
      <c r="EF541" s="2"/>
      <c r="EG541" s="2">
        <f t="shared" si="8558"/>
        <v>0</v>
      </c>
      <c r="EH541" s="2">
        <f t="shared" si="8559"/>
        <v>0</v>
      </c>
      <c r="EI541" s="39">
        <f t="shared" si="8560"/>
        <v>1887.939941524349</v>
      </c>
      <c r="EJ541" s="39">
        <f t="shared" ref="EJ541:EK541" si="9000">EJ$1*DQ541/1000000</f>
        <v>0</v>
      </c>
      <c r="EK541" s="39">
        <f t="shared" si="9000"/>
        <v>0</v>
      </c>
      <c r="EL541" s="39">
        <f t="shared" ref="EL541:EQ541" si="9001">EL$1*DS541</f>
        <v>0</v>
      </c>
      <c r="EM541" s="39">
        <f t="shared" si="9001"/>
        <v>0</v>
      </c>
      <c r="EN541" s="39">
        <f t="shared" si="9001"/>
        <v>0</v>
      </c>
      <c r="EO541" s="39">
        <f t="shared" si="9001"/>
        <v>0</v>
      </c>
      <c r="EP541" s="39">
        <f t="shared" si="9001"/>
        <v>2190.3732777696005</v>
      </c>
      <c r="EQ541" s="39">
        <f t="shared" si="9001"/>
        <v>0</v>
      </c>
      <c r="ER541" s="39">
        <f t="shared" ref="ER541:EV541" si="9002">ER$1*DY541/1000000</f>
        <v>0</v>
      </c>
      <c r="ES541" s="39">
        <f t="shared" si="9002"/>
        <v>0</v>
      </c>
      <c r="ET541" s="39">
        <f t="shared" si="9002"/>
        <v>0</v>
      </c>
      <c r="EU541" s="39">
        <f t="shared" si="9002"/>
        <v>0</v>
      </c>
      <c r="EV541" s="39">
        <f t="shared" si="9002"/>
        <v>0</v>
      </c>
      <c r="EW541" s="39">
        <f t="shared" ref="EW541:EX541" si="9003">EW$1*ED541</f>
        <v>0</v>
      </c>
      <c r="EX541" s="39">
        <f t="shared" si="9003"/>
        <v>0</v>
      </c>
      <c r="EY541" s="2"/>
      <c r="EZ541" s="39">
        <f t="shared" si="8565"/>
        <v>0</v>
      </c>
      <c r="FA541" s="39">
        <f t="shared" si="8566"/>
        <v>0</v>
      </c>
      <c r="FB541" s="2">
        <f t="shared" si="8567"/>
        <v>0.19473970000000002</v>
      </c>
      <c r="FC541" s="2">
        <f t="shared" ref="FC541:FD541" si="9004">BV541*$BT541+CQ541*$CO541</f>
        <v>0</v>
      </c>
      <c r="FD541" s="2">
        <f t="shared" si="9004"/>
        <v>0</v>
      </c>
      <c r="FE541" s="2">
        <f t="shared" ref="FE541:FJ541" si="9005">(BX541*$BT541+CS541*$CO541)/100</f>
        <v>0</v>
      </c>
      <c r="FF541" s="2">
        <f t="shared" si="9005"/>
        <v>0</v>
      </c>
      <c r="FG541" s="2">
        <f t="shared" si="9005"/>
        <v>0</v>
      </c>
      <c r="FH541" s="2">
        <f t="shared" si="9005"/>
        <v>0</v>
      </c>
      <c r="FI541" s="2">
        <f t="shared" si="9005"/>
        <v>0.12073861400000001</v>
      </c>
      <c r="FJ541" s="2">
        <f t="shared" si="9005"/>
        <v>0</v>
      </c>
      <c r="FK541" s="2">
        <f t="shared" ref="FK541:FO541" si="9006">CD541*$BT541+CY541*$CO541</f>
        <v>0</v>
      </c>
      <c r="FL541" s="2">
        <f t="shared" si="9006"/>
        <v>0</v>
      </c>
      <c r="FM541" s="2">
        <f t="shared" si="9006"/>
        <v>0</v>
      </c>
      <c r="FN541" s="2">
        <f t="shared" si="9006"/>
        <v>0</v>
      </c>
      <c r="FO541" s="2">
        <f t="shared" si="9006"/>
        <v>0</v>
      </c>
      <c r="FP541" s="2">
        <f t="shared" ref="FP541:FQ541" si="9007">(CI541*$BT541+DD541*$CO541)/100</f>
        <v>0</v>
      </c>
      <c r="FQ541" s="2">
        <f t="shared" si="9007"/>
        <v>0</v>
      </c>
      <c r="FR541" s="2"/>
      <c r="FS541" s="2">
        <f t="shared" si="8572"/>
        <v>0</v>
      </c>
      <c r="FT541" s="2">
        <f t="shared" si="8573"/>
        <v>0</v>
      </c>
      <c r="FU541" s="39">
        <f t="shared" si="8574"/>
        <v>1270.7965021552002</v>
      </c>
      <c r="FV541" s="39">
        <f t="shared" ref="FV541:FW541" si="9008">FV$1*FC541/1000000</f>
        <v>0</v>
      </c>
      <c r="FW541" s="39">
        <f t="shared" si="9008"/>
        <v>0</v>
      </c>
      <c r="FX541" s="39">
        <f t="shared" ref="FX541:GC541" si="9009">FX$1*FE541</f>
        <v>0</v>
      </c>
      <c r="FY541" s="39">
        <f t="shared" si="9009"/>
        <v>0</v>
      </c>
      <c r="FZ541" s="39">
        <f t="shared" si="9009"/>
        <v>0</v>
      </c>
      <c r="GA541" s="39">
        <f t="shared" si="9009"/>
        <v>0</v>
      </c>
      <c r="GB541" s="39">
        <f t="shared" si="9009"/>
        <v>1583.366183996</v>
      </c>
      <c r="GC541" s="39">
        <f t="shared" si="9009"/>
        <v>0</v>
      </c>
      <c r="GD541" s="39">
        <f t="shared" ref="GD541:GH541" si="9010">GD$1*FK541/1000000</f>
        <v>0</v>
      </c>
      <c r="GE541" s="39">
        <f t="shared" si="9010"/>
        <v>0</v>
      </c>
      <c r="GF541" s="39">
        <f t="shared" si="9010"/>
        <v>0</v>
      </c>
      <c r="GG541" s="39">
        <f t="shared" si="9010"/>
        <v>0</v>
      </c>
      <c r="GH541" s="39">
        <f t="shared" si="9010"/>
        <v>0</v>
      </c>
      <c r="GI541" s="39">
        <f t="shared" ref="GI541:GJ541" si="9011">GI$1*FP541</f>
        <v>0</v>
      </c>
      <c r="GJ541" s="39">
        <f t="shared" si="9011"/>
        <v>0</v>
      </c>
      <c r="GK541" s="2"/>
      <c r="GL541" s="39">
        <f t="shared" si="8579"/>
        <v>0</v>
      </c>
      <c r="GM541" s="39">
        <f t="shared" si="8580"/>
        <v>0</v>
      </c>
      <c r="GN541" s="2" t="s">
        <v>3</v>
      </c>
      <c r="GO541" s="4">
        <f t="shared" si="8581"/>
        <v>29.825994000000001</v>
      </c>
      <c r="GP541" s="2">
        <f t="shared" si="8582"/>
        <v>0.56000000000000005</v>
      </c>
      <c r="GQ541" s="15">
        <f t="shared" si="8583"/>
        <v>167.02556640000003</v>
      </c>
      <c r="GR541" s="15">
        <f t="shared" si="8584"/>
        <v>4078.3132192939493</v>
      </c>
      <c r="GS541" s="15">
        <f t="shared" si="8585"/>
        <v>136.73687520000001</v>
      </c>
      <c r="GT541" s="2">
        <f t="shared" si="8586"/>
        <v>0</v>
      </c>
      <c r="GU541" s="2">
        <f t="shared" si="8587"/>
        <v>0</v>
      </c>
      <c r="GV541" s="2">
        <f t="shared" si="8588"/>
        <v>167.02556640000003</v>
      </c>
      <c r="GW541" s="4">
        <f t="shared" si="8589"/>
        <v>19.473970000000001</v>
      </c>
      <c r="GX541" s="4">
        <f t="shared" si="8992"/>
        <v>0.62</v>
      </c>
      <c r="GY541" s="15">
        <f t="shared" si="8993"/>
        <v>120.738614</v>
      </c>
      <c r="GZ541" s="15">
        <f t="shared" si="8994"/>
        <v>2854.1626861512004</v>
      </c>
      <c r="HA541" s="15">
        <f t="shared" si="8995"/>
        <v>146.56296</v>
      </c>
      <c r="HB541" s="2">
        <f t="shared" si="8590"/>
        <v>0</v>
      </c>
      <c r="HC541" s="2">
        <f t="shared" si="8591"/>
        <v>120.738614</v>
      </c>
      <c r="HD541" s="2" t="s">
        <v>3</v>
      </c>
      <c r="HE541" s="2" t="s">
        <v>89</v>
      </c>
      <c r="HF541" s="2" t="s">
        <v>123</v>
      </c>
      <c r="HG541" s="2"/>
      <c r="HH541" s="2"/>
      <c r="HI541" s="2" t="s">
        <v>81</v>
      </c>
      <c r="HJ541" s="2" t="s">
        <v>3</v>
      </c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 t="s">
        <v>3</v>
      </c>
    </row>
    <row r="542" spans="1:268" ht="15.75" customHeight="1" x14ac:dyDescent="0.2">
      <c r="A542" s="16" t="s">
        <v>517</v>
      </c>
      <c r="B542" s="2" t="s">
        <v>99</v>
      </c>
      <c r="C542" s="2"/>
      <c r="D542" s="2"/>
      <c r="E542" s="2"/>
      <c r="F542" s="2" t="s">
        <v>518</v>
      </c>
      <c r="G542" s="2"/>
      <c r="H542" s="2"/>
      <c r="I542" s="2">
        <v>0</v>
      </c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>
        <v>0</v>
      </c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>
        <v>23.2</v>
      </c>
      <c r="AZ542" s="2">
        <v>0.21</v>
      </c>
      <c r="BA542" s="4">
        <v>0.1</v>
      </c>
      <c r="BB542" s="2"/>
      <c r="BC542" s="2"/>
      <c r="BD542" s="2"/>
      <c r="BE542" s="2"/>
      <c r="BF542" s="2"/>
      <c r="BG542" s="2">
        <v>0.14000000000000001</v>
      </c>
      <c r="BH542" s="19">
        <v>4.3E-3</v>
      </c>
      <c r="BI542" s="2">
        <v>0.12</v>
      </c>
      <c r="BJ542" s="2">
        <v>0.31</v>
      </c>
      <c r="BK542" s="2"/>
      <c r="BL542" s="2"/>
      <c r="BM542" s="2"/>
      <c r="BN542" s="2"/>
      <c r="BO542" s="2"/>
      <c r="BP542" s="2"/>
      <c r="BQ542" s="2"/>
      <c r="BR542" s="2"/>
      <c r="BS542" s="2"/>
      <c r="BT542" s="2">
        <v>0</v>
      </c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>
        <v>0</v>
      </c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 t="s">
        <v>81</v>
      </c>
      <c r="DK542" s="2"/>
      <c r="DL542" s="2">
        <f t="shared" si="8551"/>
        <v>0.14000000000000001</v>
      </c>
      <c r="DM542" s="2">
        <f t="shared" si="8552"/>
        <v>4.3E-3</v>
      </c>
      <c r="DN542" s="2" t="s">
        <v>519</v>
      </c>
      <c r="DO542" s="2" t="s">
        <v>3</v>
      </c>
      <c r="DP542" s="2">
        <f t="shared" si="8553"/>
        <v>4.8719999999999999E-2</v>
      </c>
      <c r="DQ542" s="2">
        <f t="shared" ref="DQ542:DR542" si="9012">K542*$I542+AF542*$AD542+BA542*$AY542</f>
        <v>2.3199999999999998</v>
      </c>
      <c r="DR542" s="2">
        <f t="shared" si="9012"/>
        <v>0</v>
      </c>
      <c r="DS542" s="2">
        <f t="shared" ref="DS542:DX542" si="9013">(M542*$I542+AH542*$AD542+BC542*$AY542)/100</f>
        <v>0</v>
      </c>
      <c r="DT542" s="2">
        <f t="shared" si="9013"/>
        <v>0</v>
      </c>
      <c r="DU542" s="2">
        <f t="shared" si="9013"/>
        <v>0</v>
      </c>
      <c r="DV542" s="2">
        <f t="shared" si="9013"/>
        <v>0</v>
      </c>
      <c r="DW542" s="2">
        <f t="shared" si="9013"/>
        <v>3.2480000000000002E-2</v>
      </c>
      <c r="DX542" s="2">
        <f t="shared" si="9013"/>
        <v>9.9759999999999996E-4</v>
      </c>
      <c r="DY542" s="2">
        <f t="shared" ref="DY542:EC542" si="9014">S542*$I542+AN542*$AD542+BI542*$AY542</f>
        <v>2.7839999999999998</v>
      </c>
      <c r="DZ542" s="2">
        <f t="shared" si="9014"/>
        <v>7.1920000000000002</v>
      </c>
      <c r="EA542" s="2">
        <f t="shared" si="9014"/>
        <v>0</v>
      </c>
      <c r="EB542" s="2">
        <f t="shared" si="9014"/>
        <v>0</v>
      </c>
      <c r="EC542" s="2">
        <f t="shared" si="9014"/>
        <v>0</v>
      </c>
      <c r="ED542" s="2">
        <f t="shared" ref="ED542:EE542" si="9015">(X542*$I542+AS542*$AD542+BN542*$AY542)/100</f>
        <v>0</v>
      </c>
      <c r="EE542" s="2">
        <f t="shared" si="9015"/>
        <v>0</v>
      </c>
      <c r="EF542" s="2"/>
      <c r="EG542" s="2">
        <f t="shared" si="8558"/>
        <v>0</v>
      </c>
      <c r="EH542" s="2">
        <f t="shared" si="8559"/>
        <v>0</v>
      </c>
      <c r="EI542" s="39">
        <f t="shared" si="8560"/>
        <v>317.92801151999998</v>
      </c>
      <c r="EJ542" s="39">
        <f t="shared" ref="EJ542:EK542" si="9016">EJ$1*DQ542/1000000</f>
        <v>94.888745980707384</v>
      </c>
      <c r="EK542" s="39">
        <f t="shared" si="9016"/>
        <v>0</v>
      </c>
      <c r="EL542" s="39">
        <f t="shared" ref="EL542:EQ542" si="9017">EL$1*DS542</f>
        <v>0</v>
      </c>
      <c r="EM542" s="39">
        <f t="shared" si="9017"/>
        <v>0</v>
      </c>
      <c r="EN542" s="39">
        <f t="shared" si="9017"/>
        <v>0</v>
      </c>
      <c r="EO542" s="39">
        <f t="shared" si="9017"/>
        <v>0</v>
      </c>
      <c r="EP542" s="39">
        <f t="shared" si="9017"/>
        <v>425.94272000000001</v>
      </c>
      <c r="EQ542" s="39">
        <f t="shared" si="9017"/>
        <v>72.445237142399989</v>
      </c>
      <c r="ER542" s="39">
        <f t="shared" ref="ER542:EV542" si="9018">ER$1*DY542/1000000</f>
        <v>79.013679742765262</v>
      </c>
      <c r="ES542" s="39">
        <f t="shared" si="9018"/>
        <v>239.67860321543409</v>
      </c>
      <c r="ET542" s="39">
        <f t="shared" si="9018"/>
        <v>0</v>
      </c>
      <c r="EU542" s="39">
        <f t="shared" si="9018"/>
        <v>0</v>
      </c>
      <c r="EV542" s="39">
        <f t="shared" si="9018"/>
        <v>0</v>
      </c>
      <c r="EW542" s="39">
        <f t="shared" ref="EW542:EX542" si="9019">EW$1*ED542</f>
        <v>0</v>
      </c>
      <c r="EX542" s="39">
        <f t="shared" si="9019"/>
        <v>0</v>
      </c>
      <c r="EY542" s="2"/>
      <c r="EZ542" s="39">
        <f t="shared" si="8565"/>
        <v>0</v>
      </c>
      <c r="FA542" s="39">
        <f t="shared" si="8566"/>
        <v>0</v>
      </c>
      <c r="FB542" s="2">
        <f t="shared" si="8567"/>
        <v>0</v>
      </c>
      <c r="FC542" s="2">
        <f t="shared" ref="FC542:FD542" si="9020">BV542*$BT542+CQ542*$CO542</f>
        <v>0</v>
      </c>
      <c r="FD542" s="2">
        <f t="shared" si="9020"/>
        <v>0</v>
      </c>
      <c r="FE542" s="2">
        <f t="shared" ref="FE542:FJ542" si="9021">(BX542*$BT542+CS542*$CO542)/100</f>
        <v>0</v>
      </c>
      <c r="FF542" s="2">
        <f t="shared" si="9021"/>
        <v>0</v>
      </c>
      <c r="FG542" s="2">
        <f t="shared" si="9021"/>
        <v>0</v>
      </c>
      <c r="FH542" s="2">
        <f t="shared" si="9021"/>
        <v>0</v>
      </c>
      <c r="FI542" s="2">
        <f t="shared" si="9021"/>
        <v>0</v>
      </c>
      <c r="FJ542" s="2">
        <f t="shared" si="9021"/>
        <v>0</v>
      </c>
      <c r="FK542" s="2">
        <f t="shared" ref="FK542:FO542" si="9022">CD542*$BT542+CY542*$CO542</f>
        <v>0</v>
      </c>
      <c r="FL542" s="2">
        <f t="shared" si="9022"/>
        <v>0</v>
      </c>
      <c r="FM542" s="2">
        <f t="shared" si="9022"/>
        <v>0</v>
      </c>
      <c r="FN542" s="2">
        <f t="shared" si="9022"/>
        <v>0</v>
      </c>
      <c r="FO542" s="2">
        <f t="shared" si="9022"/>
        <v>0</v>
      </c>
      <c r="FP542" s="2">
        <f t="shared" ref="FP542:FQ542" si="9023">(CI542*$BT542+DD542*$CO542)/100</f>
        <v>0</v>
      </c>
      <c r="FQ542" s="2">
        <f t="shared" si="9023"/>
        <v>0</v>
      </c>
      <c r="FR542" s="2"/>
      <c r="FS542" s="2">
        <f t="shared" si="8572"/>
        <v>0</v>
      </c>
      <c r="FT542" s="2">
        <f t="shared" si="8573"/>
        <v>0</v>
      </c>
      <c r="FU542" s="39">
        <f t="shared" si="8574"/>
        <v>0</v>
      </c>
      <c r="FV542" s="39">
        <f t="shared" ref="FV542:FW542" si="9024">FV$1*FC542/1000000</f>
        <v>0</v>
      </c>
      <c r="FW542" s="39">
        <f t="shared" si="9024"/>
        <v>0</v>
      </c>
      <c r="FX542" s="39">
        <f t="shared" ref="FX542:GC542" si="9025">FX$1*FE542</f>
        <v>0</v>
      </c>
      <c r="FY542" s="39">
        <f t="shared" si="9025"/>
        <v>0</v>
      </c>
      <c r="FZ542" s="39">
        <f t="shared" si="9025"/>
        <v>0</v>
      </c>
      <c r="GA542" s="39">
        <f t="shared" si="9025"/>
        <v>0</v>
      </c>
      <c r="GB542" s="39">
        <f t="shared" si="9025"/>
        <v>0</v>
      </c>
      <c r="GC542" s="39">
        <f t="shared" si="9025"/>
        <v>0</v>
      </c>
      <c r="GD542" s="39">
        <f t="shared" ref="GD542:GH542" si="9026">GD$1*FK542/1000000</f>
        <v>0</v>
      </c>
      <c r="GE542" s="39">
        <f t="shared" si="9026"/>
        <v>0</v>
      </c>
      <c r="GF542" s="39">
        <f t="shared" si="9026"/>
        <v>0</v>
      </c>
      <c r="GG542" s="39">
        <f t="shared" si="9026"/>
        <v>0</v>
      </c>
      <c r="GH542" s="39">
        <f t="shared" si="9026"/>
        <v>0</v>
      </c>
      <c r="GI542" s="39">
        <f t="shared" ref="GI542:GJ542" si="9027">GI$1*FP542</f>
        <v>0</v>
      </c>
      <c r="GJ542" s="39">
        <f t="shared" si="9027"/>
        <v>0</v>
      </c>
      <c r="GK542" s="2"/>
      <c r="GL542" s="39">
        <f t="shared" si="8579"/>
        <v>0</v>
      </c>
      <c r="GM542" s="39">
        <f t="shared" si="8580"/>
        <v>0</v>
      </c>
      <c r="GN542" s="2" t="s">
        <v>3</v>
      </c>
      <c r="GO542" s="2">
        <f t="shared" si="8581"/>
        <v>23.2</v>
      </c>
      <c r="GP542" s="2">
        <f t="shared" si="8582"/>
        <v>0.14000000000000001</v>
      </c>
      <c r="GQ542" s="15">
        <f t="shared" si="8583"/>
        <v>32.480000000000004</v>
      </c>
      <c r="GR542" s="15">
        <f t="shared" si="8584"/>
        <v>1229.8969976013066</v>
      </c>
      <c r="GS542" s="15">
        <f t="shared" si="8585"/>
        <v>53.012801620745975</v>
      </c>
      <c r="GT542" s="2">
        <f t="shared" si="8586"/>
        <v>0</v>
      </c>
      <c r="GU542" s="2">
        <f t="shared" si="8587"/>
        <v>0</v>
      </c>
      <c r="GV542" s="2">
        <f t="shared" si="8588"/>
        <v>32.479999999999997</v>
      </c>
      <c r="GW542" s="2">
        <f t="shared" si="8589"/>
        <v>0</v>
      </c>
      <c r="GX542" s="2"/>
      <c r="GY542" s="2"/>
      <c r="GZ542" s="2"/>
      <c r="HA542" s="2"/>
      <c r="HB542" s="2">
        <f t="shared" si="8590"/>
        <v>0</v>
      </c>
      <c r="HC542" s="2">
        <f t="shared" si="8591"/>
        <v>0</v>
      </c>
      <c r="HD542" s="2" t="s">
        <v>3</v>
      </c>
      <c r="HE542" s="2" t="s">
        <v>89</v>
      </c>
      <c r="HF542" s="2" t="s">
        <v>123</v>
      </c>
      <c r="HG542" s="2"/>
      <c r="HH542" s="2"/>
      <c r="HI542" s="2" t="s">
        <v>81</v>
      </c>
      <c r="HJ542" s="2" t="s">
        <v>3</v>
      </c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 t="s">
        <v>3</v>
      </c>
    </row>
    <row r="543" spans="1:268" ht="15.75" customHeight="1" x14ac:dyDescent="0.2">
      <c r="A543" s="16" t="s">
        <v>532</v>
      </c>
      <c r="B543" s="2" t="s">
        <v>120</v>
      </c>
      <c r="C543" s="2"/>
      <c r="D543" s="2"/>
      <c r="E543" s="2"/>
      <c r="F543" s="2" t="s">
        <v>79</v>
      </c>
      <c r="G543" s="2"/>
      <c r="H543" s="2" t="s">
        <v>181</v>
      </c>
      <c r="I543" s="2">
        <f>0.149+0.072</f>
        <v>0.22099999999999997</v>
      </c>
      <c r="J543" s="4">
        <f>(0.2*0.149+0.29*0.072)/I543</f>
        <v>0.2293212669683258</v>
      </c>
      <c r="K543" s="2"/>
      <c r="L543" s="2"/>
      <c r="M543" s="2"/>
      <c r="N543" s="2"/>
      <c r="O543" s="2"/>
      <c r="P543" s="2"/>
      <c r="Q543" s="4">
        <f>(0.59*0.149+0.7*0.072)/I543</f>
        <v>0.62583710407239823</v>
      </c>
      <c r="R543" s="2">
        <v>0.02</v>
      </c>
      <c r="S543" s="2">
        <v>0.1</v>
      </c>
      <c r="T543" s="2">
        <v>0.1</v>
      </c>
      <c r="U543" s="2"/>
      <c r="V543" s="2"/>
      <c r="W543" s="2"/>
      <c r="X543" s="2"/>
      <c r="Y543" s="2"/>
      <c r="Z543" s="2"/>
      <c r="AA543" s="2"/>
      <c r="AB543" s="2"/>
      <c r="AC543" s="2"/>
      <c r="AD543" s="2">
        <f>0.487+1.02+0.931+1.604</f>
        <v>4.0419999999999998</v>
      </c>
      <c r="AE543" s="4">
        <f>(0.26*0.487+0.13*1.02+0.23*0.931+0.13*1.604)/AD543</f>
        <v>0.16869619000494807</v>
      </c>
      <c r="AF543" s="2"/>
      <c r="AG543" s="2"/>
      <c r="AH543" s="2"/>
      <c r="AI543" s="2"/>
      <c r="AJ543" s="2"/>
      <c r="AK543" s="2"/>
      <c r="AL543" s="4">
        <f>(0.6*0.487+0.38*1.02+0.65*0.931+0.42*1.604)/AD543</f>
        <v>0.48456952003958442</v>
      </c>
      <c r="AM543" s="2">
        <v>0.02</v>
      </c>
      <c r="AN543" s="2">
        <v>0.1</v>
      </c>
      <c r="AO543" s="2">
        <v>0.1</v>
      </c>
      <c r="AP543" s="2"/>
      <c r="AQ543" s="2"/>
      <c r="AR543" s="2"/>
      <c r="AS543" s="2"/>
      <c r="AT543" s="2"/>
      <c r="AU543" s="2"/>
      <c r="AV543" s="2"/>
      <c r="AW543" s="2"/>
      <c r="AX543" s="2"/>
      <c r="AY543" s="2">
        <v>0.45700000000000002</v>
      </c>
      <c r="AZ543" s="2">
        <v>0.31</v>
      </c>
      <c r="BA543" s="2"/>
      <c r="BB543" s="2"/>
      <c r="BC543" s="2"/>
      <c r="BD543" s="2"/>
      <c r="BE543" s="2"/>
      <c r="BF543" s="2"/>
      <c r="BG543" s="2">
        <v>0.72</v>
      </c>
      <c r="BH543" s="2">
        <v>0.02</v>
      </c>
      <c r="BI543" s="2">
        <v>0.1</v>
      </c>
      <c r="BJ543" s="2">
        <v>0.1</v>
      </c>
      <c r="BK543" s="2"/>
      <c r="BL543" s="2"/>
      <c r="BM543" s="2"/>
      <c r="BN543" s="2"/>
      <c r="BO543" s="2"/>
      <c r="BP543" s="2"/>
      <c r="BQ543" s="2"/>
      <c r="BR543" s="2"/>
      <c r="BS543" s="2"/>
      <c r="BT543" s="2">
        <v>0.14899999999999999</v>
      </c>
      <c r="BU543" s="2">
        <v>0.2</v>
      </c>
      <c r="BV543" s="2"/>
      <c r="BW543" s="2"/>
      <c r="BX543" s="2"/>
      <c r="BY543" s="2"/>
      <c r="BZ543" s="2"/>
      <c r="CA543" s="2"/>
      <c r="CB543" s="2">
        <v>0.59</v>
      </c>
      <c r="CC543" s="2">
        <v>0.02</v>
      </c>
      <c r="CD543" s="2">
        <v>0.1</v>
      </c>
      <c r="CE543" s="2">
        <v>0.1</v>
      </c>
      <c r="CF543" s="2"/>
      <c r="CG543" s="2"/>
      <c r="CH543" s="2"/>
      <c r="CI543" s="2"/>
      <c r="CJ543" s="2"/>
      <c r="CK543" s="2"/>
      <c r="CL543" s="2"/>
      <c r="CM543" s="2"/>
      <c r="CN543" s="2"/>
      <c r="CO543" s="2">
        <f>0.487+1.02</f>
        <v>1.5070000000000001</v>
      </c>
      <c r="CP543" s="4">
        <f>(0.26*0.487+0.13*1.02)/CO543</f>
        <v>0.17201061712010615</v>
      </c>
      <c r="CQ543" s="2"/>
      <c r="CR543" s="2"/>
      <c r="CS543" s="2"/>
      <c r="CT543" s="2"/>
      <c r="CU543" s="2"/>
      <c r="CV543" s="2"/>
      <c r="CW543" s="4">
        <f>(0.6*0.487+0.38*1.02)/CO543</f>
        <v>0.45109489051094886</v>
      </c>
      <c r="CX543" s="2">
        <v>0.02</v>
      </c>
      <c r="CY543" s="2">
        <v>0.1</v>
      </c>
      <c r="CZ543" s="2">
        <v>0.1</v>
      </c>
      <c r="DA543" s="2"/>
      <c r="DB543" s="2"/>
      <c r="DC543" s="2"/>
      <c r="DD543" s="2"/>
      <c r="DE543" s="2"/>
      <c r="DF543" s="2"/>
      <c r="DG543" s="2"/>
      <c r="DH543" s="2"/>
      <c r="DI543" s="2"/>
      <c r="DJ543" s="2" t="s">
        <v>81</v>
      </c>
      <c r="DK543" s="2" t="s">
        <v>81</v>
      </c>
      <c r="DL543" s="2">
        <f t="shared" si="8551"/>
        <v>0.51397881355932207</v>
      </c>
      <c r="DM543" s="2">
        <f t="shared" si="8552"/>
        <v>1.9999999999999997E-2</v>
      </c>
      <c r="DN543" s="2" t="s">
        <v>533</v>
      </c>
      <c r="DO543" s="2" t="s">
        <v>3</v>
      </c>
      <c r="DP543" s="2">
        <f t="shared" si="8553"/>
        <v>8.7422000000000003E-3</v>
      </c>
      <c r="DQ543" s="2">
        <f t="shared" ref="DQ543:DR543" si="9028">K543*$I543+AF543*$AD543+BA543*$AY543</f>
        <v>0</v>
      </c>
      <c r="DR543" s="2">
        <f t="shared" si="9028"/>
        <v>0</v>
      </c>
      <c r="DS543" s="2">
        <f t="shared" ref="DS543:DX543" si="9029">(M543*$I543+AH543*$AD543+BC543*$AY543)/100</f>
        <v>0</v>
      </c>
      <c r="DT543" s="2">
        <f t="shared" si="9029"/>
        <v>0</v>
      </c>
      <c r="DU543" s="2">
        <f t="shared" si="9029"/>
        <v>0</v>
      </c>
      <c r="DV543" s="2">
        <f t="shared" si="9029"/>
        <v>0</v>
      </c>
      <c r="DW543" s="2">
        <f t="shared" si="9029"/>
        <v>2.4259800000000002E-2</v>
      </c>
      <c r="DX543" s="2">
        <f t="shared" si="9029"/>
        <v>9.4399999999999985E-4</v>
      </c>
      <c r="DY543" s="2">
        <f t="shared" ref="DY543:EC543" si="9030">S543*$I543+AN543*$AD543+BI543*$AY543</f>
        <v>0.47200000000000003</v>
      </c>
      <c r="DZ543" s="2">
        <f t="shared" si="9030"/>
        <v>0.47200000000000003</v>
      </c>
      <c r="EA543" s="2">
        <f t="shared" si="9030"/>
        <v>0</v>
      </c>
      <c r="EB543" s="2">
        <f t="shared" si="9030"/>
        <v>0</v>
      </c>
      <c r="EC543" s="2">
        <f t="shared" si="9030"/>
        <v>0</v>
      </c>
      <c r="ED543" s="2">
        <f t="shared" ref="ED543:EE543" si="9031">(X543*$I543+AS543*$AD543+BN543*$AY543)/100</f>
        <v>0</v>
      </c>
      <c r="EE543" s="2">
        <f t="shared" si="9031"/>
        <v>0</v>
      </c>
      <c r="EF543" s="2"/>
      <c r="EG543" s="2">
        <f t="shared" si="8558"/>
        <v>0</v>
      </c>
      <c r="EH543" s="2">
        <f t="shared" si="8559"/>
        <v>0</v>
      </c>
      <c r="EI543" s="39">
        <f t="shared" si="8560"/>
        <v>57.048240195200002</v>
      </c>
      <c r="EJ543" s="39">
        <f t="shared" ref="EJ543:EK543" si="9032">EJ$1*DQ543/1000000</f>
        <v>0</v>
      </c>
      <c r="EK543" s="39">
        <f t="shared" si="9032"/>
        <v>0</v>
      </c>
      <c r="EL543" s="39">
        <f t="shared" ref="EL543:EQ543" si="9033">EL$1*DS543</f>
        <v>0</v>
      </c>
      <c r="EM543" s="39">
        <f t="shared" si="9033"/>
        <v>0</v>
      </c>
      <c r="EN543" s="39">
        <f t="shared" si="9033"/>
        <v>0</v>
      </c>
      <c r="EO543" s="39">
        <f t="shared" si="9033"/>
        <v>0</v>
      </c>
      <c r="EP543" s="39">
        <f t="shared" si="9033"/>
        <v>318.14301720000003</v>
      </c>
      <c r="EQ543" s="39">
        <f t="shared" si="9033"/>
        <v>68.552830655999983</v>
      </c>
      <c r="ER543" s="39">
        <f t="shared" ref="ER543:EV543" si="9034">ER$1*DY543/1000000</f>
        <v>13.395997427652732</v>
      </c>
      <c r="ES543" s="39">
        <f t="shared" si="9034"/>
        <v>15.72974147909968</v>
      </c>
      <c r="ET543" s="39">
        <f t="shared" si="9034"/>
        <v>0</v>
      </c>
      <c r="EU543" s="39">
        <f t="shared" si="9034"/>
        <v>0</v>
      </c>
      <c r="EV543" s="39">
        <f t="shared" si="9034"/>
        <v>0</v>
      </c>
      <c r="EW543" s="39">
        <f t="shared" ref="EW543:EX543" si="9035">EW$1*ED543</f>
        <v>0</v>
      </c>
      <c r="EX543" s="39">
        <f t="shared" si="9035"/>
        <v>0</v>
      </c>
      <c r="EY543" s="2"/>
      <c r="EZ543" s="39">
        <f t="shared" si="8565"/>
        <v>0</v>
      </c>
      <c r="FA543" s="39">
        <f t="shared" si="8566"/>
        <v>0</v>
      </c>
      <c r="FB543" s="2">
        <f t="shared" si="8567"/>
        <v>2.8901999999999999E-3</v>
      </c>
      <c r="FC543" s="2">
        <f t="shared" ref="FC543:FD543" si="9036">BV543*$BT543+CQ543*$CO543</f>
        <v>0</v>
      </c>
      <c r="FD543" s="2">
        <f t="shared" si="9036"/>
        <v>0</v>
      </c>
      <c r="FE543" s="2">
        <f t="shared" ref="FE543:FJ543" si="9037">(BX543*$BT543+CS543*$CO543)/100</f>
        <v>0</v>
      </c>
      <c r="FF543" s="2">
        <f t="shared" si="9037"/>
        <v>0</v>
      </c>
      <c r="FG543" s="2">
        <f t="shared" si="9037"/>
        <v>0</v>
      </c>
      <c r="FH543" s="2">
        <f t="shared" si="9037"/>
        <v>0</v>
      </c>
      <c r="FI543" s="2">
        <f t="shared" si="9037"/>
        <v>7.6770999999999992E-3</v>
      </c>
      <c r="FJ543" s="2">
        <f t="shared" si="9037"/>
        <v>3.3120000000000003E-4</v>
      </c>
      <c r="FK543" s="2">
        <f t="shared" ref="FK543:FO543" si="9038">CD543*$BT543+CY543*$CO543</f>
        <v>0.16560000000000002</v>
      </c>
      <c r="FL543" s="2">
        <f t="shared" si="9038"/>
        <v>0.16560000000000002</v>
      </c>
      <c r="FM543" s="2">
        <f t="shared" si="9038"/>
        <v>0</v>
      </c>
      <c r="FN543" s="2">
        <f t="shared" si="9038"/>
        <v>0</v>
      </c>
      <c r="FO543" s="2">
        <f t="shared" si="9038"/>
        <v>0</v>
      </c>
      <c r="FP543" s="2">
        <f t="shared" ref="FP543:FQ543" si="9039">(CI543*$BT543+DD543*$CO543)/100</f>
        <v>0</v>
      </c>
      <c r="FQ543" s="2">
        <f t="shared" si="9039"/>
        <v>0</v>
      </c>
      <c r="FR543" s="2"/>
      <c r="FS543" s="2">
        <f t="shared" si="8572"/>
        <v>0</v>
      </c>
      <c r="FT543" s="2">
        <f t="shared" si="8573"/>
        <v>0</v>
      </c>
      <c r="FU543" s="39">
        <f t="shared" si="8574"/>
        <v>18.860335363200001</v>
      </c>
      <c r="FV543" s="39">
        <f t="shared" ref="FV543:FW543" si="9040">FV$1*FC543/1000000</f>
        <v>0</v>
      </c>
      <c r="FW543" s="39">
        <f t="shared" si="9040"/>
        <v>0</v>
      </c>
      <c r="FX543" s="39">
        <f t="shared" ref="FX543:GC543" si="9041">FX$1*FE543</f>
        <v>0</v>
      </c>
      <c r="FY543" s="39">
        <f t="shared" si="9041"/>
        <v>0</v>
      </c>
      <c r="FZ543" s="39">
        <f t="shared" si="9041"/>
        <v>0</v>
      </c>
      <c r="GA543" s="39">
        <f t="shared" si="9041"/>
        <v>0</v>
      </c>
      <c r="GB543" s="39">
        <f t="shared" si="9041"/>
        <v>100.67748939999998</v>
      </c>
      <c r="GC543" s="39">
        <f t="shared" si="9041"/>
        <v>24.051586348799997</v>
      </c>
      <c r="GD543" s="39">
        <f t="shared" ref="GD543:GH543" si="9042">GD$1*FK543/1000000</f>
        <v>4.699951639871383</v>
      </c>
      <c r="GE543" s="39">
        <f t="shared" si="9042"/>
        <v>5.5187398070739562</v>
      </c>
      <c r="GF543" s="39">
        <f t="shared" si="9042"/>
        <v>0</v>
      </c>
      <c r="GG543" s="39">
        <f t="shared" si="9042"/>
        <v>0</v>
      </c>
      <c r="GH543" s="39">
        <f t="shared" si="9042"/>
        <v>0</v>
      </c>
      <c r="GI543" s="39">
        <f t="shared" ref="GI543:GJ543" si="9043">GI$1*FP543</f>
        <v>0</v>
      </c>
      <c r="GJ543" s="39">
        <f t="shared" si="9043"/>
        <v>0</v>
      </c>
      <c r="GK543" s="2"/>
      <c r="GL543" s="39">
        <f t="shared" si="8579"/>
        <v>0</v>
      </c>
      <c r="GM543" s="39">
        <f t="shared" si="8580"/>
        <v>0</v>
      </c>
      <c r="GN543" s="2" t="s">
        <v>3</v>
      </c>
      <c r="GO543" s="2">
        <f t="shared" si="8581"/>
        <v>4.72</v>
      </c>
      <c r="GP543" s="4">
        <f t="shared" si="8582"/>
        <v>0.51397881355932207</v>
      </c>
      <c r="GQ543" s="15">
        <f t="shared" si="8583"/>
        <v>24.259799999999998</v>
      </c>
      <c r="GR543" s="15">
        <f t="shared" si="8584"/>
        <v>472.8698269579524</v>
      </c>
      <c r="GS543" s="15">
        <f t="shared" si="8585"/>
        <v>100.18428537244755</v>
      </c>
      <c r="GT543" s="2">
        <f t="shared" si="8586"/>
        <v>1.3831</v>
      </c>
      <c r="GU543" s="2">
        <f t="shared" si="8587"/>
        <v>19.586300000000001</v>
      </c>
      <c r="GV543" s="2">
        <f t="shared" si="8588"/>
        <v>3.2904</v>
      </c>
      <c r="GW543" s="2">
        <f t="shared" si="8589"/>
        <v>1.6560000000000001</v>
      </c>
      <c r="GX543" s="4">
        <f>(BT543*CB543+CO543*CW543)/GW543</f>
        <v>0.46359299516908203</v>
      </c>
      <c r="GY543" s="15">
        <f>1000*GW543*GX543/100</f>
        <v>7.6770999999999994</v>
      </c>
      <c r="GZ543" s="15">
        <f>SUM(FU543:GM543)</f>
        <v>153.80810255894531</v>
      </c>
      <c r="HA543" s="15">
        <f>GZ543/GW543</f>
        <v>92.879288984870342</v>
      </c>
      <c r="HB543" s="2">
        <f t="shared" si="8590"/>
        <v>0.87909999999999977</v>
      </c>
      <c r="HC543" s="2">
        <f t="shared" si="8591"/>
        <v>6.7979999999999992</v>
      </c>
      <c r="HD543" s="2" t="s">
        <v>3</v>
      </c>
      <c r="HE543" s="2" t="s">
        <v>89</v>
      </c>
      <c r="HF543" s="2" t="s">
        <v>123</v>
      </c>
      <c r="HG543" s="2"/>
      <c r="HH543" s="2"/>
      <c r="HI543" s="2" t="s">
        <v>81</v>
      </c>
      <c r="HJ543" s="2" t="s">
        <v>3</v>
      </c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 t="s">
        <v>3</v>
      </c>
    </row>
    <row r="544" spans="1:268" ht="15.75" customHeight="1" x14ac:dyDescent="0.2">
      <c r="A544" s="16" t="s">
        <v>549</v>
      </c>
      <c r="B544" s="2" t="s">
        <v>99</v>
      </c>
      <c r="C544" s="2"/>
      <c r="D544" s="2"/>
      <c r="E544" s="2"/>
      <c r="F544" s="2" t="s">
        <v>79</v>
      </c>
      <c r="G544" s="2"/>
      <c r="H544" s="2"/>
      <c r="I544" s="2">
        <v>0</v>
      </c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>
        <v>0</v>
      </c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>
        <v>0.21</v>
      </c>
      <c r="AZ544" s="2">
        <v>0.28000000000000003</v>
      </c>
      <c r="BA544" s="2"/>
      <c r="BB544" s="2"/>
      <c r="BC544" s="2"/>
      <c r="BD544" s="2"/>
      <c r="BE544" s="2"/>
      <c r="BF544" s="2"/>
      <c r="BG544" s="2">
        <v>0.37</v>
      </c>
      <c r="BH544" s="2">
        <v>0.04</v>
      </c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>
        <v>0</v>
      </c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>
        <v>0</v>
      </c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 t="s">
        <v>81</v>
      </c>
      <c r="DK544" s="2" t="s">
        <v>81</v>
      </c>
      <c r="DL544" s="2">
        <f t="shared" si="8551"/>
        <v>0.37</v>
      </c>
      <c r="DM544" s="2">
        <f t="shared" si="8552"/>
        <v>0.04</v>
      </c>
      <c r="DN544" s="2" t="s">
        <v>126</v>
      </c>
      <c r="DO544" s="2" t="s">
        <v>3</v>
      </c>
      <c r="DP544" s="2">
        <f t="shared" si="8553"/>
        <v>5.8800000000000009E-4</v>
      </c>
      <c r="DQ544" s="2">
        <f t="shared" ref="DQ544:DR544" si="9044">K544*$I544+AF544*$AD544+BA544*$AY544</f>
        <v>0</v>
      </c>
      <c r="DR544" s="2">
        <f t="shared" si="9044"/>
        <v>0</v>
      </c>
      <c r="DS544" s="2">
        <f t="shared" ref="DS544:DX544" si="9045">(M544*$I544+AH544*$AD544+BC544*$AY544)/100</f>
        <v>0</v>
      </c>
      <c r="DT544" s="2">
        <f t="shared" si="9045"/>
        <v>0</v>
      </c>
      <c r="DU544" s="2">
        <f t="shared" si="9045"/>
        <v>0</v>
      </c>
      <c r="DV544" s="2">
        <f t="shared" si="9045"/>
        <v>0</v>
      </c>
      <c r="DW544" s="2">
        <f t="shared" si="9045"/>
        <v>7.7699999999999991E-4</v>
      </c>
      <c r="DX544" s="2">
        <f t="shared" si="9045"/>
        <v>8.3999999999999995E-5</v>
      </c>
      <c r="DY544" s="2">
        <f t="shared" ref="DY544:EC544" si="9046">S544*$I544+AN544*$AD544+BI544*$AY544</f>
        <v>0</v>
      </c>
      <c r="DZ544" s="2">
        <f t="shared" si="9046"/>
        <v>0</v>
      </c>
      <c r="EA544" s="2">
        <f t="shared" si="9046"/>
        <v>0</v>
      </c>
      <c r="EB544" s="2">
        <f t="shared" si="9046"/>
        <v>0</v>
      </c>
      <c r="EC544" s="2">
        <f t="shared" si="9046"/>
        <v>0</v>
      </c>
      <c r="ED544" s="2">
        <f t="shared" ref="ED544:EE544" si="9047">(X544*$I544+AS544*$AD544+BN544*$AY544)/100</f>
        <v>0</v>
      </c>
      <c r="EE544" s="2">
        <f t="shared" si="9047"/>
        <v>0</v>
      </c>
      <c r="EF544" s="2"/>
      <c r="EG544" s="2">
        <f t="shared" si="8558"/>
        <v>0</v>
      </c>
      <c r="EH544" s="2">
        <f t="shared" si="8559"/>
        <v>0</v>
      </c>
      <c r="EI544" s="39">
        <f t="shared" si="8560"/>
        <v>3.8370622080000008</v>
      </c>
      <c r="EJ544" s="39">
        <f t="shared" ref="EJ544:EK544" si="9048">EJ$1*DQ544/1000000</f>
        <v>0</v>
      </c>
      <c r="EK544" s="39">
        <f t="shared" si="9048"/>
        <v>0</v>
      </c>
      <c r="EL544" s="39">
        <f t="shared" ref="EL544:EQ544" si="9049">EL$1*DS544</f>
        <v>0</v>
      </c>
      <c r="EM544" s="39">
        <f t="shared" si="9049"/>
        <v>0</v>
      </c>
      <c r="EN544" s="39">
        <f t="shared" si="9049"/>
        <v>0</v>
      </c>
      <c r="EO544" s="39">
        <f t="shared" si="9049"/>
        <v>0</v>
      </c>
      <c r="EP544" s="39">
        <f t="shared" si="9049"/>
        <v>10.189577999999999</v>
      </c>
      <c r="EQ544" s="39">
        <f t="shared" si="9049"/>
        <v>6.1000400159999986</v>
      </c>
      <c r="ER544" s="39">
        <f t="shared" ref="ER544:EV544" si="9050">ER$1*DY544/1000000</f>
        <v>0</v>
      </c>
      <c r="ES544" s="39">
        <f t="shared" si="9050"/>
        <v>0</v>
      </c>
      <c r="ET544" s="39">
        <f t="shared" si="9050"/>
        <v>0</v>
      </c>
      <c r="EU544" s="39">
        <f t="shared" si="9050"/>
        <v>0</v>
      </c>
      <c r="EV544" s="39">
        <f t="shared" si="9050"/>
        <v>0</v>
      </c>
      <c r="EW544" s="39">
        <f t="shared" ref="EW544:EX544" si="9051">EW$1*ED544</f>
        <v>0</v>
      </c>
      <c r="EX544" s="39">
        <f t="shared" si="9051"/>
        <v>0</v>
      </c>
      <c r="EY544" s="2"/>
      <c r="EZ544" s="39">
        <f t="shared" si="8565"/>
        <v>0</v>
      </c>
      <c r="FA544" s="39">
        <f t="shared" si="8566"/>
        <v>0</v>
      </c>
      <c r="FB544" s="2">
        <f t="shared" si="8567"/>
        <v>0</v>
      </c>
      <c r="FC544" s="2">
        <f t="shared" ref="FC544:FD544" si="9052">BV544*$BT544+CQ544*$CO544</f>
        <v>0</v>
      </c>
      <c r="FD544" s="2">
        <f t="shared" si="9052"/>
        <v>0</v>
      </c>
      <c r="FE544" s="2">
        <f t="shared" ref="FE544:FJ544" si="9053">(BX544*$BT544+CS544*$CO544)/100</f>
        <v>0</v>
      </c>
      <c r="FF544" s="2">
        <f t="shared" si="9053"/>
        <v>0</v>
      </c>
      <c r="FG544" s="2">
        <f t="shared" si="9053"/>
        <v>0</v>
      </c>
      <c r="FH544" s="2">
        <f t="shared" si="9053"/>
        <v>0</v>
      </c>
      <c r="FI544" s="2">
        <f t="shared" si="9053"/>
        <v>0</v>
      </c>
      <c r="FJ544" s="2">
        <f t="shared" si="9053"/>
        <v>0</v>
      </c>
      <c r="FK544" s="2">
        <f t="shared" ref="FK544:FO544" si="9054">CD544*$BT544+CY544*$CO544</f>
        <v>0</v>
      </c>
      <c r="FL544" s="2">
        <f t="shared" si="9054"/>
        <v>0</v>
      </c>
      <c r="FM544" s="2">
        <f t="shared" si="9054"/>
        <v>0</v>
      </c>
      <c r="FN544" s="2">
        <f t="shared" si="9054"/>
        <v>0</v>
      </c>
      <c r="FO544" s="2">
        <f t="shared" si="9054"/>
        <v>0</v>
      </c>
      <c r="FP544" s="2">
        <f t="shared" ref="FP544:FQ544" si="9055">(CI544*$BT544+DD544*$CO544)/100</f>
        <v>0</v>
      </c>
      <c r="FQ544" s="2">
        <f t="shared" si="9055"/>
        <v>0</v>
      </c>
      <c r="FR544" s="2"/>
      <c r="FS544" s="2">
        <f t="shared" si="8572"/>
        <v>0</v>
      </c>
      <c r="FT544" s="2">
        <f t="shared" si="8573"/>
        <v>0</v>
      </c>
      <c r="FU544" s="39">
        <f t="shared" si="8574"/>
        <v>0</v>
      </c>
      <c r="FV544" s="39">
        <f t="shared" ref="FV544:FW544" si="9056">FV$1*FC544/1000000</f>
        <v>0</v>
      </c>
      <c r="FW544" s="39">
        <f t="shared" si="9056"/>
        <v>0</v>
      </c>
      <c r="FX544" s="39">
        <f t="shared" ref="FX544:GC544" si="9057">FX$1*FE544</f>
        <v>0</v>
      </c>
      <c r="FY544" s="39">
        <f t="shared" si="9057"/>
        <v>0</v>
      </c>
      <c r="FZ544" s="39">
        <f t="shared" si="9057"/>
        <v>0</v>
      </c>
      <c r="GA544" s="39">
        <f t="shared" si="9057"/>
        <v>0</v>
      </c>
      <c r="GB544" s="39">
        <f t="shared" si="9057"/>
        <v>0</v>
      </c>
      <c r="GC544" s="39">
        <f t="shared" si="9057"/>
        <v>0</v>
      </c>
      <c r="GD544" s="39">
        <f t="shared" ref="GD544:GH544" si="9058">GD$1*FK544/1000000</f>
        <v>0</v>
      </c>
      <c r="GE544" s="39">
        <f t="shared" si="9058"/>
        <v>0</v>
      </c>
      <c r="GF544" s="39">
        <f t="shared" si="9058"/>
        <v>0</v>
      </c>
      <c r="GG544" s="39">
        <f t="shared" si="9058"/>
        <v>0</v>
      </c>
      <c r="GH544" s="39">
        <f t="shared" si="9058"/>
        <v>0</v>
      </c>
      <c r="GI544" s="39">
        <f t="shared" ref="GI544:GJ544" si="9059">GI$1*FP544</f>
        <v>0</v>
      </c>
      <c r="GJ544" s="39">
        <f t="shared" si="9059"/>
        <v>0</v>
      </c>
      <c r="GK544" s="2"/>
      <c r="GL544" s="39">
        <f t="shared" si="8579"/>
        <v>0</v>
      </c>
      <c r="GM544" s="39">
        <f t="shared" si="8580"/>
        <v>0</v>
      </c>
      <c r="GN544" s="2" t="s">
        <v>3</v>
      </c>
      <c r="GO544" s="2">
        <f t="shared" si="8581"/>
        <v>0.21</v>
      </c>
      <c r="GP544" s="2">
        <f t="shared" si="8582"/>
        <v>0.37</v>
      </c>
      <c r="GQ544" s="15">
        <f t="shared" si="8583"/>
        <v>0.77700000000000002</v>
      </c>
      <c r="GR544" s="15">
        <f t="shared" si="8584"/>
        <v>20.126680223999998</v>
      </c>
      <c r="GS544" s="15">
        <f t="shared" si="8585"/>
        <v>95.841334399999994</v>
      </c>
      <c r="GT544" s="2">
        <f t="shared" si="8586"/>
        <v>0</v>
      </c>
      <c r="GU544" s="2">
        <f t="shared" si="8587"/>
        <v>0</v>
      </c>
      <c r="GV544" s="2">
        <f t="shared" si="8588"/>
        <v>0.77699999999999991</v>
      </c>
      <c r="GW544" s="2">
        <f t="shared" si="8589"/>
        <v>0</v>
      </c>
      <c r="GX544" s="2"/>
      <c r="GY544" s="2"/>
      <c r="GZ544" s="2"/>
      <c r="HA544" s="2"/>
      <c r="HB544" s="2">
        <f t="shared" si="8590"/>
        <v>0</v>
      </c>
      <c r="HC544" s="2">
        <f t="shared" si="8591"/>
        <v>0</v>
      </c>
      <c r="HD544" s="2" t="s">
        <v>3</v>
      </c>
      <c r="HE544" s="2" t="s">
        <v>89</v>
      </c>
      <c r="HF544" s="2" t="s">
        <v>123</v>
      </c>
      <c r="HG544" s="2"/>
      <c r="HH544" s="2"/>
      <c r="HI544" s="2" t="s">
        <v>81</v>
      </c>
      <c r="HJ544" s="2" t="s">
        <v>3</v>
      </c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 t="s">
        <v>3</v>
      </c>
    </row>
    <row r="545" spans="1:268" ht="15.75" customHeight="1" x14ac:dyDescent="0.2">
      <c r="A545" s="16" t="s">
        <v>550</v>
      </c>
      <c r="B545" s="2" t="s">
        <v>99</v>
      </c>
      <c r="C545" s="2"/>
      <c r="D545" s="2"/>
      <c r="E545" s="2"/>
      <c r="F545" s="2" t="s">
        <v>79</v>
      </c>
      <c r="G545" s="2"/>
      <c r="H545" s="2"/>
      <c r="I545" s="2">
        <v>0</v>
      </c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>
        <v>0</v>
      </c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>
        <v>0.104</v>
      </c>
      <c r="AZ545" s="2">
        <v>0.28000000000000003</v>
      </c>
      <c r="BA545" s="2"/>
      <c r="BB545" s="2"/>
      <c r="BC545" s="2"/>
      <c r="BD545" s="2"/>
      <c r="BE545" s="2"/>
      <c r="BF545" s="2"/>
      <c r="BG545" s="2">
        <v>0.43</v>
      </c>
      <c r="BH545" s="2">
        <v>0.03</v>
      </c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>
        <v>0</v>
      </c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>
        <v>0</v>
      </c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 t="s">
        <v>81</v>
      </c>
      <c r="DK545" s="2" t="s">
        <v>81</v>
      </c>
      <c r="DL545" s="2">
        <f t="shared" si="8551"/>
        <v>0.43</v>
      </c>
      <c r="DM545" s="2">
        <f t="shared" si="8552"/>
        <v>3.0000000000000002E-2</v>
      </c>
      <c r="DN545" s="2" t="s">
        <v>126</v>
      </c>
      <c r="DO545" s="2" t="s">
        <v>3</v>
      </c>
      <c r="DP545" s="2">
        <f t="shared" si="8553"/>
        <v>2.9119999999999998E-4</v>
      </c>
      <c r="DQ545" s="2">
        <f t="shared" ref="DQ545:DR545" si="9060">K545*$I545+AF545*$AD545+BA545*$AY545</f>
        <v>0</v>
      </c>
      <c r="DR545" s="2">
        <f t="shared" si="9060"/>
        <v>0</v>
      </c>
      <c r="DS545" s="2">
        <f t="shared" ref="DS545:DX545" si="9061">(M545*$I545+AH545*$AD545+BC545*$AY545)/100</f>
        <v>0</v>
      </c>
      <c r="DT545" s="2">
        <f t="shared" si="9061"/>
        <v>0</v>
      </c>
      <c r="DU545" s="2">
        <f t="shared" si="9061"/>
        <v>0</v>
      </c>
      <c r="DV545" s="2">
        <f t="shared" si="9061"/>
        <v>0</v>
      </c>
      <c r="DW545" s="2">
        <f t="shared" si="9061"/>
        <v>4.4719999999999997E-4</v>
      </c>
      <c r="DX545" s="2">
        <f t="shared" si="9061"/>
        <v>3.1199999999999999E-5</v>
      </c>
      <c r="DY545" s="2">
        <f t="shared" ref="DY545:EC545" si="9062">S545*$I545+AN545*$AD545+BI545*$AY545</f>
        <v>0</v>
      </c>
      <c r="DZ545" s="2">
        <f t="shared" si="9062"/>
        <v>0</v>
      </c>
      <c r="EA545" s="2">
        <f t="shared" si="9062"/>
        <v>0</v>
      </c>
      <c r="EB545" s="2">
        <f t="shared" si="9062"/>
        <v>0</v>
      </c>
      <c r="EC545" s="2">
        <f t="shared" si="9062"/>
        <v>0</v>
      </c>
      <c r="ED545" s="2">
        <f t="shared" ref="ED545:EE545" si="9063">(X545*$I545+AS545*$AD545+BN545*$AY545)/100</f>
        <v>0</v>
      </c>
      <c r="EE545" s="2">
        <f t="shared" si="9063"/>
        <v>0</v>
      </c>
      <c r="EF545" s="2"/>
      <c r="EG545" s="2">
        <f t="shared" si="8558"/>
        <v>0</v>
      </c>
      <c r="EH545" s="2">
        <f t="shared" si="8559"/>
        <v>0</v>
      </c>
      <c r="EI545" s="39">
        <f t="shared" si="8560"/>
        <v>1.9002593791999998</v>
      </c>
      <c r="EJ545" s="39">
        <f t="shared" ref="EJ545:EK545" si="9064">EJ$1*DQ545/1000000</f>
        <v>0</v>
      </c>
      <c r="EK545" s="39">
        <f t="shared" si="9064"/>
        <v>0</v>
      </c>
      <c r="EL545" s="39">
        <f t="shared" ref="EL545:EQ545" si="9065">EL$1*DS545</f>
        <v>0</v>
      </c>
      <c r="EM545" s="39">
        <f t="shared" si="9065"/>
        <v>0</v>
      </c>
      <c r="EN545" s="39">
        <f t="shared" si="9065"/>
        <v>0</v>
      </c>
      <c r="EO545" s="39">
        <f t="shared" si="9065"/>
        <v>0</v>
      </c>
      <c r="EP545" s="39">
        <f t="shared" si="9065"/>
        <v>5.8645807999999997</v>
      </c>
      <c r="EQ545" s="39">
        <f t="shared" si="9065"/>
        <v>2.2657291487999998</v>
      </c>
      <c r="ER545" s="39">
        <f t="shared" ref="ER545:EV545" si="9066">ER$1*DY545/1000000</f>
        <v>0</v>
      </c>
      <c r="ES545" s="39">
        <f t="shared" si="9066"/>
        <v>0</v>
      </c>
      <c r="ET545" s="39">
        <f t="shared" si="9066"/>
        <v>0</v>
      </c>
      <c r="EU545" s="39">
        <f t="shared" si="9066"/>
        <v>0</v>
      </c>
      <c r="EV545" s="39">
        <f t="shared" si="9066"/>
        <v>0</v>
      </c>
      <c r="EW545" s="39">
        <f t="shared" ref="EW545:EX545" si="9067">EW$1*ED545</f>
        <v>0</v>
      </c>
      <c r="EX545" s="39">
        <f t="shared" si="9067"/>
        <v>0</v>
      </c>
      <c r="EY545" s="2"/>
      <c r="EZ545" s="39">
        <f t="shared" si="8565"/>
        <v>0</v>
      </c>
      <c r="FA545" s="39">
        <f t="shared" si="8566"/>
        <v>0</v>
      </c>
      <c r="FB545" s="2">
        <f t="shared" si="8567"/>
        <v>0</v>
      </c>
      <c r="FC545" s="2">
        <f t="shared" ref="FC545:FD545" si="9068">BV545*$BT545+CQ545*$CO545</f>
        <v>0</v>
      </c>
      <c r="FD545" s="2">
        <f t="shared" si="9068"/>
        <v>0</v>
      </c>
      <c r="FE545" s="2">
        <f t="shared" ref="FE545:FJ545" si="9069">(BX545*$BT545+CS545*$CO545)/100</f>
        <v>0</v>
      </c>
      <c r="FF545" s="2">
        <f t="shared" si="9069"/>
        <v>0</v>
      </c>
      <c r="FG545" s="2">
        <f t="shared" si="9069"/>
        <v>0</v>
      </c>
      <c r="FH545" s="2">
        <f t="shared" si="9069"/>
        <v>0</v>
      </c>
      <c r="FI545" s="2">
        <f t="shared" si="9069"/>
        <v>0</v>
      </c>
      <c r="FJ545" s="2">
        <f t="shared" si="9069"/>
        <v>0</v>
      </c>
      <c r="FK545" s="2">
        <f t="shared" ref="FK545:FO545" si="9070">CD545*$BT545+CY545*$CO545</f>
        <v>0</v>
      </c>
      <c r="FL545" s="2">
        <f t="shared" si="9070"/>
        <v>0</v>
      </c>
      <c r="FM545" s="2">
        <f t="shared" si="9070"/>
        <v>0</v>
      </c>
      <c r="FN545" s="2">
        <f t="shared" si="9070"/>
        <v>0</v>
      </c>
      <c r="FO545" s="2">
        <f t="shared" si="9070"/>
        <v>0</v>
      </c>
      <c r="FP545" s="2">
        <f t="shared" ref="FP545:FQ545" si="9071">(CI545*$BT545+DD545*$CO545)/100</f>
        <v>0</v>
      </c>
      <c r="FQ545" s="2">
        <f t="shared" si="9071"/>
        <v>0</v>
      </c>
      <c r="FR545" s="2"/>
      <c r="FS545" s="2">
        <f t="shared" si="8572"/>
        <v>0</v>
      </c>
      <c r="FT545" s="2">
        <f t="shared" si="8573"/>
        <v>0</v>
      </c>
      <c r="FU545" s="39">
        <f t="shared" si="8574"/>
        <v>0</v>
      </c>
      <c r="FV545" s="39">
        <f t="shared" ref="FV545:FW545" si="9072">FV$1*FC545/1000000</f>
        <v>0</v>
      </c>
      <c r="FW545" s="39">
        <f t="shared" si="9072"/>
        <v>0</v>
      </c>
      <c r="FX545" s="39">
        <f t="shared" ref="FX545:GC545" si="9073">FX$1*FE545</f>
        <v>0</v>
      </c>
      <c r="FY545" s="39">
        <f t="shared" si="9073"/>
        <v>0</v>
      </c>
      <c r="FZ545" s="39">
        <f t="shared" si="9073"/>
        <v>0</v>
      </c>
      <c r="GA545" s="39">
        <f t="shared" si="9073"/>
        <v>0</v>
      </c>
      <c r="GB545" s="39">
        <f t="shared" si="9073"/>
        <v>0</v>
      </c>
      <c r="GC545" s="39">
        <f t="shared" si="9073"/>
        <v>0</v>
      </c>
      <c r="GD545" s="39">
        <f t="shared" ref="GD545:GH545" si="9074">GD$1*FK545/1000000</f>
        <v>0</v>
      </c>
      <c r="GE545" s="39">
        <f t="shared" si="9074"/>
        <v>0</v>
      </c>
      <c r="GF545" s="39">
        <f t="shared" si="9074"/>
        <v>0</v>
      </c>
      <c r="GG545" s="39">
        <f t="shared" si="9074"/>
        <v>0</v>
      </c>
      <c r="GH545" s="39">
        <f t="shared" si="9074"/>
        <v>0</v>
      </c>
      <c r="GI545" s="39">
        <f t="shared" ref="GI545:GJ545" si="9075">GI$1*FP545</f>
        <v>0</v>
      </c>
      <c r="GJ545" s="39">
        <f t="shared" si="9075"/>
        <v>0</v>
      </c>
      <c r="GK545" s="2"/>
      <c r="GL545" s="39">
        <f t="shared" si="8579"/>
        <v>0</v>
      </c>
      <c r="GM545" s="39">
        <f t="shared" si="8580"/>
        <v>0</v>
      </c>
      <c r="GN545" s="2" t="s">
        <v>3</v>
      </c>
      <c r="GO545" s="2">
        <f t="shared" si="8581"/>
        <v>0.104</v>
      </c>
      <c r="GP545" s="2">
        <f t="shared" si="8582"/>
        <v>0.43</v>
      </c>
      <c r="GQ545" s="15">
        <f t="shared" si="8583"/>
        <v>0.44719999999999999</v>
      </c>
      <c r="GR545" s="15">
        <f t="shared" si="8584"/>
        <v>10.030569327999999</v>
      </c>
      <c r="GS545" s="15">
        <f t="shared" si="8585"/>
        <v>96.447781999999989</v>
      </c>
      <c r="GT545" s="2">
        <f t="shared" si="8586"/>
        <v>0</v>
      </c>
      <c r="GU545" s="2">
        <f t="shared" si="8587"/>
        <v>0</v>
      </c>
      <c r="GV545" s="2">
        <f t="shared" si="8588"/>
        <v>0.44719999999999999</v>
      </c>
      <c r="GW545" s="2">
        <f t="shared" si="8589"/>
        <v>0</v>
      </c>
      <c r="GX545" s="2"/>
      <c r="GY545" s="2"/>
      <c r="GZ545" s="2"/>
      <c r="HA545" s="2"/>
      <c r="HB545" s="2">
        <f t="shared" si="8590"/>
        <v>0</v>
      </c>
      <c r="HC545" s="2">
        <f t="shared" si="8591"/>
        <v>0</v>
      </c>
      <c r="HD545" s="2" t="s">
        <v>3</v>
      </c>
      <c r="HE545" s="2" t="s">
        <v>89</v>
      </c>
      <c r="HF545" s="2" t="s">
        <v>123</v>
      </c>
      <c r="HG545" s="2"/>
      <c r="HH545" s="2"/>
      <c r="HI545" s="2" t="s">
        <v>81</v>
      </c>
      <c r="HJ545" s="2" t="s">
        <v>3</v>
      </c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 t="s">
        <v>3</v>
      </c>
    </row>
    <row r="546" spans="1:268" ht="15.75" customHeight="1" x14ac:dyDescent="0.2">
      <c r="A546" s="16" t="s">
        <v>551</v>
      </c>
      <c r="B546" s="2" t="s">
        <v>99</v>
      </c>
      <c r="C546" s="2"/>
      <c r="D546" s="2"/>
      <c r="E546" s="2"/>
      <c r="F546" s="2" t="s">
        <v>79</v>
      </c>
      <c r="G546" s="2"/>
      <c r="H546" s="2"/>
      <c r="I546" s="2">
        <v>0</v>
      </c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>
        <v>0</v>
      </c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>
        <v>0.13700000000000001</v>
      </c>
      <c r="AZ546" s="2">
        <v>0.28999999999999998</v>
      </c>
      <c r="BA546" s="2"/>
      <c r="BB546" s="2"/>
      <c r="BC546" s="2"/>
      <c r="BD546" s="2"/>
      <c r="BE546" s="2"/>
      <c r="BF546" s="2"/>
      <c r="BG546" s="2">
        <v>0.24</v>
      </c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>
        <v>0</v>
      </c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>
        <v>0</v>
      </c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 t="s">
        <v>81</v>
      </c>
      <c r="DK546" s="2"/>
      <c r="DL546" s="2">
        <f t="shared" si="8551"/>
        <v>0.24</v>
      </c>
      <c r="DM546" s="2">
        <f t="shared" si="8552"/>
        <v>0</v>
      </c>
      <c r="DN546" s="2" t="s">
        <v>126</v>
      </c>
      <c r="DO546" s="2" t="s">
        <v>3</v>
      </c>
      <c r="DP546" s="2">
        <f t="shared" si="8553"/>
        <v>3.9730000000000001E-4</v>
      </c>
      <c r="DQ546" s="2">
        <f t="shared" ref="DQ546:DR546" si="9076">K546*$I546+AF546*$AD546+BA546*$AY546</f>
        <v>0</v>
      </c>
      <c r="DR546" s="2">
        <f t="shared" si="9076"/>
        <v>0</v>
      </c>
      <c r="DS546" s="2">
        <f t="shared" ref="DS546:DX546" si="9077">(M546*$I546+AH546*$AD546+BC546*$AY546)/100</f>
        <v>0</v>
      </c>
      <c r="DT546" s="2">
        <f t="shared" si="9077"/>
        <v>0</v>
      </c>
      <c r="DU546" s="2">
        <f t="shared" si="9077"/>
        <v>0</v>
      </c>
      <c r="DV546" s="2">
        <f t="shared" si="9077"/>
        <v>0</v>
      </c>
      <c r="DW546" s="2">
        <f t="shared" si="9077"/>
        <v>3.2879999999999997E-4</v>
      </c>
      <c r="DX546" s="2">
        <f t="shared" si="9077"/>
        <v>0</v>
      </c>
      <c r="DY546" s="2">
        <f t="shared" ref="DY546:EC546" si="9078">S546*$I546+AN546*$AD546+BI546*$AY546</f>
        <v>0</v>
      </c>
      <c r="DZ546" s="2">
        <f t="shared" si="9078"/>
        <v>0</v>
      </c>
      <c r="EA546" s="2">
        <f t="shared" si="9078"/>
        <v>0</v>
      </c>
      <c r="EB546" s="2">
        <f t="shared" si="9078"/>
        <v>0</v>
      </c>
      <c r="EC546" s="2">
        <f t="shared" si="9078"/>
        <v>0</v>
      </c>
      <c r="ED546" s="2">
        <f t="shared" ref="ED546:EE546" si="9079">(X546*$I546+AS546*$AD546+BN546*$AY546)/100</f>
        <v>0</v>
      </c>
      <c r="EE546" s="2">
        <f t="shared" si="9079"/>
        <v>0</v>
      </c>
      <c r="EF546" s="2"/>
      <c r="EG546" s="2">
        <f t="shared" si="8558"/>
        <v>0</v>
      </c>
      <c r="EH546" s="2">
        <f t="shared" si="8559"/>
        <v>0</v>
      </c>
      <c r="EI546" s="39">
        <f t="shared" si="8560"/>
        <v>2.5926272367999998</v>
      </c>
      <c r="EJ546" s="39">
        <f t="shared" ref="EJ546:EK546" si="9080">EJ$1*DQ546/1000000</f>
        <v>0</v>
      </c>
      <c r="EK546" s="39">
        <f t="shared" si="9080"/>
        <v>0</v>
      </c>
      <c r="EL546" s="39">
        <f t="shared" ref="EL546:EQ546" si="9081">EL$1*DS546</f>
        <v>0</v>
      </c>
      <c r="EM546" s="39">
        <f t="shared" si="9081"/>
        <v>0</v>
      </c>
      <c r="EN546" s="39">
        <f t="shared" si="9081"/>
        <v>0</v>
      </c>
      <c r="EO546" s="39">
        <f t="shared" si="9081"/>
        <v>0</v>
      </c>
      <c r="EP546" s="39">
        <f t="shared" si="9081"/>
        <v>4.3118831999999996</v>
      </c>
      <c r="EQ546" s="39">
        <f t="shared" si="9081"/>
        <v>0</v>
      </c>
      <c r="ER546" s="39">
        <f t="shared" ref="ER546:EV546" si="9082">ER$1*DY546/1000000</f>
        <v>0</v>
      </c>
      <c r="ES546" s="39">
        <f t="shared" si="9082"/>
        <v>0</v>
      </c>
      <c r="ET546" s="39">
        <f t="shared" si="9082"/>
        <v>0</v>
      </c>
      <c r="EU546" s="39">
        <f t="shared" si="9082"/>
        <v>0</v>
      </c>
      <c r="EV546" s="39">
        <f t="shared" si="9082"/>
        <v>0</v>
      </c>
      <c r="EW546" s="39">
        <f t="shared" ref="EW546:EX546" si="9083">EW$1*ED546</f>
        <v>0</v>
      </c>
      <c r="EX546" s="39">
        <f t="shared" si="9083"/>
        <v>0</v>
      </c>
      <c r="EY546" s="2"/>
      <c r="EZ546" s="39">
        <f t="shared" si="8565"/>
        <v>0</v>
      </c>
      <c r="FA546" s="39">
        <f t="shared" si="8566"/>
        <v>0</v>
      </c>
      <c r="FB546" s="2">
        <f t="shared" si="8567"/>
        <v>0</v>
      </c>
      <c r="FC546" s="2">
        <f t="shared" ref="FC546:FD546" si="9084">BV546*$BT546+CQ546*$CO546</f>
        <v>0</v>
      </c>
      <c r="FD546" s="2">
        <f t="shared" si="9084"/>
        <v>0</v>
      </c>
      <c r="FE546" s="2">
        <f t="shared" ref="FE546:FJ546" si="9085">(BX546*$BT546+CS546*$CO546)/100</f>
        <v>0</v>
      </c>
      <c r="FF546" s="2">
        <f t="shared" si="9085"/>
        <v>0</v>
      </c>
      <c r="FG546" s="2">
        <f t="shared" si="9085"/>
        <v>0</v>
      </c>
      <c r="FH546" s="2">
        <f t="shared" si="9085"/>
        <v>0</v>
      </c>
      <c r="FI546" s="2">
        <f t="shared" si="9085"/>
        <v>0</v>
      </c>
      <c r="FJ546" s="2">
        <f t="shared" si="9085"/>
        <v>0</v>
      </c>
      <c r="FK546" s="2">
        <f t="shared" ref="FK546:FO546" si="9086">CD546*$BT546+CY546*$CO546</f>
        <v>0</v>
      </c>
      <c r="FL546" s="2">
        <f t="shared" si="9086"/>
        <v>0</v>
      </c>
      <c r="FM546" s="2">
        <f t="shared" si="9086"/>
        <v>0</v>
      </c>
      <c r="FN546" s="2">
        <f t="shared" si="9086"/>
        <v>0</v>
      </c>
      <c r="FO546" s="2">
        <f t="shared" si="9086"/>
        <v>0</v>
      </c>
      <c r="FP546" s="2">
        <f t="shared" ref="FP546:FQ546" si="9087">(CI546*$BT546+DD546*$CO546)/100</f>
        <v>0</v>
      </c>
      <c r="FQ546" s="2">
        <f t="shared" si="9087"/>
        <v>0</v>
      </c>
      <c r="FR546" s="2"/>
      <c r="FS546" s="2">
        <f t="shared" si="8572"/>
        <v>0</v>
      </c>
      <c r="FT546" s="2">
        <f t="shared" si="8573"/>
        <v>0</v>
      </c>
      <c r="FU546" s="39">
        <f t="shared" si="8574"/>
        <v>0</v>
      </c>
      <c r="FV546" s="39">
        <f t="shared" ref="FV546:FW546" si="9088">FV$1*FC546/1000000</f>
        <v>0</v>
      </c>
      <c r="FW546" s="39">
        <f t="shared" si="9088"/>
        <v>0</v>
      </c>
      <c r="FX546" s="39">
        <f t="shared" ref="FX546:GC546" si="9089">FX$1*FE546</f>
        <v>0</v>
      </c>
      <c r="FY546" s="39">
        <f t="shared" si="9089"/>
        <v>0</v>
      </c>
      <c r="FZ546" s="39">
        <f t="shared" si="9089"/>
        <v>0</v>
      </c>
      <c r="GA546" s="39">
        <f t="shared" si="9089"/>
        <v>0</v>
      </c>
      <c r="GB546" s="39">
        <f t="shared" si="9089"/>
        <v>0</v>
      </c>
      <c r="GC546" s="39">
        <f t="shared" si="9089"/>
        <v>0</v>
      </c>
      <c r="GD546" s="39">
        <f t="shared" ref="GD546:GH546" si="9090">GD$1*FK546/1000000</f>
        <v>0</v>
      </c>
      <c r="GE546" s="39">
        <f t="shared" si="9090"/>
        <v>0</v>
      </c>
      <c r="GF546" s="39">
        <f t="shared" si="9090"/>
        <v>0</v>
      </c>
      <c r="GG546" s="39">
        <f t="shared" si="9090"/>
        <v>0</v>
      </c>
      <c r="GH546" s="39">
        <f t="shared" si="9090"/>
        <v>0</v>
      </c>
      <c r="GI546" s="39">
        <f t="shared" ref="GI546:GJ546" si="9091">GI$1*FP546</f>
        <v>0</v>
      </c>
      <c r="GJ546" s="39">
        <f t="shared" si="9091"/>
        <v>0</v>
      </c>
      <c r="GK546" s="2"/>
      <c r="GL546" s="39">
        <f t="shared" si="8579"/>
        <v>0</v>
      </c>
      <c r="GM546" s="39">
        <f t="shared" si="8580"/>
        <v>0</v>
      </c>
      <c r="GN546" s="2" t="s">
        <v>3</v>
      </c>
      <c r="GO546" s="2">
        <f t="shared" si="8581"/>
        <v>0.13700000000000001</v>
      </c>
      <c r="GP546" s="2">
        <f t="shared" si="8582"/>
        <v>0.24</v>
      </c>
      <c r="GQ546" s="15">
        <f t="shared" si="8583"/>
        <v>0.32879999999999998</v>
      </c>
      <c r="GR546" s="15">
        <f t="shared" si="8584"/>
        <v>6.904510436799999</v>
      </c>
      <c r="GS546" s="15">
        <f t="shared" si="8585"/>
        <v>50.39788639999999</v>
      </c>
      <c r="GT546" s="2">
        <f t="shared" si="8586"/>
        <v>0</v>
      </c>
      <c r="GU546" s="2">
        <f t="shared" si="8587"/>
        <v>0</v>
      </c>
      <c r="GV546" s="2">
        <f t="shared" si="8588"/>
        <v>0.32880000000000004</v>
      </c>
      <c r="GW546" s="2">
        <f t="shared" si="8589"/>
        <v>0</v>
      </c>
      <c r="GX546" s="2"/>
      <c r="GY546" s="2"/>
      <c r="GZ546" s="2"/>
      <c r="HA546" s="2"/>
      <c r="HB546" s="2">
        <f t="shared" si="8590"/>
        <v>0</v>
      </c>
      <c r="HC546" s="2">
        <f t="shared" si="8591"/>
        <v>0</v>
      </c>
      <c r="HD546" s="2" t="s">
        <v>3</v>
      </c>
      <c r="HE546" s="2" t="s">
        <v>89</v>
      </c>
      <c r="HF546" s="2" t="s">
        <v>123</v>
      </c>
      <c r="HG546" s="2"/>
      <c r="HH546" s="2"/>
      <c r="HI546" s="2" t="s">
        <v>81</v>
      </c>
      <c r="HJ546" s="2" t="s">
        <v>3</v>
      </c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 t="s">
        <v>3</v>
      </c>
    </row>
    <row r="547" spans="1:268" ht="15.75" customHeight="1" x14ac:dyDescent="0.2">
      <c r="A547" s="16" t="s">
        <v>552</v>
      </c>
      <c r="B547" s="2" t="s">
        <v>99</v>
      </c>
      <c r="C547" s="2"/>
      <c r="D547" s="2"/>
      <c r="E547" s="2"/>
      <c r="F547" s="2" t="s">
        <v>79</v>
      </c>
      <c r="G547" s="2"/>
      <c r="H547" s="2"/>
      <c r="I547" s="2">
        <v>0</v>
      </c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>
        <v>0</v>
      </c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>
        <v>0.11600000000000001</v>
      </c>
      <c r="AZ547" s="2">
        <v>0.33</v>
      </c>
      <c r="BA547" s="2"/>
      <c r="BB547" s="2"/>
      <c r="BC547" s="2"/>
      <c r="BD547" s="2"/>
      <c r="BE547" s="2"/>
      <c r="BF547" s="2"/>
      <c r="BG547" s="2">
        <v>0.6</v>
      </c>
      <c r="BH547" s="2">
        <v>0.03</v>
      </c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>
        <v>0</v>
      </c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>
        <v>0</v>
      </c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 t="s">
        <v>81</v>
      </c>
      <c r="DK547" s="2" t="s">
        <v>81</v>
      </c>
      <c r="DL547" s="2">
        <f t="shared" si="8551"/>
        <v>0.6</v>
      </c>
      <c r="DM547" s="2">
        <f t="shared" si="8552"/>
        <v>0.03</v>
      </c>
      <c r="DN547" s="2" t="s">
        <v>126</v>
      </c>
      <c r="DO547" s="2" t="s">
        <v>3</v>
      </c>
      <c r="DP547" s="2">
        <f t="shared" si="8553"/>
        <v>3.8280000000000003E-4</v>
      </c>
      <c r="DQ547" s="2">
        <f t="shared" ref="DQ547:DR547" si="9092">K547*$I547+AF547*$AD547+BA547*$AY547</f>
        <v>0</v>
      </c>
      <c r="DR547" s="2">
        <f t="shared" si="9092"/>
        <v>0</v>
      </c>
      <c r="DS547" s="2">
        <f t="shared" ref="DS547:DX547" si="9093">(M547*$I547+AH547*$AD547+BC547*$AY547)/100</f>
        <v>0</v>
      </c>
      <c r="DT547" s="2">
        <f t="shared" si="9093"/>
        <v>0</v>
      </c>
      <c r="DU547" s="2">
        <f t="shared" si="9093"/>
        <v>0</v>
      </c>
      <c r="DV547" s="2">
        <f t="shared" si="9093"/>
        <v>0</v>
      </c>
      <c r="DW547" s="2">
        <f t="shared" si="9093"/>
        <v>6.96E-4</v>
      </c>
      <c r="DX547" s="2">
        <f t="shared" si="9093"/>
        <v>3.4799999999999999E-5</v>
      </c>
      <c r="DY547" s="2">
        <f t="shared" ref="DY547:EC547" si="9094">S547*$I547+AN547*$AD547+BI547*$AY547</f>
        <v>0</v>
      </c>
      <c r="DZ547" s="2">
        <f t="shared" si="9094"/>
        <v>0</v>
      </c>
      <c r="EA547" s="2">
        <f t="shared" si="9094"/>
        <v>0</v>
      </c>
      <c r="EB547" s="2">
        <f t="shared" si="9094"/>
        <v>0</v>
      </c>
      <c r="EC547" s="2">
        <f t="shared" si="9094"/>
        <v>0</v>
      </c>
      <c r="ED547" s="2">
        <f t="shared" ref="ED547:EE547" si="9095">(X547*$I547+AS547*$AD547+BN547*$AY547)/100</f>
        <v>0</v>
      </c>
      <c r="EE547" s="2">
        <f t="shared" si="9095"/>
        <v>0</v>
      </c>
      <c r="EF547" s="2"/>
      <c r="EG547" s="2">
        <f t="shared" si="8558"/>
        <v>0</v>
      </c>
      <c r="EH547" s="2">
        <f t="shared" si="8559"/>
        <v>0</v>
      </c>
      <c r="EI547" s="39">
        <f t="shared" si="8560"/>
        <v>2.4980058048</v>
      </c>
      <c r="EJ547" s="39">
        <f t="shared" ref="EJ547:EK547" si="9096">EJ$1*DQ547/1000000</f>
        <v>0</v>
      </c>
      <c r="EK547" s="39">
        <f t="shared" si="9096"/>
        <v>0</v>
      </c>
      <c r="EL547" s="39">
        <f t="shared" ref="EL547:EQ547" si="9097">EL$1*DS547</f>
        <v>0</v>
      </c>
      <c r="EM547" s="39">
        <f t="shared" si="9097"/>
        <v>0</v>
      </c>
      <c r="EN547" s="39">
        <f t="shared" si="9097"/>
        <v>0</v>
      </c>
      <c r="EO547" s="39">
        <f t="shared" si="9097"/>
        <v>0</v>
      </c>
      <c r="EP547" s="39">
        <f t="shared" si="9097"/>
        <v>9.1273440000000008</v>
      </c>
      <c r="EQ547" s="39">
        <f t="shared" si="9097"/>
        <v>2.5271594351999997</v>
      </c>
      <c r="ER547" s="39">
        <f t="shared" ref="ER547:EV547" si="9098">ER$1*DY547/1000000</f>
        <v>0</v>
      </c>
      <c r="ES547" s="39">
        <f t="shared" si="9098"/>
        <v>0</v>
      </c>
      <c r="ET547" s="39">
        <f t="shared" si="9098"/>
        <v>0</v>
      </c>
      <c r="EU547" s="39">
        <f t="shared" si="9098"/>
        <v>0</v>
      </c>
      <c r="EV547" s="39">
        <f t="shared" si="9098"/>
        <v>0</v>
      </c>
      <c r="EW547" s="39">
        <f t="shared" ref="EW547:EX547" si="9099">EW$1*ED547</f>
        <v>0</v>
      </c>
      <c r="EX547" s="39">
        <f t="shared" si="9099"/>
        <v>0</v>
      </c>
      <c r="EY547" s="2"/>
      <c r="EZ547" s="39">
        <f t="shared" si="8565"/>
        <v>0</v>
      </c>
      <c r="FA547" s="39">
        <f t="shared" si="8566"/>
        <v>0</v>
      </c>
      <c r="FB547" s="2">
        <f t="shared" si="8567"/>
        <v>0</v>
      </c>
      <c r="FC547" s="2">
        <f t="shared" ref="FC547:FD547" si="9100">BV547*$BT547+CQ547*$CO547</f>
        <v>0</v>
      </c>
      <c r="FD547" s="2">
        <f t="shared" si="9100"/>
        <v>0</v>
      </c>
      <c r="FE547" s="2">
        <f t="shared" ref="FE547:FJ547" si="9101">(BX547*$BT547+CS547*$CO547)/100</f>
        <v>0</v>
      </c>
      <c r="FF547" s="2">
        <f t="shared" si="9101"/>
        <v>0</v>
      </c>
      <c r="FG547" s="2">
        <f t="shared" si="9101"/>
        <v>0</v>
      </c>
      <c r="FH547" s="2">
        <f t="shared" si="9101"/>
        <v>0</v>
      </c>
      <c r="FI547" s="2">
        <f t="shared" si="9101"/>
        <v>0</v>
      </c>
      <c r="FJ547" s="2">
        <f t="shared" si="9101"/>
        <v>0</v>
      </c>
      <c r="FK547" s="2">
        <f t="shared" ref="FK547:FO547" si="9102">CD547*$BT547+CY547*$CO547</f>
        <v>0</v>
      </c>
      <c r="FL547" s="2">
        <f t="shared" si="9102"/>
        <v>0</v>
      </c>
      <c r="FM547" s="2">
        <f t="shared" si="9102"/>
        <v>0</v>
      </c>
      <c r="FN547" s="2">
        <f t="shared" si="9102"/>
        <v>0</v>
      </c>
      <c r="FO547" s="2">
        <f t="shared" si="9102"/>
        <v>0</v>
      </c>
      <c r="FP547" s="2">
        <f t="shared" ref="FP547:FQ547" si="9103">(CI547*$BT547+DD547*$CO547)/100</f>
        <v>0</v>
      </c>
      <c r="FQ547" s="2">
        <f t="shared" si="9103"/>
        <v>0</v>
      </c>
      <c r="FR547" s="2"/>
      <c r="FS547" s="2">
        <f t="shared" si="8572"/>
        <v>0</v>
      </c>
      <c r="FT547" s="2">
        <f t="shared" si="8573"/>
        <v>0</v>
      </c>
      <c r="FU547" s="39">
        <f t="shared" si="8574"/>
        <v>0</v>
      </c>
      <c r="FV547" s="39">
        <f t="shared" ref="FV547:FW547" si="9104">FV$1*FC547/1000000</f>
        <v>0</v>
      </c>
      <c r="FW547" s="39">
        <f t="shared" si="9104"/>
        <v>0</v>
      </c>
      <c r="FX547" s="39">
        <f t="shared" ref="FX547:GC547" si="9105">FX$1*FE547</f>
        <v>0</v>
      </c>
      <c r="FY547" s="39">
        <f t="shared" si="9105"/>
        <v>0</v>
      </c>
      <c r="FZ547" s="39">
        <f t="shared" si="9105"/>
        <v>0</v>
      </c>
      <c r="GA547" s="39">
        <f t="shared" si="9105"/>
        <v>0</v>
      </c>
      <c r="GB547" s="39">
        <f t="shared" si="9105"/>
        <v>0</v>
      </c>
      <c r="GC547" s="39">
        <f t="shared" si="9105"/>
        <v>0</v>
      </c>
      <c r="GD547" s="39">
        <f t="shared" ref="GD547:GH547" si="9106">GD$1*FK547/1000000</f>
        <v>0</v>
      </c>
      <c r="GE547" s="39">
        <f t="shared" si="9106"/>
        <v>0</v>
      </c>
      <c r="GF547" s="39">
        <f t="shared" si="9106"/>
        <v>0</v>
      </c>
      <c r="GG547" s="39">
        <f t="shared" si="9106"/>
        <v>0</v>
      </c>
      <c r="GH547" s="39">
        <f t="shared" si="9106"/>
        <v>0</v>
      </c>
      <c r="GI547" s="39">
        <f t="shared" ref="GI547:GJ547" si="9107">GI$1*FP547</f>
        <v>0</v>
      </c>
      <c r="GJ547" s="39">
        <f t="shared" si="9107"/>
        <v>0</v>
      </c>
      <c r="GK547" s="2"/>
      <c r="GL547" s="39">
        <f t="shared" si="8579"/>
        <v>0</v>
      </c>
      <c r="GM547" s="39">
        <f t="shared" si="8580"/>
        <v>0</v>
      </c>
      <c r="GN547" s="2" t="s">
        <v>3</v>
      </c>
      <c r="GO547" s="2">
        <f t="shared" si="8581"/>
        <v>0.11600000000000001</v>
      </c>
      <c r="GP547" s="2">
        <f t="shared" si="8582"/>
        <v>0.6</v>
      </c>
      <c r="GQ547" s="15">
        <f t="shared" si="8583"/>
        <v>0.69599999999999995</v>
      </c>
      <c r="GR547" s="15">
        <f t="shared" si="8584"/>
        <v>14.152509240000001</v>
      </c>
      <c r="GS547" s="15">
        <f t="shared" si="8585"/>
        <v>122.00439</v>
      </c>
      <c r="GT547" s="2">
        <f t="shared" si="8586"/>
        <v>0</v>
      </c>
      <c r="GU547" s="2">
        <f t="shared" si="8587"/>
        <v>0</v>
      </c>
      <c r="GV547" s="2">
        <f t="shared" si="8588"/>
        <v>0.69599999999999995</v>
      </c>
      <c r="GW547" s="2">
        <f t="shared" si="8589"/>
        <v>0</v>
      </c>
      <c r="GX547" s="2"/>
      <c r="GY547" s="2"/>
      <c r="GZ547" s="2"/>
      <c r="HA547" s="2"/>
      <c r="HB547" s="2">
        <f t="shared" si="8590"/>
        <v>0</v>
      </c>
      <c r="HC547" s="2">
        <f t="shared" si="8591"/>
        <v>0</v>
      </c>
      <c r="HD547" s="2" t="s">
        <v>3</v>
      </c>
      <c r="HE547" s="2" t="s">
        <v>89</v>
      </c>
      <c r="HF547" s="2" t="s">
        <v>123</v>
      </c>
      <c r="HG547" s="2"/>
      <c r="HH547" s="2"/>
      <c r="HI547" s="2" t="s">
        <v>81</v>
      </c>
      <c r="HJ547" s="2" t="s">
        <v>3</v>
      </c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 t="s">
        <v>3</v>
      </c>
    </row>
    <row r="548" spans="1:268" ht="15.75" customHeight="1" x14ac:dyDescent="0.2">
      <c r="A548" s="16" t="s">
        <v>1258</v>
      </c>
      <c r="B548" s="2" t="s">
        <v>99</v>
      </c>
      <c r="C548" s="2"/>
      <c r="D548" s="2"/>
      <c r="E548" s="2"/>
      <c r="F548" s="2" t="s">
        <v>1259</v>
      </c>
      <c r="G548" s="2"/>
      <c r="H548" s="2"/>
      <c r="I548" s="2">
        <v>0</v>
      </c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>
        <v>0</v>
      </c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>
        <v>1.052</v>
      </c>
      <c r="AZ548" s="2">
        <v>0.42</v>
      </c>
      <c r="BA548" s="2"/>
      <c r="BB548" s="2"/>
      <c r="BC548" s="2"/>
      <c r="BD548" s="2"/>
      <c r="BE548" s="2"/>
      <c r="BF548" s="2"/>
      <c r="BG548" s="2">
        <v>0.49</v>
      </c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>
        <v>0</v>
      </c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>
        <v>0</v>
      </c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>
        <f t="shared" si="8551"/>
        <v>0.49000000000000005</v>
      </c>
      <c r="DM548" s="2">
        <f t="shared" si="8552"/>
        <v>0</v>
      </c>
      <c r="DN548" s="2" t="s">
        <v>1260</v>
      </c>
      <c r="DO548" s="2" t="s">
        <v>3</v>
      </c>
      <c r="DP548" s="2">
        <f t="shared" si="8553"/>
        <v>4.4184000000000003E-3</v>
      </c>
      <c r="DQ548" s="2">
        <f t="shared" ref="DQ548:DR548" si="9108">K548*$I548+AF548*$AD548+BA548*$AY548</f>
        <v>0</v>
      </c>
      <c r="DR548" s="2">
        <f t="shared" si="9108"/>
        <v>0</v>
      </c>
      <c r="DS548" s="2">
        <f t="shared" ref="DS548:DX548" si="9109">(M548*$I548+AH548*$AD548+BC548*$AY548)/100</f>
        <v>0</v>
      </c>
      <c r="DT548" s="2">
        <f t="shared" si="9109"/>
        <v>0</v>
      </c>
      <c r="DU548" s="2">
        <f t="shared" si="9109"/>
        <v>0</v>
      </c>
      <c r="DV548" s="2">
        <f t="shared" si="9109"/>
        <v>0</v>
      </c>
      <c r="DW548" s="2">
        <f t="shared" si="9109"/>
        <v>5.1548000000000002E-3</v>
      </c>
      <c r="DX548" s="2">
        <f t="shared" si="9109"/>
        <v>0</v>
      </c>
      <c r="DY548" s="2">
        <f t="shared" ref="DY548:EC548" si="9110">S548*$I548+AN548*$AD548+BI548*$AY548</f>
        <v>0</v>
      </c>
      <c r="DZ548" s="2">
        <f t="shared" si="9110"/>
        <v>0</v>
      </c>
      <c r="EA548" s="2">
        <f t="shared" si="9110"/>
        <v>0</v>
      </c>
      <c r="EB548" s="2">
        <f t="shared" si="9110"/>
        <v>0</v>
      </c>
      <c r="EC548" s="2">
        <f t="shared" si="9110"/>
        <v>0</v>
      </c>
      <c r="ED548" s="2">
        <f t="shared" ref="ED548:EE548" si="9111">(X548*$I548+AS548*$AD548+BN548*$AY548)/100</f>
        <v>0</v>
      </c>
      <c r="EE548" s="2">
        <f t="shared" si="9111"/>
        <v>0</v>
      </c>
      <c r="EF548" s="2"/>
      <c r="EG548" s="2">
        <f t="shared" si="8558"/>
        <v>0</v>
      </c>
      <c r="EH548" s="2">
        <f t="shared" si="8559"/>
        <v>0</v>
      </c>
      <c r="EI548" s="39">
        <f t="shared" si="8560"/>
        <v>28.832781734400001</v>
      </c>
      <c r="EJ548" s="39">
        <f t="shared" ref="EJ548:EK548" si="9112">EJ$1*DQ548/1000000</f>
        <v>0</v>
      </c>
      <c r="EK548" s="39">
        <f t="shared" si="9112"/>
        <v>0</v>
      </c>
      <c r="EL548" s="39">
        <f t="shared" ref="EL548:EQ548" si="9113">EL$1*DS548</f>
        <v>0</v>
      </c>
      <c r="EM548" s="39">
        <f t="shared" si="9113"/>
        <v>0</v>
      </c>
      <c r="EN548" s="39">
        <f t="shared" si="9113"/>
        <v>0</v>
      </c>
      <c r="EO548" s="39">
        <f t="shared" si="9113"/>
        <v>0</v>
      </c>
      <c r="EP548" s="39">
        <f t="shared" si="9113"/>
        <v>67.600047200000006</v>
      </c>
      <c r="EQ548" s="39">
        <f t="shared" si="9113"/>
        <v>0</v>
      </c>
      <c r="ER548" s="39">
        <f t="shared" ref="ER548:EV548" si="9114">ER$1*DY548/1000000</f>
        <v>0</v>
      </c>
      <c r="ES548" s="39">
        <f t="shared" si="9114"/>
        <v>0</v>
      </c>
      <c r="ET548" s="39">
        <f t="shared" si="9114"/>
        <v>0</v>
      </c>
      <c r="EU548" s="39">
        <f t="shared" si="9114"/>
        <v>0</v>
      </c>
      <c r="EV548" s="39">
        <f t="shared" si="9114"/>
        <v>0</v>
      </c>
      <c r="EW548" s="39">
        <f t="shared" ref="EW548:EX548" si="9115">EW$1*ED548</f>
        <v>0</v>
      </c>
      <c r="EX548" s="39">
        <f t="shared" si="9115"/>
        <v>0</v>
      </c>
      <c r="EY548" s="2"/>
      <c r="EZ548" s="39">
        <f t="shared" si="8565"/>
        <v>0</v>
      </c>
      <c r="FA548" s="39">
        <f t="shared" si="8566"/>
        <v>0</v>
      </c>
      <c r="FB548" s="2">
        <f t="shared" si="8567"/>
        <v>0</v>
      </c>
      <c r="FC548" s="2">
        <f t="shared" ref="FC548:FD548" si="9116">BV548*$BT548+CQ548*$CO548</f>
        <v>0</v>
      </c>
      <c r="FD548" s="2">
        <f t="shared" si="9116"/>
        <v>0</v>
      </c>
      <c r="FE548" s="2">
        <f t="shared" ref="FE548:FJ548" si="9117">(BX548*$BT548+CS548*$CO548)/100</f>
        <v>0</v>
      </c>
      <c r="FF548" s="2">
        <f t="shared" si="9117"/>
        <v>0</v>
      </c>
      <c r="FG548" s="2">
        <f t="shared" si="9117"/>
        <v>0</v>
      </c>
      <c r="FH548" s="2">
        <f t="shared" si="9117"/>
        <v>0</v>
      </c>
      <c r="FI548" s="2">
        <f t="shared" si="9117"/>
        <v>0</v>
      </c>
      <c r="FJ548" s="2">
        <f t="shared" si="9117"/>
        <v>0</v>
      </c>
      <c r="FK548" s="2">
        <f t="shared" ref="FK548:FO548" si="9118">CD548*$BT548+CY548*$CO548</f>
        <v>0</v>
      </c>
      <c r="FL548" s="2">
        <f t="shared" si="9118"/>
        <v>0</v>
      </c>
      <c r="FM548" s="2">
        <f t="shared" si="9118"/>
        <v>0</v>
      </c>
      <c r="FN548" s="2">
        <f t="shared" si="9118"/>
        <v>0</v>
      </c>
      <c r="FO548" s="2">
        <f t="shared" si="9118"/>
        <v>0</v>
      </c>
      <c r="FP548" s="2">
        <f t="shared" ref="FP548:FQ548" si="9119">(CI548*$BT548+DD548*$CO548)/100</f>
        <v>0</v>
      </c>
      <c r="FQ548" s="2">
        <f t="shared" si="9119"/>
        <v>0</v>
      </c>
      <c r="FR548" s="2"/>
      <c r="FS548" s="2">
        <f t="shared" si="8572"/>
        <v>0</v>
      </c>
      <c r="FT548" s="2">
        <f t="shared" si="8573"/>
        <v>0</v>
      </c>
      <c r="FU548" s="39">
        <f t="shared" si="8574"/>
        <v>0</v>
      </c>
      <c r="FV548" s="39">
        <f t="shared" ref="FV548:FW548" si="9120">FV$1*FC548/1000000</f>
        <v>0</v>
      </c>
      <c r="FW548" s="39">
        <f t="shared" si="9120"/>
        <v>0</v>
      </c>
      <c r="FX548" s="39">
        <f t="shared" ref="FX548:GC548" si="9121">FX$1*FE548</f>
        <v>0</v>
      </c>
      <c r="FY548" s="39">
        <f t="shared" si="9121"/>
        <v>0</v>
      </c>
      <c r="FZ548" s="39">
        <f t="shared" si="9121"/>
        <v>0</v>
      </c>
      <c r="GA548" s="39">
        <f t="shared" si="9121"/>
        <v>0</v>
      </c>
      <c r="GB548" s="39">
        <f t="shared" si="9121"/>
        <v>0</v>
      </c>
      <c r="GC548" s="39">
        <f t="shared" si="9121"/>
        <v>0</v>
      </c>
      <c r="GD548" s="39">
        <f t="shared" ref="GD548:GH548" si="9122">GD$1*FK548/1000000</f>
        <v>0</v>
      </c>
      <c r="GE548" s="39">
        <f t="shared" si="9122"/>
        <v>0</v>
      </c>
      <c r="GF548" s="39">
        <f t="shared" si="9122"/>
        <v>0</v>
      </c>
      <c r="GG548" s="39">
        <f t="shared" si="9122"/>
        <v>0</v>
      </c>
      <c r="GH548" s="39">
        <f t="shared" si="9122"/>
        <v>0</v>
      </c>
      <c r="GI548" s="39">
        <f t="shared" ref="GI548:GJ548" si="9123">GI$1*FP548</f>
        <v>0</v>
      </c>
      <c r="GJ548" s="39">
        <f t="shared" si="9123"/>
        <v>0</v>
      </c>
      <c r="GK548" s="2"/>
      <c r="GL548" s="39">
        <f t="shared" si="8579"/>
        <v>0</v>
      </c>
      <c r="GM548" s="39">
        <f t="shared" si="8580"/>
        <v>0</v>
      </c>
      <c r="GN548" s="2" t="s">
        <v>3</v>
      </c>
      <c r="GO548" s="2">
        <f t="shared" si="8581"/>
        <v>1.052</v>
      </c>
      <c r="GP548" s="2">
        <f t="shared" si="8582"/>
        <v>0.49000000000000005</v>
      </c>
      <c r="GQ548" s="15">
        <f t="shared" si="8583"/>
        <v>5.1547999999999998</v>
      </c>
      <c r="GR548" s="15">
        <f t="shared" si="8584"/>
        <v>96.432828934400007</v>
      </c>
      <c r="GS548" s="15">
        <f t="shared" si="8585"/>
        <v>91.666187199999996</v>
      </c>
      <c r="GT548" s="2">
        <f t="shared" si="8586"/>
        <v>0</v>
      </c>
      <c r="GU548" s="2">
        <f t="shared" si="8587"/>
        <v>0</v>
      </c>
      <c r="GV548" s="2">
        <f t="shared" si="8588"/>
        <v>5.1547999999999998</v>
      </c>
      <c r="GW548" s="2">
        <f t="shared" si="8589"/>
        <v>0</v>
      </c>
      <c r="GX548" s="2"/>
      <c r="GY548" s="2"/>
      <c r="GZ548" s="2"/>
      <c r="HA548" s="2"/>
      <c r="HB548" s="2">
        <f t="shared" si="8590"/>
        <v>0</v>
      </c>
      <c r="HC548" s="2">
        <f t="shared" si="8591"/>
        <v>0</v>
      </c>
      <c r="HD548" s="2" t="s">
        <v>3</v>
      </c>
      <c r="HE548" s="2" t="s">
        <v>89</v>
      </c>
      <c r="HF548" s="2" t="s">
        <v>123</v>
      </c>
      <c r="HG548" s="2"/>
      <c r="HH548" s="2"/>
      <c r="HI548" s="2" t="s">
        <v>81</v>
      </c>
      <c r="HJ548" s="2" t="s">
        <v>3</v>
      </c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 t="s">
        <v>3</v>
      </c>
    </row>
    <row r="549" spans="1:268" ht="15.75" customHeight="1" x14ac:dyDescent="0.2">
      <c r="A549" s="16" t="s">
        <v>1263</v>
      </c>
      <c r="B549" s="2" t="s">
        <v>99</v>
      </c>
      <c r="C549" s="2"/>
      <c r="D549" s="2"/>
      <c r="E549" s="2"/>
      <c r="F549" s="2" t="s">
        <v>1259</v>
      </c>
      <c r="G549" s="2"/>
      <c r="H549" s="2"/>
      <c r="I549" s="2">
        <v>0</v>
      </c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>
        <v>0</v>
      </c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>
        <v>1.6</v>
      </c>
      <c r="AZ549" s="2">
        <v>0.28999999999999998</v>
      </c>
      <c r="BA549" s="2"/>
      <c r="BB549" s="2"/>
      <c r="BC549" s="2"/>
      <c r="BD549" s="2"/>
      <c r="BE549" s="2"/>
      <c r="BF549" s="2"/>
      <c r="BG549" s="2">
        <v>0.44</v>
      </c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>
        <v>0</v>
      </c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>
        <v>0</v>
      </c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>
        <f t="shared" si="8551"/>
        <v>0.44</v>
      </c>
      <c r="DM549" s="2">
        <f t="shared" si="8552"/>
        <v>0</v>
      </c>
      <c r="DN549" s="2" t="s">
        <v>1260</v>
      </c>
      <c r="DO549" s="2" t="s">
        <v>3</v>
      </c>
      <c r="DP549" s="2">
        <f t="shared" si="8553"/>
        <v>4.64E-3</v>
      </c>
      <c r="DQ549" s="2">
        <f t="shared" ref="DQ549:DR549" si="9124">K549*$I549+AF549*$AD549+BA549*$AY549</f>
        <v>0</v>
      </c>
      <c r="DR549" s="2">
        <f t="shared" si="9124"/>
        <v>0</v>
      </c>
      <c r="DS549" s="2">
        <f t="shared" ref="DS549:DX549" si="9125">(M549*$I549+AH549*$AD549+BC549*$AY549)/100</f>
        <v>0</v>
      </c>
      <c r="DT549" s="2">
        <f t="shared" si="9125"/>
        <v>0</v>
      </c>
      <c r="DU549" s="2">
        <f t="shared" si="9125"/>
        <v>0</v>
      </c>
      <c r="DV549" s="2">
        <f t="shared" si="9125"/>
        <v>0</v>
      </c>
      <c r="DW549" s="2">
        <f t="shared" si="9125"/>
        <v>7.0400000000000011E-3</v>
      </c>
      <c r="DX549" s="2">
        <f t="shared" si="9125"/>
        <v>0</v>
      </c>
      <c r="DY549" s="2">
        <f t="shared" ref="DY549:EC549" si="9126">S549*$I549+AN549*$AD549+BI549*$AY549</f>
        <v>0</v>
      </c>
      <c r="DZ549" s="2">
        <f t="shared" si="9126"/>
        <v>0</v>
      </c>
      <c r="EA549" s="2">
        <f t="shared" si="9126"/>
        <v>0</v>
      </c>
      <c r="EB549" s="2">
        <f t="shared" si="9126"/>
        <v>0</v>
      </c>
      <c r="EC549" s="2">
        <f t="shared" si="9126"/>
        <v>0</v>
      </c>
      <c r="ED549" s="2">
        <f t="shared" ref="ED549:EE549" si="9127">(X549*$I549+AS549*$AD549+BN549*$AY549)/100</f>
        <v>0</v>
      </c>
      <c r="EE549" s="2">
        <f t="shared" si="9127"/>
        <v>0</v>
      </c>
      <c r="EF549" s="2"/>
      <c r="EG549" s="2">
        <f t="shared" si="8558"/>
        <v>0</v>
      </c>
      <c r="EH549" s="2">
        <f t="shared" si="8559"/>
        <v>0</v>
      </c>
      <c r="EI549" s="39">
        <f t="shared" si="8560"/>
        <v>30.278858240000002</v>
      </c>
      <c r="EJ549" s="39">
        <f t="shared" ref="EJ549:EK549" si="9128">EJ$1*DQ549/1000000</f>
        <v>0</v>
      </c>
      <c r="EK549" s="39">
        <f t="shared" si="9128"/>
        <v>0</v>
      </c>
      <c r="EL549" s="39">
        <f t="shared" ref="EL549:EQ549" si="9129">EL$1*DS549</f>
        <v>0</v>
      </c>
      <c r="EM549" s="39">
        <f t="shared" si="9129"/>
        <v>0</v>
      </c>
      <c r="EN549" s="39">
        <f t="shared" si="9129"/>
        <v>0</v>
      </c>
      <c r="EO549" s="39">
        <f t="shared" si="9129"/>
        <v>0</v>
      </c>
      <c r="EP549" s="39">
        <f t="shared" si="9129"/>
        <v>92.32256000000001</v>
      </c>
      <c r="EQ549" s="39">
        <f t="shared" si="9129"/>
        <v>0</v>
      </c>
      <c r="ER549" s="39">
        <f t="shared" ref="ER549:EV549" si="9130">ER$1*DY549/1000000</f>
        <v>0</v>
      </c>
      <c r="ES549" s="39">
        <f t="shared" si="9130"/>
        <v>0</v>
      </c>
      <c r="ET549" s="39">
        <f t="shared" si="9130"/>
        <v>0</v>
      </c>
      <c r="EU549" s="39">
        <f t="shared" si="9130"/>
        <v>0</v>
      </c>
      <c r="EV549" s="39">
        <f t="shared" si="9130"/>
        <v>0</v>
      </c>
      <c r="EW549" s="39">
        <f t="shared" ref="EW549:EX549" si="9131">EW$1*ED549</f>
        <v>0</v>
      </c>
      <c r="EX549" s="39">
        <f t="shared" si="9131"/>
        <v>0</v>
      </c>
      <c r="EY549" s="2"/>
      <c r="EZ549" s="39">
        <f t="shared" si="8565"/>
        <v>0</v>
      </c>
      <c r="FA549" s="39">
        <f t="shared" si="8566"/>
        <v>0</v>
      </c>
      <c r="FB549" s="2">
        <f t="shared" si="8567"/>
        <v>0</v>
      </c>
      <c r="FC549" s="2">
        <f t="shared" ref="FC549:FD549" si="9132">BV549*$BT549+CQ549*$CO549</f>
        <v>0</v>
      </c>
      <c r="FD549" s="2">
        <f t="shared" si="9132"/>
        <v>0</v>
      </c>
      <c r="FE549" s="2">
        <f t="shared" ref="FE549:FJ549" si="9133">(BX549*$BT549+CS549*$CO549)/100</f>
        <v>0</v>
      </c>
      <c r="FF549" s="2">
        <f t="shared" si="9133"/>
        <v>0</v>
      </c>
      <c r="FG549" s="2">
        <f t="shared" si="9133"/>
        <v>0</v>
      </c>
      <c r="FH549" s="2">
        <f t="shared" si="9133"/>
        <v>0</v>
      </c>
      <c r="FI549" s="2">
        <f t="shared" si="9133"/>
        <v>0</v>
      </c>
      <c r="FJ549" s="2">
        <f t="shared" si="9133"/>
        <v>0</v>
      </c>
      <c r="FK549" s="2">
        <f t="shared" ref="FK549:FO549" si="9134">CD549*$BT549+CY549*$CO549</f>
        <v>0</v>
      </c>
      <c r="FL549" s="2">
        <f t="shared" si="9134"/>
        <v>0</v>
      </c>
      <c r="FM549" s="2">
        <f t="shared" si="9134"/>
        <v>0</v>
      </c>
      <c r="FN549" s="2">
        <f t="shared" si="9134"/>
        <v>0</v>
      </c>
      <c r="FO549" s="2">
        <f t="shared" si="9134"/>
        <v>0</v>
      </c>
      <c r="FP549" s="2">
        <f t="shared" ref="FP549:FQ549" si="9135">(CI549*$BT549+DD549*$CO549)/100</f>
        <v>0</v>
      </c>
      <c r="FQ549" s="2">
        <f t="shared" si="9135"/>
        <v>0</v>
      </c>
      <c r="FR549" s="2"/>
      <c r="FS549" s="2">
        <f t="shared" si="8572"/>
        <v>0</v>
      </c>
      <c r="FT549" s="2">
        <f t="shared" si="8573"/>
        <v>0</v>
      </c>
      <c r="FU549" s="39">
        <f t="shared" si="8574"/>
        <v>0</v>
      </c>
      <c r="FV549" s="39">
        <f t="shared" ref="FV549:FW549" si="9136">FV$1*FC549/1000000</f>
        <v>0</v>
      </c>
      <c r="FW549" s="39">
        <f t="shared" si="9136"/>
        <v>0</v>
      </c>
      <c r="FX549" s="39">
        <f t="shared" ref="FX549:GC549" si="9137">FX$1*FE549</f>
        <v>0</v>
      </c>
      <c r="FY549" s="39">
        <f t="shared" si="9137"/>
        <v>0</v>
      </c>
      <c r="FZ549" s="39">
        <f t="shared" si="9137"/>
        <v>0</v>
      </c>
      <c r="GA549" s="39">
        <f t="shared" si="9137"/>
        <v>0</v>
      </c>
      <c r="GB549" s="39">
        <f t="shared" si="9137"/>
        <v>0</v>
      </c>
      <c r="GC549" s="39">
        <f t="shared" si="9137"/>
        <v>0</v>
      </c>
      <c r="GD549" s="39">
        <f t="shared" ref="GD549:GH549" si="9138">GD$1*FK549/1000000</f>
        <v>0</v>
      </c>
      <c r="GE549" s="39">
        <f t="shared" si="9138"/>
        <v>0</v>
      </c>
      <c r="GF549" s="39">
        <f t="shared" si="9138"/>
        <v>0</v>
      </c>
      <c r="GG549" s="39">
        <f t="shared" si="9138"/>
        <v>0</v>
      </c>
      <c r="GH549" s="39">
        <f t="shared" si="9138"/>
        <v>0</v>
      </c>
      <c r="GI549" s="39">
        <f t="shared" ref="GI549:GJ549" si="9139">GI$1*FP549</f>
        <v>0</v>
      </c>
      <c r="GJ549" s="39">
        <f t="shared" si="9139"/>
        <v>0</v>
      </c>
      <c r="GK549" s="2"/>
      <c r="GL549" s="39">
        <f t="shared" si="8579"/>
        <v>0</v>
      </c>
      <c r="GM549" s="39">
        <f t="shared" si="8580"/>
        <v>0</v>
      </c>
      <c r="GN549" s="2" t="s">
        <v>3</v>
      </c>
      <c r="GO549" s="2">
        <f t="shared" si="8581"/>
        <v>1.6</v>
      </c>
      <c r="GP549" s="2">
        <f t="shared" si="8582"/>
        <v>0.44</v>
      </c>
      <c r="GQ549" s="15">
        <f t="shared" si="8583"/>
        <v>7.04</v>
      </c>
      <c r="GR549" s="15">
        <f t="shared" si="8584"/>
        <v>122.60141824000002</v>
      </c>
      <c r="GS549" s="15">
        <f t="shared" si="8585"/>
        <v>76.625886399999999</v>
      </c>
      <c r="GT549" s="2">
        <f t="shared" si="8586"/>
        <v>0</v>
      </c>
      <c r="GU549" s="2">
        <f t="shared" si="8587"/>
        <v>0</v>
      </c>
      <c r="GV549" s="2">
        <f t="shared" si="8588"/>
        <v>7.0400000000000009</v>
      </c>
      <c r="GW549" s="2">
        <f t="shared" si="8589"/>
        <v>0</v>
      </c>
      <c r="GX549" s="2"/>
      <c r="GY549" s="2"/>
      <c r="GZ549" s="2"/>
      <c r="HA549" s="2"/>
      <c r="HB549" s="2">
        <f t="shared" si="8590"/>
        <v>0</v>
      </c>
      <c r="HC549" s="2">
        <f t="shared" si="8591"/>
        <v>0</v>
      </c>
      <c r="HD549" s="2" t="s">
        <v>3</v>
      </c>
      <c r="HE549" s="2" t="s">
        <v>89</v>
      </c>
      <c r="HF549" s="2" t="s">
        <v>123</v>
      </c>
      <c r="HG549" s="2"/>
      <c r="HH549" s="2"/>
      <c r="HI549" s="2" t="s">
        <v>81</v>
      </c>
      <c r="HJ549" s="2" t="s">
        <v>3</v>
      </c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 t="s">
        <v>3</v>
      </c>
    </row>
    <row r="550" spans="1:268" ht="15.75" customHeight="1" x14ac:dyDescent="0.2">
      <c r="A550" s="16" t="s">
        <v>398</v>
      </c>
      <c r="B550" s="2" t="s">
        <v>99</v>
      </c>
      <c r="C550" s="2"/>
      <c r="D550" s="2"/>
      <c r="E550" s="2"/>
      <c r="F550" s="2" t="s">
        <v>79</v>
      </c>
      <c r="G550" s="2"/>
      <c r="H550" s="2"/>
      <c r="I550" s="2">
        <v>0</v>
      </c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>
        <v>4.625</v>
      </c>
      <c r="AE550" s="2">
        <v>0.12</v>
      </c>
      <c r="AF550" s="2"/>
      <c r="AG550" s="2"/>
      <c r="AH550" s="2"/>
      <c r="AI550" s="2"/>
      <c r="AJ550" s="2"/>
      <c r="AK550" s="2"/>
      <c r="AL550" s="2">
        <v>0.28999999999999998</v>
      </c>
      <c r="AM550" s="2">
        <v>0.02</v>
      </c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>
        <v>5.4379999999999997</v>
      </c>
      <c r="AZ550" s="2">
        <v>0.11</v>
      </c>
      <c r="BA550" s="2"/>
      <c r="BB550" s="2"/>
      <c r="BC550" s="2"/>
      <c r="BD550" s="2"/>
      <c r="BE550" s="2"/>
      <c r="BF550" s="2"/>
      <c r="BG550" s="2">
        <v>0.25</v>
      </c>
      <c r="BH550" s="2">
        <v>0.02</v>
      </c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>
        <v>0</v>
      </c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>
        <v>0</v>
      </c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 t="s">
        <v>81</v>
      </c>
      <c r="DK550" s="2" t="s">
        <v>81</v>
      </c>
      <c r="DL550" s="2">
        <f t="shared" si="8551"/>
        <v>0.26838417966809103</v>
      </c>
      <c r="DM550" s="2">
        <f t="shared" si="8552"/>
        <v>0.02</v>
      </c>
      <c r="DN550" s="2" t="s">
        <v>399</v>
      </c>
      <c r="DO550" s="2" t="s">
        <v>3</v>
      </c>
      <c r="DP550" s="2">
        <f t="shared" si="8553"/>
        <v>1.1531799999999998E-2</v>
      </c>
      <c r="DQ550" s="2">
        <f t="shared" ref="DQ550:DR550" si="9140">K550*$I550+AF550*$AD550+BA550*$AY550</f>
        <v>0</v>
      </c>
      <c r="DR550" s="2">
        <f t="shared" si="9140"/>
        <v>0</v>
      </c>
      <c r="DS550" s="2">
        <f t="shared" ref="DS550:DX550" si="9141">(M550*$I550+AH550*$AD550+BC550*$AY550)/100</f>
        <v>0</v>
      </c>
      <c r="DT550" s="2">
        <f t="shared" si="9141"/>
        <v>0</v>
      </c>
      <c r="DU550" s="2">
        <f t="shared" si="9141"/>
        <v>0</v>
      </c>
      <c r="DV550" s="2">
        <f t="shared" si="9141"/>
        <v>0</v>
      </c>
      <c r="DW550" s="2">
        <f t="shared" si="9141"/>
        <v>2.7007499999999997E-2</v>
      </c>
      <c r="DX550" s="2">
        <f t="shared" si="9141"/>
        <v>2.0125999999999998E-3</v>
      </c>
      <c r="DY550" s="2">
        <f t="shared" ref="DY550:EC550" si="9142">S550*$I550+AN550*$AD550+BI550*$AY550</f>
        <v>0</v>
      </c>
      <c r="DZ550" s="2">
        <f t="shared" si="9142"/>
        <v>0</v>
      </c>
      <c r="EA550" s="2">
        <f t="shared" si="9142"/>
        <v>0</v>
      </c>
      <c r="EB550" s="2">
        <f t="shared" si="9142"/>
        <v>0</v>
      </c>
      <c r="EC550" s="2">
        <f t="shared" si="9142"/>
        <v>0</v>
      </c>
      <c r="ED550" s="2">
        <f t="shared" ref="ED550:EE550" si="9143">(X550*$I550+AS550*$AD550+BN550*$AY550)/100</f>
        <v>0</v>
      </c>
      <c r="EE550" s="2">
        <f t="shared" si="9143"/>
        <v>0</v>
      </c>
      <c r="EF550" s="2"/>
      <c r="EG550" s="2">
        <f t="shared" si="8558"/>
        <v>0</v>
      </c>
      <c r="EH550" s="2">
        <f t="shared" si="8559"/>
        <v>0</v>
      </c>
      <c r="EI550" s="39">
        <f t="shared" si="8560"/>
        <v>75.252098588799996</v>
      </c>
      <c r="EJ550" s="39">
        <f t="shared" ref="EJ550:EK550" si="9144">EJ$1*DQ550/1000000</f>
        <v>0</v>
      </c>
      <c r="EK550" s="39">
        <f t="shared" si="9144"/>
        <v>0</v>
      </c>
      <c r="EL550" s="39">
        <f t="shared" ref="EL550:EQ550" si="9145">EL$1*DS550</f>
        <v>0</v>
      </c>
      <c r="EM550" s="39">
        <f t="shared" si="9145"/>
        <v>0</v>
      </c>
      <c r="EN550" s="39">
        <f t="shared" si="9145"/>
        <v>0</v>
      </c>
      <c r="EO550" s="39">
        <f t="shared" si="9145"/>
        <v>0</v>
      </c>
      <c r="EP550" s="39">
        <f t="shared" si="9145"/>
        <v>354.17635499999994</v>
      </c>
      <c r="EQ550" s="39">
        <f t="shared" si="9145"/>
        <v>146.15405400239996</v>
      </c>
      <c r="ER550" s="39">
        <f t="shared" ref="ER550:EV550" si="9146">ER$1*DY550/1000000</f>
        <v>0</v>
      </c>
      <c r="ES550" s="39">
        <f t="shared" si="9146"/>
        <v>0</v>
      </c>
      <c r="ET550" s="39">
        <f t="shared" si="9146"/>
        <v>0</v>
      </c>
      <c r="EU550" s="39">
        <f t="shared" si="9146"/>
        <v>0</v>
      </c>
      <c r="EV550" s="39">
        <f t="shared" si="9146"/>
        <v>0</v>
      </c>
      <c r="EW550" s="39">
        <f t="shared" ref="EW550:EX550" si="9147">EW$1*ED550</f>
        <v>0</v>
      </c>
      <c r="EX550" s="39">
        <f t="shared" si="9147"/>
        <v>0</v>
      </c>
      <c r="EY550" s="2"/>
      <c r="EZ550" s="39">
        <f t="shared" si="8565"/>
        <v>0</v>
      </c>
      <c r="FA550" s="39">
        <f t="shared" si="8566"/>
        <v>0</v>
      </c>
      <c r="FB550" s="2">
        <f t="shared" si="8567"/>
        <v>0</v>
      </c>
      <c r="FC550" s="2">
        <f t="shared" ref="FC550:FD550" si="9148">BV550*$BT550+CQ550*$CO550</f>
        <v>0</v>
      </c>
      <c r="FD550" s="2">
        <f t="shared" si="9148"/>
        <v>0</v>
      </c>
      <c r="FE550" s="2">
        <f t="shared" ref="FE550:FJ550" si="9149">(BX550*$BT550+CS550*$CO550)/100</f>
        <v>0</v>
      </c>
      <c r="FF550" s="2">
        <f t="shared" si="9149"/>
        <v>0</v>
      </c>
      <c r="FG550" s="2">
        <f t="shared" si="9149"/>
        <v>0</v>
      </c>
      <c r="FH550" s="2">
        <f t="shared" si="9149"/>
        <v>0</v>
      </c>
      <c r="FI550" s="2">
        <f t="shared" si="9149"/>
        <v>0</v>
      </c>
      <c r="FJ550" s="2">
        <f t="shared" si="9149"/>
        <v>0</v>
      </c>
      <c r="FK550" s="2">
        <f t="shared" ref="FK550:FO550" si="9150">CD550*$BT550+CY550*$CO550</f>
        <v>0</v>
      </c>
      <c r="FL550" s="2">
        <f t="shared" si="9150"/>
        <v>0</v>
      </c>
      <c r="FM550" s="2">
        <f t="shared" si="9150"/>
        <v>0</v>
      </c>
      <c r="FN550" s="2">
        <f t="shared" si="9150"/>
        <v>0</v>
      </c>
      <c r="FO550" s="2">
        <f t="shared" si="9150"/>
        <v>0</v>
      </c>
      <c r="FP550" s="2">
        <f t="shared" ref="FP550:FQ550" si="9151">(CI550*$BT550+DD550*$CO550)/100</f>
        <v>0</v>
      </c>
      <c r="FQ550" s="2">
        <f t="shared" si="9151"/>
        <v>0</v>
      </c>
      <c r="FR550" s="2"/>
      <c r="FS550" s="2">
        <f t="shared" si="8572"/>
        <v>0</v>
      </c>
      <c r="FT550" s="2">
        <f t="shared" si="8573"/>
        <v>0</v>
      </c>
      <c r="FU550" s="39">
        <f t="shared" si="8574"/>
        <v>0</v>
      </c>
      <c r="FV550" s="39">
        <f t="shared" ref="FV550:FW550" si="9152">FV$1*FC550/1000000</f>
        <v>0</v>
      </c>
      <c r="FW550" s="39">
        <f t="shared" si="9152"/>
        <v>0</v>
      </c>
      <c r="FX550" s="39">
        <f t="shared" ref="FX550:GC550" si="9153">FX$1*FE550</f>
        <v>0</v>
      </c>
      <c r="FY550" s="39">
        <f t="shared" si="9153"/>
        <v>0</v>
      </c>
      <c r="FZ550" s="39">
        <f t="shared" si="9153"/>
        <v>0</v>
      </c>
      <c r="GA550" s="39">
        <f t="shared" si="9153"/>
        <v>0</v>
      </c>
      <c r="GB550" s="39">
        <f t="shared" si="9153"/>
        <v>0</v>
      </c>
      <c r="GC550" s="39">
        <f t="shared" si="9153"/>
        <v>0</v>
      </c>
      <c r="GD550" s="39">
        <f t="shared" ref="GD550:GH550" si="9154">GD$1*FK550/1000000</f>
        <v>0</v>
      </c>
      <c r="GE550" s="39">
        <f t="shared" si="9154"/>
        <v>0</v>
      </c>
      <c r="GF550" s="39">
        <f t="shared" si="9154"/>
        <v>0</v>
      </c>
      <c r="GG550" s="39">
        <f t="shared" si="9154"/>
        <v>0</v>
      </c>
      <c r="GH550" s="39">
        <f t="shared" si="9154"/>
        <v>0</v>
      </c>
      <c r="GI550" s="39">
        <f t="shared" ref="GI550:GJ550" si="9155">GI$1*FP550</f>
        <v>0</v>
      </c>
      <c r="GJ550" s="39">
        <f t="shared" si="9155"/>
        <v>0</v>
      </c>
      <c r="GK550" s="2"/>
      <c r="GL550" s="39">
        <f t="shared" si="8579"/>
        <v>0</v>
      </c>
      <c r="GM550" s="39">
        <f t="shared" si="8580"/>
        <v>0</v>
      </c>
      <c r="GN550" s="2" t="s">
        <v>3</v>
      </c>
      <c r="GO550" s="4">
        <f t="shared" si="8581"/>
        <v>10.062999999999999</v>
      </c>
      <c r="GP550" s="4">
        <f t="shared" si="8582"/>
        <v>0.26838417966809103</v>
      </c>
      <c r="GQ550" s="15">
        <f t="shared" si="8583"/>
        <v>27.007499999999997</v>
      </c>
      <c r="GR550" s="15">
        <f t="shared" si="8584"/>
        <v>575.58250759119983</v>
      </c>
      <c r="GS550" s="15">
        <f t="shared" si="8585"/>
        <v>57.197903964145873</v>
      </c>
      <c r="GT550" s="2">
        <f t="shared" si="8586"/>
        <v>0</v>
      </c>
      <c r="GU550" s="2">
        <f t="shared" si="8587"/>
        <v>13.412499999999998</v>
      </c>
      <c r="GV550" s="2">
        <f t="shared" si="8588"/>
        <v>13.595000000000001</v>
      </c>
      <c r="GW550" s="2">
        <f t="shared" si="8589"/>
        <v>0</v>
      </c>
      <c r="GX550" s="2"/>
      <c r="GY550" s="2"/>
      <c r="GZ550" s="2"/>
      <c r="HA550" s="2"/>
      <c r="HB550" s="2">
        <f t="shared" si="8590"/>
        <v>0</v>
      </c>
      <c r="HC550" s="2">
        <f t="shared" si="8591"/>
        <v>0</v>
      </c>
      <c r="HD550" s="2" t="s">
        <v>3</v>
      </c>
      <c r="HE550" s="2" t="s">
        <v>89</v>
      </c>
      <c r="HF550" s="2" t="s">
        <v>123</v>
      </c>
      <c r="HG550" s="2"/>
      <c r="HH550" s="2"/>
      <c r="HI550" s="2" t="s">
        <v>81</v>
      </c>
      <c r="HJ550" s="2" t="s">
        <v>3</v>
      </c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 t="s">
        <v>3</v>
      </c>
    </row>
    <row r="551" spans="1:268" ht="15.75" customHeight="1" x14ac:dyDescent="0.2">
      <c r="A551" s="16" t="s">
        <v>1178</v>
      </c>
      <c r="B551" s="2" t="s">
        <v>99</v>
      </c>
      <c r="C551" s="2"/>
      <c r="D551" s="2"/>
      <c r="E551" s="2"/>
      <c r="F551" s="2" t="s">
        <v>79</v>
      </c>
      <c r="G551" s="2"/>
      <c r="H551" s="2"/>
      <c r="I551" s="2">
        <v>0</v>
      </c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>
        <v>0</v>
      </c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>
        <v>1.0129999999999999</v>
      </c>
      <c r="AZ551" s="2">
        <v>0.48</v>
      </c>
      <c r="BA551" s="2"/>
      <c r="BB551" s="2"/>
      <c r="BC551" s="2"/>
      <c r="BD551" s="2"/>
      <c r="BE551" s="2"/>
      <c r="BF551" s="2"/>
      <c r="BG551" s="2">
        <v>1.0900000000000001</v>
      </c>
      <c r="BH551" s="2">
        <v>0.04</v>
      </c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>
        <v>0</v>
      </c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>
        <v>0</v>
      </c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 t="s">
        <v>81</v>
      </c>
      <c r="DK551" s="2" t="s">
        <v>81</v>
      </c>
      <c r="DL551" s="2">
        <f t="shared" si="8551"/>
        <v>1.0900000000000001</v>
      </c>
      <c r="DM551" s="2">
        <f t="shared" si="8552"/>
        <v>0.04</v>
      </c>
      <c r="DN551" s="2" t="s">
        <v>399</v>
      </c>
      <c r="DO551" s="2" t="s">
        <v>3</v>
      </c>
      <c r="DP551" s="2">
        <f t="shared" si="8553"/>
        <v>4.8623999999999994E-3</v>
      </c>
      <c r="DQ551" s="2">
        <f t="shared" ref="DQ551:DR551" si="9156">K551*$I551+AF551*$AD551+BA551*$AY551</f>
        <v>0</v>
      </c>
      <c r="DR551" s="2">
        <f t="shared" si="9156"/>
        <v>0</v>
      </c>
      <c r="DS551" s="2">
        <f t="shared" ref="DS551:DX551" si="9157">(M551*$I551+AH551*$AD551+BC551*$AY551)/100</f>
        <v>0</v>
      </c>
      <c r="DT551" s="2">
        <f t="shared" si="9157"/>
        <v>0</v>
      </c>
      <c r="DU551" s="2">
        <f t="shared" si="9157"/>
        <v>0</v>
      </c>
      <c r="DV551" s="2">
        <f t="shared" si="9157"/>
        <v>0</v>
      </c>
      <c r="DW551" s="2">
        <f t="shared" si="9157"/>
        <v>1.1041699999999998E-2</v>
      </c>
      <c r="DX551" s="2">
        <f t="shared" si="9157"/>
        <v>4.0519999999999993E-4</v>
      </c>
      <c r="DY551" s="2">
        <f t="shared" ref="DY551:EC551" si="9158">S551*$I551+AN551*$AD551+BI551*$AY551</f>
        <v>0</v>
      </c>
      <c r="DZ551" s="2">
        <f t="shared" si="9158"/>
        <v>0</v>
      </c>
      <c r="EA551" s="2">
        <f t="shared" si="9158"/>
        <v>0</v>
      </c>
      <c r="EB551" s="2">
        <f t="shared" si="9158"/>
        <v>0</v>
      </c>
      <c r="EC551" s="2">
        <f t="shared" si="9158"/>
        <v>0</v>
      </c>
      <c r="ED551" s="2">
        <f t="shared" ref="ED551:EE551" si="9159">(X551*$I551+AS551*$AD551+BN551*$AY551)/100</f>
        <v>0</v>
      </c>
      <c r="EE551" s="2">
        <f t="shared" si="9159"/>
        <v>0</v>
      </c>
      <c r="EF551" s="2"/>
      <c r="EG551" s="2">
        <f t="shared" si="8558"/>
        <v>0</v>
      </c>
      <c r="EH551" s="2">
        <f t="shared" si="8559"/>
        <v>0</v>
      </c>
      <c r="EI551" s="39">
        <f t="shared" si="8560"/>
        <v>31.730155238399995</v>
      </c>
      <c r="EJ551" s="39">
        <f t="shared" ref="EJ551:EK551" si="9160">EJ$1*DQ551/1000000</f>
        <v>0</v>
      </c>
      <c r="EK551" s="39">
        <f t="shared" si="9160"/>
        <v>0</v>
      </c>
      <c r="EL551" s="39">
        <f t="shared" ref="EL551:EQ551" si="9161">EL$1*DS551</f>
        <v>0</v>
      </c>
      <c r="EM551" s="39">
        <f t="shared" si="9161"/>
        <v>0</v>
      </c>
      <c r="EN551" s="39">
        <f t="shared" si="9161"/>
        <v>0</v>
      </c>
      <c r="EO551" s="39">
        <f t="shared" si="9161"/>
        <v>0</v>
      </c>
      <c r="EP551" s="39">
        <f t="shared" si="9161"/>
        <v>144.80085379999997</v>
      </c>
      <c r="EQ551" s="39">
        <f t="shared" si="9161"/>
        <v>29.425431124799992</v>
      </c>
      <c r="ER551" s="39">
        <f t="shared" ref="ER551:EV551" si="9162">ER$1*DY551/1000000</f>
        <v>0</v>
      </c>
      <c r="ES551" s="39">
        <f t="shared" si="9162"/>
        <v>0</v>
      </c>
      <c r="ET551" s="39">
        <f t="shared" si="9162"/>
        <v>0</v>
      </c>
      <c r="EU551" s="39">
        <f t="shared" si="9162"/>
        <v>0</v>
      </c>
      <c r="EV551" s="39">
        <f t="shared" si="9162"/>
        <v>0</v>
      </c>
      <c r="EW551" s="39">
        <f t="shared" ref="EW551:EX551" si="9163">EW$1*ED551</f>
        <v>0</v>
      </c>
      <c r="EX551" s="39">
        <f t="shared" si="9163"/>
        <v>0</v>
      </c>
      <c r="EY551" s="2"/>
      <c r="EZ551" s="39">
        <f t="shared" si="8565"/>
        <v>0</v>
      </c>
      <c r="FA551" s="39">
        <f t="shared" si="8566"/>
        <v>0</v>
      </c>
      <c r="FB551" s="2">
        <f t="shared" si="8567"/>
        <v>0</v>
      </c>
      <c r="FC551" s="2">
        <f t="shared" ref="FC551:FD551" si="9164">BV551*$BT551+CQ551*$CO551</f>
        <v>0</v>
      </c>
      <c r="FD551" s="2">
        <f t="shared" si="9164"/>
        <v>0</v>
      </c>
      <c r="FE551" s="2">
        <f t="shared" ref="FE551:FJ551" si="9165">(BX551*$BT551+CS551*$CO551)/100</f>
        <v>0</v>
      </c>
      <c r="FF551" s="2">
        <f t="shared" si="9165"/>
        <v>0</v>
      </c>
      <c r="FG551" s="2">
        <f t="shared" si="9165"/>
        <v>0</v>
      </c>
      <c r="FH551" s="2">
        <f t="shared" si="9165"/>
        <v>0</v>
      </c>
      <c r="FI551" s="2">
        <f t="shared" si="9165"/>
        <v>0</v>
      </c>
      <c r="FJ551" s="2">
        <f t="shared" si="9165"/>
        <v>0</v>
      </c>
      <c r="FK551" s="2">
        <f t="shared" ref="FK551:FO551" si="9166">CD551*$BT551+CY551*$CO551</f>
        <v>0</v>
      </c>
      <c r="FL551" s="2">
        <f t="shared" si="9166"/>
        <v>0</v>
      </c>
      <c r="FM551" s="2">
        <f t="shared" si="9166"/>
        <v>0</v>
      </c>
      <c r="FN551" s="2">
        <f t="shared" si="9166"/>
        <v>0</v>
      </c>
      <c r="FO551" s="2">
        <f t="shared" si="9166"/>
        <v>0</v>
      </c>
      <c r="FP551" s="2">
        <f t="shared" ref="FP551:FQ551" si="9167">(CI551*$BT551+DD551*$CO551)/100</f>
        <v>0</v>
      </c>
      <c r="FQ551" s="2">
        <f t="shared" si="9167"/>
        <v>0</v>
      </c>
      <c r="FR551" s="2"/>
      <c r="FS551" s="2">
        <f t="shared" si="8572"/>
        <v>0</v>
      </c>
      <c r="FT551" s="2">
        <f t="shared" si="8573"/>
        <v>0</v>
      </c>
      <c r="FU551" s="39">
        <f t="shared" si="8574"/>
        <v>0</v>
      </c>
      <c r="FV551" s="39">
        <f t="shared" ref="FV551:FW551" si="9168">FV$1*FC551/1000000</f>
        <v>0</v>
      </c>
      <c r="FW551" s="39">
        <f t="shared" si="9168"/>
        <v>0</v>
      </c>
      <c r="FX551" s="39">
        <f t="shared" ref="FX551:GC551" si="9169">FX$1*FE551</f>
        <v>0</v>
      </c>
      <c r="FY551" s="39">
        <f t="shared" si="9169"/>
        <v>0</v>
      </c>
      <c r="FZ551" s="39">
        <f t="shared" si="9169"/>
        <v>0</v>
      </c>
      <c r="GA551" s="39">
        <f t="shared" si="9169"/>
        <v>0</v>
      </c>
      <c r="GB551" s="39">
        <f t="shared" si="9169"/>
        <v>0</v>
      </c>
      <c r="GC551" s="39">
        <f t="shared" si="9169"/>
        <v>0</v>
      </c>
      <c r="GD551" s="39">
        <f t="shared" ref="GD551:GH551" si="9170">GD$1*FK551/1000000</f>
        <v>0</v>
      </c>
      <c r="GE551" s="39">
        <f t="shared" si="9170"/>
        <v>0</v>
      </c>
      <c r="GF551" s="39">
        <f t="shared" si="9170"/>
        <v>0</v>
      </c>
      <c r="GG551" s="39">
        <f t="shared" si="9170"/>
        <v>0</v>
      </c>
      <c r="GH551" s="39">
        <f t="shared" si="9170"/>
        <v>0</v>
      </c>
      <c r="GI551" s="39">
        <f t="shared" ref="GI551:GJ551" si="9171">GI$1*FP551</f>
        <v>0</v>
      </c>
      <c r="GJ551" s="39">
        <f t="shared" si="9171"/>
        <v>0</v>
      </c>
      <c r="GK551" s="2"/>
      <c r="GL551" s="39">
        <f t="shared" si="8579"/>
        <v>0</v>
      </c>
      <c r="GM551" s="39">
        <f t="shared" si="8580"/>
        <v>0</v>
      </c>
      <c r="GN551" s="2" t="s">
        <v>3</v>
      </c>
      <c r="GO551" s="2">
        <f t="shared" si="8581"/>
        <v>1.0129999999999999</v>
      </c>
      <c r="GP551" s="2">
        <f t="shared" si="8582"/>
        <v>1.0900000000000001</v>
      </c>
      <c r="GQ551" s="15">
        <f t="shared" si="8583"/>
        <v>11.041699999999999</v>
      </c>
      <c r="GR551" s="15">
        <f t="shared" si="8584"/>
        <v>205.95644016319994</v>
      </c>
      <c r="GS551" s="15">
        <f t="shared" si="8585"/>
        <v>203.31336639999995</v>
      </c>
      <c r="GT551" s="2">
        <f t="shared" si="8586"/>
        <v>0</v>
      </c>
      <c r="GU551" s="2">
        <f t="shared" si="8587"/>
        <v>0</v>
      </c>
      <c r="GV551" s="2">
        <f t="shared" si="8588"/>
        <v>11.041699999999999</v>
      </c>
      <c r="GW551" s="2">
        <f t="shared" si="8589"/>
        <v>0</v>
      </c>
      <c r="GX551" s="2"/>
      <c r="GY551" s="2"/>
      <c r="GZ551" s="2"/>
      <c r="HA551" s="2"/>
      <c r="HB551" s="2">
        <f t="shared" si="8590"/>
        <v>0</v>
      </c>
      <c r="HC551" s="2">
        <f t="shared" si="8591"/>
        <v>0</v>
      </c>
      <c r="HD551" s="2" t="s">
        <v>3</v>
      </c>
      <c r="HE551" s="2" t="s">
        <v>89</v>
      </c>
      <c r="HF551" s="2" t="s">
        <v>123</v>
      </c>
      <c r="HG551" s="2"/>
      <c r="HH551" s="2"/>
      <c r="HI551" s="2" t="s">
        <v>81</v>
      </c>
      <c r="HJ551" s="2" t="s">
        <v>3</v>
      </c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 t="s">
        <v>3</v>
      </c>
    </row>
    <row r="552" spans="1:268" ht="15.75" customHeight="1" x14ac:dyDescent="0.2">
      <c r="A552" s="16" t="s">
        <v>683</v>
      </c>
      <c r="B552" s="2" t="s">
        <v>99</v>
      </c>
      <c r="C552" s="2"/>
      <c r="D552" s="2"/>
      <c r="E552" s="2"/>
      <c r="F552" s="2" t="s">
        <v>79</v>
      </c>
      <c r="G552" s="2"/>
      <c r="H552" s="2"/>
      <c r="I552" s="2">
        <v>0</v>
      </c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>
        <v>0</v>
      </c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>
        <v>20.83</v>
      </c>
      <c r="AZ552" s="2">
        <v>0.26</v>
      </c>
      <c r="BA552" s="2"/>
      <c r="BB552" s="2"/>
      <c r="BC552" s="2"/>
      <c r="BD552" s="2"/>
      <c r="BE552" s="2"/>
      <c r="BF552" s="2"/>
      <c r="BG552" s="2">
        <v>0.7</v>
      </c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>
        <v>0</v>
      </c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>
        <v>0</v>
      </c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 t="s">
        <v>81</v>
      </c>
      <c r="DK552" s="2"/>
      <c r="DL552" s="2">
        <f t="shared" si="8551"/>
        <v>0.7</v>
      </c>
      <c r="DM552" s="2">
        <f t="shared" si="8552"/>
        <v>0</v>
      </c>
      <c r="DN552" s="2" t="s">
        <v>132</v>
      </c>
      <c r="DO552" s="2" t="s">
        <v>3</v>
      </c>
      <c r="DP552" s="2">
        <f t="shared" si="8553"/>
        <v>5.4157999999999998E-2</v>
      </c>
      <c r="DQ552" s="2">
        <f t="shared" ref="DQ552:DR552" si="9172">K552*$I552+AF552*$AD552+BA552*$AY552</f>
        <v>0</v>
      </c>
      <c r="DR552" s="2">
        <f t="shared" si="9172"/>
        <v>0</v>
      </c>
      <c r="DS552" s="2">
        <f t="shared" ref="DS552:DX552" si="9173">(M552*$I552+AH552*$AD552+BC552*$AY552)/100</f>
        <v>0</v>
      </c>
      <c r="DT552" s="2">
        <f t="shared" si="9173"/>
        <v>0</v>
      </c>
      <c r="DU552" s="2">
        <f t="shared" si="9173"/>
        <v>0</v>
      </c>
      <c r="DV552" s="2">
        <f t="shared" si="9173"/>
        <v>0</v>
      </c>
      <c r="DW552" s="2">
        <f t="shared" si="9173"/>
        <v>0.14580999999999997</v>
      </c>
      <c r="DX552" s="2">
        <f t="shared" si="9173"/>
        <v>0</v>
      </c>
      <c r="DY552" s="2">
        <f t="shared" ref="DY552:EC552" si="9174">S552*$I552+AN552*$AD552+BI552*$AY552</f>
        <v>0</v>
      </c>
      <c r="DZ552" s="2">
        <f t="shared" si="9174"/>
        <v>0</v>
      </c>
      <c r="EA552" s="2">
        <f t="shared" si="9174"/>
        <v>0</v>
      </c>
      <c r="EB552" s="2">
        <f t="shared" si="9174"/>
        <v>0</v>
      </c>
      <c r="EC552" s="2">
        <f t="shared" si="9174"/>
        <v>0</v>
      </c>
      <c r="ED552" s="2">
        <f t="shared" ref="ED552:EE552" si="9175">(X552*$I552+AS552*$AD552+BN552*$AY552)/100</f>
        <v>0</v>
      </c>
      <c r="EE552" s="2">
        <f t="shared" si="9175"/>
        <v>0</v>
      </c>
      <c r="EF552" s="2"/>
      <c r="EG552" s="2">
        <f t="shared" si="8558"/>
        <v>0</v>
      </c>
      <c r="EH552" s="2">
        <f t="shared" si="8559"/>
        <v>0</v>
      </c>
      <c r="EI552" s="39">
        <f t="shared" si="8560"/>
        <v>353.414311328</v>
      </c>
      <c r="EJ552" s="39">
        <f t="shared" ref="EJ552:EK552" si="9176">EJ$1*DQ552/1000000</f>
        <v>0</v>
      </c>
      <c r="EK552" s="39">
        <f t="shared" si="9176"/>
        <v>0</v>
      </c>
      <c r="EL552" s="39">
        <f t="shared" ref="EL552:EQ552" si="9177">EL$1*DS552</f>
        <v>0</v>
      </c>
      <c r="EM552" s="39">
        <f t="shared" si="9177"/>
        <v>0</v>
      </c>
      <c r="EN552" s="39">
        <f t="shared" si="9177"/>
        <v>0</v>
      </c>
      <c r="EO552" s="39">
        <f t="shared" si="9177"/>
        <v>0</v>
      </c>
      <c r="EP552" s="39">
        <f t="shared" si="9177"/>
        <v>1912.1523399999996</v>
      </c>
      <c r="EQ552" s="39">
        <f t="shared" si="9177"/>
        <v>0</v>
      </c>
      <c r="ER552" s="39">
        <f t="shared" ref="ER552:EV552" si="9178">ER$1*DY552/1000000</f>
        <v>0</v>
      </c>
      <c r="ES552" s="39">
        <f t="shared" si="9178"/>
        <v>0</v>
      </c>
      <c r="ET552" s="39">
        <f t="shared" si="9178"/>
        <v>0</v>
      </c>
      <c r="EU552" s="39">
        <f t="shared" si="9178"/>
        <v>0</v>
      </c>
      <c r="EV552" s="39">
        <f t="shared" si="9178"/>
        <v>0</v>
      </c>
      <c r="EW552" s="39">
        <f t="shared" ref="EW552:EX552" si="9179">EW$1*ED552</f>
        <v>0</v>
      </c>
      <c r="EX552" s="39">
        <f t="shared" si="9179"/>
        <v>0</v>
      </c>
      <c r="EY552" s="2"/>
      <c r="EZ552" s="39">
        <f t="shared" si="8565"/>
        <v>0</v>
      </c>
      <c r="FA552" s="39">
        <f t="shared" si="8566"/>
        <v>0</v>
      </c>
      <c r="FB552" s="2">
        <f t="shared" si="8567"/>
        <v>0</v>
      </c>
      <c r="FC552" s="2">
        <f t="shared" ref="FC552:FD552" si="9180">BV552*$BT552+CQ552*$CO552</f>
        <v>0</v>
      </c>
      <c r="FD552" s="2">
        <f t="shared" si="9180"/>
        <v>0</v>
      </c>
      <c r="FE552" s="2">
        <f t="shared" ref="FE552:FJ552" si="9181">(BX552*$BT552+CS552*$CO552)/100</f>
        <v>0</v>
      </c>
      <c r="FF552" s="2">
        <f t="shared" si="9181"/>
        <v>0</v>
      </c>
      <c r="FG552" s="2">
        <f t="shared" si="9181"/>
        <v>0</v>
      </c>
      <c r="FH552" s="2">
        <f t="shared" si="9181"/>
        <v>0</v>
      </c>
      <c r="FI552" s="2">
        <f t="shared" si="9181"/>
        <v>0</v>
      </c>
      <c r="FJ552" s="2">
        <f t="shared" si="9181"/>
        <v>0</v>
      </c>
      <c r="FK552" s="2">
        <f t="shared" ref="FK552:FO552" si="9182">CD552*$BT552+CY552*$CO552</f>
        <v>0</v>
      </c>
      <c r="FL552" s="2">
        <f t="shared" si="9182"/>
        <v>0</v>
      </c>
      <c r="FM552" s="2">
        <f t="shared" si="9182"/>
        <v>0</v>
      </c>
      <c r="FN552" s="2">
        <f t="shared" si="9182"/>
        <v>0</v>
      </c>
      <c r="FO552" s="2">
        <f t="shared" si="9182"/>
        <v>0</v>
      </c>
      <c r="FP552" s="2">
        <f t="shared" ref="FP552:FQ552" si="9183">(CI552*$BT552+DD552*$CO552)/100</f>
        <v>0</v>
      </c>
      <c r="FQ552" s="2">
        <f t="shared" si="9183"/>
        <v>0</v>
      </c>
      <c r="FR552" s="2"/>
      <c r="FS552" s="2">
        <f t="shared" si="8572"/>
        <v>0</v>
      </c>
      <c r="FT552" s="2">
        <f t="shared" si="8573"/>
        <v>0</v>
      </c>
      <c r="FU552" s="39">
        <f t="shared" si="8574"/>
        <v>0</v>
      </c>
      <c r="FV552" s="39">
        <f t="shared" ref="FV552:FW552" si="9184">FV$1*FC552/1000000</f>
        <v>0</v>
      </c>
      <c r="FW552" s="39">
        <f t="shared" si="9184"/>
        <v>0</v>
      </c>
      <c r="FX552" s="39">
        <f t="shared" ref="FX552:GC552" si="9185">FX$1*FE552</f>
        <v>0</v>
      </c>
      <c r="FY552" s="39">
        <f t="shared" si="9185"/>
        <v>0</v>
      </c>
      <c r="FZ552" s="39">
        <f t="shared" si="9185"/>
        <v>0</v>
      </c>
      <c r="GA552" s="39">
        <f t="shared" si="9185"/>
        <v>0</v>
      </c>
      <c r="GB552" s="39">
        <f t="shared" si="9185"/>
        <v>0</v>
      </c>
      <c r="GC552" s="39">
        <f t="shared" si="9185"/>
        <v>0</v>
      </c>
      <c r="GD552" s="39">
        <f t="shared" ref="GD552:GH552" si="9186">GD$1*FK552/1000000</f>
        <v>0</v>
      </c>
      <c r="GE552" s="39">
        <f t="shared" si="9186"/>
        <v>0</v>
      </c>
      <c r="GF552" s="39">
        <f t="shared" si="9186"/>
        <v>0</v>
      </c>
      <c r="GG552" s="39">
        <f t="shared" si="9186"/>
        <v>0</v>
      </c>
      <c r="GH552" s="39">
        <f t="shared" si="9186"/>
        <v>0</v>
      </c>
      <c r="GI552" s="39">
        <f t="shared" ref="GI552:GJ552" si="9187">GI$1*FP552</f>
        <v>0</v>
      </c>
      <c r="GJ552" s="39">
        <f t="shared" si="9187"/>
        <v>0</v>
      </c>
      <c r="GK552" s="2"/>
      <c r="GL552" s="39">
        <f t="shared" si="8579"/>
        <v>0</v>
      </c>
      <c r="GM552" s="39">
        <f t="shared" si="8580"/>
        <v>0</v>
      </c>
      <c r="GN552" s="2" t="s">
        <v>3</v>
      </c>
      <c r="GO552" s="2">
        <f t="shared" si="8581"/>
        <v>20.83</v>
      </c>
      <c r="GP552" s="2">
        <f t="shared" si="8582"/>
        <v>0.7</v>
      </c>
      <c r="GQ552" s="15">
        <f t="shared" si="8583"/>
        <v>145.80999999999997</v>
      </c>
      <c r="GR552" s="15">
        <f t="shared" si="8584"/>
        <v>2265.5666513279998</v>
      </c>
      <c r="GS552" s="15">
        <f t="shared" si="8585"/>
        <v>108.76460160000001</v>
      </c>
      <c r="GT552" s="2">
        <f t="shared" si="8586"/>
        <v>0</v>
      </c>
      <c r="GU552" s="2">
        <f t="shared" si="8587"/>
        <v>0</v>
      </c>
      <c r="GV552" s="2">
        <f t="shared" si="8588"/>
        <v>145.80999999999997</v>
      </c>
      <c r="GW552" s="2">
        <f t="shared" si="8589"/>
        <v>0</v>
      </c>
      <c r="GX552" s="2"/>
      <c r="GY552" s="2"/>
      <c r="GZ552" s="2"/>
      <c r="HA552" s="2"/>
      <c r="HB552" s="2">
        <f t="shared" si="8590"/>
        <v>0</v>
      </c>
      <c r="HC552" s="2">
        <f t="shared" si="8591"/>
        <v>0</v>
      </c>
      <c r="HD552" s="2" t="s">
        <v>3</v>
      </c>
      <c r="HE552" s="2" t="s">
        <v>89</v>
      </c>
      <c r="HF552" s="2" t="s">
        <v>123</v>
      </c>
      <c r="HG552" s="2"/>
      <c r="HH552" s="2"/>
      <c r="HI552" s="2" t="s">
        <v>81</v>
      </c>
      <c r="HJ552" s="2" t="s">
        <v>3</v>
      </c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 t="s">
        <v>3</v>
      </c>
    </row>
    <row r="553" spans="1:268" ht="15.75" customHeight="1" x14ac:dyDescent="0.2">
      <c r="A553" s="16" t="s">
        <v>571</v>
      </c>
      <c r="B553" s="2" t="s">
        <v>99</v>
      </c>
      <c r="C553" s="2"/>
      <c r="D553" s="2"/>
      <c r="E553" s="2"/>
      <c r="F553" s="2" t="s">
        <v>79</v>
      </c>
      <c r="G553" s="2"/>
      <c r="H553" s="2"/>
      <c r="I553" s="2">
        <v>0</v>
      </c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>
        <v>0</v>
      </c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15">
        <f>6.42+107.76</f>
        <v>114.18</v>
      </c>
      <c r="AZ553" s="4">
        <f>(0.13*6.42+0.17*107.76)/AY553</f>
        <v>0.1677509196006306</v>
      </c>
      <c r="BA553" s="2"/>
      <c r="BB553" s="2"/>
      <c r="BC553" s="2"/>
      <c r="BD553" s="2"/>
      <c r="BE553" s="2"/>
      <c r="BF553" s="2"/>
      <c r="BG553" s="4">
        <f>(0.19*6.42+0.25*107.76)/AY553</f>
        <v>0.24662637940094587</v>
      </c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>
        <v>0</v>
      </c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>
        <v>0</v>
      </c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 t="s">
        <v>81</v>
      </c>
      <c r="DK553" s="2"/>
      <c r="DL553" s="2">
        <f t="shared" si="8551"/>
        <v>0.24662637940094587</v>
      </c>
      <c r="DM553" s="2">
        <f t="shared" si="8552"/>
        <v>0</v>
      </c>
      <c r="DN553" s="2" t="s">
        <v>572</v>
      </c>
      <c r="DO553" s="2" t="s">
        <v>3</v>
      </c>
      <c r="DP553" s="2">
        <f t="shared" si="8553"/>
        <v>0.19153800000000004</v>
      </c>
      <c r="DQ553" s="2">
        <f t="shared" ref="DQ553:DR553" si="9188">K553*$I553+AF553*$AD553+BA553*$AY553</f>
        <v>0</v>
      </c>
      <c r="DR553" s="2">
        <f t="shared" si="9188"/>
        <v>0</v>
      </c>
      <c r="DS553" s="2">
        <f t="shared" ref="DS553:DX553" si="9189">(M553*$I553+AH553*$AD553+BC553*$AY553)/100</f>
        <v>0</v>
      </c>
      <c r="DT553" s="2">
        <f t="shared" si="9189"/>
        <v>0</v>
      </c>
      <c r="DU553" s="2">
        <f t="shared" si="9189"/>
        <v>0</v>
      </c>
      <c r="DV553" s="2">
        <f t="shared" si="9189"/>
        <v>0</v>
      </c>
      <c r="DW553" s="2">
        <f t="shared" si="9189"/>
        <v>0.28159800000000001</v>
      </c>
      <c r="DX553" s="2">
        <f t="shared" si="9189"/>
        <v>0</v>
      </c>
      <c r="DY553" s="2">
        <f t="shared" ref="DY553:EC553" si="9190">S553*$I553+AN553*$AD553+BI553*$AY553</f>
        <v>0</v>
      </c>
      <c r="DZ553" s="2">
        <f t="shared" si="9190"/>
        <v>0</v>
      </c>
      <c r="EA553" s="2">
        <f t="shared" si="9190"/>
        <v>0</v>
      </c>
      <c r="EB553" s="2">
        <f t="shared" si="9190"/>
        <v>0</v>
      </c>
      <c r="EC553" s="2">
        <f t="shared" si="9190"/>
        <v>0</v>
      </c>
      <c r="ED553" s="2">
        <f t="shared" ref="ED553:EE553" si="9191">(X553*$I553+AS553*$AD553+BN553*$AY553)/100</f>
        <v>0</v>
      </c>
      <c r="EE553" s="2">
        <f t="shared" si="9191"/>
        <v>0</v>
      </c>
      <c r="EF553" s="2"/>
      <c r="EG553" s="2">
        <f t="shared" si="8558"/>
        <v>0</v>
      </c>
      <c r="EH553" s="2">
        <f t="shared" si="8559"/>
        <v>0</v>
      </c>
      <c r="EI553" s="39">
        <f t="shared" si="8560"/>
        <v>1249.9034374080002</v>
      </c>
      <c r="EJ553" s="39">
        <f t="shared" ref="EJ553:EK553" si="9192">EJ$1*DQ553/1000000</f>
        <v>0</v>
      </c>
      <c r="EK553" s="39">
        <f t="shared" si="9192"/>
        <v>0</v>
      </c>
      <c r="EL553" s="39">
        <f t="shared" ref="EL553:EQ553" si="9193">EL$1*DS553</f>
        <v>0</v>
      </c>
      <c r="EM553" s="39">
        <f t="shared" si="9193"/>
        <v>0</v>
      </c>
      <c r="EN553" s="39">
        <f t="shared" si="9193"/>
        <v>0</v>
      </c>
      <c r="EO553" s="39">
        <f t="shared" si="9193"/>
        <v>0</v>
      </c>
      <c r="EP553" s="39">
        <f t="shared" si="9193"/>
        <v>3692.8761720000002</v>
      </c>
      <c r="EQ553" s="39">
        <f t="shared" si="9193"/>
        <v>0</v>
      </c>
      <c r="ER553" s="39">
        <f t="shared" ref="ER553:EV553" si="9194">ER$1*DY553/1000000</f>
        <v>0</v>
      </c>
      <c r="ES553" s="39">
        <f t="shared" si="9194"/>
        <v>0</v>
      </c>
      <c r="ET553" s="39">
        <f t="shared" si="9194"/>
        <v>0</v>
      </c>
      <c r="EU553" s="39">
        <f t="shared" si="9194"/>
        <v>0</v>
      </c>
      <c r="EV553" s="39">
        <f t="shared" si="9194"/>
        <v>0</v>
      </c>
      <c r="EW553" s="39">
        <f t="shared" ref="EW553:EX553" si="9195">EW$1*ED553</f>
        <v>0</v>
      </c>
      <c r="EX553" s="39">
        <f t="shared" si="9195"/>
        <v>0</v>
      </c>
      <c r="EY553" s="2"/>
      <c r="EZ553" s="39">
        <f t="shared" si="8565"/>
        <v>0</v>
      </c>
      <c r="FA553" s="39">
        <f t="shared" si="8566"/>
        <v>0</v>
      </c>
      <c r="FB553" s="2">
        <f t="shared" si="8567"/>
        <v>0</v>
      </c>
      <c r="FC553" s="2">
        <f t="shared" ref="FC553:FD553" si="9196">BV553*$BT553+CQ553*$CO553</f>
        <v>0</v>
      </c>
      <c r="FD553" s="2">
        <f t="shared" si="9196"/>
        <v>0</v>
      </c>
      <c r="FE553" s="2">
        <f t="shared" ref="FE553:FJ553" si="9197">(BX553*$BT553+CS553*$CO553)/100</f>
        <v>0</v>
      </c>
      <c r="FF553" s="2">
        <f t="shared" si="9197"/>
        <v>0</v>
      </c>
      <c r="FG553" s="2">
        <f t="shared" si="9197"/>
        <v>0</v>
      </c>
      <c r="FH553" s="2">
        <f t="shared" si="9197"/>
        <v>0</v>
      </c>
      <c r="FI553" s="2">
        <f t="shared" si="9197"/>
        <v>0</v>
      </c>
      <c r="FJ553" s="2">
        <f t="shared" si="9197"/>
        <v>0</v>
      </c>
      <c r="FK553" s="2">
        <f t="shared" ref="FK553:FO553" si="9198">CD553*$BT553+CY553*$CO553</f>
        <v>0</v>
      </c>
      <c r="FL553" s="2">
        <f t="shared" si="9198"/>
        <v>0</v>
      </c>
      <c r="FM553" s="2">
        <f t="shared" si="9198"/>
        <v>0</v>
      </c>
      <c r="FN553" s="2">
        <f t="shared" si="9198"/>
        <v>0</v>
      </c>
      <c r="FO553" s="2">
        <f t="shared" si="9198"/>
        <v>0</v>
      </c>
      <c r="FP553" s="2">
        <f t="shared" ref="FP553:FQ553" si="9199">(CI553*$BT553+DD553*$CO553)/100</f>
        <v>0</v>
      </c>
      <c r="FQ553" s="2">
        <f t="shared" si="9199"/>
        <v>0</v>
      </c>
      <c r="FR553" s="2"/>
      <c r="FS553" s="2">
        <f t="shared" si="8572"/>
        <v>0</v>
      </c>
      <c r="FT553" s="2">
        <f t="shared" si="8573"/>
        <v>0</v>
      </c>
      <c r="FU553" s="39">
        <f t="shared" si="8574"/>
        <v>0</v>
      </c>
      <c r="FV553" s="39">
        <f t="shared" ref="FV553:FW553" si="9200">FV$1*FC553/1000000</f>
        <v>0</v>
      </c>
      <c r="FW553" s="39">
        <f t="shared" si="9200"/>
        <v>0</v>
      </c>
      <c r="FX553" s="39">
        <f t="shared" ref="FX553:GC553" si="9201">FX$1*FE553</f>
        <v>0</v>
      </c>
      <c r="FY553" s="39">
        <f t="shared" si="9201"/>
        <v>0</v>
      </c>
      <c r="FZ553" s="39">
        <f t="shared" si="9201"/>
        <v>0</v>
      </c>
      <c r="GA553" s="39">
        <f t="shared" si="9201"/>
        <v>0</v>
      </c>
      <c r="GB553" s="39">
        <f t="shared" si="9201"/>
        <v>0</v>
      </c>
      <c r="GC553" s="39">
        <f t="shared" si="9201"/>
        <v>0</v>
      </c>
      <c r="GD553" s="39">
        <f t="shared" ref="GD553:GH553" si="9202">GD$1*FK553/1000000</f>
        <v>0</v>
      </c>
      <c r="GE553" s="39">
        <f t="shared" si="9202"/>
        <v>0</v>
      </c>
      <c r="GF553" s="39">
        <f t="shared" si="9202"/>
        <v>0</v>
      </c>
      <c r="GG553" s="39">
        <f t="shared" si="9202"/>
        <v>0</v>
      </c>
      <c r="GH553" s="39">
        <f t="shared" si="9202"/>
        <v>0</v>
      </c>
      <c r="GI553" s="39">
        <f t="shared" ref="GI553:GJ553" si="9203">GI$1*FP553</f>
        <v>0</v>
      </c>
      <c r="GJ553" s="39">
        <f t="shared" si="9203"/>
        <v>0</v>
      </c>
      <c r="GK553" s="2"/>
      <c r="GL553" s="39">
        <f t="shared" si="8579"/>
        <v>0</v>
      </c>
      <c r="GM553" s="39">
        <f t="shared" si="8580"/>
        <v>0</v>
      </c>
      <c r="GN553" s="2" t="s">
        <v>3</v>
      </c>
      <c r="GO553" s="15">
        <f t="shared" si="8581"/>
        <v>114.18</v>
      </c>
      <c r="GP553" s="4">
        <f t="shared" si="8582"/>
        <v>0.24662637940094587</v>
      </c>
      <c r="GQ553" s="15">
        <f t="shared" si="8583"/>
        <v>281.59800000000001</v>
      </c>
      <c r="GR553" s="15">
        <f t="shared" si="8584"/>
        <v>4942.7796094080004</v>
      </c>
      <c r="GS553" s="15">
        <f t="shared" si="8585"/>
        <v>43.289364244245931</v>
      </c>
      <c r="GT553" s="2">
        <f t="shared" si="8586"/>
        <v>0</v>
      </c>
      <c r="GU553" s="2">
        <f t="shared" si="8587"/>
        <v>0</v>
      </c>
      <c r="GV553" s="2">
        <f t="shared" si="8588"/>
        <v>281.59800000000001</v>
      </c>
      <c r="GW553" s="2">
        <f t="shared" si="8589"/>
        <v>0</v>
      </c>
      <c r="GX553" s="2"/>
      <c r="GY553" s="2"/>
      <c r="GZ553" s="2"/>
      <c r="HA553" s="2"/>
      <c r="HB553" s="2">
        <f t="shared" si="8590"/>
        <v>0</v>
      </c>
      <c r="HC553" s="2">
        <f t="shared" si="8591"/>
        <v>0</v>
      </c>
      <c r="HD553" s="2" t="s">
        <v>3</v>
      </c>
      <c r="HE553" s="2" t="s">
        <v>89</v>
      </c>
      <c r="HF553" s="2" t="s">
        <v>123</v>
      </c>
      <c r="HG553" s="2"/>
      <c r="HH553" s="2" t="s">
        <v>130</v>
      </c>
      <c r="HI553" s="2" t="s">
        <v>81</v>
      </c>
      <c r="HJ553" s="2" t="s">
        <v>3</v>
      </c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 t="s">
        <v>3</v>
      </c>
    </row>
    <row r="554" spans="1:268" ht="15.75" customHeight="1" x14ac:dyDescent="0.2">
      <c r="A554" s="16" t="s">
        <v>119</v>
      </c>
      <c r="B554" s="2" t="s">
        <v>120</v>
      </c>
      <c r="C554" s="2"/>
      <c r="D554" s="2"/>
      <c r="E554" s="2"/>
      <c r="F554" s="2" t="s">
        <v>121</v>
      </c>
      <c r="G554" s="2"/>
      <c r="H554" s="2"/>
      <c r="I554" s="2">
        <f>3.903+0.361</f>
        <v>4.2640000000000002</v>
      </c>
      <c r="J554" s="4">
        <f>(0.6*3.903+0.4*0.361)/I554</f>
        <v>0.58306754221388368</v>
      </c>
      <c r="K554" s="2">
        <v>0.14000000000000001</v>
      </c>
      <c r="L554" s="2"/>
      <c r="M554" s="2"/>
      <c r="N554" s="2"/>
      <c r="O554" s="2"/>
      <c r="P554" s="2"/>
      <c r="Q554" s="2">
        <f>(0.6*3.903+0.6*0.361)/I554</f>
        <v>0.6</v>
      </c>
      <c r="R554" s="2">
        <v>0.01</v>
      </c>
      <c r="S554" s="4">
        <f>0.35*0.51</f>
        <v>0.17849999999999999</v>
      </c>
      <c r="T554" s="4">
        <f>0.5*0.51</f>
        <v>0.255</v>
      </c>
      <c r="U554" s="4">
        <f>0.15*0.51</f>
        <v>7.6499999999999999E-2</v>
      </c>
      <c r="V554" s="2"/>
      <c r="W554" s="2"/>
      <c r="X554" s="2"/>
      <c r="Y554" s="2"/>
      <c r="Z554" s="2"/>
      <c r="AA554" s="2"/>
      <c r="AB554" s="2"/>
      <c r="AC554" s="2"/>
      <c r="AD554" s="2">
        <v>1.5269999999999999</v>
      </c>
      <c r="AE554" s="2">
        <v>0.5</v>
      </c>
      <c r="AF554" s="2">
        <v>0.14000000000000001</v>
      </c>
      <c r="AG554" s="2"/>
      <c r="AH554" s="2"/>
      <c r="AI554" s="2"/>
      <c r="AJ554" s="2"/>
      <c r="AK554" s="2"/>
      <c r="AL554" s="2">
        <v>0.6</v>
      </c>
      <c r="AM554" s="2">
        <v>0.01</v>
      </c>
      <c r="AN554" s="4">
        <f>0.35*0.51</f>
        <v>0.17849999999999999</v>
      </c>
      <c r="AO554" s="4">
        <f>0.5*0.51</f>
        <v>0.255</v>
      </c>
      <c r="AP554" s="4">
        <f>0.15*0.51</f>
        <v>7.6499999999999999E-2</v>
      </c>
      <c r="AQ554" s="2"/>
      <c r="AR554" s="2"/>
      <c r="AS554" s="2"/>
      <c r="AT554" s="2"/>
      <c r="AU554" s="2"/>
      <c r="AV554" s="2"/>
      <c r="AW554" s="2"/>
      <c r="AX554" s="2"/>
      <c r="AY554" s="2">
        <v>4.2999999999999997E-2</v>
      </c>
      <c r="AZ554" s="2">
        <v>0.2</v>
      </c>
      <c r="BA554" s="2">
        <v>0.14000000000000001</v>
      </c>
      <c r="BB554" s="2"/>
      <c r="BC554" s="2"/>
      <c r="BD554" s="2"/>
      <c r="BE554" s="2"/>
      <c r="BF554" s="2"/>
      <c r="BG554" s="4">
        <v>0.4</v>
      </c>
      <c r="BH554" s="2">
        <v>0.01</v>
      </c>
      <c r="BI554" s="4">
        <f>0.35*0.51</f>
        <v>0.17849999999999999</v>
      </c>
      <c r="BJ554" s="4">
        <f>0.5*0.51</f>
        <v>0.255</v>
      </c>
      <c r="BK554" s="4">
        <f>0.15*0.51</f>
        <v>7.6499999999999999E-2</v>
      </c>
      <c r="BL554" s="4"/>
      <c r="BM554" s="4"/>
      <c r="BN554" s="2"/>
      <c r="BO554" s="2"/>
      <c r="BP554" s="2"/>
      <c r="BQ554" s="2"/>
      <c r="BR554" s="2"/>
      <c r="BS554" s="2"/>
      <c r="BT554" s="2">
        <f>1.8+0.361</f>
        <v>2.161</v>
      </c>
      <c r="BU554" s="4">
        <f>(0.6*1.8+0.4*0.361)/BT554</f>
        <v>0.56658954187875987</v>
      </c>
      <c r="BV554" s="2">
        <v>0.14000000000000001</v>
      </c>
      <c r="BW554" s="2"/>
      <c r="BX554" s="2"/>
      <c r="BY554" s="2"/>
      <c r="BZ554" s="2"/>
      <c r="CA554" s="2"/>
      <c r="CB554" s="4">
        <f>(0.7*1.8+0.6*0.361)/BT554</f>
        <v>0.68329477093937985</v>
      </c>
      <c r="CC554" s="2">
        <v>0.01</v>
      </c>
      <c r="CD554" s="4">
        <f>0.35*0.51</f>
        <v>0.17849999999999999</v>
      </c>
      <c r="CE554" s="4">
        <f>0.5*0.51</f>
        <v>0.255</v>
      </c>
      <c r="CF554" s="4">
        <f>0.15*0.51</f>
        <v>7.6499999999999999E-2</v>
      </c>
      <c r="CG554" s="4"/>
      <c r="CH554" s="4"/>
      <c r="CI554" s="2"/>
      <c r="CJ554" s="2"/>
      <c r="CK554" s="2"/>
      <c r="CL554" s="2"/>
      <c r="CM554" s="2"/>
      <c r="CN554" s="2"/>
      <c r="CO554" s="2">
        <v>1.2889999999999999</v>
      </c>
      <c r="CP554" s="2">
        <v>0.5</v>
      </c>
      <c r="CQ554" s="2">
        <v>0.14000000000000001</v>
      </c>
      <c r="CR554" s="2"/>
      <c r="CS554" s="2"/>
      <c r="CT554" s="2"/>
      <c r="CU554" s="2"/>
      <c r="CV554" s="2"/>
      <c r="CW554" s="2">
        <v>0.6</v>
      </c>
      <c r="CX554" s="2">
        <v>0.01</v>
      </c>
      <c r="CY554" s="4">
        <f>0.35*0.51</f>
        <v>0.17849999999999999</v>
      </c>
      <c r="CZ554" s="4">
        <f>0.5*0.51</f>
        <v>0.255</v>
      </c>
      <c r="DA554" s="4">
        <f>0.15*0.51</f>
        <v>7.6499999999999999E-2</v>
      </c>
      <c r="DB554" s="4"/>
      <c r="DC554" s="4"/>
      <c r="DD554" s="2"/>
      <c r="DE554" s="2"/>
      <c r="DF554" s="2"/>
      <c r="DG554" s="2"/>
      <c r="DH554" s="2"/>
      <c r="DI554" s="2"/>
      <c r="DJ554" s="2" t="s">
        <v>81</v>
      </c>
      <c r="DK554" s="2" t="s">
        <v>100</v>
      </c>
      <c r="DL554" s="2">
        <f t="shared" si="8551"/>
        <v>0.5985258827562564</v>
      </c>
      <c r="DM554" s="2">
        <f t="shared" si="8552"/>
        <v>0.01</v>
      </c>
      <c r="DN554" s="2" t="s">
        <v>122</v>
      </c>
      <c r="DO554" s="2" t="s">
        <v>3</v>
      </c>
      <c r="DP554" s="2">
        <f t="shared" si="8553"/>
        <v>3.2583000000000001E-2</v>
      </c>
      <c r="DQ554" s="2">
        <f t="shared" ref="DQ554:DR554" si="9204">K554*$I554+AF554*$AD554+BA554*$AY554</f>
        <v>0.81676000000000004</v>
      </c>
      <c r="DR554" s="2">
        <f t="shared" si="9204"/>
        <v>0</v>
      </c>
      <c r="DS554" s="2">
        <f t="shared" ref="DS554:DX554" si="9205">(M554*$I554+AH554*$AD554+BC554*$AY554)/100</f>
        <v>0</v>
      </c>
      <c r="DT554" s="2">
        <f t="shared" si="9205"/>
        <v>0</v>
      </c>
      <c r="DU554" s="2">
        <f t="shared" si="9205"/>
        <v>0</v>
      </c>
      <c r="DV554" s="2">
        <f t="shared" si="9205"/>
        <v>0</v>
      </c>
      <c r="DW554" s="2">
        <f t="shared" si="9205"/>
        <v>3.4917999999999998E-2</v>
      </c>
      <c r="DX554" s="2">
        <f t="shared" si="9205"/>
        <v>5.8339999999999998E-4</v>
      </c>
      <c r="DY554" s="2">
        <f t="shared" ref="DY554:EC554" si="9206">S554*$I554+AN554*$AD554+BI554*$AY554</f>
        <v>1.041369</v>
      </c>
      <c r="DZ554" s="2">
        <f t="shared" si="9206"/>
        <v>1.4876699999999998</v>
      </c>
      <c r="EA554" s="2">
        <f t="shared" si="9206"/>
        <v>0.446301</v>
      </c>
      <c r="EB554" s="2">
        <f t="shared" si="9206"/>
        <v>0</v>
      </c>
      <c r="EC554" s="2">
        <f t="shared" si="9206"/>
        <v>0</v>
      </c>
      <c r="ED554" s="2">
        <f t="shared" ref="ED554:EE554" si="9207">(X554*$I554+AS554*$AD554+BN554*$AY554)/100</f>
        <v>0</v>
      </c>
      <c r="EE554" s="2">
        <f t="shared" si="9207"/>
        <v>0</v>
      </c>
      <c r="EF554" s="2"/>
      <c r="EG554" s="2">
        <f t="shared" si="8558"/>
        <v>0</v>
      </c>
      <c r="EH554" s="2">
        <f t="shared" si="8559"/>
        <v>0</v>
      </c>
      <c r="EI554" s="39">
        <f t="shared" si="8560"/>
        <v>212.62414612800001</v>
      </c>
      <c r="EJ554" s="39">
        <f t="shared" ref="EJ554:EK554" si="9208">EJ$1*DQ554/1000000</f>
        <v>33.405746623794208</v>
      </c>
      <c r="EK554" s="39">
        <f t="shared" si="9208"/>
        <v>0</v>
      </c>
      <c r="EL554" s="39">
        <f t="shared" ref="EL554:EQ554" si="9209">EL$1*DS554</f>
        <v>0</v>
      </c>
      <c r="EM554" s="39">
        <f t="shared" si="9209"/>
        <v>0</v>
      </c>
      <c r="EN554" s="39">
        <f t="shared" si="9209"/>
        <v>0</v>
      </c>
      <c r="EO554" s="39">
        <f t="shared" si="9209"/>
        <v>0</v>
      </c>
      <c r="EP554" s="39">
        <f t="shared" si="9209"/>
        <v>457.91465199999999</v>
      </c>
      <c r="EQ554" s="39">
        <f t="shared" si="9209"/>
        <v>42.366230301599991</v>
      </c>
      <c r="ER554" s="39">
        <f t="shared" ref="ER554:EV554" si="9210">ER$1*DY554/1000000</f>
        <v>29.555458570418001</v>
      </c>
      <c r="ES554" s="39">
        <f t="shared" si="9210"/>
        <v>49.57767903858521</v>
      </c>
      <c r="ET554" s="39">
        <f t="shared" si="9210"/>
        <v>31.934199848874602</v>
      </c>
      <c r="EU554" s="39">
        <f t="shared" si="9210"/>
        <v>0</v>
      </c>
      <c r="EV554" s="39">
        <f t="shared" si="9210"/>
        <v>0</v>
      </c>
      <c r="EW554" s="39">
        <f t="shared" ref="EW554:EX554" si="9211">EW$1*ED554</f>
        <v>0</v>
      </c>
      <c r="EX554" s="39">
        <f t="shared" si="9211"/>
        <v>0</v>
      </c>
      <c r="EY554" s="2"/>
      <c r="EZ554" s="39">
        <f t="shared" si="8565"/>
        <v>0</v>
      </c>
      <c r="FA554" s="39">
        <f t="shared" si="8566"/>
        <v>0</v>
      </c>
      <c r="FB554" s="2">
        <f t="shared" si="8567"/>
        <v>1.8689000000000001E-2</v>
      </c>
      <c r="FC554" s="2">
        <f t="shared" ref="FC554:FD554" si="9212">BV554*$BT554+CQ554*$CO554</f>
        <v>0.48300000000000004</v>
      </c>
      <c r="FD554" s="2">
        <f t="shared" si="9212"/>
        <v>0</v>
      </c>
      <c r="FE554" s="2">
        <f t="shared" ref="FE554:FJ554" si="9213">(BX554*$BT554+CS554*$CO554)/100</f>
        <v>0</v>
      </c>
      <c r="FF554" s="2">
        <f t="shared" si="9213"/>
        <v>0</v>
      </c>
      <c r="FG554" s="2">
        <f t="shared" si="9213"/>
        <v>0</v>
      </c>
      <c r="FH554" s="2">
        <f t="shared" si="9213"/>
        <v>0</v>
      </c>
      <c r="FI554" s="2">
        <f t="shared" si="9213"/>
        <v>2.2499999999999999E-2</v>
      </c>
      <c r="FJ554" s="2">
        <f t="shared" si="9213"/>
        <v>3.4500000000000004E-4</v>
      </c>
      <c r="FK554" s="2">
        <f t="shared" ref="FK554:FO554" si="9214">CD554*$BT554+CY554*$CO554</f>
        <v>0.61582499999999996</v>
      </c>
      <c r="FL554" s="2">
        <f t="shared" si="9214"/>
        <v>0.87975000000000003</v>
      </c>
      <c r="FM554" s="2">
        <f t="shared" si="9214"/>
        <v>0.26392499999999997</v>
      </c>
      <c r="FN554" s="2">
        <f t="shared" si="9214"/>
        <v>0</v>
      </c>
      <c r="FO554" s="2">
        <f t="shared" si="9214"/>
        <v>0</v>
      </c>
      <c r="FP554" s="2">
        <f t="shared" ref="FP554:FQ554" si="9215">(CI554*$BT554+DD554*$CO554)/100</f>
        <v>0</v>
      </c>
      <c r="FQ554" s="2">
        <f t="shared" si="9215"/>
        <v>0</v>
      </c>
      <c r="FR554" s="2"/>
      <c r="FS554" s="2">
        <f t="shared" si="8572"/>
        <v>0</v>
      </c>
      <c r="FT554" s="2">
        <f t="shared" si="8573"/>
        <v>0</v>
      </c>
      <c r="FU554" s="39">
        <f t="shared" si="8574"/>
        <v>121.957237424</v>
      </c>
      <c r="FV554" s="39">
        <f t="shared" ref="FV554:FW554" si="9216">FV$1*FC554/1000000</f>
        <v>19.75485530546624</v>
      </c>
      <c r="FW554" s="39">
        <f t="shared" si="9216"/>
        <v>0</v>
      </c>
      <c r="FX554" s="39">
        <f t="shared" ref="FX554:GC554" si="9217">FX$1*FE554</f>
        <v>0</v>
      </c>
      <c r="FY554" s="39">
        <f t="shared" si="9217"/>
        <v>0</v>
      </c>
      <c r="FZ554" s="39">
        <f t="shared" si="9217"/>
        <v>0</v>
      </c>
      <c r="GA554" s="39">
        <f t="shared" si="9217"/>
        <v>0</v>
      </c>
      <c r="GB554" s="39">
        <f t="shared" si="9217"/>
        <v>295.065</v>
      </c>
      <c r="GC554" s="39">
        <f t="shared" si="9217"/>
        <v>25.05373578</v>
      </c>
      <c r="GD554" s="39">
        <f t="shared" ref="GD554:GH554" si="9218">GD$1*FK554/1000000</f>
        <v>17.4779451607717</v>
      </c>
      <c r="GE554" s="39">
        <f t="shared" si="9218"/>
        <v>29.31830522508039</v>
      </c>
      <c r="GF554" s="39">
        <f t="shared" si="9218"/>
        <v>18.884639951768488</v>
      </c>
      <c r="GG554" s="39">
        <f t="shared" si="9218"/>
        <v>0</v>
      </c>
      <c r="GH554" s="39">
        <f t="shared" si="9218"/>
        <v>0</v>
      </c>
      <c r="GI554" s="39">
        <f t="shared" ref="GI554:GJ554" si="9219">GI$1*FP554</f>
        <v>0</v>
      </c>
      <c r="GJ554" s="39">
        <f t="shared" si="9219"/>
        <v>0</v>
      </c>
      <c r="GK554" s="2"/>
      <c r="GL554" s="39">
        <f t="shared" si="8579"/>
        <v>0</v>
      </c>
      <c r="GM554" s="39">
        <f t="shared" si="8580"/>
        <v>0</v>
      </c>
      <c r="GN554" s="2" t="s">
        <v>3</v>
      </c>
      <c r="GO554" s="2">
        <f t="shared" si="8581"/>
        <v>5.8340000000000005</v>
      </c>
      <c r="GP554" s="4">
        <f t="shared" si="8582"/>
        <v>0.5985258827562564</v>
      </c>
      <c r="GQ554" s="15">
        <f t="shared" si="8583"/>
        <v>34.917999999999999</v>
      </c>
      <c r="GR554" s="15">
        <f t="shared" si="8584"/>
        <v>857.37811251127198</v>
      </c>
      <c r="GS554" s="15">
        <f t="shared" si="8585"/>
        <v>146.96230930943983</v>
      </c>
      <c r="GT554" s="2">
        <f t="shared" si="8586"/>
        <v>25.584</v>
      </c>
      <c r="GU554" s="2">
        <f t="shared" si="8587"/>
        <v>9.161999999999999</v>
      </c>
      <c r="GV554" s="2">
        <f t="shared" si="8588"/>
        <v>0.17199999999999999</v>
      </c>
      <c r="GW554" s="2">
        <f t="shared" si="8589"/>
        <v>3.45</v>
      </c>
      <c r="GX554" s="4">
        <f>(BT554*CB554+CO554*CW554)/GW554</f>
        <v>0.65217391304347827</v>
      </c>
      <c r="GY554" s="15">
        <f>1000*GW554*GX554/100</f>
        <v>22.5</v>
      </c>
      <c r="GZ554" s="15">
        <f>SUM(FU554:GM554)</f>
        <v>527.51171884708685</v>
      </c>
      <c r="HA554" s="15">
        <f>GZ554/GW554</f>
        <v>152.90194749190923</v>
      </c>
      <c r="HB554" s="2">
        <f t="shared" si="8590"/>
        <v>14.765999999999998</v>
      </c>
      <c r="HC554" s="2">
        <f t="shared" si="8591"/>
        <v>7.734</v>
      </c>
      <c r="HD554" s="2" t="s">
        <v>3</v>
      </c>
      <c r="HE554" s="2" t="s">
        <v>89</v>
      </c>
      <c r="HF554" s="2" t="s">
        <v>123</v>
      </c>
      <c r="HG554" s="2"/>
      <c r="HH554" s="2"/>
      <c r="HI554" s="2" t="s">
        <v>81</v>
      </c>
      <c r="HJ554" s="2" t="s">
        <v>3</v>
      </c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 t="s">
        <v>3</v>
      </c>
    </row>
    <row r="555" spans="1:268" ht="15.75" customHeight="1" x14ac:dyDescent="0.2">
      <c r="A555" s="16" t="s">
        <v>1061</v>
      </c>
      <c r="B555" s="2" t="s">
        <v>99</v>
      </c>
      <c r="C555" s="2"/>
      <c r="D555" s="2"/>
      <c r="E555" s="2"/>
      <c r="F555" s="2" t="s">
        <v>1062</v>
      </c>
      <c r="G555" s="2"/>
      <c r="H555" s="2"/>
      <c r="I555" s="2">
        <v>0</v>
      </c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>
        <v>225.4</v>
      </c>
      <c r="AE555" s="2"/>
      <c r="AF555" s="2"/>
      <c r="AG555" s="2"/>
      <c r="AH555" s="2"/>
      <c r="AI555" s="2"/>
      <c r="AJ555" s="2"/>
      <c r="AK555" s="2">
        <v>0.17599999999999999</v>
      </c>
      <c r="AL555" s="2">
        <v>3.0000000000000001E-3</v>
      </c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>
        <v>86.5</v>
      </c>
      <c r="AZ555" s="2"/>
      <c r="BA555" s="2"/>
      <c r="BB555" s="2"/>
      <c r="BC555" s="2"/>
      <c r="BD555" s="2"/>
      <c r="BE555" s="2"/>
      <c r="BF555" s="2"/>
      <c r="BG555" s="19">
        <v>0.1</v>
      </c>
      <c r="BH555" s="2">
        <v>3.0000000000000001E-3</v>
      </c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>
        <v>0</v>
      </c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>
        <v>0</v>
      </c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 t="s">
        <v>81</v>
      </c>
      <c r="DK555" s="2" t="s">
        <v>81</v>
      </c>
      <c r="DL555" s="2">
        <f t="shared" si="8551"/>
        <v>2.9901250400769481E-2</v>
      </c>
      <c r="DM555" s="2">
        <f t="shared" si="8552"/>
        <v>8.3199743507534479E-4</v>
      </c>
      <c r="DN555" s="2" t="s">
        <v>808</v>
      </c>
      <c r="DO555" s="2" t="s">
        <v>3</v>
      </c>
      <c r="DP555" s="2">
        <f t="shared" si="8553"/>
        <v>0</v>
      </c>
      <c r="DQ555" s="2">
        <f t="shared" ref="DQ555:DR555" si="9220">K555*$I555+AF555*$AD555+BA555*$AY555</f>
        <v>0</v>
      </c>
      <c r="DR555" s="2">
        <f t="shared" si="9220"/>
        <v>0</v>
      </c>
      <c r="DS555" s="2">
        <f t="shared" ref="DS555:DX555" si="9221">(M555*$I555+AH555*$AD555+BC555*$AY555)/100</f>
        <v>0</v>
      </c>
      <c r="DT555" s="2">
        <f t="shared" si="9221"/>
        <v>0</v>
      </c>
      <c r="DU555" s="2">
        <f t="shared" si="9221"/>
        <v>0</v>
      </c>
      <c r="DV555" s="2">
        <f t="shared" si="9221"/>
        <v>0.396704</v>
      </c>
      <c r="DW555" s="2">
        <f t="shared" si="9221"/>
        <v>9.3261999999999998E-2</v>
      </c>
      <c r="DX555" s="2">
        <f t="shared" si="9221"/>
        <v>2.5950000000000001E-3</v>
      </c>
      <c r="DY555" s="2">
        <f t="shared" ref="DY555:EC555" si="9222">S555*$I555+AN555*$AD555+BI555*$AY555</f>
        <v>0</v>
      </c>
      <c r="DZ555" s="2">
        <f t="shared" si="9222"/>
        <v>0</v>
      </c>
      <c r="EA555" s="2">
        <f t="shared" si="9222"/>
        <v>0</v>
      </c>
      <c r="EB555" s="2">
        <f t="shared" si="9222"/>
        <v>0</v>
      </c>
      <c r="EC555" s="2">
        <f t="shared" si="9222"/>
        <v>0</v>
      </c>
      <c r="ED555" s="2">
        <f t="shared" ref="ED555:EE555" si="9223">(X555*$I555+AS555*$AD555+BN555*$AY555)/100</f>
        <v>0</v>
      </c>
      <c r="EE555" s="2">
        <f t="shared" si="9223"/>
        <v>0</v>
      </c>
      <c r="EF555" s="2"/>
      <c r="EG555" s="2">
        <f t="shared" si="8558"/>
        <v>0</v>
      </c>
      <c r="EH555" s="2">
        <f t="shared" si="8559"/>
        <v>0</v>
      </c>
      <c r="EI555" s="39">
        <f t="shared" si="8560"/>
        <v>0</v>
      </c>
      <c r="EJ555" s="39">
        <f t="shared" ref="EJ555:EK555" si="9224">EJ$1*DQ555/1000000</f>
        <v>0</v>
      </c>
      <c r="EK555" s="39">
        <f t="shared" si="9224"/>
        <v>0</v>
      </c>
      <c r="EL555" s="39">
        <f t="shared" ref="EL555:EQ555" si="9225">EL$1*DS555</f>
        <v>0</v>
      </c>
      <c r="EM555" s="39">
        <f t="shared" si="9225"/>
        <v>0</v>
      </c>
      <c r="EN555" s="39">
        <f t="shared" si="9225"/>
        <v>0</v>
      </c>
      <c r="EO555" s="39">
        <f t="shared" si="9225"/>
        <v>1160.5592181567999</v>
      </c>
      <c r="EP555" s="39">
        <f t="shared" si="9225"/>
        <v>1223.0378679999999</v>
      </c>
      <c r="EQ555" s="39">
        <f t="shared" si="9225"/>
        <v>188.44766477999997</v>
      </c>
      <c r="ER555" s="39">
        <f t="shared" ref="ER555:EV555" si="9226">ER$1*DY555/1000000</f>
        <v>0</v>
      </c>
      <c r="ES555" s="39">
        <f t="shared" si="9226"/>
        <v>0</v>
      </c>
      <c r="ET555" s="39">
        <f t="shared" si="9226"/>
        <v>0</v>
      </c>
      <c r="EU555" s="39">
        <f t="shared" si="9226"/>
        <v>0</v>
      </c>
      <c r="EV555" s="39">
        <f t="shared" si="9226"/>
        <v>0</v>
      </c>
      <c r="EW555" s="39">
        <f t="shared" ref="EW555:EX555" si="9227">EW$1*ED555</f>
        <v>0</v>
      </c>
      <c r="EX555" s="39">
        <f t="shared" si="9227"/>
        <v>0</v>
      </c>
      <c r="EY555" s="2"/>
      <c r="EZ555" s="39">
        <f t="shared" si="8565"/>
        <v>0</v>
      </c>
      <c r="FA555" s="39">
        <f t="shared" si="8566"/>
        <v>0</v>
      </c>
      <c r="FB555" s="2">
        <f t="shared" si="8567"/>
        <v>0</v>
      </c>
      <c r="FC555" s="2">
        <f t="shared" ref="FC555:FD555" si="9228">BV555*$BT555+CQ555*$CO555</f>
        <v>0</v>
      </c>
      <c r="FD555" s="2">
        <f t="shared" si="9228"/>
        <v>0</v>
      </c>
      <c r="FE555" s="2">
        <f t="shared" ref="FE555:FJ555" si="9229">(BX555*$BT555+CS555*$CO555)/100</f>
        <v>0</v>
      </c>
      <c r="FF555" s="2">
        <f t="shared" si="9229"/>
        <v>0</v>
      </c>
      <c r="FG555" s="2">
        <f t="shared" si="9229"/>
        <v>0</v>
      </c>
      <c r="FH555" s="2">
        <f t="shared" si="9229"/>
        <v>0</v>
      </c>
      <c r="FI555" s="2">
        <f t="shared" si="9229"/>
        <v>0</v>
      </c>
      <c r="FJ555" s="2">
        <f t="shared" si="9229"/>
        <v>0</v>
      </c>
      <c r="FK555" s="2">
        <f t="shared" ref="FK555:FO555" si="9230">CD555*$BT555+CY555*$CO555</f>
        <v>0</v>
      </c>
      <c r="FL555" s="2">
        <f t="shared" si="9230"/>
        <v>0</v>
      </c>
      <c r="FM555" s="2">
        <f t="shared" si="9230"/>
        <v>0</v>
      </c>
      <c r="FN555" s="2">
        <f t="shared" si="9230"/>
        <v>0</v>
      </c>
      <c r="FO555" s="2">
        <f t="shared" si="9230"/>
        <v>0</v>
      </c>
      <c r="FP555" s="2">
        <f t="shared" ref="FP555:FQ555" si="9231">(CI555*$BT555+DD555*$CO555)/100</f>
        <v>0</v>
      </c>
      <c r="FQ555" s="2">
        <f t="shared" si="9231"/>
        <v>0</v>
      </c>
      <c r="FR555" s="2"/>
      <c r="FS555" s="2">
        <f t="shared" si="8572"/>
        <v>0</v>
      </c>
      <c r="FT555" s="2">
        <f t="shared" si="8573"/>
        <v>0</v>
      </c>
      <c r="FU555" s="39">
        <f t="shared" si="8574"/>
        <v>0</v>
      </c>
      <c r="FV555" s="39">
        <f t="shared" ref="FV555:FW555" si="9232">FV$1*FC555/1000000</f>
        <v>0</v>
      </c>
      <c r="FW555" s="39">
        <f t="shared" si="9232"/>
        <v>0</v>
      </c>
      <c r="FX555" s="39">
        <f t="shared" ref="FX555:GC555" si="9233">FX$1*FE555</f>
        <v>0</v>
      </c>
      <c r="FY555" s="39">
        <f t="shared" si="9233"/>
        <v>0</v>
      </c>
      <c r="FZ555" s="39">
        <f t="shared" si="9233"/>
        <v>0</v>
      </c>
      <c r="GA555" s="39">
        <f t="shared" si="9233"/>
        <v>0</v>
      </c>
      <c r="GB555" s="39">
        <f t="shared" si="9233"/>
        <v>0</v>
      </c>
      <c r="GC555" s="39">
        <f t="shared" si="9233"/>
        <v>0</v>
      </c>
      <c r="GD555" s="39">
        <f t="shared" ref="GD555:GH555" si="9234">GD$1*FK555/1000000</f>
        <v>0</v>
      </c>
      <c r="GE555" s="39">
        <f t="shared" si="9234"/>
        <v>0</v>
      </c>
      <c r="GF555" s="39">
        <f t="shared" si="9234"/>
        <v>0</v>
      </c>
      <c r="GG555" s="39">
        <f t="shared" si="9234"/>
        <v>0</v>
      </c>
      <c r="GH555" s="39">
        <f t="shared" si="9234"/>
        <v>0</v>
      </c>
      <c r="GI555" s="39">
        <f t="shared" ref="GI555:GJ555" si="9235">GI$1*FP555</f>
        <v>0</v>
      </c>
      <c r="GJ555" s="39">
        <f t="shared" si="9235"/>
        <v>0</v>
      </c>
      <c r="GK555" s="2"/>
      <c r="GL555" s="39">
        <f t="shared" si="8579"/>
        <v>0</v>
      </c>
      <c r="GM555" s="39">
        <f t="shared" si="8580"/>
        <v>0</v>
      </c>
      <c r="GN555" s="2" t="s">
        <v>3</v>
      </c>
      <c r="GO555" s="2">
        <f t="shared" si="8581"/>
        <v>311.89999999999998</v>
      </c>
      <c r="GP555" s="19">
        <f t="shared" si="8582"/>
        <v>2.9901250400769481E-2</v>
      </c>
      <c r="GQ555" s="15">
        <f t="shared" si="8583"/>
        <v>93.262</v>
      </c>
      <c r="GR555" s="15">
        <f t="shared" si="8584"/>
        <v>2572.0447509367996</v>
      </c>
      <c r="GS555" s="15">
        <f t="shared" si="8585"/>
        <v>8.2463762453889053</v>
      </c>
      <c r="GT555" s="2">
        <f t="shared" si="8586"/>
        <v>0</v>
      </c>
      <c r="GU555" s="2">
        <f t="shared" si="8587"/>
        <v>6.7620000000000005</v>
      </c>
      <c r="GV555" s="2">
        <f t="shared" si="8588"/>
        <v>86.5</v>
      </c>
      <c r="GW555" s="2">
        <f t="shared" si="8589"/>
        <v>0</v>
      </c>
      <c r="GX555" s="2"/>
      <c r="GY555" s="2"/>
      <c r="GZ555" s="2"/>
      <c r="HA555" s="2"/>
      <c r="HB555" s="2">
        <f t="shared" si="8590"/>
        <v>0</v>
      </c>
      <c r="HC555" s="2">
        <f t="shared" si="8591"/>
        <v>0</v>
      </c>
      <c r="HD555" s="2" t="s">
        <v>3</v>
      </c>
      <c r="HE555" s="2" t="s">
        <v>89</v>
      </c>
      <c r="HF555" s="2" t="s">
        <v>123</v>
      </c>
      <c r="HG555" s="2"/>
      <c r="HH555" s="2"/>
      <c r="HI555" s="2" t="s">
        <v>81</v>
      </c>
      <c r="HJ555" s="2" t="s">
        <v>3</v>
      </c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 t="s">
        <v>3</v>
      </c>
    </row>
    <row r="556" spans="1:268" ht="15.75" customHeight="1" x14ac:dyDescent="0.2">
      <c r="A556" s="16" t="s">
        <v>1202</v>
      </c>
      <c r="B556" s="2" t="s">
        <v>99</v>
      </c>
      <c r="C556" s="2"/>
      <c r="D556" s="2"/>
      <c r="E556" s="2"/>
      <c r="F556" s="2" t="s">
        <v>1062</v>
      </c>
      <c r="G556" s="2"/>
      <c r="H556" s="2"/>
      <c r="I556" s="2">
        <v>0</v>
      </c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>
        <v>0</v>
      </c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>
        <v>185.7</v>
      </c>
      <c r="AZ556" s="2"/>
      <c r="BA556" s="2"/>
      <c r="BB556" s="2"/>
      <c r="BC556" s="2"/>
      <c r="BD556" s="2"/>
      <c r="BE556" s="2"/>
      <c r="BF556" s="2"/>
      <c r="BG556" s="2">
        <v>0.17599999999999999</v>
      </c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>
        <v>0</v>
      </c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>
        <v>0</v>
      </c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 t="s">
        <v>81</v>
      </c>
      <c r="DK556" s="2"/>
      <c r="DL556" s="2">
        <f t="shared" si="8551"/>
        <v>0.17600000000000002</v>
      </c>
      <c r="DM556" s="2">
        <f t="shared" si="8552"/>
        <v>0</v>
      </c>
      <c r="DN556" s="2" t="s">
        <v>808</v>
      </c>
      <c r="DO556" s="2" t="s">
        <v>3</v>
      </c>
      <c r="DP556" s="2">
        <f t="shared" si="8553"/>
        <v>0</v>
      </c>
      <c r="DQ556" s="2">
        <f t="shared" ref="DQ556:DR556" si="9236">K556*$I556+AF556*$AD556+BA556*$AY556</f>
        <v>0</v>
      </c>
      <c r="DR556" s="2">
        <f t="shared" si="9236"/>
        <v>0</v>
      </c>
      <c r="DS556" s="2">
        <f t="shared" ref="DS556:DX556" si="9237">(M556*$I556+AH556*$AD556+BC556*$AY556)/100</f>
        <v>0</v>
      </c>
      <c r="DT556" s="2">
        <f t="shared" si="9237"/>
        <v>0</v>
      </c>
      <c r="DU556" s="2">
        <f t="shared" si="9237"/>
        <v>0</v>
      </c>
      <c r="DV556" s="2">
        <f t="shared" si="9237"/>
        <v>0</v>
      </c>
      <c r="DW556" s="2">
        <f t="shared" si="9237"/>
        <v>0.32683200000000001</v>
      </c>
      <c r="DX556" s="2">
        <f t="shared" si="9237"/>
        <v>0</v>
      </c>
      <c r="DY556" s="2">
        <f t="shared" ref="DY556:EC556" si="9238">S556*$I556+AN556*$AD556+BI556*$AY556</f>
        <v>0</v>
      </c>
      <c r="DZ556" s="2">
        <f t="shared" si="9238"/>
        <v>0</v>
      </c>
      <c r="EA556" s="2">
        <f t="shared" si="9238"/>
        <v>0</v>
      </c>
      <c r="EB556" s="2">
        <f t="shared" si="9238"/>
        <v>0</v>
      </c>
      <c r="EC556" s="2">
        <f t="shared" si="9238"/>
        <v>0</v>
      </c>
      <c r="ED556" s="2">
        <f t="shared" ref="ED556:EE556" si="9239">(X556*$I556+AS556*$AD556+BN556*$AY556)/100</f>
        <v>0</v>
      </c>
      <c r="EE556" s="2">
        <f t="shared" si="9239"/>
        <v>0</v>
      </c>
      <c r="EF556" s="2"/>
      <c r="EG556" s="2">
        <f t="shared" si="8558"/>
        <v>0</v>
      </c>
      <c r="EH556" s="2">
        <f t="shared" si="8559"/>
        <v>0</v>
      </c>
      <c r="EI556" s="39">
        <f t="shared" si="8560"/>
        <v>0</v>
      </c>
      <c r="EJ556" s="39">
        <f t="shared" ref="EJ556:EK556" si="9240">EJ$1*DQ556/1000000</f>
        <v>0</v>
      </c>
      <c r="EK556" s="39">
        <f t="shared" si="9240"/>
        <v>0</v>
      </c>
      <c r="EL556" s="39">
        <f t="shared" ref="EL556:EQ556" si="9241">EL$1*DS556</f>
        <v>0</v>
      </c>
      <c r="EM556" s="39">
        <f t="shared" si="9241"/>
        <v>0</v>
      </c>
      <c r="EN556" s="39">
        <f t="shared" si="9241"/>
        <v>0</v>
      </c>
      <c r="EO556" s="39">
        <f t="shared" si="9241"/>
        <v>0</v>
      </c>
      <c r="EP556" s="39">
        <f t="shared" si="9241"/>
        <v>4286.0748480000002</v>
      </c>
      <c r="EQ556" s="39">
        <f t="shared" si="9241"/>
        <v>0</v>
      </c>
      <c r="ER556" s="39">
        <f t="shared" ref="ER556:EV556" si="9242">ER$1*DY556/1000000</f>
        <v>0</v>
      </c>
      <c r="ES556" s="39">
        <f t="shared" si="9242"/>
        <v>0</v>
      </c>
      <c r="ET556" s="39">
        <f t="shared" si="9242"/>
        <v>0</v>
      </c>
      <c r="EU556" s="39">
        <f t="shared" si="9242"/>
        <v>0</v>
      </c>
      <c r="EV556" s="39">
        <f t="shared" si="9242"/>
        <v>0</v>
      </c>
      <c r="EW556" s="39">
        <f t="shared" ref="EW556:EX556" si="9243">EW$1*ED556</f>
        <v>0</v>
      </c>
      <c r="EX556" s="39">
        <f t="shared" si="9243"/>
        <v>0</v>
      </c>
      <c r="EY556" s="2"/>
      <c r="EZ556" s="39">
        <f t="shared" si="8565"/>
        <v>0</v>
      </c>
      <c r="FA556" s="39">
        <f t="shared" si="8566"/>
        <v>0</v>
      </c>
      <c r="FB556" s="2">
        <f t="shared" si="8567"/>
        <v>0</v>
      </c>
      <c r="FC556" s="2">
        <f t="shared" ref="FC556:FD556" si="9244">BV556*$BT556+CQ556*$CO556</f>
        <v>0</v>
      </c>
      <c r="FD556" s="2">
        <f t="shared" si="9244"/>
        <v>0</v>
      </c>
      <c r="FE556" s="2">
        <f t="shared" ref="FE556:FJ556" si="9245">(BX556*$BT556+CS556*$CO556)/100</f>
        <v>0</v>
      </c>
      <c r="FF556" s="2">
        <f t="shared" si="9245"/>
        <v>0</v>
      </c>
      <c r="FG556" s="2">
        <f t="shared" si="9245"/>
        <v>0</v>
      </c>
      <c r="FH556" s="2">
        <f t="shared" si="9245"/>
        <v>0</v>
      </c>
      <c r="FI556" s="2">
        <f t="shared" si="9245"/>
        <v>0</v>
      </c>
      <c r="FJ556" s="2">
        <f t="shared" si="9245"/>
        <v>0</v>
      </c>
      <c r="FK556" s="2">
        <f t="shared" ref="FK556:FO556" si="9246">CD556*$BT556+CY556*$CO556</f>
        <v>0</v>
      </c>
      <c r="FL556" s="2">
        <f t="shared" si="9246"/>
        <v>0</v>
      </c>
      <c r="FM556" s="2">
        <f t="shared" si="9246"/>
        <v>0</v>
      </c>
      <c r="FN556" s="2">
        <f t="shared" si="9246"/>
        <v>0</v>
      </c>
      <c r="FO556" s="2">
        <f t="shared" si="9246"/>
        <v>0</v>
      </c>
      <c r="FP556" s="2">
        <f t="shared" ref="FP556:FQ556" si="9247">(CI556*$BT556+DD556*$CO556)/100</f>
        <v>0</v>
      </c>
      <c r="FQ556" s="2">
        <f t="shared" si="9247"/>
        <v>0</v>
      </c>
      <c r="FR556" s="2"/>
      <c r="FS556" s="2">
        <f t="shared" si="8572"/>
        <v>0</v>
      </c>
      <c r="FT556" s="2">
        <f t="shared" si="8573"/>
        <v>0</v>
      </c>
      <c r="FU556" s="39">
        <f t="shared" si="8574"/>
        <v>0</v>
      </c>
      <c r="FV556" s="39">
        <f t="shared" ref="FV556:FW556" si="9248">FV$1*FC556/1000000</f>
        <v>0</v>
      </c>
      <c r="FW556" s="39">
        <f t="shared" si="9248"/>
        <v>0</v>
      </c>
      <c r="FX556" s="39">
        <f t="shared" ref="FX556:GC556" si="9249">FX$1*FE556</f>
        <v>0</v>
      </c>
      <c r="FY556" s="39">
        <f t="shared" si="9249"/>
        <v>0</v>
      </c>
      <c r="FZ556" s="39">
        <f t="shared" si="9249"/>
        <v>0</v>
      </c>
      <c r="GA556" s="39">
        <f t="shared" si="9249"/>
        <v>0</v>
      </c>
      <c r="GB556" s="39">
        <f t="shared" si="9249"/>
        <v>0</v>
      </c>
      <c r="GC556" s="39">
        <f t="shared" si="9249"/>
        <v>0</v>
      </c>
      <c r="GD556" s="39">
        <f t="shared" ref="GD556:GH556" si="9250">GD$1*FK556/1000000</f>
        <v>0</v>
      </c>
      <c r="GE556" s="39">
        <f t="shared" si="9250"/>
        <v>0</v>
      </c>
      <c r="GF556" s="39">
        <f t="shared" si="9250"/>
        <v>0</v>
      </c>
      <c r="GG556" s="39">
        <f t="shared" si="9250"/>
        <v>0</v>
      </c>
      <c r="GH556" s="39">
        <f t="shared" si="9250"/>
        <v>0</v>
      </c>
      <c r="GI556" s="39">
        <f t="shared" ref="GI556:GJ556" si="9251">GI$1*FP556</f>
        <v>0</v>
      </c>
      <c r="GJ556" s="39">
        <f t="shared" si="9251"/>
        <v>0</v>
      </c>
      <c r="GK556" s="2"/>
      <c r="GL556" s="39">
        <f t="shared" si="8579"/>
        <v>0</v>
      </c>
      <c r="GM556" s="39">
        <f t="shared" si="8580"/>
        <v>0</v>
      </c>
      <c r="GN556" s="2" t="s">
        <v>3</v>
      </c>
      <c r="GO556" s="2">
        <f t="shared" si="8581"/>
        <v>185.7</v>
      </c>
      <c r="GP556" s="4">
        <f t="shared" si="8582"/>
        <v>0.17600000000000002</v>
      </c>
      <c r="GQ556" s="15">
        <f t="shared" si="8583"/>
        <v>326.83200000000005</v>
      </c>
      <c r="GR556" s="15">
        <f t="shared" si="8584"/>
        <v>4286.0748480000002</v>
      </c>
      <c r="GS556" s="15">
        <f t="shared" si="8585"/>
        <v>23.080640000000002</v>
      </c>
      <c r="GT556" s="2">
        <f t="shared" si="8586"/>
        <v>0</v>
      </c>
      <c r="GU556" s="2">
        <f t="shared" si="8587"/>
        <v>0</v>
      </c>
      <c r="GV556" s="2">
        <f t="shared" si="8588"/>
        <v>326.83199999999999</v>
      </c>
      <c r="GW556" s="2">
        <f t="shared" si="8589"/>
        <v>0</v>
      </c>
      <c r="GX556" s="2"/>
      <c r="GY556" s="2"/>
      <c r="GZ556" s="2"/>
      <c r="HA556" s="2"/>
      <c r="HB556" s="2">
        <f t="shared" si="8590"/>
        <v>0</v>
      </c>
      <c r="HC556" s="2">
        <f t="shared" si="8591"/>
        <v>0</v>
      </c>
      <c r="HD556" s="2" t="s">
        <v>3</v>
      </c>
      <c r="HE556" s="2" t="s">
        <v>89</v>
      </c>
      <c r="HF556" s="2" t="s">
        <v>123</v>
      </c>
      <c r="HG556" s="2"/>
      <c r="HH556" s="2"/>
      <c r="HI556" s="2" t="s">
        <v>81</v>
      </c>
      <c r="HJ556" s="2" t="s">
        <v>3</v>
      </c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 t="s">
        <v>3</v>
      </c>
    </row>
    <row r="557" spans="1:268" ht="15.75" customHeight="1" x14ac:dyDescent="0.2">
      <c r="A557" s="16" t="s">
        <v>1274</v>
      </c>
      <c r="B557" s="2" t="s">
        <v>99</v>
      </c>
      <c r="C557" s="2"/>
      <c r="D557" s="2"/>
      <c r="E557" s="2"/>
      <c r="F557" s="2" t="s">
        <v>1062</v>
      </c>
      <c r="G557" s="2"/>
      <c r="H557" s="2"/>
      <c r="I557" s="2">
        <v>28.3</v>
      </c>
      <c r="J557" s="2"/>
      <c r="K557" s="2"/>
      <c r="L557" s="2"/>
      <c r="M557" s="2"/>
      <c r="N557" s="2"/>
      <c r="O557" s="2"/>
      <c r="P557" s="2"/>
      <c r="Q557" s="2">
        <v>0.188</v>
      </c>
      <c r="R557" s="2">
        <v>6.0000000000000001E-3</v>
      </c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>
        <v>23.3</v>
      </c>
      <c r="AE557" s="2"/>
      <c r="AF557" s="2"/>
      <c r="AG557" s="2"/>
      <c r="AH557" s="2"/>
      <c r="AI557" s="2"/>
      <c r="AJ557" s="2"/>
      <c r="AK557" s="2">
        <v>0.183</v>
      </c>
      <c r="AL557" s="2">
        <v>6.0000000000000001E-3</v>
      </c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>
        <v>6.8</v>
      </c>
      <c r="AZ557" s="2"/>
      <c r="BA557" s="2"/>
      <c r="BB557" s="2"/>
      <c r="BC557" s="2"/>
      <c r="BD557" s="2"/>
      <c r="BE557" s="2"/>
      <c r="BF557" s="2"/>
      <c r="BG557" s="2">
        <v>0.183</v>
      </c>
      <c r="BH557" s="2">
        <v>7.0000000000000001E-3</v>
      </c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>
        <v>0</v>
      </c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>
        <v>0</v>
      </c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 t="s">
        <v>81</v>
      </c>
      <c r="DK557" s="2" t="s">
        <v>81</v>
      </c>
      <c r="DL557" s="2">
        <f t="shared" si="8551"/>
        <v>0.11480479452054795</v>
      </c>
      <c r="DM557" s="2">
        <f t="shared" si="8552"/>
        <v>3.7226027397260276E-3</v>
      </c>
      <c r="DN557" s="2" t="s">
        <v>808</v>
      </c>
      <c r="DO557" s="2" t="s">
        <v>3</v>
      </c>
      <c r="DP557" s="2">
        <f t="shared" si="8553"/>
        <v>0</v>
      </c>
      <c r="DQ557" s="2">
        <f t="shared" ref="DQ557:DR557" si="9252">K557*$I557+AF557*$AD557+BA557*$AY557</f>
        <v>0</v>
      </c>
      <c r="DR557" s="2">
        <f t="shared" si="9252"/>
        <v>0</v>
      </c>
      <c r="DS557" s="2">
        <f t="shared" ref="DS557:DX557" si="9253">(M557*$I557+AH557*$AD557+BC557*$AY557)/100</f>
        <v>0</v>
      </c>
      <c r="DT557" s="2">
        <f t="shared" si="9253"/>
        <v>0</v>
      </c>
      <c r="DU557" s="2">
        <f t="shared" si="9253"/>
        <v>0</v>
      </c>
      <c r="DV557" s="2">
        <f t="shared" si="9253"/>
        <v>4.2639000000000003E-2</v>
      </c>
      <c r="DW557" s="2">
        <f t="shared" si="9253"/>
        <v>6.7045999999999994E-2</v>
      </c>
      <c r="DX557" s="2">
        <f t="shared" si="9253"/>
        <v>2.1740000000000002E-3</v>
      </c>
      <c r="DY557" s="2">
        <f t="shared" ref="DY557:EC557" si="9254">S557*$I557+AN557*$AD557+BI557*$AY557</f>
        <v>0</v>
      </c>
      <c r="DZ557" s="2">
        <f t="shared" si="9254"/>
        <v>0</v>
      </c>
      <c r="EA557" s="2">
        <f t="shared" si="9254"/>
        <v>0</v>
      </c>
      <c r="EB557" s="2">
        <f t="shared" si="9254"/>
        <v>0</v>
      </c>
      <c r="EC557" s="2">
        <f t="shared" si="9254"/>
        <v>0</v>
      </c>
      <c r="ED557" s="2">
        <f t="shared" ref="ED557:EE557" si="9255">(X557*$I557+AS557*$AD557+BN557*$AY557)/100</f>
        <v>0</v>
      </c>
      <c r="EE557" s="2">
        <f t="shared" si="9255"/>
        <v>0</v>
      </c>
      <c r="EF557" s="2"/>
      <c r="EG557" s="2">
        <f t="shared" si="8558"/>
        <v>0</v>
      </c>
      <c r="EH557" s="2">
        <f t="shared" si="8559"/>
        <v>0</v>
      </c>
      <c r="EI557" s="39">
        <f t="shared" si="8560"/>
        <v>0</v>
      </c>
      <c r="EJ557" s="39">
        <f t="shared" ref="EJ557:EK557" si="9256">EJ$1*DQ557/1000000</f>
        <v>0</v>
      </c>
      <c r="EK557" s="39">
        <f t="shared" si="9256"/>
        <v>0</v>
      </c>
      <c r="EL557" s="39">
        <f t="shared" ref="EL557:EQ557" si="9257">EL$1*DS557</f>
        <v>0</v>
      </c>
      <c r="EM557" s="39">
        <f t="shared" si="9257"/>
        <v>0</v>
      </c>
      <c r="EN557" s="39">
        <f t="shared" si="9257"/>
        <v>0</v>
      </c>
      <c r="EO557" s="39">
        <f t="shared" si="9257"/>
        <v>124.7405735838</v>
      </c>
      <c r="EP557" s="39">
        <f t="shared" si="9257"/>
        <v>879.24124399999994</v>
      </c>
      <c r="EQ557" s="39">
        <f t="shared" si="9257"/>
        <v>157.87484517599998</v>
      </c>
      <c r="ER557" s="39">
        <f t="shared" ref="ER557:EV557" si="9258">ER$1*DY557/1000000</f>
        <v>0</v>
      </c>
      <c r="ES557" s="39">
        <f t="shared" si="9258"/>
        <v>0</v>
      </c>
      <c r="ET557" s="39">
        <f t="shared" si="9258"/>
        <v>0</v>
      </c>
      <c r="EU557" s="39">
        <f t="shared" si="9258"/>
        <v>0</v>
      </c>
      <c r="EV557" s="39">
        <f t="shared" si="9258"/>
        <v>0</v>
      </c>
      <c r="EW557" s="39">
        <f t="shared" ref="EW557:EX557" si="9259">EW$1*ED557</f>
        <v>0</v>
      </c>
      <c r="EX557" s="39">
        <f t="shared" si="9259"/>
        <v>0</v>
      </c>
      <c r="EY557" s="2"/>
      <c r="EZ557" s="39">
        <f t="shared" si="8565"/>
        <v>0</v>
      </c>
      <c r="FA557" s="39">
        <f t="shared" si="8566"/>
        <v>0</v>
      </c>
      <c r="FB557" s="2">
        <f t="shared" si="8567"/>
        <v>0</v>
      </c>
      <c r="FC557" s="2">
        <f t="shared" ref="FC557:FD557" si="9260">BV557*$BT557+CQ557*$CO557</f>
        <v>0</v>
      </c>
      <c r="FD557" s="2">
        <f t="shared" si="9260"/>
        <v>0</v>
      </c>
      <c r="FE557" s="2">
        <f t="shared" ref="FE557:FJ557" si="9261">(BX557*$BT557+CS557*$CO557)/100</f>
        <v>0</v>
      </c>
      <c r="FF557" s="2">
        <f t="shared" si="9261"/>
        <v>0</v>
      </c>
      <c r="FG557" s="2">
        <f t="shared" si="9261"/>
        <v>0</v>
      </c>
      <c r="FH557" s="2">
        <f t="shared" si="9261"/>
        <v>0</v>
      </c>
      <c r="FI557" s="2">
        <f t="shared" si="9261"/>
        <v>0</v>
      </c>
      <c r="FJ557" s="2">
        <f t="shared" si="9261"/>
        <v>0</v>
      </c>
      <c r="FK557" s="2">
        <f t="shared" ref="FK557:FO557" si="9262">CD557*$BT557+CY557*$CO557</f>
        <v>0</v>
      </c>
      <c r="FL557" s="2">
        <f t="shared" si="9262"/>
        <v>0</v>
      </c>
      <c r="FM557" s="2">
        <f t="shared" si="9262"/>
        <v>0</v>
      </c>
      <c r="FN557" s="2">
        <f t="shared" si="9262"/>
        <v>0</v>
      </c>
      <c r="FO557" s="2">
        <f t="shared" si="9262"/>
        <v>0</v>
      </c>
      <c r="FP557" s="2">
        <f t="shared" ref="FP557:FQ557" si="9263">(CI557*$BT557+DD557*$CO557)/100</f>
        <v>0</v>
      </c>
      <c r="FQ557" s="2">
        <f t="shared" si="9263"/>
        <v>0</v>
      </c>
      <c r="FR557" s="2"/>
      <c r="FS557" s="2">
        <f t="shared" si="8572"/>
        <v>0</v>
      </c>
      <c r="FT557" s="2">
        <f t="shared" si="8573"/>
        <v>0</v>
      </c>
      <c r="FU557" s="39">
        <f t="shared" si="8574"/>
        <v>0</v>
      </c>
      <c r="FV557" s="39">
        <f t="shared" ref="FV557:FW557" si="9264">FV$1*FC557/1000000</f>
        <v>0</v>
      </c>
      <c r="FW557" s="39">
        <f t="shared" si="9264"/>
        <v>0</v>
      </c>
      <c r="FX557" s="39">
        <f t="shared" ref="FX557:GC557" si="9265">FX$1*FE557</f>
        <v>0</v>
      </c>
      <c r="FY557" s="39">
        <f t="shared" si="9265"/>
        <v>0</v>
      </c>
      <c r="FZ557" s="39">
        <f t="shared" si="9265"/>
        <v>0</v>
      </c>
      <c r="GA557" s="39">
        <f t="shared" si="9265"/>
        <v>0</v>
      </c>
      <c r="GB557" s="39">
        <f t="shared" si="9265"/>
        <v>0</v>
      </c>
      <c r="GC557" s="39">
        <f t="shared" si="9265"/>
        <v>0</v>
      </c>
      <c r="GD557" s="39">
        <f t="shared" ref="GD557:GH557" si="9266">GD$1*FK557/1000000</f>
        <v>0</v>
      </c>
      <c r="GE557" s="39">
        <f t="shared" si="9266"/>
        <v>0</v>
      </c>
      <c r="GF557" s="39">
        <f t="shared" si="9266"/>
        <v>0</v>
      </c>
      <c r="GG557" s="39">
        <f t="shared" si="9266"/>
        <v>0</v>
      </c>
      <c r="GH557" s="39">
        <f t="shared" si="9266"/>
        <v>0</v>
      </c>
      <c r="GI557" s="39">
        <f t="shared" ref="GI557:GJ557" si="9267">GI$1*FP557</f>
        <v>0</v>
      </c>
      <c r="GJ557" s="39">
        <f t="shared" si="9267"/>
        <v>0</v>
      </c>
      <c r="GK557" s="2"/>
      <c r="GL557" s="39">
        <f t="shared" si="8579"/>
        <v>0</v>
      </c>
      <c r="GM557" s="39">
        <f t="shared" si="8580"/>
        <v>0</v>
      </c>
      <c r="GN557" s="2" t="s">
        <v>3</v>
      </c>
      <c r="GO557" s="2">
        <f t="shared" si="8581"/>
        <v>58.4</v>
      </c>
      <c r="GP557" s="4">
        <f t="shared" si="8582"/>
        <v>0.11480479452054795</v>
      </c>
      <c r="GQ557" s="15">
        <f t="shared" si="8583"/>
        <v>67.046000000000006</v>
      </c>
      <c r="GR557" s="15">
        <f t="shared" si="8584"/>
        <v>1161.8566627598</v>
      </c>
      <c r="GS557" s="15">
        <f t="shared" si="8585"/>
        <v>19.894805869174657</v>
      </c>
      <c r="GT557" s="2">
        <f t="shared" si="8586"/>
        <v>53.204000000000008</v>
      </c>
      <c r="GU557" s="2">
        <f t="shared" si="8587"/>
        <v>1.3980000000000001</v>
      </c>
      <c r="GV557" s="2">
        <f t="shared" si="8588"/>
        <v>12.443999999999999</v>
      </c>
      <c r="GW557" s="2">
        <f t="shared" si="8589"/>
        <v>0</v>
      </c>
      <c r="GX557" s="2"/>
      <c r="GY557" s="2"/>
      <c r="GZ557" s="2"/>
      <c r="HA557" s="2"/>
      <c r="HB557" s="2">
        <f t="shared" si="8590"/>
        <v>0</v>
      </c>
      <c r="HC557" s="2">
        <f t="shared" si="8591"/>
        <v>0</v>
      </c>
      <c r="HD557" s="2" t="s">
        <v>3</v>
      </c>
      <c r="HE557" s="2" t="s">
        <v>89</v>
      </c>
      <c r="HF557" s="2" t="s">
        <v>123</v>
      </c>
      <c r="HG557" s="2"/>
      <c r="HH557" s="2"/>
      <c r="HI557" s="2" t="s">
        <v>81</v>
      </c>
      <c r="HJ557" s="2" t="s">
        <v>3</v>
      </c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 t="s">
        <v>3</v>
      </c>
    </row>
    <row r="558" spans="1:268" ht="15.75" customHeight="1" x14ac:dyDescent="0.2">
      <c r="A558" s="16" t="s">
        <v>592</v>
      </c>
      <c r="B558" s="2" t="s">
        <v>99</v>
      </c>
      <c r="C558" s="2"/>
      <c r="D558" s="2"/>
      <c r="E558" s="2"/>
      <c r="F558" s="2" t="s">
        <v>593</v>
      </c>
      <c r="G558" s="2"/>
      <c r="H558" s="2"/>
      <c r="I558" s="2">
        <v>13.8</v>
      </c>
      <c r="J558" s="2">
        <v>0.34</v>
      </c>
      <c r="K558" s="2"/>
      <c r="L558" s="2"/>
      <c r="M558" s="2"/>
      <c r="N558" s="2"/>
      <c r="O558" s="2"/>
      <c r="P558" s="2"/>
      <c r="Q558" s="2">
        <v>2.4900000000000002</v>
      </c>
      <c r="R558" s="2">
        <v>0.21</v>
      </c>
      <c r="S558" s="2">
        <v>0.16</v>
      </c>
      <c r="T558" s="2">
        <v>0.19</v>
      </c>
      <c r="U558" s="2"/>
      <c r="V558" s="2"/>
      <c r="W558" s="2"/>
      <c r="X558" s="2"/>
      <c r="Y558" s="2"/>
      <c r="Z558" s="2"/>
      <c r="AA558" s="2"/>
      <c r="AB558" s="2"/>
      <c r="AC558" s="2"/>
      <c r="AD558" s="2">
        <v>23.4</v>
      </c>
      <c r="AE558" s="2">
        <v>0.36</v>
      </c>
      <c r="AF558" s="2"/>
      <c r="AG558" s="2"/>
      <c r="AH558" s="2"/>
      <c r="AI558" s="2"/>
      <c r="AJ558" s="2"/>
      <c r="AK558" s="2"/>
      <c r="AL558" s="2">
        <v>2.72</v>
      </c>
      <c r="AM558" s="2">
        <v>0.19</v>
      </c>
      <c r="AN558" s="2">
        <v>0.41</v>
      </c>
      <c r="AO558" s="2">
        <v>0.28000000000000003</v>
      </c>
      <c r="AP558" s="2"/>
      <c r="AQ558" s="2"/>
      <c r="AR558" s="2"/>
      <c r="AS558" s="2"/>
      <c r="AT558" s="2"/>
      <c r="AU558" s="2"/>
      <c r="AV558" s="2"/>
      <c r="AW558" s="2"/>
      <c r="AX558" s="2"/>
      <c r="AY558" s="2">
        <v>21</v>
      </c>
      <c r="AZ558" s="2">
        <v>0.3</v>
      </c>
      <c r="BA558" s="2"/>
      <c r="BB558" s="2"/>
      <c r="BC558" s="2"/>
      <c r="BD558" s="2"/>
      <c r="BE558" s="2"/>
      <c r="BF558" s="2"/>
      <c r="BG558" s="2">
        <v>2.6</v>
      </c>
      <c r="BH558" s="2">
        <v>0.2</v>
      </c>
      <c r="BI558" s="2">
        <v>0.3</v>
      </c>
      <c r="BJ558" s="2">
        <v>0.3</v>
      </c>
      <c r="BK558" s="2"/>
      <c r="BL558" s="2"/>
      <c r="BM558" s="2"/>
      <c r="BN558" s="2"/>
      <c r="BO558" s="2"/>
      <c r="BP558" s="2"/>
      <c r="BQ558" s="2"/>
      <c r="BR558" s="2"/>
      <c r="BS558" s="2"/>
      <c r="BT558" s="2">
        <v>0</v>
      </c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>
        <v>0</v>
      </c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 t="s">
        <v>81</v>
      </c>
      <c r="DK558" s="2" t="s">
        <v>81</v>
      </c>
      <c r="DL558" s="2">
        <f t="shared" si="8551"/>
        <v>2.6221649484536083</v>
      </c>
      <c r="DM558" s="2">
        <f t="shared" si="8552"/>
        <v>0.19835051546391752</v>
      </c>
      <c r="DN558" s="2" t="s">
        <v>95</v>
      </c>
      <c r="DO558" s="2" t="s">
        <v>3</v>
      </c>
      <c r="DP558" s="2">
        <f t="shared" si="8553"/>
        <v>0.19416</v>
      </c>
      <c r="DQ558" s="2">
        <f t="shared" ref="DQ558:DR558" si="9268">K558*$I558+AF558*$AD558+BA558*$AY558</f>
        <v>0</v>
      </c>
      <c r="DR558" s="2">
        <f t="shared" si="9268"/>
        <v>0</v>
      </c>
      <c r="DS558" s="2">
        <f t="shared" ref="DS558:DX558" si="9269">(M558*$I558+AH558*$AD558+BC558*$AY558)/100</f>
        <v>0</v>
      </c>
      <c r="DT558" s="2">
        <f t="shared" si="9269"/>
        <v>0</v>
      </c>
      <c r="DU558" s="2">
        <f t="shared" si="9269"/>
        <v>0</v>
      </c>
      <c r="DV558" s="2">
        <f t="shared" si="9269"/>
        <v>0</v>
      </c>
      <c r="DW558" s="2">
        <f t="shared" si="9269"/>
        <v>1.5261000000000002</v>
      </c>
      <c r="DX558" s="2">
        <f t="shared" si="9269"/>
        <v>0.11544</v>
      </c>
      <c r="DY558" s="2">
        <f t="shared" ref="DY558:EC558" si="9270">S558*$I558+AN558*$AD558+BI558*$AY558</f>
        <v>18.102</v>
      </c>
      <c r="DZ558" s="2">
        <f t="shared" si="9270"/>
        <v>15.474</v>
      </c>
      <c r="EA558" s="2">
        <f t="shared" si="9270"/>
        <v>0</v>
      </c>
      <c r="EB558" s="2">
        <f t="shared" si="9270"/>
        <v>0</v>
      </c>
      <c r="EC558" s="2">
        <f t="shared" si="9270"/>
        <v>0</v>
      </c>
      <c r="ED558" s="2">
        <f t="shared" ref="ED558:EE558" si="9271">(X558*$I558+AS558*$AD558+BN558*$AY558)/100</f>
        <v>0</v>
      </c>
      <c r="EE558" s="2">
        <f t="shared" si="9271"/>
        <v>0</v>
      </c>
      <c r="EF558" s="2"/>
      <c r="EG558" s="2">
        <f t="shared" si="8558"/>
        <v>0</v>
      </c>
      <c r="EH558" s="2">
        <f t="shared" si="8559"/>
        <v>0</v>
      </c>
      <c r="EI558" s="39">
        <f t="shared" si="8560"/>
        <v>1267.01360256</v>
      </c>
      <c r="EJ558" s="39">
        <f t="shared" ref="EJ558:EK558" si="9272">EJ$1*DQ558/1000000</f>
        <v>0</v>
      </c>
      <c r="EK558" s="39">
        <f t="shared" si="9272"/>
        <v>0</v>
      </c>
      <c r="EL558" s="39">
        <f t="shared" ref="EL558:EQ558" si="9273">EL$1*DS558</f>
        <v>0</v>
      </c>
      <c r="EM558" s="39">
        <f t="shared" si="9273"/>
        <v>0</v>
      </c>
      <c r="EN558" s="39">
        <f t="shared" si="9273"/>
        <v>0</v>
      </c>
      <c r="EO558" s="39">
        <f t="shared" si="9273"/>
        <v>0</v>
      </c>
      <c r="EP558" s="39">
        <f t="shared" si="9273"/>
        <v>20013.275400000002</v>
      </c>
      <c r="EQ558" s="39">
        <f t="shared" si="9273"/>
        <v>8383.1978505599982</v>
      </c>
      <c r="ER558" s="39">
        <f t="shared" ref="ER558:EV558" si="9274">ER$1*DY558/1000000</f>
        <v>513.75920643086806</v>
      </c>
      <c r="ES558" s="39">
        <f t="shared" si="9274"/>
        <v>515.68224501607722</v>
      </c>
      <c r="ET558" s="39">
        <f t="shared" si="9274"/>
        <v>0</v>
      </c>
      <c r="EU558" s="39">
        <f t="shared" si="9274"/>
        <v>0</v>
      </c>
      <c r="EV558" s="39">
        <f t="shared" si="9274"/>
        <v>0</v>
      </c>
      <c r="EW558" s="39">
        <f t="shared" ref="EW558:EX558" si="9275">EW$1*ED558</f>
        <v>0</v>
      </c>
      <c r="EX558" s="39">
        <f t="shared" si="9275"/>
        <v>0</v>
      </c>
      <c r="EY558" s="2"/>
      <c r="EZ558" s="39">
        <f t="shared" si="8565"/>
        <v>0</v>
      </c>
      <c r="FA558" s="39">
        <f t="shared" si="8566"/>
        <v>0</v>
      </c>
      <c r="FB558" s="2">
        <f t="shared" si="8567"/>
        <v>0</v>
      </c>
      <c r="FC558" s="2">
        <f t="shared" ref="FC558:FD558" si="9276">BV558*$BT558+CQ558*$CO558</f>
        <v>0</v>
      </c>
      <c r="FD558" s="2">
        <f t="shared" si="9276"/>
        <v>0</v>
      </c>
      <c r="FE558" s="2">
        <f t="shared" ref="FE558:FJ558" si="9277">(BX558*$BT558+CS558*$CO558)/100</f>
        <v>0</v>
      </c>
      <c r="FF558" s="2">
        <f t="shared" si="9277"/>
        <v>0</v>
      </c>
      <c r="FG558" s="2">
        <f t="shared" si="9277"/>
        <v>0</v>
      </c>
      <c r="FH558" s="2">
        <f t="shared" si="9277"/>
        <v>0</v>
      </c>
      <c r="FI558" s="2">
        <f t="shared" si="9277"/>
        <v>0</v>
      </c>
      <c r="FJ558" s="2">
        <f t="shared" si="9277"/>
        <v>0</v>
      </c>
      <c r="FK558" s="2">
        <f t="shared" ref="FK558:FO558" si="9278">CD558*$BT558+CY558*$CO558</f>
        <v>0</v>
      </c>
      <c r="FL558" s="2">
        <f t="shared" si="9278"/>
        <v>0</v>
      </c>
      <c r="FM558" s="2">
        <f t="shared" si="9278"/>
        <v>0</v>
      </c>
      <c r="FN558" s="2">
        <f t="shared" si="9278"/>
        <v>0</v>
      </c>
      <c r="FO558" s="2">
        <f t="shared" si="9278"/>
        <v>0</v>
      </c>
      <c r="FP558" s="2">
        <f t="shared" ref="FP558:FQ558" si="9279">(CI558*$BT558+DD558*$CO558)/100</f>
        <v>0</v>
      </c>
      <c r="FQ558" s="2">
        <f t="shared" si="9279"/>
        <v>0</v>
      </c>
      <c r="FR558" s="2"/>
      <c r="FS558" s="2">
        <f t="shared" si="8572"/>
        <v>0</v>
      </c>
      <c r="FT558" s="2">
        <f t="shared" si="8573"/>
        <v>0</v>
      </c>
      <c r="FU558" s="39">
        <f t="shared" si="8574"/>
        <v>0</v>
      </c>
      <c r="FV558" s="39">
        <f t="shared" ref="FV558:FW558" si="9280">FV$1*FC558/1000000</f>
        <v>0</v>
      </c>
      <c r="FW558" s="39">
        <f t="shared" si="9280"/>
        <v>0</v>
      </c>
      <c r="FX558" s="39">
        <f t="shared" ref="FX558:GC558" si="9281">FX$1*FE558</f>
        <v>0</v>
      </c>
      <c r="FY558" s="39">
        <f t="shared" si="9281"/>
        <v>0</v>
      </c>
      <c r="FZ558" s="39">
        <f t="shared" si="9281"/>
        <v>0</v>
      </c>
      <c r="GA558" s="39">
        <f t="shared" si="9281"/>
        <v>0</v>
      </c>
      <c r="GB558" s="39">
        <f t="shared" si="9281"/>
        <v>0</v>
      </c>
      <c r="GC558" s="39">
        <f t="shared" si="9281"/>
        <v>0</v>
      </c>
      <c r="GD558" s="39">
        <f t="shared" ref="GD558:GH558" si="9282">GD$1*FK558/1000000</f>
        <v>0</v>
      </c>
      <c r="GE558" s="39">
        <f t="shared" si="9282"/>
        <v>0</v>
      </c>
      <c r="GF558" s="39">
        <f t="shared" si="9282"/>
        <v>0</v>
      </c>
      <c r="GG558" s="39">
        <f t="shared" si="9282"/>
        <v>0</v>
      </c>
      <c r="GH558" s="39">
        <f t="shared" si="9282"/>
        <v>0</v>
      </c>
      <c r="GI558" s="39">
        <f t="shared" ref="GI558:GJ558" si="9283">GI$1*FP558</f>
        <v>0</v>
      </c>
      <c r="GJ558" s="39">
        <f t="shared" si="9283"/>
        <v>0</v>
      </c>
      <c r="GK558" s="2"/>
      <c r="GL558" s="39">
        <f t="shared" si="8579"/>
        <v>0</v>
      </c>
      <c r="GM558" s="39">
        <f t="shared" si="8580"/>
        <v>0</v>
      </c>
      <c r="GN558" s="2" t="s">
        <v>3</v>
      </c>
      <c r="GO558" s="2">
        <f t="shared" si="8581"/>
        <v>58.2</v>
      </c>
      <c r="GP558" s="4">
        <f t="shared" si="8582"/>
        <v>2.6221649484536083</v>
      </c>
      <c r="GQ558" s="18">
        <f t="shared" si="8583"/>
        <v>1526.1</v>
      </c>
      <c r="GR558" s="15">
        <f t="shared" si="8584"/>
        <v>30692.928304566944</v>
      </c>
      <c r="GS558" s="15">
        <f t="shared" si="8585"/>
        <v>527.36990214032551</v>
      </c>
      <c r="GT558" s="2">
        <f t="shared" si="8586"/>
        <v>343.62</v>
      </c>
      <c r="GU558" s="2">
        <f t="shared" si="8587"/>
        <v>636.48</v>
      </c>
      <c r="GV558" s="2">
        <f t="shared" si="8588"/>
        <v>546</v>
      </c>
      <c r="GW558" s="2">
        <f t="shared" si="8589"/>
        <v>0</v>
      </c>
      <c r="GX558" s="2"/>
      <c r="GY558" s="2"/>
      <c r="GZ558" s="2"/>
      <c r="HA558" s="2"/>
      <c r="HB558" s="2">
        <f t="shared" si="8590"/>
        <v>0</v>
      </c>
      <c r="HC558" s="2">
        <f t="shared" si="8591"/>
        <v>0</v>
      </c>
      <c r="HD558" s="2" t="s">
        <v>3</v>
      </c>
      <c r="HE558" s="2" t="s">
        <v>89</v>
      </c>
      <c r="HF558" s="2" t="s">
        <v>123</v>
      </c>
      <c r="HG558" s="2"/>
      <c r="HH558" s="2"/>
      <c r="HI558" s="2" t="s">
        <v>81</v>
      </c>
      <c r="HJ558" s="2" t="s">
        <v>3</v>
      </c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 t="s">
        <v>3</v>
      </c>
    </row>
    <row r="559" spans="1:268" ht="15.75" customHeight="1" x14ac:dyDescent="0.2">
      <c r="A559" s="16" t="s">
        <v>901</v>
      </c>
      <c r="B559" s="2" t="s">
        <v>99</v>
      </c>
      <c r="C559" s="2"/>
      <c r="D559" s="2"/>
      <c r="E559" s="2"/>
      <c r="F559" s="2" t="s">
        <v>902</v>
      </c>
      <c r="G559" s="2"/>
      <c r="H559" s="2"/>
      <c r="I559" s="2">
        <v>1.1240000000000001</v>
      </c>
      <c r="J559" s="2">
        <v>0.28999999999999998</v>
      </c>
      <c r="K559" s="19">
        <v>0.02</v>
      </c>
      <c r="L559" s="2"/>
      <c r="M559" s="2"/>
      <c r="N559" s="2"/>
      <c r="O559" s="2"/>
      <c r="P559" s="2"/>
      <c r="Q559" s="2">
        <v>1.74</v>
      </c>
      <c r="R559" s="2">
        <v>0.06</v>
      </c>
      <c r="S559" s="2">
        <v>3.2000000000000001E-2</v>
      </c>
      <c r="T559" s="2">
        <v>3.7999999999999999E-2</v>
      </c>
      <c r="U559" s="2"/>
      <c r="V559" s="2"/>
      <c r="W559" s="2"/>
      <c r="X559" s="2"/>
      <c r="Y559" s="2"/>
      <c r="Z559" s="2"/>
      <c r="AA559" s="2"/>
      <c r="AB559" s="2"/>
      <c r="AC559" s="2"/>
      <c r="AD559" s="2">
        <v>19.199000000000002</v>
      </c>
      <c r="AE559" s="2">
        <v>0.12</v>
      </c>
      <c r="AF559" s="2">
        <v>2.8000000000000001E-2</v>
      </c>
      <c r="AG559" s="2"/>
      <c r="AH559" s="2"/>
      <c r="AI559" s="2"/>
      <c r="AJ559" s="2"/>
      <c r="AK559" s="2"/>
      <c r="AL559" s="2">
        <v>0.51</v>
      </c>
      <c r="AM559" s="2">
        <v>0.02</v>
      </c>
      <c r="AN559" s="2">
        <v>3.5000000000000003E-2</v>
      </c>
      <c r="AO559" s="2">
        <v>4.4999999999999998E-2</v>
      </c>
      <c r="AP559" s="2"/>
      <c r="AQ559" s="2"/>
      <c r="AR559" s="2"/>
      <c r="AS559" s="2"/>
      <c r="AT559" s="2"/>
      <c r="AU559" s="2"/>
      <c r="AV559" s="2"/>
      <c r="AW559" s="2"/>
      <c r="AX559" s="2"/>
      <c r="AY559" s="2">
        <v>35.93</v>
      </c>
      <c r="AZ559" s="2">
        <v>0.14000000000000001</v>
      </c>
      <c r="BA559" s="2">
        <v>0.01</v>
      </c>
      <c r="BB559" s="2"/>
      <c r="BC559" s="2"/>
      <c r="BD559" s="2"/>
      <c r="BE559" s="2"/>
      <c r="BF559" s="2"/>
      <c r="BG559" s="4">
        <v>0.7</v>
      </c>
      <c r="BH559" s="2">
        <v>0.02</v>
      </c>
      <c r="BI559" s="2">
        <v>0.01</v>
      </c>
      <c r="BJ559" s="2">
        <v>0.02</v>
      </c>
      <c r="BK559" s="2"/>
      <c r="BL559" s="2"/>
      <c r="BM559" s="2"/>
      <c r="BN559" s="2"/>
      <c r="BO559" s="2"/>
      <c r="BP559" s="2"/>
      <c r="BQ559" s="2"/>
      <c r="BR559" s="2"/>
      <c r="BS559" s="2"/>
      <c r="BT559" s="2">
        <v>0</v>
      </c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>
        <v>0</v>
      </c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 t="s">
        <v>81</v>
      </c>
      <c r="DK559" s="2" t="s">
        <v>81</v>
      </c>
      <c r="DL559" s="2">
        <f t="shared" si="8551"/>
        <v>0.65593390574724908</v>
      </c>
      <c r="DM559" s="2">
        <f t="shared" si="8552"/>
        <v>2.0799246262421561E-2</v>
      </c>
      <c r="DN559" s="2" t="s">
        <v>211</v>
      </c>
      <c r="DO559" s="2" t="s">
        <v>3</v>
      </c>
      <c r="DP559" s="2">
        <f t="shared" si="8553"/>
        <v>7.6600399999999999E-2</v>
      </c>
      <c r="DQ559" s="2">
        <f t="shared" ref="DQ559:DR559" si="9284">K559*$I559+AF559*$AD559+BA559*$AY559</f>
        <v>0.91935200000000017</v>
      </c>
      <c r="DR559" s="2">
        <f t="shared" si="9284"/>
        <v>0</v>
      </c>
      <c r="DS559" s="2">
        <f t="shared" ref="DS559:DX559" si="9285">(M559*$I559+AH559*$AD559+BC559*$AY559)/100</f>
        <v>0</v>
      </c>
      <c r="DT559" s="2">
        <f t="shared" si="9285"/>
        <v>0</v>
      </c>
      <c r="DU559" s="2">
        <f t="shared" si="9285"/>
        <v>0</v>
      </c>
      <c r="DV559" s="2">
        <f t="shared" si="9285"/>
        <v>0</v>
      </c>
      <c r="DW559" s="2">
        <f t="shared" si="9285"/>
        <v>0.36898250000000005</v>
      </c>
      <c r="DX559" s="2">
        <f t="shared" si="9285"/>
        <v>1.1700200000000001E-2</v>
      </c>
      <c r="DY559" s="2">
        <f t="shared" ref="DY559:EC559" si="9286">S559*$I559+AN559*$AD559+BI559*$AY559</f>
        <v>1.0672330000000001</v>
      </c>
      <c r="DZ559" s="2">
        <f t="shared" si="9286"/>
        <v>1.625267</v>
      </c>
      <c r="EA559" s="2">
        <f t="shared" si="9286"/>
        <v>0</v>
      </c>
      <c r="EB559" s="2">
        <f t="shared" si="9286"/>
        <v>0</v>
      </c>
      <c r="EC559" s="2">
        <f t="shared" si="9286"/>
        <v>0</v>
      </c>
      <c r="ED559" s="2">
        <f t="shared" ref="ED559:EE559" si="9287">(X559*$I559+AS559*$AD559+BN559*$AY559)/100</f>
        <v>0</v>
      </c>
      <c r="EE559" s="2">
        <f t="shared" si="9287"/>
        <v>0</v>
      </c>
      <c r="EF559" s="2"/>
      <c r="EG559" s="2">
        <f t="shared" si="8558"/>
        <v>0</v>
      </c>
      <c r="EH559" s="2">
        <f t="shared" si="8559"/>
        <v>0</v>
      </c>
      <c r="EI559" s="39">
        <f t="shared" si="8560"/>
        <v>499.8647958464</v>
      </c>
      <c r="EJ559" s="39">
        <f t="shared" ref="EJ559:EK559" si="9288">EJ$1*DQ559/1000000</f>
        <v>37.601792411575566</v>
      </c>
      <c r="EK559" s="39">
        <f t="shared" si="9288"/>
        <v>0</v>
      </c>
      <c r="EL559" s="39">
        <f t="shared" ref="EL559:EQ559" si="9289">EL$1*DS559</f>
        <v>0</v>
      </c>
      <c r="EM559" s="39">
        <f t="shared" si="9289"/>
        <v>0</v>
      </c>
      <c r="EN559" s="39">
        <f t="shared" si="9289"/>
        <v>0</v>
      </c>
      <c r="EO559" s="39">
        <f t="shared" si="9289"/>
        <v>0</v>
      </c>
      <c r="EP559" s="39">
        <f t="shared" si="9289"/>
        <v>4838.8365050000002</v>
      </c>
      <c r="EQ559" s="39">
        <f t="shared" si="9289"/>
        <v>849.66295470479997</v>
      </c>
      <c r="ER559" s="39">
        <f t="shared" ref="ER559:EV559" si="9290">ER$1*DY559/1000000</f>
        <v>30.289513819292601</v>
      </c>
      <c r="ES559" s="39">
        <f t="shared" si="9290"/>
        <v>54.163198611254025</v>
      </c>
      <c r="ET559" s="39">
        <f t="shared" si="9290"/>
        <v>0</v>
      </c>
      <c r="EU559" s="39">
        <f t="shared" si="9290"/>
        <v>0</v>
      </c>
      <c r="EV559" s="39">
        <f t="shared" si="9290"/>
        <v>0</v>
      </c>
      <c r="EW559" s="39">
        <f t="shared" ref="EW559:EX559" si="9291">EW$1*ED559</f>
        <v>0</v>
      </c>
      <c r="EX559" s="39">
        <f t="shared" si="9291"/>
        <v>0</v>
      </c>
      <c r="EY559" s="2"/>
      <c r="EZ559" s="39">
        <f t="shared" si="8565"/>
        <v>0</v>
      </c>
      <c r="FA559" s="39">
        <f t="shared" si="8566"/>
        <v>0</v>
      </c>
      <c r="FB559" s="2">
        <f t="shared" si="8567"/>
        <v>0</v>
      </c>
      <c r="FC559" s="2">
        <f t="shared" ref="FC559:FD559" si="9292">BV559*$BT559+CQ559*$CO559</f>
        <v>0</v>
      </c>
      <c r="FD559" s="2">
        <f t="shared" si="9292"/>
        <v>0</v>
      </c>
      <c r="FE559" s="2">
        <f t="shared" ref="FE559:FJ559" si="9293">(BX559*$BT559+CS559*$CO559)/100</f>
        <v>0</v>
      </c>
      <c r="FF559" s="2">
        <f t="shared" si="9293"/>
        <v>0</v>
      </c>
      <c r="FG559" s="2">
        <f t="shared" si="9293"/>
        <v>0</v>
      </c>
      <c r="FH559" s="2">
        <f t="shared" si="9293"/>
        <v>0</v>
      </c>
      <c r="FI559" s="2">
        <f t="shared" si="9293"/>
        <v>0</v>
      </c>
      <c r="FJ559" s="2">
        <f t="shared" si="9293"/>
        <v>0</v>
      </c>
      <c r="FK559" s="2">
        <f t="shared" ref="FK559:FO559" si="9294">CD559*$BT559+CY559*$CO559</f>
        <v>0</v>
      </c>
      <c r="FL559" s="2">
        <f t="shared" si="9294"/>
        <v>0</v>
      </c>
      <c r="FM559" s="2">
        <f t="shared" si="9294"/>
        <v>0</v>
      </c>
      <c r="FN559" s="2">
        <f t="shared" si="9294"/>
        <v>0</v>
      </c>
      <c r="FO559" s="2">
        <f t="shared" si="9294"/>
        <v>0</v>
      </c>
      <c r="FP559" s="2">
        <f t="shared" ref="FP559:FQ559" si="9295">(CI559*$BT559+DD559*$CO559)/100</f>
        <v>0</v>
      </c>
      <c r="FQ559" s="2">
        <f t="shared" si="9295"/>
        <v>0</v>
      </c>
      <c r="FR559" s="2"/>
      <c r="FS559" s="2">
        <f t="shared" si="8572"/>
        <v>0</v>
      </c>
      <c r="FT559" s="2">
        <f t="shared" si="8573"/>
        <v>0</v>
      </c>
      <c r="FU559" s="39">
        <f t="shared" si="8574"/>
        <v>0</v>
      </c>
      <c r="FV559" s="39">
        <f t="shared" ref="FV559:FW559" si="9296">FV$1*FC559/1000000</f>
        <v>0</v>
      </c>
      <c r="FW559" s="39">
        <f t="shared" si="9296"/>
        <v>0</v>
      </c>
      <c r="FX559" s="39">
        <f t="shared" ref="FX559:GC559" si="9297">FX$1*FE559</f>
        <v>0</v>
      </c>
      <c r="FY559" s="39">
        <f t="shared" si="9297"/>
        <v>0</v>
      </c>
      <c r="FZ559" s="39">
        <f t="shared" si="9297"/>
        <v>0</v>
      </c>
      <c r="GA559" s="39">
        <f t="shared" si="9297"/>
        <v>0</v>
      </c>
      <c r="GB559" s="39">
        <f t="shared" si="9297"/>
        <v>0</v>
      </c>
      <c r="GC559" s="39">
        <f t="shared" si="9297"/>
        <v>0</v>
      </c>
      <c r="GD559" s="39">
        <f t="shared" ref="GD559:GH559" si="9298">GD$1*FK559/1000000</f>
        <v>0</v>
      </c>
      <c r="GE559" s="39">
        <f t="shared" si="9298"/>
        <v>0</v>
      </c>
      <c r="GF559" s="39">
        <f t="shared" si="9298"/>
        <v>0</v>
      </c>
      <c r="GG559" s="39">
        <f t="shared" si="9298"/>
        <v>0</v>
      </c>
      <c r="GH559" s="39">
        <f t="shared" si="9298"/>
        <v>0</v>
      </c>
      <c r="GI559" s="39">
        <f t="shared" ref="GI559:GJ559" si="9299">GI$1*FP559</f>
        <v>0</v>
      </c>
      <c r="GJ559" s="39">
        <f t="shared" si="9299"/>
        <v>0</v>
      </c>
      <c r="GK559" s="2"/>
      <c r="GL559" s="39">
        <f t="shared" si="8579"/>
        <v>0</v>
      </c>
      <c r="GM559" s="39">
        <f t="shared" si="8580"/>
        <v>0</v>
      </c>
      <c r="GN559" s="2" t="s">
        <v>3</v>
      </c>
      <c r="GO559" s="4">
        <f t="shared" si="8581"/>
        <v>56.253</v>
      </c>
      <c r="GP559" s="4">
        <f t="shared" si="8582"/>
        <v>0.65593390574724908</v>
      </c>
      <c r="GQ559" s="15">
        <f t="shared" si="8583"/>
        <v>368.98250000000002</v>
      </c>
      <c r="GR559" s="15">
        <f t="shared" si="8584"/>
        <v>6310.4187603933224</v>
      </c>
      <c r="GS559" s="15">
        <f t="shared" si="8585"/>
        <v>112.17923951421831</v>
      </c>
      <c r="GT559" s="2">
        <f t="shared" si="8586"/>
        <v>19.557600000000001</v>
      </c>
      <c r="GU559" s="2">
        <f t="shared" si="8587"/>
        <v>97.914900000000017</v>
      </c>
      <c r="GV559" s="2">
        <f t="shared" si="8588"/>
        <v>251.51</v>
      </c>
      <c r="GW559" s="2">
        <f t="shared" si="8589"/>
        <v>0</v>
      </c>
      <c r="GX559" s="2"/>
      <c r="GY559" s="2"/>
      <c r="GZ559" s="2"/>
      <c r="HA559" s="2"/>
      <c r="HB559" s="2">
        <f t="shared" si="8590"/>
        <v>0</v>
      </c>
      <c r="HC559" s="2">
        <f t="shared" si="8591"/>
        <v>0</v>
      </c>
      <c r="HD559" s="2" t="s">
        <v>3</v>
      </c>
      <c r="HE559" s="2" t="s">
        <v>89</v>
      </c>
      <c r="HF559" s="2" t="s">
        <v>123</v>
      </c>
      <c r="HG559" s="2"/>
      <c r="HH559" s="2"/>
      <c r="HI559" s="2" t="s">
        <v>81</v>
      </c>
      <c r="HJ559" s="2" t="s">
        <v>3</v>
      </c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 t="s">
        <v>3</v>
      </c>
    </row>
    <row r="560" spans="1:268" ht="15.75" customHeight="1" x14ac:dyDescent="0.2">
      <c r="A560" s="16" t="s">
        <v>438</v>
      </c>
      <c r="B560" s="2" t="s">
        <v>99</v>
      </c>
      <c r="C560" s="2"/>
      <c r="D560" s="2"/>
      <c r="E560" s="2"/>
      <c r="F560" s="2" t="s">
        <v>121</v>
      </c>
      <c r="G560" s="2"/>
      <c r="H560" s="2"/>
      <c r="I560" s="2">
        <v>1.8680000000000001</v>
      </c>
      <c r="J560" s="2">
        <v>2.4</v>
      </c>
      <c r="K560" s="2">
        <v>0.3</v>
      </c>
      <c r="L560" s="2"/>
      <c r="M560" s="2"/>
      <c r="N560" s="2"/>
      <c r="O560" s="2"/>
      <c r="P560" s="2"/>
      <c r="Q560" s="2">
        <v>2.6</v>
      </c>
      <c r="R560" s="2">
        <v>0.1</v>
      </c>
      <c r="S560" s="2">
        <v>0.64</v>
      </c>
      <c r="T560" s="2">
        <v>0.43</v>
      </c>
      <c r="U560" s="2"/>
      <c r="V560" s="2"/>
      <c r="W560" s="2"/>
      <c r="X560" s="2"/>
      <c r="Y560" s="2"/>
      <c r="Z560" s="2"/>
      <c r="AA560" s="2"/>
      <c r="AB560" s="2"/>
      <c r="AC560" s="2"/>
      <c r="AD560" s="2">
        <f>0.82+1.293</f>
        <v>2.113</v>
      </c>
      <c r="AE560" s="15">
        <f>(1.8*0.82+4.2*1.293)/AD560</f>
        <v>3.2686228111689539</v>
      </c>
      <c r="AF560" s="15">
        <f>(0.2*0.82+0.5*1.293)/AD560</f>
        <v>0.38357785139611927</v>
      </c>
      <c r="AG560" s="2"/>
      <c r="AH560" s="2"/>
      <c r="AI560" s="2"/>
      <c r="AJ560" s="2"/>
      <c r="AK560" s="2"/>
      <c r="AL560" s="15">
        <f>(2.4*0.82+5.2*1.293)/AD560</f>
        <v>4.1133932796971129</v>
      </c>
      <c r="AM560" s="15">
        <f>(0.1*0.82+0.1*1.293)/AD560</f>
        <v>9.9999999999999992E-2</v>
      </c>
      <c r="AN560" s="2">
        <v>0.64</v>
      </c>
      <c r="AO560" s="2">
        <v>0.43</v>
      </c>
      <c r="AP560" s="2"/>
      <c r="AQ560" s="2"/>
      <c r="AR560" s="2"/>
      <c r="AS560" s="2"/>
      <c r="AT560" s="2"/>
      <c r="AU560" s="2"/>
      <c r="AV560" s="2"/>
      <c r="AW560" s="2"/>
      <c r="AX560" s="2"/>
      <c r="AY560" s="2">
        <f>0.023+0.29</f>
        <v>0.313</v>
      </c>
      <c r="AZ560" s="15">
        <f>(0.9*0.023+1.4*0.29)/AY560</f>
        <v>1.3632587859424918</v>
      </c>
      <c r="BA560" s="15">
        <f>(0.1*0.023+0.2*0.29)/AY560</f>
        <v>0.19265175718849839</v>
      </c>
      <c r="BB560" s="2"/>
      <c r="BC560" s="2"/>
      <c r="BD560" s="2"/>
      <c r="BE560" s="2"/>
      <c r="BF560" s="2"/>
      <c r="BG560" s="15">
        <f>(1*0.023+1.7*0.29)/AY560</f>
        <v>1.6485623003194885</v>
      </c>
      <c r="BH560" s="2">
        <v>0.1</v>
      </c>
      <c r="BI560" s="2">
        <v>0.64</v>
      </c>
      <c r="BJ560" s="2">
        <v>0.43</v>
      </c>
      <c r="BK560" s="2"/>
      <c r="BL560" s="2"/>
      <c r="BM560" s="2"/>
      <c r="BN560" s="2"/>
      <c r="BO560" s="2"/>
      <c r="BP560" s="2"/>
      <c r="BQ560" s="2"/>
      <c r="BR560" s="2"/>
      <c r="BS560" s="2"/>
      <c r="BT560" s="2">
        <v>1.7110000000000001</v>
      </c>
      <c r="BU560" s="2">
        <v>2.1</v>
      </c>
      <c r="BV560" s="2">
        <v>0.2</v>
      </c>
      <c r="BW560" s="2"/>
      <c r="BX560" s="2"/>
      <c r="BY560" s="2"/>
      <c r="BZ560" s="2"/>
      <c r="CA560" s="2"/>
      <c r="CB560" s="2">
        <v>2.1</v>
      </c>
      <c r="CC560" s="2">
        <v>0.1</v>
      </c>
      <c r="CD560" s="2">
        <v>0.64</v>
      </c>
      <c r="CE560" s="2">
        <v>0.43</v>
      </c>
      <c r="CF560" s="2"/>
      <c r="CG560" s="2"/>
      <c r="CH560" s="2"/>
      <c r="CI560" s="2"/>
      <c r="CJ560" s="2"/>
      <c r="CK560" s="2"/>
      <c r="CL560" s="2"/>
      <c r="CM560" s="2"/>
      <c r="CN560" s="2"/>
      <c r="CO560" s="2">
        <f>0.833+1.544</f>
        <v>2.3769999999999998</v>
      </c>
      <c r="CP560" s="15">
        <f>(1.3*0.833+3*1.544)/CO560</f>
        <v>2.4042490534286918</v>
      </c>
      <c r="CQ560" s="15">
        <f>(0.1*0.833+0.4*1.544)/CO560</f>
        <v>0.294867480016828</v>
      </c>
      <c r="CR560" s="2"/>
      <c r="CS560" s="2"/>
      <c r="CT560" s="2"/>
      <c r="CU560" s="2"/>
      <c r="CV560" s="2"/>
      <c r="CW560" s="15">
        <f>(1.7*0.833+3.7*1.544)/CO560</f>
        <v>2.9991165334455201</v>
      </c>
      <c r="CX560" s="15">
        <f>(0.1*0.833+0.1*1.544)/CO560</f>
        <v>0.10000000000000002</v>
      </c>
      <c r="CY560" s="2">
        <v>0.64</v>
      </c>
      <c r="CZ560" s="2">
        <v>0.43</v>
      </c>
      <c r="DA560" s="2"/>
      <c r="DB560" s="2"/>
      <c r="DC560" s="2"/>
      <c r="DD560" s="2"/>
      <c r="DE560" s="2"/>
      <c r="DF560" s="2"/>
      <c r="DG560" s="2"/>
      <c r="DH560" s="2"/>
      <c r="DI560" s="2"/>
      <c r="DJ560" s="2" t="s">
        <v>81</v>
      </c>
      <c r="DK560" s="2" t="s">
        <v>81</v>
      </c>
      <c r="DL560" s="2">
        <f t="shared" si="8551"/>
        <v>3.2753609687936662</v>
      </c>
      <c r="DM560" s="2">
        <f t="shared" si="8552"/>
        <v>0.1</v>
      </c>
      <c r="DN560" s="2" t="s">
        <v>95</v>
      </c>
      <c r="DO560" s="2" t="s">
        <v>3</v>
      </c>
      <c r="DP560" s="2">
        <f t="shared" si="8553"/>
        <v>0.11816499999999999</v>
      </c>
      <c r="DQ560" s="2">
        <f t="shared" ref="DQ560:DR560" si="9300">K560*$I560+AF560*$AD560+BA560*$AY560</f>
        <v>1.4312</v>
      </c>
      <c r="DR560" s="2">
        <f t="shared" si="9300"/>
        <v>0</v>
      </c>
      <c r="DS560" s="2">
        <f t="shared" ref="DS560:DX560" si="9301">(M560*$I560+AH560*$AD560+BC560*$AY560)/100</f>
        <v>0</v>
      </c>
      <c r="DT560" s="2">
        <f t="shared" si="9301"/>
        <v>0</v>
      </c>
      <c r="DU560" s="2">
        <f t="shared" si="9301"/>
        <v>0</v>
      </c>
      <c r="DV560" s="2">
        <f t="shared" si="9301"/>
        <v>0</v>
      </c>
      <c r="DW560" s="2">
        <f t="shared" si="9301"/>
        <v>0.14064400000000002</v>
      </c>
      <c r="DX560" s="2">
        <f t="shared" si="9301"/>
        <v>4.2940000000000001E-3</v>
      </c>
      <c r="DY560" s="2">
        <f t="shared" ref="DY560:EC560" si="9302">S560*$I560+AN560*$AD560+BI560*$AY560</f>
        <v>2.7481599999999999</v>
      </c>
      <c r="DZ560" s="2">
        <f t="shared" si="9302"/>
        <v>1.84642</v>
      </c>
      <c r="EA560" s="2">
        <f t="shared" si="9302"/>
        <v>0</v>
      </c>
      <c r="EB560" s="2">
        <f t="shared" si="9302"/>
        <v>0</v>
      </c>
      <c r="EC560" s="2">
        <f t="shared" si="9302"/>
        <v>0</v>
      </c>
      <c r="ED560" s="2">
        <f t="shared" ref="ED560:EE560" si="9303">(X560*$I560+AS560*$AD560+BN560*$AY560)/100</f>
        <v>0</v>
      </c>
      <c r="EE560" s="2">
        <f t="shared" si="9303"/>
        <v>0</v>
      </c>
      <c r="EF560" s="2"/>
      <c r="EG560" s="2">
        <f t="shared" si="8558"/>
        <v>0</v>
      </c>
      <c r="EH560" s="2">
        <f t="shared" si="8559"/>
        <v>0</v>
      </c>
      <c r="EI560" s="39">
        <f t="shared" si="8560"/>
        <v>771.09941463999996</v>
      </c>
      <c r="EJ560" s="39">
        <f t="shared" ref="EJ560:EK560" si="9304">EJ$1*DQ560/1000000</f>
        <v>58.53654019292604</v>
      </c>
      <c r="EK560" s="39">
        <f t="shared" si="9304"/>
        <v>0</v>
      </c>
      <c r="EL560" s="39">
        <f t="shared" ref="EL560:EQ560" si="9305">EL$1*DS560</f>
        <v>0</v>
      </c>
      <c r="EM560" s="39">
        <f t="shared" si="9305"/>
        <v>0</v>
      </c>
      <c r="EN560" s="39">
        <f t="shared" si="9305"/>
        <v>0</v>
      </c>
      <c r="EO560" s="39">
        <f t="shared" si="9305"/>
        <v>0</v>
      </c>
      <c r="EP560" s="39">
        <f t="shared" si="9305"/>
        <v>1844.4054160000003</v>
      </c>
      <c r="EQ560" s="39">
        <f t="shared" si="9305"/>
        <v>311.82823605599998</v>
      </c>
      <c r="ER560" s="39">
        <f t="shared" ref="ER560:EV560" si="9306">ER$1*DY560/1000000</f>
        <v>77.996492141479095</v>
      </c>
      <c r="ES560" s="39">
        <f t="shared" si="9306"/>
        <v>61.533282334405143</v>
      </c>
      <c r="ET560" s="39">
        <f t="shared" si="9306"/>
        <v>0</v>
      </c>
      <c r="EU560" s="39">
        <f t="shared" si="9306"/>
        <v>0</v>
      </c>
      <c r="EV560" s="39">
        <f t="shared" si="9306"/>
        <v>0</v>
      </c>
      <c r="EW560" s="39">
        <f t="shared" ref="EW560:EX560" si="9307">EW$1*ED560</f>
        <v>0</v>
      </c>
      <c r="EX560" s="39">
        <f t="shared" si="9307"/>
        <v>0</v>
      </c>
      <c r="EY560" s="2"/>
      <c r="EZ560" s="39">
        <f t="shared" si="8565"/>
        <v>0</v>
      </c>
      <c r="FA560" s="39">
        <f t="shared" si="8566"/>
        <v>0</v>
      </c>
      <c r="FB560" s="2">
        <f t="shared" si="8567"/>
        <v>9.3079999999999996E-2</v>
      </c>
      <c r="FC560" s="2">
        <f t="shared" ref="FC560:FD560" si="9308">BV560*$BT560+CQ560*$CO560</f>
        <v>1.0431000000000001</v>
      </c>
      <c r="FD560" s="2">
        <f t="shared" si="9308"/>
        <v>0</v>
      </c>
      <c r="FE560" s="2">
        <f t="shared" ref="FE560:FJ560" si="9309">(BX560*$BT560+CS560*$CO560)/100</f>
        <v>0</v>
      </c>
      <c r="FF560" s="2">
        <f t="shared" si="9309"/>
        <v>0</v>
      </c>
      <c r="FG560" s="2">
        <f t="shared" si="9309"/>
        <v>0</v>
      </c>
      <c r="FH560" s="2">
        <f t="shared" si="9309"/>
        <v>0</v>
      </c>
      <c r="FI560" s="2">
        <f t="shared" si="9309"/>
        <v>0.10722000000000001</v>
      </c>
      <c r="FJ560" s="2">
        <f t="shared" si="9309"/>
        <v>4.0880000000000005E-3</v>
      </c>
      <c r="FK560" s="2">
        <f t="shared" ref="FK560:FO560" si="9310">CD560*$BT560+CY560*$CO560</f>
        <v>2.61632</v>
      </c>
      <c r="FL560" s="2">
        <f t="shared" si="9310"/>
        <v>1.7578399999999998</v>
      </c>
      <c r="FM560" s="2">
        <f t="shared" si="9310"/>
        <v>0</v>
      </c>
      <c r="FN560" s="2">
        <f t="shared" si="9310"/>
        <v>0</v>
      </c>
      <c r="FO560" s="2">
        <f t="shared" si="9310"/>
        <v>0</v>
      </c>
      <c r="FP560" s="2">
        <f t="shared" ref="FP560:FQ560" si="9311">(CI560*$BT560+DD560*$CO560)/100</f>
        <v>0</v>
      </c>
      <c r="FQ560" s="2">
        <f t="shared" si="9311"/>
        <v>0</v>
      </c>
      <c r="FR560" s="2"/>
      <c r="FS560" s="2">
        <f t="shared" si="8572"/>
        <v>0</v>
      </c>
      <c r="FT560" s="2">
        <f t="shared" si="8573"/>
        <v>0</v>
      </c>
      <c r="FU560" s="39">
        <f t="shared" si="8574"/>
        <v>607.40433727999994</v>
      </c>
      <c r="FV560" s="39">
        <f t="shared" ref="FV560:FW560" si="9312">FV$1*FC560/1000000</f>
        <v>42.663125401929257</v>
      </c>
      <c r="FW560" s="39">
        <f t="shared" si="9312"/>
        <v>0</v>
      </c>
      <c r="FX560" s="39">
        <f t="shared" ref="FX560:GC560" si="9313">FX$1*FE560</f>
        <v>0</v>
      </c>
      <c r="FY560" s="39">
        <f t="shared" si="9313"/>
        <v>0</v>
      </c>
      <c r="FZ560" s="39">
        <f t="shared" si="9313"/>
        <v>0</v>
      </c>
      <c r="GA560" s="39">
        <f t="shared" si="9313"/>
        <v>0</v>
      </c>
      <c r="GB560" s="39">
        <f t="shared" si="9313"/>
        <v>1406.0830800000001</v>
      </c>
      <c r="GC560" s="39">
        <f t="shared" si="9313"/>
        <v>296.86861411199999</v>
      </c>
      <c r="GD560" s="39">
        <f t="shared" ref="GD560:GH560" si="9314">GD$1*FK560/1000000</f>
        <v>74.254694893890658</v>
      </c>
      <c r="GE560" s="39">
        <f t="shared" si="9314"/>
        <v>58.581289749196145</v>
      </c>
      <c r="GF560" s="39">
        <f t="shared" si="9314"/>
        <v>0</v>
      </c>
      <c r="GG560" s="39">
        <f t="shared" si="9314"/>
        <v>0</v>
      </c>
      <c r="GH560" s="39">
        <f t="shared" si="9314"/>
        <v>0</v>
      </c>
      <c r="GI560" s="39">
        <f t="shared" ref="GI560:GJ560" si="9315">GI$1*FP560</f>
        <v>0</v>
      </c>
      <c r="GJ560" s="39">
        <f t="shared" si="9315"/>
        <v>0</v>
      </c>
      <c r="GK560" s="2"/>
      <c r="GL560" s="39">
        <f t="shared" si="8579"/>
        <v>0</v>
      </c>
      <c r="GM560" s="39">
        <f t="shared" si="8580"/>
        <v>0</v>
      </c>
      <c r="GN560" s="2" t="s">
        <v>3</v>
      </c>
      <c r="GO560" s="2">
        <f t="shared" si="8581"/>
        <v>4.2939999999999996</v>
      </c>
      <c r="GP560" s="4">
        <f t="shared" si="8582"/>
        <v>3.2753609687936662</v>
      </c>
      <c r="GQ560" s="15">
        <f t="shared" si="8583"/>
        <v>140.64400000000003</v>
      </c>
      <c r="GR560" s="15">
        <f t="shared" si="8584"/>
        <v>3125.3993813648103</v>
      </c>
      <c r="GS560" s="15">
        <f t="shared" si="8585"/>
        <v>727.85267381574533</v>
      </c>
      <c r="GT560" s="2">
        <f t="shared" si="8586"/>
        <v>48.568000000000012</v>
      </c>
      <c r="GU560" s="2">
        <f t="shared" si="8587"/>
        <v>86.915999999999983</v>
      </c>
      <c r="GV560" s="2">
        <f t="shared" si="8588"/>
        <v>5.1599999999999993</v>
      </c>
      <c r="GW560" s="2">
        <f t="shared" si="8589"/>
        <v>4.0880000000000001</v>
      </c>
      <c r="GX560" s="4">
        <f>(BT560*CB560+CO560*CW560)/GW560</f>
        <v>2.6227984344422701</v>
      </c>
      <c r="GY560" s="15">
        <f>1000*GW560*GX560/100</f>
        <v>107.22</v>
      </c>
      <c r="GZ560" s="15">
        <f>SUM(FU560:GM560)</f>
        <v>2485.8551414370163</v>
      </c>
      <c r="HA560" s="15">
        <f>GZ560/GW560</f>
        <v>608.08589565484738</v>
      </c>
      <c r="HB560" s="2">
        <f t="shared" si="8590"/>
        <v>35.931000000000004</v>
      </c>
      <c r="HC560" s="2">
        <f t="shared" si="8591"/>
        <v>71.289000000000001</v>
      </c>
      <c r="HD560" s="2" t="s">
        <v>3</v>
      </c>
      <c r="HE560" s="2" t="s">
        <v>89</v>
      </c>
      <c r="HF560" s="2" t="s">
        <v>123</v>
      </c>
      <c r="HG560" s="2"/>
      <c r="HH560" s="2"/>
      <c r="HI560" s="2" t="s">
        <v>81</v>
      </c>
      <c r="HJ560" s="2" t="s">
        <v>3</v>
      </c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 t="s">
        <v>3</v>
      </c>
    </row>
    <row r="561" spans="1:268" ht="15.75" customHeight="1" x14ac:dyDescent="0.2">
      <c r="A561" s="16" t="s">
        <v>884</v>
      </c>
      <c r="B561" s="2" t="s">
        <v>109</v>
      </c>
      <c r="C561" s="2"/>
      <c r="D561" s="2"/>
      <c r="E561" s="2"/>
      <c r="F561" s="2" t="s">
        <v>885</v>
      </c>
      <c r="G561" s="2"/>
      <c r="H561" s="2"/>
      <c r="I561" s="2">
        <v>0</v>
      </c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>
        <v>5.65</v>
      </c>
      <c r="AE561" s="4">
        <v>0.2</v>
      </c>
      <c r="AF561" s="2"/>
      <c r="AG561" s="2"/>
      <c r="AH561" s="2"/>
      <c r="AI561" s="2"/>
      <c r="AJ561" s="2"/>
      <c r="AK561" s="2"/>
      <c r="AL561" s="2">
        <v>1.01</v>
      </c>
      <c r="AM561" s="2">
        <v>7.0000000000000007E-2</v>
      </c>
      <c r="AN561" s="2">
        <v>0.03</v>
      </c>
      <c r="AO561" s="2">
        <v>0.6</v>
      </c>
      <c r="AP561" s="2"/>
      <c r="AQ561" s="2"/>
      <c r="AR561" s="2"/>
      <c r="AS561" s="2"/>
      <c r="AT561" s="2"/>
      <c r="AU561" s="2"/>
      <c r="AV561" s="2"/>
      <c r="AW561" s="2"/>
      <c r="AX561" s="2"/>
      <c r="AY561" s="2">
        <v>0.36</v>
      </c>
      <c r="AZ561" s="4">
        <v>0.2</v>
      </c>
      <c r="BA561" s="2"/>
      <c r="BB561" s="2"/>
      <c r="BC561" s="2"/>
      <c r="BD561" s="2"/>
      <c r="BE561" s="2"/>
      <c r="BF561" s="2"/>
      <c r="BG561" s="2">
        <v>0.84</v>
      </c>
      <c r="BH561" s="2">
        <v>7.0000000000000007E-2</v>
      </c>
      <c r="BI561" s="2">
        <v>0.03</v>
      </c>
      <c r="BJ561" s="2">
        <v>0.6</v>
      </c>
      <c r="BK561" s="2"/>
      <c r="BL561" s="2"/>
      <c r="BM561" s="2"/>
      <c r="BN561" s="2"/>
      <c r="BO561" s="2"/>
      <c r="BP561" s="2"/>
      <c r="BQ561" s="2"/>
      <c r="BR561" s="2"/>
      <c r="BS561" s="2"/>
      <c r="BT561" s="2">
        <v>0</v>
      </c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>
        <v>0</v>
      </c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 t="s">
        <v>81</v>
      </c>
      <c r="DK561" s="2"/>
      <c r="DL561" s="2">
        <f t="shared" si="8551"/>
        <v>0.99981697171381034</v>
      </c>
      <c r="DM561" s="2">
        <f t="shared" si="8552"/>
        <v>7.0000000000000007E-2</v>
      </c>
      <c r="DN561" s="2" t="s">
        <v>886</v>
      </c>
      <c r="DO561" s="2" t="s">
        <v>3</v>
      </c>
      <c r="DP561" s="2">
        <f t="shared" si="8553"/>
        <v>1.2020000000000001E-2</v>
      </c>
      <c r="DQ561" s="2">
        <f t="shared" ref="DQ561:DR561" si="9316">K561*$I561+AF561*$AD561+BA561*$AY561</f>
        <v>0</v>
      </c>
      <c r="DR561" s="2">
        <f t="shared" si="9316"/>
        <v>0</v>
      </c>
      <c r="DS561" s="2">
        <f t="shared" ref="DS561:DX561" si="9317">(M561*$I561+AH561*$AD561+BC561*$AY561)/100</f>
        <v>0</v>
      </c>
      <c r="DT561" s="2">
        <f t="shared" si="9317"/>
        <v>0</v>
      </c>
      <c r="DU561" s="2">
        <f t="shared" si="9317"/>
        <v>0</v>
      </c>
      <c r="DV561" s="2">
        <f t="shared" si="9317"/>
        <v>0</v>
      </c>
      <c r="DW561" s="2">
        <f t="shared" si="9317"/>
        <v>6.0089000000000004E-2</v>
      </c>
      <c r="DX561" s="2">
        <f t="shared" si="9317"/>
        <v>4.2070000000000007E-3</v>
      </c>
      <c r="DY561" s="2">
        <f t="shared" ref="DY561:EC561" si="9318">S561*$I561+AN561*$AD561+BI561*$AY561</f>
        <v>0.18030000000000002</v>
      </c>
      <c r="DZ561" s="2">
        <f t="shared" si="9318"/>
        <v>3.6060000000000003</v>
      </c>
      <c r="EA561" s="2">
        <f t="shared" si="9318"/>
        <v>0</v>
      </c>
      <c r="EB561" s="2">
        <f t="shared" si="9318"/>
        <v>0</v>
      </c>
      <c r="EC561" s="2">
        <f t="shared" si="9318"/>
        <v>0</v>
      </c>
      <c r="ED561" s="2">
        <f t="shared" ref="ED561:EE561" si="9319">(X561*$I561+AS561*$AD561+BN561*$AY561)/100</f>
        <v>0</v>
      </c>
      <c r="EE561" s="2">
        <f t="shared" si="9319"/>
        <v>0</v>
      </c>
      <c r="EF561" s="2"/>
      <c r="EG561" s="2">
        <f t="shared" si="8558"/>
        <v>0</v>
      </c>
      <c r="EH561" s="2">
        <f t="shared" si="8559"/>
        <v>0</v>
      </c>
      <c r="EI561" s="39">
        <f t="shared" si="8560"/>
        <v>78.437904320000001</v>
      </c>
      <c r="EJ561" s="39">
        <f t="shared" ref="EJ561:EK561" si="9320">EJ$1*DQ561/1000000</f>
        <v>0</v>
      </c>
      <c r="EK561" s="39">
        <f t="shared" si="9320"/>
        <v>0</v>
      </c>
      <c r="EL561" s="39">
        <f t="shared" ref="EL561:EQ561" si="9321">EL$1*DS561</f>
        <v>0</v>
      </c>
      <c r="EM561" s="39">
        <f t="shared" si="9321"/>
        <v>0</v>
      </c>
      <c r="EN561" s="39">
        <f t="shared" si="9321"/>
        <v>0</v>
      </c>
      <c r="EO561" s="39">
        <f t="shared" si="9321"/>
        <v>0</v>
      </c>
      <c r="EP561" s="39">
        <f t="shared" si="9321"/>
        <v>788.00714600000003</v>
      </c>
      <c r="EQ561" s="39">
        <f t="shared" si="9321"/>
        <v>305.51033746799999</v>
      </c>
      <c r="ER561" s="39">
        <f t="shared" ref="ER561:EV561" si="9322">ER$1*DY561/1000000</f>
        <v>5.1171574919614136</v>
      </c>
      <c r="ES561" s="39">
        <f t="shared" si="9322"/>
        <v>120.17255884244375</v>
      </c>
      <c r="ET561" s="39">
        <f t="shared" si="9322"/>
        <v>0</v>
      </c>
      <c r="EU561" s="39">
        <f t="shared" si="9322"/>
        <v>0</v>
      </c>
      <c r="EV561" s="39">
        <f t="shared" si="9322"/>
        <v>0</v>
      </c>
      <c r="EW561" s="39">
        <f t="shared" ref="EW561:EX561" si="9323">EW$1*ED561</f>
        <v>0</v>
      </c>
      <c r="EX561" s="39">
        <f t="shared" si="9323"/>
        <v>0</v>
      </c>
      <c r="EY561" s="2"/>
      <c r="EZ561" s="39">
        <f t="shared" si="8565"/>
        <v>0</v>
      </c>
      <c r="FA561" s="39">
        <f t="shared" si="8566"/>
        <v>0</v>
      </c>
      <c r="FB561" s="2">
        <f t="shared" si="8567"/>
        <v>0</v>
      </c>
      <c r="FC561" s="2">
        <f t="shared" ref="FC561:FD561" si="9324">BV561*$BT561+CQ561*$CO561</f>
        <v>0</v>
      </c>
      <c r="FD561" s="2">
        <f t="shared" si="9324"/>
        <v>0</v>
      </c>
      <c r="FE561" s="2">
        <f t="shared" ref="FE561:FJ561" si="9325">(BX561*$BT561+CS561*$CO561)/100</f>
        <v>0</v>
      </c>
      <c r="FF561" s="2">
        <f t="shared" si="9325"/>
        <v>0</v>
      </c>
      <c r="FG561" s="2">
        <f t="shared" si="9325"/>
        <v>0</v>
      </c>
      <c r="FH561" s="2">
        <f t="shared" si="9325"/>
        <v>0</v>
      </c>
      <c r="FI561" s="2">
        <f t="shared" si="9325"/>
        <v>0</v>
      </c>
      <c r="FJ561" s="2">
        <f t="shared" si="9325"/>
        <v>0</v>
      </c>
      <c r="FK561" s="2">
        <f t="shared" ref="FK561:FO561" si="9326">CD561*$BT561+CY561*$CO561</f>
        <v>0</v>
      </c>
      <c r="FL561" s="2">
        <f t="shared" si="9326"/>
        <v>0</v>
      </c>
      <c r="FM561" s="2">
        <f t="shared" si="9326"/>
        <v>0</v>
      </c>
      <c r="FN561" s="2">
        <f t="shared" si="9326"/>
        <v>0</v>
      </c>
      <c r="FO561" s="2">
        <f t="shared" si="9326"/>
        <v>0</v>
      </c>
      <c r="FP561" s="2">
        <f t="shared" ref="FP561:FQ561" si="9327">(CI561*$BT561+DD561*$CO561)/100</f>
        <v>0</v>
      </c>
      <c r="FQ561" s="2">
        <f t="shared" si="9327"/>
        <v>0</v>
      </c>
      <c r="FR561" s="2"/>
      <c r="FS561" s="2">
        <f t="shared" si="8572"/>
        <v>0</v>
      </c>
      <c r="FT561" s="2">
        <f t="shared" si="8573"/>
        <v>0</v>
      </c>
      <c r="FU561" s="39">
        <f t="shared" si="8574"/>
        <v>0</v>
      </c>
      <c r="FV561" s="39">
        <f t="shared" ref="FV561:FW561" si="9328">FV$1*FC561/1000000</f>
        <v>0</v>
      </c>
      <c r="FW561" s="39">
        <f t="shared" si="9328"/>
        <v>0</v>
      </c>
      <c r="FX561" s="39">
        <f t="shared" ref="FX561:GC561" si="9329">FX$1*FE561</f>
        <v>0</v>
      </c>
      <c r="FY561" s="39">
        <f t="shared" si="9329"/>
        <v>0</v>
      </c>
      <c r="FZ561" s="39">
        <f t="shared" si="9329"/>
        <v>0</v>
      </c>
      <c r="GA561" s="39">
        <f t="shared" si="9329"/>
        <v>0</v>
      </c>
      <c r="GB561" s="39">
        <f t="shared" si="9329"/>
        <v>0</v>
      </c>
      <c r="GC561" s="39">
        <f t="shared" si="9329"/>
        <v>0</v>
      </c>
      <c r="GD561" s="39">
        <f t="shared" ref="GD561:GH561" si="9330">GD$1*FK561/1000000</f>
        <v>0</v>
      </c>
      <c r="GE561" s="39">
        <f t="shared" si="9330"/>
        <v>0</v>
      </c>
      <c r="GF561" s="39">
        <f t="shared" si="9330"/>
        <v>0</v>
      </c>
      <c r="GG561" s="39">
        <f t="shared" si="9330"/>
        <v>0</v>
      </c>
      <c r="GH561" s="39">
        <f t="shared" si="9330"/>
        <v>0</v>
      </c>
      <c r="GI561" s="39">
        <f t="shared" ref="GI561:GJ561" si="9331">GI$1*FP561</f>
        <v>0</v>
      </c>
      <c r="GJ561" s="39">
        <f t="shared" si="9331"/>
        <v>0</v>
      </c>
      <c r="GK561" s="2"/>
      <c r="GL561" s="39">
        <f t="shared" si="8579"/>
        <v>0</v>
      </c>
      <c r="GM561" s="39">
        <f t="shared" si="8580"/>
        <v>0</v>
      </c>
      <c r="GN561" s="2" t="s">
        <v>3</v>
      </c>
      <c r="GO561" s="2">
        <f t="shared" si="8581"/>
        <v>6.0100000000000007</v>
      </c>
      <c r="GP561" s="4">
        <f t="shared" si="8582"/>
        <v>0.99981697171381034</v>
      </c>
      <c r="GQ561" s="15">
        <f t="shared" si="8583"/>
        <v>60.089000000000013</v>
      </c>
      <c r="GR561" s="15">
        <f t="shared" si="8584"/>
        <v>1297.2451041224053</v>
      </c>
      <c r="GS561" s="15">
        <f t="shared" si="8585"/>
        <v>215.84777106861983</v>
      </c>
      <c r="GT561" s="2">
        <f t="shared" si="8586"/>
        <v>0</v>
      </c>
      <c r="GU561" s="2">
        <f t="shared" si="8587"/>
        <v>57.064999999999998</v>
      </c>
      <c r="GV561" s="2">
        <f t="shared" si="8588"/>
        <v>3.0239999999999996</v>
      </c>
      <c r="GW561" s="2">
        <f t="shared" si="8589"/>
        <v>0</v>
      </c>
      <c r="GX561" s="2"/>
      <c r="GY561" s="2"/>
      <c r="GZ561" s="2"/>
      <c r="HA561" s="2"/>
      <c r="HB561" s="2">
        <f t="shared" si="8590"/>
        <v>0</v>
      </c>
      <c r="HC561" s="2">
        <f t="shared" si="8591"/>
        <v>0</v>
      </c>
      <c r="HD561" s="2" t="s">
        <v>3</v>
      </c>
      <c r="HE561" s="2" t="s">
        <v>89</v>
      </c>
      <c r="HF561" s="2" t="s">
        <v>123</v>
      </c>
      <c r="HG561" s="2"/>
      <c r="HH561" s="2"/>
      <c r="HI561" s="2" t="s">
        <v>81</v>
      </c>
      <c r="HJ561" s="2" t="s">
        <v>3</v>
      </c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 t="s">
        <v>3</v>
      </c>
    </row>
    <row r="562" spans="1:268" ht="15.75" customHeight="1" x14ac:dyDescent="0.2">
      <c r="A562" s="16" t="s">
        <v>1160</v>
      </c>
      <c r="B562" s="2" t="s">
        <v>99</v>
      </c>
      <c r="C562" s="2"/>
      <c r="D562" s="2"/>
      <c r="E562" s="2"/>
      <c r="F562" s="2" t="s">
        <v>79</v>
      </c>
      <c r="G562" s="2"/>
      <c r="H562" s="2"/>
      <c r="I562" s="2">
        <v>0</v>
      </c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>
        <v>0</v>
      </c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4">
        <f>0.43*0.9072</f>
        <v>0.390096</v>
      </c>
      <c r="AZ562" s="2">
        <v>0.3</v>
      </c>
      <c r="BA562" s="2"/>
      <c r="BB562" s="15">
        <f>0.13*31.1/0.9072</f>
        <v>4.4565696649029984</v>
      </c>
      <c r="BC562" s="2"/>
      <c r="BD562" s="2"/>
      <c r="BE562" s="2"/>
      <c r="BF562" s="2"/>
      <c r="BG562" s="2">
        <v>0.3</v>
      </c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>
        <v>0</v>
      </c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>
        <v>0</v>
      </c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 t="s">
        <v>100</v>
      </c>
      <c r="DK562" s="2"/>
      <c r="DL562" s="2">
        <f t="shared" si="8551"/>
        <v>0.3</v>
      </c>
      <c r="DM562" s="2">
        <f t="shared" si="8552"/>
        <v>0</v>
      </c>
      <c r="DN562" s="2" t="s">
        <v>257</v>
      </c>
      <c r="DO562" s="2" t="s">
        <v>3</v>
      </c>
      <c r="DP562" s="2">
        <f t="shared" si="8553"/>
        <v>1.1702879999999998E-3</v>
      </c>
      <c r="DQ562" s="2">
        <f t="shared" ref="DQ562:DR562" si="9332">K562*$I562+AF562*$AD562+BA562*$AY562</f>
        <v>0</v>
      </c>
      <c r="DR562" s="2">
        <f t="shared" si="9332"/>
        <v>1.7384900000000001</v>
      </c>
      <c r="DS562" s="2">
        <f t="shared" ref="DS562:DX562" si="9333">(M562*$I562+AH562*$AD562+BC562*$AY562)/100</f>
        <v>0</v>
      </c>
      <c r="DT562" s="2">
        <f t="shared" si="9333"/>
        <v>0</v>
      </c>
      <c r="DU562" s="2">
        <f t="shared" si="9333"/>
        <v>0</v>
      </c>
      <c r="DV562" s="2">
        <f t="shared" si="9333"/>
        <v>0</v>
      </c>
      <c r="DW562" s="2">
        <f t="shared" si="9333"/>
        <v>1.1702879999999998E-3</v>
      </c>
      <c r="DX562" s="2">
        <f t="shared" si="9333"/>
        <v>0</v>
      </c>
      <c r="DY562" s="2">
        <f t="shared" ref="DY562:EC562" si="9334">S562*$I562+AN562*$AD562+BI562*$AY562</f>
        <v>0</v>
      </c>
      <c r="DZ562" s="2">
        <f t="shared" si="9334"/>
        <v>0</v>
      </c>
      <c r="EA562" s="2">
        <f t="shared" si="9334"/>
        <v>0</v>
      </c>
      <c r="EB562" s="2">
        <f t="shared" si="9334"/>
        <v>0</v>
      </c>
      <c r="EC562" s="2">
        <f t="shared" si="9334"/>
        <v>0</v>
      </c>
      <c r="ED562" s="2">
        <f t="shared" ref="ED562:EE562" si="9335">(X562*$I562+AS562*$AD562+BN562*$AY562)/100</f>
        <v>0</v>
      </c>
      <c r="EE562" s="2">
        <f t="shared" si="9335"/>
        <v>0</v>
      </c>
      <c r="EF562" s="2"/>
      <c r="EG562" s="2">
        <f t="shared" si="8558"/>
        <v>0</v>
      </c>
      <c r="EH562" s="2">
        <f t="shared" si="8559"/>
        <v>0</v>
      </c>
      <c r="EI562" s="39">
        <f t="shared" si="8560"/>
        <v>7.6368500974079989</v>
      </c>
      <c r="EJ562" s="39">
        <f t="shared" ref="EJ562:EK562" si="9336">EJ$1*DQ562/1000000</f>
        <v>0</v>
      </c>
      <c r="EK562" s="39">
        <f t="shared" si="9336"/>
        <v>0.8804249999999999</v>
      </c>
      <c r="EL562" s="39">
        <f t="shared" ref="EL562:EQ562" si="9337">EL$1*DS562</f>
        <v>0</v>
      </c>
      <c r="EM562" s="39">
        <f t="shared" si="9337"/>
        <v>0</v>
      </c>
      <c r="EN562" s="39">
        <f t="shared" si="9337"/>
        <v>0</v>
      </c>
      <c r="EO562" s="39">
        <f t="shared" si="9337"/>
        <v>0</v>
      </c>
      <c r="EP562" s="39">
        <f t="shared" si="9337"/>
        <v>15.347156831999998</v>
      </c>
      <c r="EQ562" s="39">
        <f t="shared" si="9337"/>
        <v>0</v>
      </c>
      <c r="ER562" s="39">
        <f t="shared" ref="ER562:EV562" si="9338">ER$1*DY562/1000000</f>
        <v>0</v>
      </c>
      <c r="ES562" s="39">
        <f t="shared" si="9338"/>
        <v>0</v>
      </c>
      <c r="ET562" s="39">
        <f t="shared" si="9338"/>
        <v>0</v>
      </c>
      <c r="EU562" s="39">
        <f t="shared" si="9338"/>
        <v>0</v>
      </c>
      <c r="EV562" s="39">
        <f t="shared" si="9338"/>
        <v>0</v>
      </c>
      <c r="EW562" s="39">
        <f t="shared" ref="EW562:EX562" si="9339">EW$1*ED562</f>
        <v>0</v>
      </c>
      <c r="EX562" s="39">
        <f t="shared" si="9339"/>
        <v>0</v>
      </c>
      <c r="EY562" s="2"/>
      <c r="EZ562" s="39">
        <f t="shared" si="8565"/>
        <v>0</v>
      </c>
      <c r="FA562" s="39">
        <f t="shared" si="8566"/>
        <v>0</v>
      </c>
      <c r="FB562" s="2">
        <f t="shared" si="8567"/>
        <v>0</v>
      </c>
      <c r="FC562" s="2">
        <f t="shared" ref="FC562:FD562" si="9340">BV562*$BT562+CQ562*$CO562</f>
        <v>0</v>
      </c>
      <c r="FD562" s="2">
        <f t="shared" si="9340"/>
        <v>0</v>
      </c>
      <c r="FE562" s="2">
        <f t="shared" ref="FE562:FJ562" si="9341">(BX562*$BT562+CS562*$CO562)/100</f>
        <v>0</v>
      </c>
      <c r="FF562" s="2">
        <f t="shared" si="9341"/>
        <v>0</v>
      </c>
      <c r="FG562" s="2">
        <f t="shared" si="9341"/>
        <v>0</v>
      </c>
      <c r="FH562" s="2">
        <f t="shared" si="9341"/>
        <v>0</v>
      </c>
      <c r="FI562" s="2">
        <f t="shared" si="9341"/>
        <v>0</v>
      </c>
      <c r="FJ562" s="2">
        <f t="shared" si="9341"/>
        <v>0</v>
      </c>
      <c r="FK562" s="2">
        <f t="shared" ref="FK562:FO562" si="9342">CD562*$BT562+CY562*$CO562</f>
        <v>0</v>
      </c>
      <c r="FL562" s="2">
        <f t="shared" si="9342"/>
        <v>0</v>
      </c>
      <c r="FM562" s="2">
        <f t="shared" si="9342"/>
        <v>0</v>
      </c>
      <c r="FN562" s="2">
        <f t="shared" si="9342"/>
        <v>0</v>
      </c>
      <c r="FO562" s="2">
        <f t="shared" si="9342"/>
        <v>0</v>
      </c>
      <c r="FP562" s="2">
        <f t="shared" ref="FP562:FQ562" si="9343">(CI562*$BT562+DD562*$CO562)/100</f>
        <v>0</v>
      </c>
      <c r="FQ562" s="2">
        <f t="shared" si="9343"/>
        <v>0</v>
      </c>
      <c r="FR562" s="2"/>
      <c r="FS562" s="2">
        <f t="shared" si="8572"/>
        <v>0</v>
      </c>
      <c r="FT562" s="2">
        <f t="shared" si="8573"/>
        <v>0</v>
      </c>
      <c r="FU562" s="39">
        <f t="shared" si="8574"/>
        <v>0</v>
      </c>
      <c r="FV562" s="39">
        <f t="shared" ref="FV562:FW562" si="9344">FV$1*FC562/1000000</f>
        <v>0</v>
      </c>
      <c r="FW562" s="39">
        <f t="shared" si="9344"/>
        <v>0</v>
      </c>
      <c r="FX562" s="39">
        <f t="shared" ref="FX562:GC562" si="9345">FX$1*FE562</f>
        <v>0</v>
      </c>
      <c r="FY562" s="39">
        <f t="shared" si="9345"/>
        <v>0</v>
      </c>
      <c r="FZ562" s="39">
        <f t="shared" si="9345"/>
        <v>0</v>
      </c>
      <c r="GA562" s="39">
        <f t="shared" si="9345"/>
        <v>0</v>
      </c>
      <c r="GB562" s="39">
        <f t="shared" si="9345"/>
        <v>0</v>
      </c>
      <c r="GC562" s="39">
        <f t="shared" si="9345"/>
        <v>0</v>
      </c>
      <c r="GD562" s="39">
        <f t="shared" ref="GD562:GH562" si="9346">GD$1*FK562/1000000</f>
        <v>0</v>
      </c>
      <c r="GE562" s="39">
        <f t="shared" si="9346"/>
        <v>0</v>
      </c>
      <c r="GF562" s="39">
        <f t="shared" si="9346"/>
        <v>0</v>
      </c>
      <c r="GG562" s="39">
        <f t="shared" si="9346"/>
        <v>0</v>
      </c>
      <c r="GH562" s="39">
        <f t="shared" si="9346"/>
        <v>0</v>
      </c>
      <c r="GI562" s="39">
        <f t="shared" ref="GI562:GJ562" si="9347">GI$1*FP562</f>
        <v>0</v>
      </c>
      <c r="GJ562" s="39">
        <f t="shared" si="9347"/>
        <v>0</v>
      </c>
      <c r="GK562" s="2"/>
      <c r="GL562" s="39">
        <f t="shared" si="8579"/>
        <v>0</v>
      </c>
      <c r="GM562" s="39">
        <f t="shared" si="8580"/>
        <v>0</v>
      </c>
      <c r="GN562" s="2" t="s">
        <v>3</v>
      </c>
      <c r="GO562" s="19">
        <f t="shared" si="8581"/>
        <v>0.390096</v>
      </c>
      <c r="GP562" s="2">
        <f t="shared" si="8582"/>
        <v>0.3</v>
      </c>
      <c r="GQ562" s="15">
        <f t="shared" si="8583"/>
        <v>1.170288</v>
      </c>
      <c r="GR562" s="15">
        <f t="shared" si="8584"/>
        <v>23.864431929407999</v>
      </c>
      <c r="GS562" s="15">
        <f t="shared" si="8585"/>
        <v>61.17579244444444</v>
      </c>
      <c r="GT562" s="2">
        <f t="shared" si="8586"/>
        <v>0</v>
      </c>
      <c r="GU562" s="2">
        <f t="shared" si="8587"/>
        <v>0</v>
      </c>
      <c r="GV562" s="2">
        <f t="shared" si="8588"/>
        <v>1.170288</v>
      </c>
      <c r="GW562" s="2">
        <f t="shared" si="8589"/>
        <v>0</v>
      </c>
      <c r="GX562" s="2"/>
      <c r="GY562" s="2"/>
      <c r="GZ562" s="2"/>
      <c r="HA562" s="2"/>
      <c r="HB562" s="2">
        <f t="shared" si="8590"/>
        <v>0</v>
      </c>
      <c r="HC562" s="2">
        <f t="shared" si="8591"/>
        <v>0</v>
      </c>
      <c r="HD562" s="2" t="s">
        <v>3</v>
      </c>
      <c r="HE562" s="2" t="s">
        <v>89</v>
      </c>
      <c r="HF562" s="2" t="s">
        <v>123</v>
      </c>
      <c r="HG562" s="2" t="s">
        <v>1401</v>
      </c>
      <c r="HH562" s="2"/>
      <c r="HI562" s="2" t="s">
        <v>100</v>
      </c>
      <c r="HJ562" s="2" t="s">
        <v>3</v>
      </c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 t="s">
        <v>3</v>
      </c>
    </row>
    <row r="563" spans="1:268" ht="15.75" customHeight="1" x14ac:dyDescent="0.2">
      <c r="A563" s="16" t="s">
        <v>829</v>
      </c>
      <c r="B563" s="2" t="s">
        <v>99</v>
      </c>
      <c r="C563" s="2"/>
      <c r="D563" s="2"/>
      <c r="E563" s="2"/>
      <c r="F563" s="2" t="s">
        <v>79</v>
      </c>
      <c r="G563" s="2"/>
      <c r="H563" s="2"/>
      <c r="I563" s="2">
        <v>0</v>
      </c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>
        <v>0</v>
      </c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>
        <v>8.0000000000000002E-3</v>
      </c>
      <c r="AZ563" s="2">
        <v>0.88</v>
      </c>
      <c r="BA563" s="2"/>
      <c r="BB563" s="2"/>
      <c r="BC563" s="2"/>
      <c r="BD563" s="2"/>
      <c r="BE563" s="2"/>
      <c r="BF563" s="2"/>
      <c r="BG563" s="2">
        <v>1.57</v>
      </c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>
        <v>0</v>
      </c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>
        <v>0</v>
      </c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 t="s">
        <v>100</v>
      </c>
      <c r="DK563" s="2"/>
      <c r="DL563" s="2">
        <f t="shared" si="8551"/>
        <v>1.57</v>
      </c>
      <c r="DM563" s="2">
        <f t="shared" si="8552"/>
        <v>0</v>
      </c>
      <c r="DN563" s="2" t="s">
        <v>257</v>
      </c>
      <c r="DO563" s="2" t="s">
        <v>3</v>
      </c>
      <c r="DP563" s="2">
        <f t="shared" si="8553"/>
        <v>7.0400000000000004E-5</v>
      </c>
      <c r="DQ563" s="2">
        <f t="shared" ref="DQ563:DR563" si="9348">K563*$I563+AF563*$AD563+BA563*$AY563</f>
        <v>0</v>
      </c>
      <c r="DR563" s="2">
        <f t="shared" si="9348"/>
        <v>0</v>
      </c>
      <c r="DS563" s="2">
        <f t="shared" ref="DS563:DX563" si="9349">(M563*$I563+AH563*$AD563+BC563*$AY563)/100</f>
        <v>0</v>
      </c>
      <c r="DT563" s="2">
        <f t="shared" si="9349"/>
        <v>0</v>
      </c>
      <c r="DU563" s="2">
        <f t="shared" si="9349"/>
        <v>0</v>
      </c>
      <c r="DV563" s="2">
        <f t="shared" si="9349"/>
        <v>0</v>
      </c>
      <c r="DW563" s="2">
        <f t="shared" si="9349"/>
        <v>1.2559999999999999E-4</v>
      </c>
      <c r="DX563" s="2">
        <f t="shared" si="9349"/>
        <v>0</v>
      </c>
      <c r="DY563" s="2">
        <f t="shared" ref="DY563:EC563" si="9350">S563*$I563+AN563*$AD563+BI563*$AY563</f>
        <v>0</v>
      </c>
      <c r="DZ563" s="2">
        <f t="shared" si="9350"/>
        <v>0</v>
      </c>
      <c r="EA563" s="2">
        <f t="shared" si="9350"/>
        <v>0</v>
      </c>
      <c r="EB563" s="2">
        <f t="shared" si="9350"/>
        <v>0</v>
      </c>
      <c r="EC563" s="2">
        <f t="shared" si="9350"/>
        <v>0</v>
      </c>
      <c r="ED563" s="2">
        <f t="shared" ref="ED563:EE563" si="9351">(X563*$I563+AS563*$AD563+BN563*$AY563)/100</f>
        <v>0</v>
      </c>
      <c r="EE563" s="2">
        <f t="shared" si="9351"/>
        <v>0</v>
      </c>
      <c r="EF563" s="2"/>
      <c r="EG563" s="2">
        <f t="shared" si="8558"/>
        <v>0</v>
      </c>
      <c r="EH563" s="2">
        <f t="shared" si="8559"/>
        <v>0</v>
      </c>
      <c r="EI563" s="39">
        <f t="shared" si="8560"/>
        <v>0.45940336640000001</v>
      </c>
      <c r="EJ563" s="39">
        <f t="shared" ref="EJ563:EK563" si="9352">EJ$1*DQ563/1000000</f>
        <v>0</v>
      </c>
      <c r="EK563" s="39">
        <f t="shared" si="9352"/>
        <v>0</v>
      </c>
      <c r="EL563" s="39">
        <f t="shared" ref="EL563:EQ563" si="9353">EL$1*DS563</f>
        <v>0</v>
      </c>
      <c r="EM563" s="39">
        <f t="shared" si="9353"/>
        <v>0</v>
      </c>
      <c r="EN563" s="39">
        <f t="shared" si="9353"/>
        <v>0</v>
      </c>
      <c r="EO563" s="39">
        <f t="shared" si="9353"/>
        <v>0</v>
      </c>
      <c r="EP563" s="39">
        <f t="shared" si="9353"/>
        <v>1.6471183999999999</v>
      </c>
      <c r="EQ563" s="39">
        <f t="shared" si="9353"/>
        <v>0</v>
      </c>
      <c r="ER563" s="39">
        <f t="shared" ref="ER563:EV563" si="9354">ER$1*DY563/1000000</f>
        <v>0</v>
      </c>
      <c r="ES563" s="39">
        <f t="shared" si="9354"/>
        <v>0</v>
      </c>
      <c r="ET563" s="39">
        <f t="shared" si="9354"/>
        <v>0</v>
      </c>
      <c r="EU563" s="39">
        <f t="shared" si="9354"/>
        <v>0</v>
      </c>
      <c r="EV563" s="39">
        <f t="shared" si="9354"/>
        <v>0</v>
      </c>
      <c r="EW563" s="39">
        <f t="shared" ref="EW563:EX563" si="9355">EW$1*ED563</f>
        <v>0</v>
      </c>
      <c r="EX563" s="39">
        <f t="shared" si="9355"/>
        <v>0</v>
      </c>
      <c r="EY563" s="2"/>
      <c r="EZ563" s="39">
        <f t="shared" si="8565"/>
        <v>0</v>
      </c>
      <c r="FA563" s="39">
        <f t="shared" si="8566"/>
        <v>0</v>
      </c>
      <c r="FB563" s="2">
        <f t="shared" si="8567"/>
        <v>0</v>
      </c>
      <c r="FC563" s="2">
        <f t="shared" ref="FC563:FD563" si="9356">BV563*$BT563+CQ563*$CO563</f>
        <v>0</v>
      </c>
      <c r="FD563" s="2">
        <f t="shared" si="9356"/>
        <v>0</v>
      </c>
      <c r="FE563" s="2">
        <f t="shared" ref="FE563:FJ563" si="9357">(BX563*$BT563+CS563*$CO563)/100</f>
        <v>0</v>
      </c>
      <c r="FF563" s="2">
        <f t="shared" si="9357"/>
        <v>0</v>
      </c>
      <c r="FG563" s="2">
        <f t="shared" si="9357"/>
        <v>0</v>
      </c>
      <c r="FH563" s="2">
        <f t="shared" si="9357"/>
        <v>0</v>
      </c>
      <c r="FI563" s="2">
        <f t="shared" si="9357"/>
        <v>0</v>
      </c>
      <c r="FJ563" s="2">
        <f t="shared" si="9357"/>
        <v>0</v>
      </c>
      <c r="FK563" s="2">
        <f t="shared" ref="FK563:FO563" si="9358">CD563*$BT563+CY563*$CO563</f>
        <v>0</v>
      </c>
      <c r="FL563" s="2">
        <f t="shared" si="9358"/>
        <v>0</v>
      </c>
      <c r="FM563" s="2">
        <f t="shared" si="9358"/>
        <v>0</v>
      </c>
      <c r="FN563" s="2">
        <f t="shared" si="9358"/>
        <v>0</v>
      </c>
      <c r="FO563" s="2">
        <f t="shared" si="9358"/>
        <v>0</v>
      </c>
      <c r="FP563" s="2">
        <f t="shared" ref="FP563:FQ563" si="9359">(CI563*$BT563+DD563*$CO563)/100</f>
        <v>0</v>
      </c>
      <c r="FQ563" s="2">
        <f t="shared" si="9359"/>
        <v>0</v>
      </c>
      <c r="FR563" s="2"/>
      <c r="FS563" s="2">
        <f t="shared" si="8572"/>
        <v>0</v>
      </c>
      <c r="FT563" s="2">
        <f t="shared" si="8573"/>
        <v>0</v>
      </c>
      <c r="FU563" s="39">
        <f t="shared" si="8574"/>
        <v>0</v>
      </c>
      <c r="FV563" s="39">
        <f t="shared" ref="FV563:FW563" si="9360">FV$1*FC563/1000000</f>
        <v>0</v>
      </c>
      <c r="FW563" s="39">
        <f t="shared" si="9360"/>
        <v>0</v>
      </c>
      <c r="FX563" s="39">
        <f t="shared" ref="FX563:GC563" si="9361">FX$1*FE563</f>
        <v>0</v>
      </c>
      <c r="FY563" s="39">
        <f t="shared" si="9361"/>
        <v>0</v>
      </c>
      <c r="FZ563" s="39">
        <f t="shared" si="9361"/>
        <v>0</v>
      </c>
      <c r="GA563" s="39">
        <f t="shared" si="9361"/>
        <v>0</v>
      </c>
      <c r="GB563" s="39">
        <f t="shared" si="9361"/>
        <v>0</v>
      </c>
      <c r="GC563" s="39">
        <f t="shared" si="9361"/>
        <v>0</v>
      </c>
      <c r="GD563" s="39">
        <f t="shared" ref="GD563:GH563" si="9362">GD$1*FK563/1000000</f>
        <v>0</v>
      </c>
      <c r="GE563" s="39">
        <f t="shared" si="9362"/>
        <v>0</v>
      </c>
      <c r="GF563" s="39">
        <f t="shared" si="9362"/>
        <v>0</v>
      </c>
      <c r="GG563" s="39">
        <f t="shared" si="9362"/>
        <v>0</v>
      </c>
      <c r="GH563" s="39">
        <f t="shared" si="9362"/>
        <v>0</v>
      </c>
      <c r="GI563" s="39">
        <f t="shared" ref="GI563:GJ563" si="9363">GI$1*FP563</f>
        <v>0</v>
      </c>
      <c r="GJ563" s="39">
        <f t="shared" si="9363"/>
        <v>0</v>
      </c>
      <c r="GK563" s="2"/>
      <c r="GL563" s="39">
        <f t="shared" si="8579"/>
        <v>0</v>
      </c>
      <c r="GM563" s="39">
        <f t="shared" si="8580"/>
        <v>0</v>
      </c>
      <c r="GN563" s="2" t="s">
        <v>3</v>
      </c>
      <c r="GO563" s="2">
        <f t="shared" si="8581"/>
        <v>8.0000000000000002E-3</v>
      </c>
      <c r="GP563" s="2">
        <f t="shared" si="8582"/>
        <v>1.57</v>
      </c>
      <c r="GQ563" s="15">
        <f t="shared" si="8583"/>
        <v>0.12560000000000002</v>
      </c>
      <c r="GR563" s="15">
        <f t="shared" si="8584"/>
        <v>2.1065217663999998</v>
      </c>
      <c r="GS563" s="15">
        <f t="shared" si="8585"/>
        <v>263.31522079999996</v>
      </c>
      <c r="GT563" s="2">
        <f t="shared" si="8586"/>
        <v>0</v>
      </c>
      <c r="GU563" s="2">
        <f t="shared" si="8587"/>
        <v>0</v>
      </c>
      <c r="GV563" s="2">
        <f t="shared" si="8588"/>
        <v>0.12560000000000002</v>
      </c>
      <c r="GW563" s="2">
        <f t="shared" si="8589"/>
        <v>0</v>
      </c>
      <c r="GX563" s="2"/>
      <c r="GY563" s="2"/>
      <c r="GZ563" s="2"/>
      <c r="HA563" s="2"/>
      <c r="HB563" s="2">
        <f t="shared" si="8590"/>
        <v>0</v>
      </c>
      <c r="HC563" s="2">
        <f t="shared" si="8591"/>
        <v>0</v>
      </c>
      <c r="HD563" s="2" t="s">
        <v>3</v>
      </c>
      <c r="HE563" s="2" t="s">
        <v>89</v>
      </c>
      <c r="HF563" s="2" t="s">
        <v>123</v>
      </c>
      <c r="HG563" s="2" t="s">
        <v>1401</v>
      </c>
      <c r="HH563" s="2"/>
      <c r="HI563" s="2" t="s">
        <v>100</v>
      </c>
      <c r="HJ563" s="2" t="s">
        <v>3</v>
      </c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 t="s">
        <v>3</v>
      </c>
    </row>
    <row r="564" spans="1:268" ht="15.75" customHeight="1" x14ac:dyDescent="0.2">
      <c r="A564" s="16" t="s">
        <v>473</v>
      </c>
      <c r="B564" s="2" t="s">
        <v>99</v>
      </c>
      <c r="C564" s="2"/>
      <c r="D564" s="2"/>
      <c r="E564" s="2"/>
      <c r="F564" s="2" t="s">
        <v>79</v>
      </c>
      <c r="G564" s="2"/>
      <c r="H564" s="2"/>
      <c r="I564" s="2">
        <v>0</v>
      </c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>
        <v>0</v>
      </c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4">
        <f>0.56*0.9072</f>
        <v>0.50803200000000004</v>
      </c>
      <c r="AZ564" s="2">
        <v>0.35</v>
      </c>
      <c r="BA564" s="2"/>
      <c r="BB564" s="2"/>
      <c r="BC564" s="2"/>
      <c r="BD564" s="2"/>
      <c r="BE564" s="2"/>
      <c r="BF564" s="2"/>
      <c r="BG564" s="2">
        <v>0.34</v>
      </c>
      <c r="BH564" s="2">
        <v>0.15</v>
      </c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>
        <v>0</v>
      </c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>
        <v>0</v>
      </c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 t="s">
        <v>100</v>
      </c>
      <c r="DK564" s="2" t="s">
        <v>100</v>
      </c>
      <c r="DL564" s="2">
        <f t="shared" si="8551"/>
        <v>0.34</v>
      </c>
      <c r="DM564" s="2">
        <f t="shared" si="8552"/>
        <v>0.15</v>
      </c>
      <c r="DN564" s="2" t="s">
        <v>257</v>
      </c>
      <c r="DO564" s="2" t="s">
        <v>3</v>
      </c>
      <c r="DP564" s="2">
        <f t="shared" si="8553"/>
        <v>1.7781120000000001E-3</v>
      </c>
      <c r="DQ564" s="2">
        <f t="shared" ref="DQ564:DR564" si="9364">K564*$I564+AF564*$AD564+BA564*$AY564</f>
        <v>0</v>
      </c>
      <c r="DR564" s="2">
        <f t="shared" si="9364"/>
        <v>0</v>
      </c>
      <c r="DS564" s="2">
        <f t="shared" ref="DS564:DX564" si="9365">(M564*$I564+AH564*$AD564+BC564*$AY564)/100</f>
        <v>0</v>
      </c>
      <c r="DT564" s="2">
        <f t="shared" si="9365"/>
        <v>0</v>
      </c>
      <c r="DU564" s="2">
        <f t="shared" si="9365"/>
        <v>0</v>
      </c>
      <c r="DV564" s="2">
        <f t="shared" si="9365"/>
        <v>0</v>
      </c>
      <c r="DW564" s="2">
        <f t="shared" si="9365"/>
        <v>1.7273088000000004E-3</v>
      </c>
      <c r="DX564" s="2">
        <f t="shared" si="9365"/>
        <v>7.6204799999999998E-4</v>
      </c>
      <c r="DY564" s="2">
        <f t="shared" ref="DY564:EC564" si="9366">S564*$I564+AN564*$AD564+BI564*$AY564</f>
        <v>0</v>
      </c>
      <c r="DZ564" s="2">
        <f t="shared" si="9366"/>
        <v>0</v>
      </c>
      <c r="EA564" s="2">
        <f t="shared" si="9366"/>
        <v>0</v>
      </c>
      <c r="EB564" s="2">
        <f t="shared" si="9366"/>
        <v>0</v>
      </c>
      <c r="EC564" s="2">
        <f t="shared" si="9366"/>
        <v>0</v>
      </c>
      <c r="ED564" s="2">
        <f t="shared" ref="ED564:EE564" si="9367">(X564*$I564+AS564*$AD564+BN564*$AY564)/100</f>
        <v>0</v>
      </c>
      <c r="EE564" s="2">
        <f t="shared" si="9367"/>
        <v>0</v>
      </c>
      <c r="EF564" s="2"/>
      <c r="EG564" s="2">
        <f t="shared" si="8558"/>
        <v>0</v>
      </c>
      <c r="EH564" s="2">
        <f t="shared" si="8559"/>
        <v>0</v>
      </c>
      <c r="EI564" s="39">
        <f t="shared" si="8560"/>
        <v>11.603276116992001</v>
      </c>
      <c r="EJ564" s="39">
        <f t="shared" ref="EJ564:EK564" si="9368">EJ$1*DQ564/1000000</f>
        <v>0</v>
      </c>
      <c r="EK564" s="39">
        <f t="shared" si="9368"/>
        <v>0</v>
      </c>
      <c r="EL564" s="39">
        <f t="shared" ref="EL564:EQ564" si="9369">EL$1*DS564</f>
        <v>0</v>
      </c>
      <c r="EM564" s="39">
        <f t="shared" si="9369"/>
        <v>0</v>
      </c>
      <c r="EN564" s="39">
        <f t="shared" si="9369"/>
        <v>0</v>
      </c>
      <c r="EO564" s="39">
        <f t="shared" si="9369"/>
        <v>0</v>
      </c>
      <c r="EP564" s="39">
        <f t="shared" si="9369"/>
        <v>22.651927603200004</v>
      </c>
      <c r="EQ564" s="39">
        <f t="shared" si="9369"/>
        <v>55.339563025151989</v>
      </c>
      <c r="ER564" s="39">
        <f t="shared" ref="ER564:EV564" si="9370">ER$1*DY564/1000000</f>
        <v>0</v>
      </c>
      <c r="ES564" s="39">
        <f t="shared" si="9370"/>
        <v>0</v>
      </c>
      <c r="ET564" s="39">
        <f t="shared" si="9370"/>
        <v>0</v>
      </c>
      <c r="EU564" s="39">
        <f t="shared" si="9370"/>
        <v>0</v>
      </c>
      <c r="EV564" s="39">
        <f t="shared" si="9370"/>
        <v>0</v>
      </c>
      <c r="EW564" s="39">
        <f t="shared" ref="EW564:EX564" si="9371">EW$1*ED564</f>
        <v>0</v>
      </c>
      <c r="EX564" s="39">
        <f t="shared" si="9371"/>
        <v>0</v>
      </c>
      <c r="EY564" s="2"/>
      <c r="EZ564" s="39">
        <f t="shared" si="8565"/>
        <v>0</v>
      </c>
      <c r="FA564" s="39">
        <f t="shared" si="8566"/>
        <v>0</v>
      </c>
      <c r="FB564" s="2">
        <f t="shared" si="8567"/>
        <v>0</v>
      </c>
      <c r="FC564" s="2">
        <f t="shared" ref="FC564:FD564" si="9372">BV564*$BT564+CQ564*$CO564</f>
        <v>0</v>
      </c>
      <c r="FD564" s="2">
        <f t="shared" si="9372"/>
        <v>0</v>
      </c>
      <c r="FE564" s="2">
        <f t="shared" ref="FE564:FJ564" si="9373">(BX564*$BT564+CS564*$CO564)/100</f>
        <v>0</v>
      </c>
      <c r="FF564" s="2">
        <f t="shared" si="9373"/>
        <v>0</v>
      </c>
      <c r="FG564" s="2">
        <f t="shared" si="9373"/>
        <v>0</v>
      </c>
      <c r="FH564" s="2">
        <f t="shared" si="9373"/>
        <v>0</v>
      </c>
      <c r="FI564" s="2">
        <f t="shared" si="9373"/>
        <v>0</v>
      </c>
      <c r="FJ564" s="2">
        <f t="shared" si="9373"/>
        <v>0</v>
      </c>
      <c r="FK564" s="2">
        <f t="shared" ref="FK564:FO564" si="9374">CD564*$BT564+CY564*$CO564</f>
        <v>0</v>
      </c>
      <c r="FL564" s="2">
        <f t="shared" si="9374"/>
        <v>0</v>
      </c>
      <c r="FM564" s="2">
        <f t="shared" si="9374"/>
        <v>0</v>
      </c>
      <c r="FN564" s="2">
        <f t="shared" si="9374"/>
        <v>0</v>
      </c>
      <c r="FO564" s="2">
        <f t="shared" si="9374"/>
        <v>0</v>
      </c>
      <c r="FP564" s="2">
        <f t="shared" ref="FP564:FQ564" si="9375">(CI564*$BT564+DD564*$CO564)/100</f>
        <v>0</v>
      </c>
      <c r="FQ564" s="2">
        <f t="shared" si="9375"/>
        <v>0</v>
      </c>
      <c r="FR564" s="2"/>
      <c r="FS564" s="2">
        <f t="shared" si="8572"/>
        <v>0</v>
      </c>
      <c r="FT564" s="2">
        <f t="shared" si="8573"/>
        <v>0</v>
      </c>
      <c r="FU564" s="39">
        <f t="shared" si="8574"/>
        <v>0</v>
      </c>
      <c r="FV564" s="39">
        <f t="shared" ref="FV564:FW564" si="9376">FV$1*FC564/1000000</f>
        <v>0</v>
      </c>
      <c r="FW564" s="39">
        <f t="shared" si="9376"/>
        <v>0</v>
      </c>
      <c r="FX564" s="39">
        <f t="shared" ref="FX564:GC564" si="9377">FX$1*FE564</f>
        <v>0</v>
      </c>
      <c r="FY564" s="39">
        <f t="shared" si="9377"/>
        <v>0</v>
      </c>
      <c r="FZ564" s="39">
        <f t="shared" si="9377"/>
        <v>0</v>
      </c>
      <c r="GA564" s="39">
        <f t="shared" si="9377"/>
        <v>0</v>
      </c>
      <c r="GB564" s="39">
        <f t="shared" si="9377"/>
        <v>0</v>
      </c>
      <c r="GC564" s="39">
        <f t="shared" si="9377"/>
        <v>0</v>
      </c>
      <c r="GD564" s="39">
        <f t="shared" ref="GD564:GH564" si="9378">GD$1*FK564/1000000</f>
        <v>0</v>
      </c>
      <c r="GE564" s="39">
        <f t="shared" si="9378"/>
        <v>0</v>
      </c>
      <c r="GF564" s="39">
        <f t="shared" si="9378"/>
        <v>0</v>
      </c>
      <c r="GG564" s="39">
        <f t="shared" si="9378"/>
        <v>0</v>
      </c>
      <c r="GH564" s="39">
        <f t="shared" si="9378"/>
        <v>0</v>
      </c>
      <c r="GI564" s="39">
        <f t="shared" ref="GI564:GJ564" si="9379">GI$1*FP564</f>
        <v>0</v>
      </c>
      <c r="GJ564" s="39">
        <f t="shared" si="9379"/>
        <v>0</v>
      </c>
      <c r="GK564" s="2"/>
      <c r="GL564" s="39">
        <f t="shared" si="8579"/>
        <v>0</v>
      </c>
      <c r="GM564" s="39">
        <f t="shared" si="8580"/>
        <v>0</v>
      </c>
      <c r="GN564" s="2" t="s">
        <v>3</v>
      </c>
      <c r="GO564" s="19">
        <f t="shared" si="8581"/>
        <v>0.50803200000000004</v>
      </c>
      <c r="GP564" s="2">
        <f t="shared" si="8582"/>
        <v>0.34</v>
      </c>
      <c r="GQ564" s="15">
        <f t="shared" si="8583"/>
        <v>1.7273088000000001</v>
      </c>
      <c r="GR564" s="15">
        <f t="shared" si="8584"/>
        <v>89.594766745344003</v>
      </c>
      <c r="GS564" s="15">
        <f t="shared" si="8585"/>
        <v>176.35654199999999</v>
      </c>
      <c r="GT564" s="2">
        <f t="shared" si="8586"/>
        <v>0</v>
      </c>
      <c r="GU564" s="2">
        <f t="shared" si="8587"/>
        <v>0</v>
      </c>
      <c r="GV564" s="2">
        <f t="shared" si="8588"/>
        <v>1.7273088000000003</v>
      </c>
      <c r="GW564" s="2">
        <f t="shared" si="8589"/>
        <v>0</v>
      </c>
      <c r="GX564" s="2"/>
      <c r="GY564" s="2"/>
      <c r="GZ564" s="2"/>
      <c r="HA564" s="2"/>
      <c r="HB564" s="2">
        <f t="shared" si="8590"/>
        <v>0</v>
      </c>
      <c r="HC564" s="2">
        <f t="shared" si="8591"/>
        <v>0</v>
      </c>
      <c r="HD564" s="2" t="s">
        <v>3</v>
      </c>
      <c r="HE564" s="2" t="s">
        <v>89</v>
      </c>
      <c r="HF564" s="2" t="s">
        <v>123</v>
      </c>
      <c r="HG564" s="2" t="s">
        <v>1401</v>
      </c>
      <c r="HH564" s="2"/>
      <c r="HI564" s="2" t="s">
        <v>100</v>
      </c>
      <c r="HJ564" s="2" t="s">
        <v>3</v>
      </c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 t="s">
        <v>3</v>
      </c>
    </row>
    <row r="565" spans="1:268" ht="15.75" customHeight="1" x14ac:dyDescent="0.2">
      <c r="A565" s="16" t="s">
        <v>816</v>
      </c>
      <c r="B565" s="2" t="s">
        <v>99</v>
      </c>
      <c r="C565" s="2"/>
      <c r="D565" s="2"/>
      <c r="E565" s="2"/>
      <c r="F565" s="2" t="s">
        <v>748</v>
      </c>
      <c r="G565" s="2"/>
      <c r="H565" s="2"/>
      <c r="I565" s="2">
        <v>0</v>
      </c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>
        <v>0</v>
      </c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18">
        <f>772+330+4.54</f>
        <v>1106.54</v>
      </c>
      <c r="AZ565" s="4">
        <f>(0.46*772+0.86*330+1.89*4.54)/AY565</f>
        <v>0.58515787951633025</v>
      </c>
      <c r="BA565" s="2">
        <v>4.4999999999999998E-2</v>
      </c>
      <c r="BB565" s="2"/>
      <c r="BC565" s="2"/>
      <c r="BD565" s="2"/>
      <c r="BE565" s="2"/>
      <c r="BF565" s="2"/>
      <c r="BG565" s="4">
        <f>(0.12*772+0.19*330+0.36*4.54)/AY565</f>
        <v>0.14186057440309432</v>
      </c>
      <c r="BH565" s="2">
        <v>8.0000000000000002E-3</v>
      </c>
      <c r="BI565" s="2">
        <v>5.5E-2</v>
      </c>
      <c r="BJ565" s="2">
        <v>0.157</v>
      </c>
      <c r="BK565" s="2"/>
      <c r="BL565" s="2"/>
      <c r="BM565" s="2"/>
      <c r="BN565" s="2"/>
      <c r="BO565" s="2"/>
      <c r="BP565" s="2"/>
      <c r="BQ565" s="2"/>
      <c r="BR565" s="2"/>
      <c r="BS565" s="2"/>
      <c r="BT565" s="2">
        <v>0</v>
      </c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>
        <v>0</v>
      </c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 t="s">
        <v>100</v>
      </c>
      <c r="DK565" s="2" t="s">
        <v>100</v>
      </c>
      <c r="DL565" s="2">
        <f t="shared" si="8551"/>
        <v>0.14186057440309432</v>
      </c>
      <c r="DM565" s="2">
        <f t="shared" si="8552"/>
        <v>8.0000000000000002E-3</v>
      </c>
      <c r="DN565" s="2" t="s">
        <v>817</v>
      </c>
      <c r="DO565" s="2" t="s">
        <v>3</v>
      </c>
      <c r="DP565" s="2">
        <f t="shared" si="8553"/>
        <v>6.4750060000000005</v>
      </c>
      <c r="DQ565" s="2">
        <f t="shared" ref="DQ565:DR565" si="9380">K565*$I565+AF565*$AD565+BA565*$AY565</f>
        <v>49.7943</v>
      </c>
      <c r="DR565" s="2">
        <f t="shared" si="9380"/>
        <v>0</v>
      </c>
      <c r="DS565" s="2">
        <f t="shared" ref="DS565:DX565" si="9381">(M565*$I565+AH565*$AD565+BC565*$AY565)/100</f>
        <v>0</v>
      </c>
      <c r="DT565" s="2">
        <f t="shared" si="9381"/>
        <v>0</v>
      </c>
      <c r="DU565" s="2">
        <f t="shared" si="9381"/>
        <v>0</v>
      </c>
      <c r="DV565" s="2">
        <f t="shared" si="9381"/>
        <v>0</v>
      </c>
      <c r="DW565" s="2">
        <f t="shared" si="9381"/>
        <v>1.569744</v>
      </c>
      <c r="DX565" s="2">
        <f t="shared" si="9381"/>
        <v>8.852320000000001E-2</v>
      </c>
      <c r="DY565" s="2">
        <f t="shared" ref="DY565:EC565" si="9382">S565*$I565+AN565*$AD565+BI565*$AY565</f>
        <v>60.859699999999997</v>
      </c>
      <c r="DZ565" s="2">
        <f t="shared" si="9382"/>
        <v>173.72677999999999</v>
      </c>
      <c r="EA565" s="2">
        <f t="shared" si="9382"/>
        <v>0</v>
      </c>
      <c r="EB565" s="2">
        <f t="shared" si="9382"/>
        <v>0</v>
      </c>
      <c r="EC565" s="2">
        <f t="shared" si="9382"/>
        <v>0</v>
      </c>
      <c r="ED565" s="2">
        <f t="shared" ref="ED565:EE565" si="9383">(X565*$I565+AS565*$AD565+BN565*$AY565)/100</f>
        <v>0</v>
      </c>
      <c r="EE565" s="2">
        <f t="shared" si="9383"/>
        <v>0</v>
      </c>
      <c r="EF565" s="2"/>
      <c r="EG565" s="2">
        <f t="shared" si="8558"/>
        <v>0</v>
      </c>
      <c r="EH565" s="2">
        <f t="shared" si="8559"/>
        <v>0</v>
      </c>
      <c r="EI565" s="39">
        <f t="shared" si="8560"/>
        <v>42253.402753696006</v>
      </c>
      <c r="EJ565" s="39">
        <f t="shared" ref="EJ565:EK565" si="9384">EJ$1*DQ565/1000000</f>
        <v>2036.6028810289388</v>
      </c>
      <c r="EK565" s="39">
        <f t="shared" si="9384"/>
        <v>0</v>
      </c>
      <c r="EL565" s="39">
        <f t="shared" ref="EL565:EQ565" si="9385">EL$1*DS565</f>
        <v>0</v>
      </c>
      <c r="EM565" s="39">
        <f t="shared" si="9385"/>
        <v>0</v>
      </c>
      <c r="EN565" s="39">
        <f t="shared" si="9385"/>
        <v>0</v>
      </c>
      <c r="EO565" s="39">
        <f t="shared" si="9385"/>
        <v>0</v>
      </c>
      <c r="EP565" s="39">
        <f t="shared" si="9385"/>
        <v>20585.622815999999</v>
      </c>
      <c r="EQ565" s="39">
        <f t="shared" si="9385"/>
        <v>6428.5126469567995</v>
      </c>
      <c r="ER565" s="39">
        <f t="shared" ref="ER565:EV565" si="9386">ER$1*DY565/1000000</f>
        <v>1727.2804759485525</v>
      </c>
      <c r="ES565" s="39">
        <f t="shared" si="9386"/>
        <v>5789.5706300771708</v>
      </c>
      <c r="ET565" s="39">
        <f t="shared" si="9386"/>
        <v>0</v>
      </c>
      <c r="EU565" s="39">
        <f t="shared" si="9386"/>
        <v>0</v>
      </c>
      <c r="EV565" s="39">
        <f t="shared" si="9386"/>
        <v>0</v>
      </c>
      <c r="EW565" s="39">
        <f t="shared" ref="EW565:EX565" si="9387">EW$1*ED565</f>
        <v>0</v>
      </c>
      <c r="EX565" s="39">
        <f t="shared" si="9387"/>
        <v>0</v>
      </c>
      <c r="EY565" s="2"/>
      <c r="EZ565" s="39">
        <f t="shared" si="8565"/>
        <v>0</v>
      </c>
      <c r="FA565" s="39">
        <f t="shared" si="8566"/>
        <v>0</v>
      </c>
      <c r="FB565" s="2">
        <f t="shared" si="8567"/>
        <v>0</v>
      </c>
      <c r="FC565" s="2">
        <f t="shared" ref="FC565:FD565" si="9388">BV565*$BT565+CQ565*$CO565</f>
        <v>0</v>
      </c>
      <c r="FD565" s="2">
        <f t="shared" si="9388"/>
        <v>0</v>
      </c>
      <c r="FE565" s="2">
        <f t="shared" ref="FE565:FJ565" si="9389">(BX565*$BT565+CS565*$CO565)/100</f>
        <v>0</v>
      </c>
      <c r="FF565" s="2">
        <f t="shared" si="9389"/>
        <v>0</v>
      </c>
      <c r="FG565" s="2">
        <f t="shared" si="9389"/>
        <v>0</v>
      </c>
      <c r="FH565" s="2">
        <f t="shared" si="9389"/>
        <v>0</v>
      </c>
      <c r="FI565" s="2">
        <f t="shared" si="9389"/>
        <v>0</v>
      </c>
      <c r="FJ565" s="2">
        <f t="shared" si="9389"/>
        <v>0</v>
      </c>
      <c r="FK565" s="2">
        <f t="shared" ref="FK565:FO565" si="9390">CD565*$BT565+CY565*$CO565</f>
        <v>0</v>
      </c>
      <c r="FL565" s="2">
        <f t="shared" si="9390"/>
        <v>0</v>
      </c>
      <c r="FM565" s="2">
        <f t="shared" si="9390"/>
        <v>0</v>
      </c>
      <c r="FN565" s="2">
        <f t="shared" si="9390"/>
        <v>0</v>
      </c>
      <c r="FO565" s="2">
        <f t="shared" si="9390"/>
        <v>0</v>
      </c>
      <c r="FP565" s="2">
        <f t="shared" ref="FP565:FQ565" si="9391">(CI565*$BT565+DD565*$CO565)/100</f>
        <v>0</v>
      </c>
      <c r="FQ565" s="2">
        <f t="shared" si="9391"/>
        <v>0</v>
      </c>
      <c r="FR565" s="2"/>
      <c r="FS565" s="2">
        <f t="shared" si="8572"/>
        <v>0</v>
      </c>
      <c r="FT565" s="2">
        <f t="shared" si="8573"/>
        <v>0</v>
      </c>
      <c r="FU565" s="39">
        <f t="shared" si="8574"/>
        <v>0</v>
      </c>
      <c r="FV565" s="39">
        <f t="shared" ref="FV565:FW565" si="9392">FV$1*FC565/1000000</f>
        <v>0</v>
      </c>
      <c r="FW565" s="39">
        <f t="shared" si="9392"/>
        <v>0</v>
      </c>
      <c r="FX565" s="39">
        <f t="shared" ref="FX565:GC565" si="9393">FX$1*FE565</f>
        <v>0</v>
      </c>
      <c r="FY565" s="39">
        <f t="shared" si="9393"/>
        <v>0</v>
      </c>
      <c r="FZ565" s="39">
        <f t="shared" si="9393"/>
        <v>0</v>
      </c>
      <c r="GA565" s="39">
        <f t="shared" si="9393"/>
        <v>0</v>
      </c>
      <c r="GB565" s="39">
        <f t="shared" si="9393"/>
        <v>0</v>
      </c>
      <c r="GC565" s="39">
        <f t="shared" si="9393"/>
        <v>0</v>
      </c>
      <c r="GD565" s="39">
        <f t="shared" ref="GD565:GH565" si="9394">GD$1*FK565/1000000</f>
        <v>0</v>
      </c>
      <c r="GE565" s="39">
        <f t="shared" si="9394"/>
        <v>0</v>
      </c>
      <c r="GF565" s="39">
        <f t="shared" si="9394"/>
        <v>0</v>
      </c>
      <c r="GG565" s="39">
        <f t="shared" si="9394"/>
        <v>0</v>
      </c>
      <c r="GH565" s="39">
        <f t="shared" si="9394"/>
        <v>0</v>
      </c>
      <c r="GI565" s="39">
        <f t="shared" ref="GI565:GJ565" si="9395">GI$1*FP565</f>
        <v>0</v>
      </c>
      <c r="GJ565" s="39">
        <f t="shared" si="9395"/>
        <v>0</v>
      </c>
      <c r="GK565" s="2"/>
      <c r="GL565" s="39">
        <f t="shared" si="8579"/>
        <v>0</v>
      </c>
      <c r="GM565" s="39">
        <f t="shared" si="8580"/>
        <v>0</v>
      </c>
      <c r="GN565" s="2" t="s">
        <v>3</v>
      </c>
      <c r="GO565" s="3">
        <f t="shared" si="8581"/>
        <v>1106.54</v>
      </c>
      <c r="GP565" s="4">
        <f t="shared" si="8582"/>
        <v>0.14186057440309432</v>
      </c>
      <c r="GQ565" s="18">
        <f t="shared" si="8583"/>
        <v>1569.7439999999999</v>
      </c>
      <c r="GR565" s="15">
        <f t="shared" si="8584"/>
        <v>78820.992203707472</v>
      </c>
      <c r="GS565" s="15">
        <f t="shared" si="8585"/>
        <v>71.231941189389872</v>
      </c>
      <c r="GT565" s="2">
        <f t="shared" si="8586"/>
        <v>0</v>
      </c>
      <c r="GU565" s="2">
        <f t="shared" si="8587"/>
        <v>0</v>
      </c>
      <c r="GV565" s="2">
        <f t="shared" si="8588"/>
        <v>1569.7439999999999</v>
      </c>
      <c r="GW565" s="2">
        <f t="shared" si="8589"/>
        <v>0</v>
      </c>
      <c r="GX565" s="2"/>
      <c r="GY565" s="2"/>
      <c r="GZ565" s="2"/>
      <c r="HA565" s="2"/>
      <c r="HB565" s="2">
        <f t="shared" si="8590"/>
        <v>0</v>
      </c>
      <c r="HC565" s="2">
        <f t="shared" si="8591"/>
        <v>0</v>
      </c>
      <c r="HD565" s="2" t="s">
        <v>3</v>
      </c>
      <c r="HE565" s="2" t="s">
        <v>89</v>
      </c>
      <c r="HF565" s="2" t="s">
        <v>123</v>
      </c>
      <c r="HG565" s="2" t="s">
        <v>192</v>
      </c>
      <c r="HH565" s="2"/>
      <c r="HI565" s="2" t="s">
        <v>100</v>
      </c>
      <c r="HJ565" s="2" t="s">
        <v>3</v>
      </c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 t="s">
        <v>3</v>
      </c>
    </row>
    <row r="566" spans="1:268" ht="15.75" customHeight="1" x14ac:dyDescent="0.2">
      <c r="A566" s="16" t="s">
        <v>432</v>
      </c>
      <c r="B566" s="2" t="s">
        <v>99</v>
      </c>
      <c r="C566" s="2"/>
      <c r="D566" s="2"/>
      <c r="E566" s="2"/>
      <c r="F566" s="2" t="s">
        <v>79</v>
      </c>
      <c r="G566" s="22"/>
      <c r="H566" s="2"/>
      <c r="I566" s="2">
        <v>0</v>
      </c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>
        <v>0</v>
      </c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3">
        <f>272*0.9072</f>
        <v>246.75839999999999</v>
      </c>
      <c r="AZ566" s="2">
        <v>0.25</v>
      </c>
      <c r="BA566" s="2"/>
      <c r="BB566" s="2"/>
      <c r="BC566" s="2"/>
      <c r="BD566" s="2"/>
      <c r="BE566" s="2"/>
      <c r="BF566" s="2"/>
      <c r="BG566" s="4">
        <f>(1/4.3)*AZ566</f>
        <v>5.8139534883720929E-2</v>
      </c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>
        <v>0</v>
      </c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>
        <v>0</v>
      </c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 t="s">
        <v>100</v>
      </c>
      <c r="DK566" s="2"/>
      <c r="DL566" s="2">
        <f t="shared" si="8551"/>
        <v>5.8139534883720929E-2</v>
      </c>
      <c r="DM566" s="2">
        <f t="shared" si="8552"/>
        <v>0</v>
      </c>
      <c r="DN566" s="2" t="s">
        <v>191</v>
      </c>
      <c r="DO566" s="2" t="s">
        <v>3</v>
      </c>
      <c r="DP566" s="2">
        <f t="shared" si="8553"/>
        <v>0.616896</v>
      </c>
      <c r="DQ566" s="2">
        <f t="shared" ref="DQ566:DR566" si="9396">K566*$I566+AF566*$AD566+BA566*$AY566</f>
        <v>0</v>
      </c>
      <c r="DR566" s="2">
        <f t="shared" si="9396"/>
        <v>0</v>
      </c>
      <c r="DS566" s="2">
        <f t="shared" ref="DS566:DX566" si="9397">(M566*$I566+AH566*$AD566+BC566*$AY566)/100</f>
        <v>0</v>
      </c>
      <c r="DT566" s="2">
        <f t="shared" si="9397"/>
        <v>0</v>
      </c>
      <c r="DU566" s="2">
        <f t="shared" si="9397"/>
        <v>0</v>
      </c>
      <c r="DV566" s="2">
        <f t="shared" si="9397"/>
        <v>0</v>
      </c>
      <c r="DW566" s="2">
        <f t="shared" si="9397"/>
        <v>0.14346418604651162</v>
      </c>
      <c r="DX566" s="2">
        <f t="shared" si="9397"/>
        <v>0</v>
      </c>
      <c r="DY566" s="2">
        <f t="shared" ref="DY566:EC566" si="9398">S566*$I566+AN566*$AD566+BI566*$AY566</f>
        <v>0</v>
      </c>
      <c r="DZ566" s="2">
        <f t="shared" si="9398"/>
        <v>0</v>
      </c>
      <c r="EA566" s="2">
        <f t="shared" si="9398"/>
        <v>0</v>
      </c>
      <c r="EB566" s="2">
        <f t="shared" si="9398"/>
        <v>0</v>
      </c>
      <c r="EC566" s="2">
        <f t="shared" si="9398"/>
        <v>0</v>
      </c>
      <c r="ED566" s="2">
        <f t="shared" ref="ED566:EE566" si="9399">(X566*$I566+AS566*$AD566+BN566*$AY566)/100</f>
        <v>0</v>
      </c>
      <c r="EE566" s="2">
        <f t="shared" si="9399"/>
        <v>0</v>
      </c>
      <c r="EF566" s="2"/>
      <c r="EG566" s="2">
        <f t="shared" si="8558"/>
        <v>0</v>
      </c>
      <c r="EH566" s="2">
        <f t="shared" si="8559"/>
        <v>0</v>
      </c>
      <c r="EI566" s="39">
        <f t="shared" si="8560"/>
        <v>4025.6264079359999</v>
      </c>
      <c r="EJ566" s="39">
        <f t="shared" ref="EJ566:EK566" si="9400">EJ$1*DQ566/1000000</f>
        <v>0</v>
      </c>
      <c r="EK566" s="39">
        <f t="shared" si="9400"/>
        <v>0</v>
      </c>
      <c r="EL566" s="39">
        <f t="shared" ref="EL566:EQ566" si="9401">EL$1*DS566</f>
        <v>0</v>
      </c>
      <c r="EM566" s="39">
        <f t="shared" si="9401"/>
        <v>0</v>
      </c>
      <c r="EN566" s="39">
        <f t="shared" si="9401"/>
        <v>0</v>
      </c>
      <c r="EO566" s="39">
        <f t="shared" si="9401"/>
        <v>0</v>
      </c>
      <c r="EP566" s="39">
        <f t="shared" si="9401"/>
        <v>1881.3893358139535</v>
      </c>
      <c r="EQ566" s="39">
        <f t="shared" si="9401"/>
        <v>0</v>
      </c>
      <c r="ER566" s="39">
        <f t="shared" ref="ER566:EV566" si="9402">ER$1*DY566/1000000</f>
        <v>0</v>
      </c>
      <c r="ES566" s="39">
        <f t="shared" si="9402"/>
        <v>0</v>
      </c>
      <c r="ET566" s="39">
        <f t="shared" si="9402"/>
        <v>0</v>
      </c>
      <c r="EU566" s="39">
        <f t="shared" si="9402"/>
        <v>0</v>
      </c>
      <c r="EV566" s="39">
        <f t="shared" si="9402"/>
        <v>0</v>
      </c>
      <c r="EW566" s="39">
        <f t="shared" ref="EW566:EX566" si="9403">EW$1*ED566</f>
        <v>0</v>
      </c>
      <c r="EX566" s="39">
        <f t="shared" si="9403"/>
        <v>0</v>
      </c>
      <c r="EY566" s="2"/>
      <c r="EZ566" s="39">
        <f t="shared" si="8565"/>
        <v>0</v>
      </c>
      <c r="FA566" s="39">
        <f t="shared" si="8566"/>
        <v>0</v>
      </c>
      <c r="FB566" s="2">
        <f t="shared" si="8567"/>
        <v>0</v>
      </c>
      <c r="FC566" s="2">
        <f t="shared" ref="FC566:FD566" si="9404">BV566*$BT566+CQ566*$CO566</f>
        <v>0</v>
      </c>
      <c r="FD566" s="2">
        <f t="shared" si="9404"/>
        <v>0</v>
      </c>
      <c r="FE566" s="2">
        <f t="shared" ref="FE566:FJ566" si="9405">(BX566*$BT566+CS566*$CO566)/100</f>
        <v>0</v>
      </c>
      <c r="FF566" s="2">
        <f t="shared" si="9405"/>
        <v>0</v>
      </c>
      <c r="FG566" s="2">
        <f t="shared" si="9405"/>
        <v>0</v>
      </c>
      <c r="FH566" s="2">
        <f t="shared" si="9405"/>
        <v>0</v>
      </c>
      <c r="FI566" s="2">
        <f t="shared" si="9405"/>
        <v>0</v>
      </c>
      <c r="FJ566" s="2">
        <f t="shared" si="9405"/>
        <v>0</v>
      </c>
      <c r="FK566" s="2">
        <f t="shared" ref="FK566:FO566" si="9406">CD566*$BT566+CY566*$CO566</f>
        <v>0</v>
      </c>
      <c r="FL566" s="2">
        <f t="shared" si="9406"/>
        <v>0</v>
      </c>
      <c r="FM566" s="2">
        <f t="shared" si="9406"/>
        <v>0</v>
      </c>
      <c r="FN566" s="2">
        <f t="shared" si="9406"/>
        <v>0</v>
      </c>
      <c r="FO566" s="2">
        <f t="shared" si="9406"/>
        <v>0</v>
      </c>
      <c r="FP566" s="2">
        <f t="shared" ref="FP566:FQ566" si="9407">(CI566*$BT566+DD566*$CO566)/100</f>
        <v>0</v>
      </c>
      <c r="FQ566" s="2">
        <f t="shared" si="9407"/>
        <v>0</v>
      </c>
      <c r="FR566" s="2"/>
      <c r="FS566" s="2">
        <f t="shared" si="8572"/>
        <v>0</v>
      </c>
      <c r="FT566" s="2">
        <f t="shared" si="8573"/>
        <v>0</v>
      </c>
      <c r="FU566" s="39">
        <f t="shared" si="8574"/>
        <v>0</v>
      </c>
      <c r="FV566" s="39">
        <f t="shared" ref="FV566:FW566" si="9408">FV$1*FC566/1000000</f>
        <v>0</v>
      </c>
      <c r="FW566" s="39">
        <f t="shared" si="9408"/>
        <v>0</v>
      </c>
      <c r="FX566" s="39">
        <f t="shared" ref="FX566:GC566" si="9409">FX$1*FE566</f>
        <v>0</v>
      </c>
      <c r="FY566" s="39">
        <f t="shared" si="9409"/>
        <v>0</v>
      </c>
      <c r="FZ566" s="39">
        <f t="shared" si="9409"/>
        <v>0</v>
      </c>
      <c r="GA566" s="39">
        <f t="shared" si="9409"/>
        <v>0</v>
      </c>
      <c r="GB566" s="39">
        <f t="shared" si="9409"/>
        <v>0</v>
      </c>
      <c r="GC566" s="39">
        <f t="shared" si="9409"/>
        <v>0</v>
      </c>
      <c r="GD566" s="39">
        <f t="shared" ref="GD566:GH566" si="9410">GD$1*FK566/1000000</f>
        <v>0</v>
      </c>
      <c r="GE566" s="39">
        <f t="shared" si="9410"/>
        <v>0</v>
      </c>
      <c r="GF566" s="39">
        <f t="shared" si="9410"/>
        <v>0</v>
      </c>
      <c r="GG566" s="39">
        <f t="shared" si="9410"/>
        <v>0</v>
      </c>
      <c r="GH566" s="39">
        <f t="shared" si="9410"/>
        <v>0</v>
      </c>
      <c r="GI566" s="39">
        <f t="shared" ref="GI566:GJ566" si="9411">GI$1*FP566</f>
        <v>0</v>
      </c>
      <c r="GJ566" s="39">
        <f t="shared" si="9411"/>
        <v>0</v>
      </c>
      <c r="GK566" s="2"/>
      <c r="GL566" s="39">
        <f t="shared" si="8579"/>
        <v>0</v>
      </c>
      <c r="GM566" s="39">
        <f t="shared" si="8580"/>
        <v>0</v>
      </c>
      <c r="GN566" s="2" t="s">
        <v>3</v>
      </c>
      <c r="GO566" s="15">
        <f t="shared" si="8581"/>
        <v>246.75839999999999</v>
      </c>
      <c r="GP566" s="19">
        <f t="shared" si="8582"/>
        <v>5.8139534883720929E-2</v>
      </c>
      <c r="GQ566" s="15">
        <f t="shared" si="8583"/>
        <v>143.46418604651163</v>
      </c>
      <c r="GR566" s="15">
        <f t="shared" si="8584"/>
        <v>5907.0157437499529</v>
      </c>
      <c r="GS566" s="15">
        <f t="shared" si="8585"/>
        <v>23.93845860465116</v>
      </c>
      <c r="GT566" s="2">
        <f t="shared" si="8586"/>
        <v>0</v>
      </c>
      <c r="GU566" s="2">
        <f t="shared" si="8587"/>
        <v>0</v>
      </c>
      <c r="GV566" s="2">
        <f t="shared" si="8588"/>
        <v>143.46418604651163</v>
      </c>
      <c r="GW566" s="2">
        <f t="shared" si="8589"/>
        <v>0</v>
      </c>
      <c r="GX566" s="2"/>
      <c r="GY566" s="2"/>
      <c r="GZ566" s="2"/>
      <c r="HA566" s="2"/>
      <c r="HB566" s="2">
        <f t="shared" si="8590"/>
        <v>0</v>
      </c>
      <c r="HC566" s="2">
        <f t="shared" si="8591"/>
        <v>0</v>
      </c>
      <c r="HD566" s="2" t="s">
        <v>3</v>
      </c>
      <c r="HE566" s="2" t="s">
        <v>89</v>
      </c>
      <c r="HF566" s="2" t="s">
        <v>123</v>
      </c>
      <c r="HG566" s="2" t="s">
        <v>192</v>
      </c>
      <c r="HH566" s="2"/>
      <c r="HI566" s="2" t="s">
        <v>100</v>
      </c>
      <c r="HJ566" s="2" t="s">
        <v>3</v>
      </c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 t="s">
        <v>3</v>
      </c>
    </row>
    <row r="567" spans="1:268" ht="15.75" customHeight="1" x14ac:dyDescent="0.2">
      <c r="A567" s="16" t="s">
        <v>1309</v>
      </c>
      <c r="B567" s="2" t="s">
        <v>99</v>
      </c>
      <c r="C567" s="2"/>
      <c r="D567" s="2"/>
      <c r="E567" s="2"/>
      <c r="F567" s="2" t="s">
        <v>79</v>
      </c>
      <c r="G567" s="22"/>
      <c r="H567" s="2"/>
      <c r="I567" s="2">
        <v>0</v>
      </c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>
        <v>0</v>
      </c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3">
        <f>38*0.9072</f>
        <v>34.473599999999998</v>
      </c>
      <c r="AZ567" s="2">
        <v>0.28999999999999998</v>
      </c>
      <c r="BA567" s="2"/>
      <c r="BB567" s="2"/>
      <c r="BC567" s="2"/>
      <c r="BD567" s="2"/>
      <c r="BE567" s="2"/>
      <c r="BF567" s="2"/>
      <c r="BG567" s="4">
        <v>0.1</v>
      </c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>
        <v>0</v>
      </c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>
        <v>0</v>
      </c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 t="s">
        <v>100</v>
      </c>
      <c r="DK567" s="2"/>
      <c r="DL567" s="2">
        <f t="shared" si="8551"/>
        <v>0.1</v>
      </c>
      <c r="DM567" s="2">
        <f t="shared" si="8552"/>
        <v>0</v>
      </c>
      <c r="DN567" s="2" t="s">
        <v>191</v>
      </c>
      <c r="DO567" s="2" t="s">
        <v>3</v>
      </c>
      <c r="DP567" s="2">
        <f t="shared" si="8553"/>
        <v>9.9973439999999983E-2</v>
      </c>
      <c r="DQ567" s="2">
        <f t="shared" ref="DQ567:DR567" si="9412">K567*$I567+AF567*$AD567+BA567*$AY567</f>
        <v>0</v>
      </c>
      <c r="DR567" s="2">
        <f t="shared" si="9412"/>
        <v>0</v>
      </c>
      <c r="DS567" s="2">
        <f t="shared" ref="DS567:DX567" si="9413">(M567*$I567+AH567*$AD567+BC567*$AY567)/100</f>
        <v>0</v>
      </c>
      <c r="DT567" s="2">
        <f t="shared" si="9413"/>
        <v>0</v>
      </c>
      <c r="DU567" s="2">
        <f t="shared" si="9413"/>
        <v>0</v>
      </c>
      <c r="DV567" s="2">
        <f t="shared" si="9413"/>
        <v>0</v>
      </c>
      <c r="DW567" s="2">
        <f t="shared" si="9413"/>
        <v>3.44736E-2</v>
      </c>
      <c r="DX567" s="2">
        <f t="shared" si="9413"/>
        <v>0</v>
      </c>
      <c r="DY567" s="2">
        <f t="shared" ref="DY567:EC567" si="9414">S567*$I567+AN567*$AD567+BI567*$AY567</f>
        <v>0</v>
      </c>
      <c r="DZ567" s="2">
        <f t="shared" si="9414"/>
        <v>0</v>
      </c>
      <c r="EA567" s="2">
        <f t="shared" si="9414"/>
        <v>0</v>
      </c>
      <c r="EB567" s="2">
        <f t="shared" si="9414"/>
        <v>0</v>
      </c>
      <c r="EC567" s="2">
        <f t="shared" si="9414"/>
        <v>0</v>
      </c>
      <c r="ED567" s="2">
        <f t="shared" ref="ED567:EE567" si="9415">(X567*$I567+AS567*$AD567+BN567*$AY567)/100</f>
        <v>0</v>
      </c>
      <c r="EE567" s="2">
        <f t="shared" si="9415"/>
        <v>0</v>
      </c>
      <c r="EF567" s="2"/>
      <c r="EG567" s="2">
        <f t="shared" si="8558"/>
        <v>0</v>
      </c>
      <c r="EH567" s="2">
        <f t="shared" si="8559"/>
        <v>0</v>
      </c>
      <c r="EI567" s="39">
        <f t="shared" si="8560"/>
        <v>652.38827963903987</v>
      </c>
      <c r="EJ567" s="39">
        <f t="shared" ref="EJ567:EK567" si="9416">EJ$1*DQ567/1000000</f>
        <v>0</v>
      </c>
      <c r="EK567" s="39">
        <f t="shared" si="9416"/>
        <v>0</v>
      </c>
      <c r="EL567" s="39">
        <f t="shared" ref="EL567:EQ567" si="9417">EL$1*DS567</f>
        <v>0</v>
      </c>
      <c r="EM567" s="39">
        <f t="shared" si="9417"/>
        <v>0</v>
      </c>
      <c r="EN567" s="39">
        <f t="shared" si="9417"/>
        <v>0</v>
      </c>
      <c r="EO567" s="39">
        <f t="shared" si="9417"/>
        <v>0</v>
      </c>
      <c r="EP567" s="39">
        <f t="shared" si="9417"/>
        <v>452.08679039999998</v>
      </c>
      <c r="EQ567" s="39">
        <f t="shared" si="9417"/>
        <v>0</v>
      </c>
      <c r="ER567" s="39">
        <f t="shared" ref="ER567:EV567" si="9418">ER$1*DY567/1000000</f>
        <v>0</v>
      </c>
      <c r="ES567" s="39">
        <f t="shared" si="9418"/>
        <v>0</v>
      </c>
      <c r="ET567" s="39">
        <f t="shared" si="9418"/>
        <v>0</v>
      </c>
      <c r="EU567" s="39">
        <f t="shared" si="9418"/>
        <v>0</v>
      </c>
      <c r="EV567" s="39">
        <f t="shared" si="9418"/>
        <v>0</v>
      </c>
      <c r="EW567" s="39">
        <f t="shared" ref="EW567:EX567" si="9419">EW$1*ED567</f>
        <v>0</v>
      </c>
      <c r="EX567" s="39">
        <f t="shared" si="9419"/>
        <v>0</v>
      </c>
      <c r="EY567" s="2"/>
      <c r="EZ567" s="39">
        <f t="shared" si="8565"/>
        <v>0</v>
      </c>
      <c r="FA567" s="39">
        <f t="shared" si="8566"/>
        <v>0</v>
      </c>
      <c r="FB567" s="2">
        <f t="shared" si="8567"/>
        <v>0</v>
      </c>
      <c r="FC567" s="2">
        <f t="shared" ref="FC567:FD567" si="9420">BV567*$BT567+CQ567*$CO567</f>
        <v>0</v>
      </c>
      <c r="FD567" s="2">
        <f t="shared" si="9420"/>
        <v>0</v>
      </c>
      <c r="FE567" s="2">
        <f t="shared" ref="FE567:FJ567" si="9421">(BX567*$BT567+CS567*$CO567)/100</f>
        <v>0</v>
      </c>
      <c r="FF567" s="2">
        <f t="shared" si="9421"/>
        <v>0</v>
      </c>
      <c r="FG567" s="2">
        <f t="shared" si="9421"/>
        <v>0</v>
      </c>
      <c r="FH567" s="2">
        <f t="shared" si="9421"/>
        <v>0</v>
      </c>
      <c r="FI567" s="2">
        <f t="shared" si="9421"/>
        <v>0</v>
      </c>
      <c r="FJ567" s="2">
        <f t="shared" si="9421"/>
        <v>0</v>
      </c>
      <c r="FK567" s="2">
        <f t="shared" ref="FK567:FO567" si="9422">CD567*$BT567+CY567*$CO567</f>
        <v>0</v>
      </c>
      <c r="FL567" s="2">
        <f t="shared" si="9422"/>
        <v>0</v>
      </c>
      <c r="FM567" s="2">
        <f t="shared" si="9422"/>
        <v>0</v>
      </c>
      <c r="FN567" s="2">
        <f t="shared" si="9422"/>
        <v>0</v>
      </c>
      <c r="FO567" s="2">
        <f t="shared" si="9422"/>
        <v>0</v>
      </c>
      <c r="FP567" s="2">
        <f t="shared" ref="FP567:FQ567" si="9423">(CI567*$BT567+DD567*$CO567)/100</f>
        <v>0</v>
      </c>
      <c r="FQ567" s="2">
        <f t="shared" si="9423"/>
        <v>0</v>
      </c>
      <c r="FR567" s="2"/>
      <c r="FS567" s="2">
        <f t="shared" si="8572"/>
        <v>0</v>
      </c>
      <c r="FT567" s="2">
        <f t="shared" si="8573"/>
        <v>0</v>
      </c>
      <c r="FU567" s="39">
        <f t="shared" si="8574"/>
        <v>0</v>
      </c>
      <c r="FV567" s="39">
        <f t="shared" ref="FV567:FW567" si="9424">FV$1*FC567/1000000</f>
        <v>0</v>
      </c>
      <c r="FW567" s="39">
        <f t="shared" si="9424"/>
        <v>0</v>
      </c>
      <c r="FX567" s="39">
        <f t="shared" ref="FX567:GC567" si="9425">FX$1*FE567</f>
        <v>0</v>
      </c>
      <c r="FY567" s="39">
        <f t="shared" si="9425"/>
        <v>0</v>
      </c>
      <c r="FZ567" s="39">
        <f t="shared" si="9425"/>
        <v>0</v>
      </c>
      <c r="GA567" s="39">
        <f t="shared" si="9425"/>
        <v>0</v>
      </c>
      <c r="GB567" s="39">
        <f t="shared" si="9425"/>
        <v>0</v>
      </c>
      <c r="GC567" s="39">
        <f t="shared" si="9425"/>
        <v>0</v>
      </c>
      <c r="GD567" s="39">
        <f t="shared" ref="GD567:GH567" si="9426">GD$1*FK567/1000000</f>
        <v>0</v>
      </c>
      <c r="GE567" s="39">
        <f t="shared" si="9426"/>
        <v>0</v>
      </c>
      <c r="GF567" s="39">
        <f t="shared" si="9426"/>
        <v>0</v>
      </c>
      <c r="GG567" s="39">
        <f t="shared" si="9426"/>
        <v>0</v>
      </c>
      <c r="GH567" s="39">
        <f t="shared" si="9426"/>
        <v>0</v>
      </c>
      <c r="GI567" s="39">
        <f t="shared" ref="GI567:GJ567" si="9427">GI$1*FP567</f>
        <v>0</v>
      </c>
      <c r="GJ567" s="39">
        <f t="shared" si="9427"/>
        <v>0</v>
      </c>
      <c r="GK567" s="2"/>
      <c r="GL567" s="39">
        <f t="shared" si="8579"/>
        <v>0</v>
      </c>
      <c r="GM567" s="39">
        <f t="shared" si="8580"/>
        <v>0</v>
      </c>
      <c r="GN567" s="2" t="s">
        <v>3</v>
      </c>
      <c r="GO567" s="4">
        <f t="shared" si="8581"/>
        <v>34.473599999999998</v>
      </c>
      <c r="GP567" s="2">
        <f t="shared" si="8582"/>
        <v>0.1</v>
      </c>
      <c r="GQ567" s="15">
        <f t="shared" si="8583"/>
        <v>34.473600000000005</v>
      </c>
      <c r="GR567" s="15">
        <f t="shared" si="8584"/>
        <v>1104.4750700390398</v>
      </c>
      <c r="GS567" s="15">
        <f t="shared" si="8585"/>
        <v>32.038286399999997</v>
      </c>
      <c r="GT567" s="2">
        <f t="shared" si="8586"/>
        <v>0</v>
      </c>
      <c r="GU567" s="2">
        <f t="shared" si="8587"/>
        <v>0</v>
      </c>
      <c r="GV567" s="2">
        <f t="shared" si="8588"/>
        <v>34.473599999999998</v>
      </c>
      <c r="GW567" s="2">
        <f t="shared" si="8589"/>
        <v>0</v>
      </c>
      <c r="GX567" s="2"/>
      <c r="GY567" s="2"/>
      <c r="GZ567" s="2"/>
      <c r="HA567" s="2"/>
      <c r="HB567" s="2">
        <f t="shared" si="8590"/>
        <v>0</v>
      </c>
      <c r="HC567" s="2">
        <f t="shared" si="8591"/>
        <v>0</v>
      </c>
      <c r="HD567" s="2" t="s">
        <v>3</v>
      </c>
      <c r="HE567" s="2" t="s">
        <v>89</v>
      </c>
      <c r="HF567" s="2" t="s">
        <v>123</v>
      </c>
      <c r="HG567" s="2" t="s">
        <v>192</v>
      </c>
      <c r="HH567" s="2"/>
      <c r="HI567" s="2" t="s">
        <v>100</v>
      </c>
      <c r="HJ567" s="2" t="s">
        <v>3</v>
      </c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 t="s">
        <v>3</v>
      </c>
    </row>
    <row r="568" spans="1:268" ht="15.75" customHeight="1" x14ac:dyDescent="0.2">
      <c r="A568" s="16" t="s">
        <v>190</v>
      </c>
      <c r="B568" s="2" t="s">
        <v>99</v>
      </c>
      <c r="C568" s="2"/>
      <c r="D568" s="2"/>
      <c r="E568" s="2"/>
      <c r="F568" s="2" t="s">
        <v>79</v>
      </c>
      <c r="G568" s="22"/>
      <c r="H568" s="2"/>
      <c r="I568" s="2">
        <v>0</v>
      </c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>
        <v>0</v>
      </c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3">
        <f>364*0.9072</f>
        <v>330.2208</v>
      </c>
      <c r="AZ568" s="2">
        <v>0.84</v>
      </c>
      <c r="BA568" s="2"/>
      <c r="BB568" s="2"/>
      <c r="BC568" s="2"/>
      <c r="BD568" s="2"/>
      <c r="BE568" s="2"/>
      <c r="BF568" s="2"/>
      <c r="BG568" s="2">
        <v>0.19</v>
      </c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>
        <v>0</v>
      </c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>
        <v>0</v>
      </c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 t="s">
        <v>100</v>
      </c>
      <c r="DK568" s="2"/>
      <c r="DL568" s="2">
        <f t="shared" si="8551"/>
        <v>0.19</v>
      </c>
      <c r="DM568" s="2">
        <f t="shared" si="8552"/>
        <v>0</v>
      </c>
      <c r="DN568" s="2" t="s">
        <v>191</v>
      </c>
      <c r="DO568" s="2" t="s">
        <v>3</v>
      </c>
      <c r="DP568" s="2">
        <f t="shared" si="8553"/>
        <v>2.7738547200000001</v>
      </c>
      <c r="DQ568" s="2">
        <f t="shared" ref="DQ568:DR568" si="9428">K568*$I568+AF568*$AD568+BA568*$AY568</f>
        <v>0</v>
      </c>
      <c r="DR568" s="2">
        <f t="shared" si="9428"/>
        <v>0</v>
      </c>
      <c r="DS568" s="2">
        <f t="shared" ref="DS568:DX568" si="9429">(M568*$I568+AH568*$AD568+BC568*$AY568)/100</f>
        <v>0</v>
      </c>
      <c r="DT568" s="2">
        <f t="shared" si="9429"/>
        <v>0</v>
      </c>
      <c r="DU568" s="2">
        <f t="shared" si="9429"/>
        <v>0</v>
      </c>
      <c r="DV568" s="2">
        <f t="shared" si="9429"/>
        <v>0</v>
      </c>
      <c r="DW568" s="2">
        <f t="shared" si="9429"/>
        <v>0.62741952000000001</v>
      </c>
      <c r="DX568" s="2">
        <f t="shared" si="9429"/>
        <v>0</v>
      </c>
      <c r="DY568" s="2">
        <f t="shared" ref="DY568:EC568" si="9430">S568*$I568+AN568*$AD568+BI568*$AY568</f>
        <v>0</v>
      </c>
      <c r="DZ568" s="2">
        <f t="shared" si="9430"/>
        <v>0</v>
      </c>
      <c r="EA568" s="2">
        <f t="shared" si="9430"/>
        <v>0</v>
      </c>
      <c r="EB568" s="2">
        <f t="shared" si="9430"/>
        <v>0</v>
      </c>
      <c r="EC568" s="2">
        <f t="shared" si="9430"/>
        <v>0</v>
      </c>
      <c r="ED568" s="2">
        <f t="shared" ref="ED568:EE568" si="9431">(X568*$I568+AS568*$AD568+BN568*$AY568)/100</f>
        <v>0</v>
      </c>
      <c r="EE568" s="2">
        <f t="shared" si="9431"/>
        <v>0</v>
      </c>
      <c r="EF568" s="2"/>
      <c r="EG568" s="2">
        <f t="shared" si="8558"/>
        <v>0</v>
      </c>
      <c r="EH568" s="2">
        <f t="shared" si="8559"/>
        <v>0</v>
      </c>
      <c r="EI568" s="39">
        <f t="shared" si="8560"/>
        <v>18101.110742507521</v>
      </c>
      <c r="EJ568" s="39">
        <f t="shared" ref="EJ568:EK568" si="9432">EJ$1*DQ568/1000000</f>
        <v>0</v>
      </c>
      <c r="EK568" s="39">
        <f t="shared" si="9432"/>
        <v>0</v>
      </c>
      <c r="EL568" s="39">
        <f t="shared" ref="EL568:EQ568" si="9433">EL$1*DS568</f>
        <v>0</v>
      </c>
      <c r="EM568" s="39">
        <f t="shared" si="9433"/>
        <v>0</v>
      </c>
      <c r="EN568" s="39">
        <f t="shared" si="9433"/>
        <v>0</v>
      </c>
      <c r="EO568" s="39">
        <f t="shared" si="9433"/>
        <v>0</v>
      </c>
      <c r="EP568" s="39">
        <f t="shared" si="9433"/>
        <v>8227.9795852799998</v>
      </c>
      <c r="EQ568" s="39">
        <f t="shared" si="9433"/>
        <v>0</v>
      </c>
      <c r="ER568" s="39">
        <f t="shared" ref="ER568:EV568" si="9434">ER$1*DY568/1000000</f>
        <v>0</v>
      </c>
      <c r="ES568" s="39">
        <f t="shared" si="9434"/>
        <v>0</v>
      </c>
      <c r="ET568" s="39">
        <f t="shared" si="9434"/>
        <v>0</v>
      </c>
      <c r="EU568" s="39">
        <f t="shared" si="9434"/>
        <v>0</v>
      </c>
      <c r="EV568" s="39">
        <f t="shared" si="9434"/>
        <v>0</v>
      </c>
      <c r="EW568" s="39">
        <f t="shared" ref="EW568:EX568" si="9435">EW$1*ED568</f>
        <v>0</v>
      </c>
      <c r="EX568" s="39">
        <f t="shared" si="9435"/>
        <v>0</v>
      </c>
      <c r="EY568" s="2"/>
      <c r="EZ568" s="39">
        <f t="shared" si="8565"/>
        <v>0</v>
      </c>
      <c r="FA568" s="39">
        <f t="shared" si="8566"/>
        <v>0</v>
      </c>
      <c r="FB568" s="2">
        <f t="shared" si="8567"/>
        <v>0</v>
      </c>
      <c r="FC568" s="2">
        <f t="shared" ref="FC568:FD568" si="9436">BV568*$BT568+CQ568*$CO568</f>
        <v>0</v>
      </c>
      <c r="FD568" s="2">
        <f t="shared" si="9436"/>
        <v>0</v>
      </c>
      <c r="FE568" s="2">
        <f t="shared" ref="FE568:FJ568" si="9437">(BX568*$BT568+CS568*$CO568)/100</f>
        <v>0</v>
      </c>
      <c r="FF568" s="2">
        <f t="shared" si="9437"/>
        <v>0</v>
      </c>
      <c r="FG568" s="2">
        <f t="shared" si="9437"/>
        <v>0</v>
      </c>
      <c r="FH568" s="2">
        <f t="shared" si="9437"/>
        <v>0</v>
      </c>
      <c r="FI568" s="2">
        <f t="shared" si="9437"/>
        <v>0</v>
      </c>
      <c r="FJ568" s="2">
        <f t="shared" si="9437"/>
        <v>0</v>
      </c>
      <c r="FK568" s="2">
        <f t="shared" ref="FK568:FO568" si="9438">CD568*$BT568+CY568*$CO568</f>
        <v>0</v>
      </c>
      <c r="FL568" s="2">
        <f t="shared" si="9438"/>
        <v>0</v>
      </c>
      <c r="FM568" s="2">
        <f t="shared" si="9438"/>
        <v>0</v>
      </c>
      <c r="FN568" s="2">
        <f t="shared" si="9438"/>
        <v>0</v>
      </c>
      <c r="FO568" s="2">
        <f t="shared" si="9438"/>
        <v>0</v>
      </c>
      <c r="FP568" s="2">
        <f t="shared" ref="FP568:FQ568" si="9439">(CI568*$BT568+DD568*$CO568)/100</f>
        <v>0</v>
      </c>
      <c r="FQ568" s="2">
        <f t="shared" si="9439"/>
        <v>0</v>
      </c>
      <c r="FR568" s="2"/>
      <c r="FS568" s="2">
        <f t="shared" si="8572"/>
        <v>0</v>
      </c>
      <c r="FT568" s="2">
        <f t="shared" si="8573"/>
        <v>0</v>
      </c>
      <c r="FU568" s="39">
        <f t="shared" si="8574"/>
        <v>0</v>
      </c>
      <c r="FV568" s="39">
        <f t="shared" ref="FV568:FW568" si="9440">FV$1*FC568/1000000</f>
        <v>0</v>
      </c>
      <c r="FW568" s="39">
        <f t="shared" si="9440"/>
        <v>0</v>
      </c>
      <c r="FX568" s="39">
        <f t="shared" ref="FX568:GC568" si="9441">FX$1*FE568</f>
        <v>0</v>
      </c>
      <c r="FY568" s="39">
        <f t="shared" si="9441"/>
        <v>0</v>
      </c>
      <c r="FZ568" s="39">
        <f t="shared" si="9441"/>
        <v>0</v>
      </c>
      <c r="GA568" s="39">
        <f t="shared" si="9441"/>
        <v>0</v>
      </c>
      <c r="GB568" s="39">
        <f t="shared" si="9441"/>
        <v>0</v>
      </c>
      <c r="GC568" s="39">
        <f t="shared" si="9441"/>
        <v>0</v>
      </c>
      <c r="GD568" s="39">
        <f t="shared" ref="GD568:GH568" si="9442">GD$1*FK568/1000000</f>
        <v>0</v>
      </c>
      <c r="GE568" s="39">
        <f t="shared" si="9442"/>
        <v>0</v>
      </c>
      <c r="GF568" s="39">
        <f t="shared" si="9442"/>
        <v>0</v>
      </c>
      <c r="GG568" s="39">
        <f t="shared" si="9442"/>
        <v>0</v>
      </c>
      <c r="GH568" s="39">
        <f t="shared" si="9442"/>
        <v>0</v>
      </c>
      <c r="GI568" s="39">
        <f t="shared" ref="GI568:GJ568" si="9443">GI$1*FP568</f>
        <v>0</v>
      </c>
      <c r="GJ568" s="39">
        <f t="shared" si="9443"/>
        <v>0</v>
      </c>
      <c r="GK568" s="2"/>
      <c r="GL568" s="39">
        <f t="shared" si="8579"/>
        <v>0</v>
      </c>
      <c r="GM568" s="39">
        <f t="shared" si="8580"/>
        <v>0</v>
      </c>
      <c r="GN568" s="2" t="s">
        <v>3</v>
      </c>
      <c r="GO568" s="15">
        <f t="shared" si="8581"/>
        <v>330.2208</v>
      </c>
      <c r="GP568" s="2">
        <f t="shared" si="8582"/>
        <v>0.19</v>
      </c>
      <c r="GQ568" s="15">
        <f t="shared" si="8583"/>
        <v>627.41951999999992</v>
      </c>
      <c r="GR568" s="15">
        <f t="shared" si="8584"/>
        <v>26329.090327787519</v>
      </c>
      <c r="GS568" s="15">
        <f t="shared" si="8585"/>
        <v>79.731774399999992</v>
      </c>
      <c r="GT568" s="2">
        <f t="shared" si="8586"/>
        <v>0</v>
      </c>
      <c r="GU568" s="2">
        <f t="shared" si="8587"/>
        <v>0</v>
      </c>
      <c r="GV568" s="2">
        <f t="shared" si="8588"/>
        <v>627.41951999999992</v>
      </c>
      <c r="GW568" s="2">
        <f t="shared" si="8589"/>
        <v>0</v>
      </c>
      <c r="GX568" s="2"/>
      <c r="GY568" s="2"/>
      <c r="GZ568" s="2"/>
      <c r="HA568" s="2"/>
      <c r="HB568" s="2">
        <f t="shared" si="8590"/>
        <v>0</v>
      </c>
      <c r="HC568" s="2">
        <f t="shared" si="8591"/>
        <v>0</v>
      </c>
      <c r="HD568" s="2" t="s">
        <v>3</v>
      </c>
      <c r="HE568" s="2" t="s">
        <v>89</v>
      </c>
      <c r="HF568" s="2" t="s">
        <v>123</v>
      </c>
      <c r="HG568" s="2" t="s">
        <v>192</v>
      </c>
      <c r="HH568" s="2"/>
      <c r="HI568" s="2" t="s">
        <v>100</v>
      </c>
      <c r="HJ568" s="2" t="s">
        <v>3</v>
      </c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 t="s">
        <v>3</v>
      </c>
    </row>
    <row r="569" spans="1:268" ht="15.75" customHeight="1" x14ac:dyDescent="0.2">
      <c r="A569" s="16" t="s">
        <v>747</v>
      </c>
      <c r="B569" s="2" t="s">
        <v>99</v>
      </c>
      <c r="C569" s="2"/>
      <c r="D569" s="2"/>
      <c r="E569" s="2"/>
      <c r="F569" s="2" t="s">
        <v>748</v>
      </c>
      <c r="G569" s="2"/>
      <c r="H569" s="2"/>
      <c r="I569" s="2">
        <v>0</v>
      </c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>
        <v>0</v>
      </c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>
        <v>4.54</v>
      </c>
      <c r="AZ569" s="2">
        <v>1.89</v>
      </c>
      <c r="BA569" s="2"/>
      <c r="BB569" s="2"/>
      <c r="BC569" s="2"/>
      <c r="BD569" s="2"/>
      <c r="BE569" s="2"/>
      <c r="BF569" s="2"/>
      <c r="BG569" s="2">
        <v>0.36</v>
      </c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>
        <v>0</v>
      </c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>
        <v>0</v>
      </c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 t="s">
        <v>100</v>
      </c>
      <c r="DK569" s="2"/>
      <c r="DL569" s="2">
        <f t="shared" si="8551"/>
        <v>0.36</v>
      </c>
      <c r="DM569" s="2">
        <f t="shared" si="8552"/>
        <v>0</v>
      </c>
      <c r="DN569" s="2" t="s">
        <v>749</v>
      </c>
      <c r="DO569" s="2" t="s">
        <v>3</v>
      </c>
      <c r="DP569" s="2">
        <f t="shared" si="8553"/>
        <v>8.5806000000000007E-2</v>
      </c>
      <c r="DQ569" s="2">
        <f t="shared" ref="DQ569:DR569" si="9444">K569*$I569+AF569*$AD569+BA569*$AY569</f>
        <v>0</v>
      </c>
      <c r="DR569" s="2">
        <f t="shared" si="9444"/>
        <v>0</v>
      </c>
      <c r="DS569" s="2">
        <f t="shared" ref="DS569:DX569" si="9445">(M569*$I569+AH569*$AD569+BC569*$AY569)/100</f>
        <v>0</v>
      </c>
      <c r="DT569" s="2">
        <f t="shared" si="9445"/>
        <v>0</v>
      </c>
      <c r="DU569" s="2">
        <f t="shared" si="9445"/>
        <v>0</v>
      </c>
      <c r="DV569" s="2">
        <f t="shared" si="9445"/>
        <v>0</v>
      </c>
      <c r="DW569" s="2">
        <f t="shared" si="9445"/>
        <v>1.6343999999999997E-2</v>
      </c>
      <c r="DX569" s="2">
        <f t="shared" si="9445"/>
        <v>0</v>
      </c>
      <c r="DY569" s="2">
        <f t="shared" ref="DY569:EC569" si="9446">S569*$I569+AN569*$AD569+BI569*$AY569</f>
        <v>0</v>
      </c>
      <c r="DZ569" s="2">
        <f t="shared" si="9446"/>
        <v>0</v>
      </c>
      <c r="EA569" s="2">
        <f t="shared" si="9446"/>
        <v>0</v>
      </c>
      <c r="EB569" s="2">
        <f t="shared" si="9446"/>
        <v>0</v>
      </c>
      <c r="EC569" s="2">
        <f t="shared" si="9446"/>
        <v>0</v>
      </c>
      <c r="ED569" s="2">
        <f t="shared" ref="ED569:EE569" si="9447">(X569*$I569+AS569*$AD569+BN569*$AY569)/100</f>
        <v>0</v>
      </c>
      <c r="EE569" s="2">
        <f t="shared" si="9447"/>
        <v>0</v>
      </c>
      <c r="EF569" s="2"/>
      <c r="EG569" s="2">
        <f t="shared" si="8558"/>
        <v>0</v>
      </c>
      <c r="EH569" s="2">
        <f t="shared" si="8559"/>
        <v>0</v>
      </c>
      <c r="EI569" s="39">
        <f t="shared" si="8560"/>
        <v>559.93700649600009</v>
      </c>
      <c r="EJ569" s="39">
        <f t="shared" ref="EJ569:EK569" si="9448">EJ$1*DQ569/1000000</f>
        <v>0</v>
      </c>
      <c r="EK569" s="39">
        <f t="shared" si="9448"/>
        <v>0</v>
      </c>
      <c r="EL569" s="39">
        <f t="shared" ref="EL569:EQ569" si="9449">EL$1*DS569</f>
        <v>0</v>
      </c>
      <c r="EM569" s="39">
        <f t="shared" si="9449"/>
        <v>0</v>
      </c>
      <c r="EN569" s="39">
        <f t="shared" si="9449"/>
        <v>0</v>
      </c>
      <c r="EO569" s="39">
        <f t="shared" si="9449"/>
        <v>0</v>
      </c>
      <c r="EP569" s="39">
        <f t="shared" si="9449"/>
        <v>214.33521599999997</v>
      </c>
      <c r="EQ569" s="39">
        <f t="shared" si="9449"/>
        <v>0</v>
      </c>
      <c r="ER569" s="39">
        <f t="shared" ref="ER569:EV569" si="9450">ER$1*DY569/1000000</f>
        <v>0</v>
      </c>
      <c r="ES569" s="39">
        <f t="shared" si="9450"/>
        <v>0</v>
      </c>
      <c r="ET569" s="39">
        <f t="shared" si="9450"/>
        <v>0</v>
      </c>
      <c r="EU569" s="39">
        <f t="shared" si="9450"/>
        <v>0</v>
      </c>
      <c r="EV569" s="39">
        <f t="shared" si="9450"/>
        <v>0</v>
      </c>
      <c r="EW569" s="39">
        <f t="shared" ref="EW569:EX569" si="9451">EW$1*ED569</f>
        <v>0</v>
      </c>
      <c r="EX569" s="39">
        <f t="shared" si="9451"/>
        <v>0</v>
      </c>
      <c r="EY569" s="2"/>
      <c r="EZ569" s="39">
        <f t="shared" si="8565"/>
        <v>0</v>
      </c>
      <c r="FA569" s="39">
        <f t="shared" si="8566"/>
        <v>0</v>
      </c>
      <c r="FB569" s="2">
        <f t="shared" si="8567"/>
        <v>0</v>
      </c>
      <c r="FC569" s="2">
        <f t="shared" ref="FC569:FD569" si="9452">BV569*$BT569+CQ569*$CO569</f>
        <v>0</v>
      </c>
      <c r="FD569" s="2">
        <f t="shared" si="9452"/>
        <v>0</v>
      </c>
      <c r="FE569" s="2">
        <f t="shared" ref="FE569:FJ569" si="9453">(BX569*$BT569+CS569*$CO569)/100</f>
        <v>0</v>
      </c>
      <c r="FF569" s="2">
        <f t="shared" si="9453"/>
        <v>0</v>
      </c>
      <c r="FG569" s="2">
        <f t="shared" si="9453"/>
        <v>0</v>
      </c>
      <c r="FH569" s="2">
        <f t="shared" si="9453"/>
        <v>0</v>
      </c>
      <c r="FI569" s="2">
        <f t="shared" si="9453"/>
        <v>0</v>
      </c>
      <c r="FJ569" s="2">
        <f t="shared" si="9453"/>
        <v>0</v>
      </c>
      <c r="FK569" s="2">
        <f t="shared" ref="FK569:FO569" si="9454">CD569*$BT569+CY569*$CO569</f>
        <v>0</v>
      </c>
      <c r="FL569" s="2">
        <f t="shared" si="9454"/>
        <v>0</v>
      </c>
      <c r="FM569" s="2">
        <f t="shared" si="9454"/>
        <v>0</v>
      </c>
      <c r="FN569" s="2">
        <f t="shared" si="9454"/>
        <v>0</v>
      </c>
      <c r="FO569" s="2">
        <f t="shared" si="9454"/>
        <v>0</v>
      </c>
      <c r="FP569" s="2">
        <f t="shared" ref="FP569:FQ569" si="9455">(CI569*$BT569+DD569*$CO569)/100</f>
        <v>0</v>
      </c>
      <c r="FQ569" s="2">
        <f t="shared" si="9455"/>
        <v>0</v>
      </c>
      <c r="FR569" s="2"/>
      <c r="FS569" s="2">
        <f t="shared" si="8572"/>
        <v>0</v>
      </c>
      <c r="FT569" s="2">
        <f t="shared" si="8573"/>
        <v>0</v>
      </c>
      <c r="FU569" s="39">
        <f t="shared" si="8574"/>
        <v>0</v>
      </c>
      <c r="FV569" s="39">
        <f t="shared" ref="FV569:FW569" si="9456">FV$1*FC569/1000000</f>
        <v>0</v>
      </c>
      <c r="FW569" s="39">
        <f t="shared" si="9456"/>
        <v>0</v>
      </c>
      <c r="FX569" s="39">
        <f t="shared" ref="FX569:GC569" si="9457">FX$1*FE569</f>
        <v>0</v>
      </c>
      <c r="FY569" s="39">
        <f t="shared" si="9457"/>
        <v>0</v>
      </c>
      <c r="FZ569" s="39">
        <f t="shared" si="9457"/>
        <v>0</v>
      </c>
      <c r="GA569" s="39">
        <f t="shared" si="9457"/>
        <v>0</v>
      </c>
      <c r="GB569" s="39">
        <f t="shared" si="9457"/>
        <v>0</v>
      </c>
      <c r="GC569" s="39">
        <f t="shared" si="9457"/>
        <v>0</v>
      </c>
      <c r="GD569" s="39">
        <f t="shared" ref="GD569:GH569" si="9458">GD$1*FK569/1000000</f>
        <v>0</v>
      </c>
      <c r="GE569" s="39">
        <f t="shared" si="9458"/>
        <v>0</v>
      </c>
      <c r="GF569" s="39">
        <f t="shared" si="9458"/>
        <v>0</v>
      </c>
      <c r="GG569" s="39">
        <f t="shared" si="9458"/>
        <v>0</v>
      </c>
      <c r="GH569" s="39">
        <f t="shared" si="9458"/>
        <v>0</v>
      </c>
      <c r="GI569" s="39">
        <f t="shared" ref="GI569:GJ569" si="9459">GI$1*FP569</f>
        <v>0</v>
      </c>
      <c r="GJ569" s="39">
        <f t="shared" si="9459"/>
        <v>0</v>
      </c>
      <c r="GK569" s="2"/>
      <c r="GL569" s="39">
        <f t="shared" si="8579"/>
        <v>0</v>
      </c>
      <c r="GM569" s="39">
        <f t="shared" si="8580"/>
        <v>0</v>
      </c>
      <c r="GN569" s="2" t="s">
        <v>3</v>
      </c>
      <c r="GO569" s="2">
        <f t="shared" si="8581"/>
        <v>4.54</v>
      </c>
      <c r="GP569" s="2">
        <f t="shared" si="8582"/>
        <v>0.36</v>
      </c>
      <c r="GQ569" s="15">
        <f t="shared" si="8583"/>
        <v>16.343999999999998</v>
      </c>
      <c r="GR569" s="15">
        <f t="shared" si="8584"/>
        <v>774.27222249600004</v>
      </c>
      <c r="GS569" s="15">
        <f t="shared" si="8585"/>
        <v>170.54454240000001</v>
      </c>
      <c r="GT569" s="2">
        <f t="shared" si="8586"/>
        <v>0</v>
      </c>
      <c r="GU569" s="2">
        <f t="shared" si="8587"/>
        <v>0</v>
      </c>
      <c r="GV569" s="2">
        <f t="shared" si="8588"/>
        <v>16.343999999999998</v>
      </c>
      <c r="GW569" s="2">
        <f t="shared" si="8589"/>
        <v>0</v>
      </c>
      <c r="GX569" s="2"/>
      <c r="GY569" s="2"/>
      <c r="GZ569" s="2"/>
      <c r="HA569" s="2"/>
      <c r="HB569" s="2">
        <f t="shared" si="8590"/>
        <v>0</v>
      </c>
      <c r="HC569" s="2">
        <f t="shared" si="8591"/>
        <v>0</v>
      </c>
      <c r="HD569" s="2" t="s">
        <v>3</v>
      </c>
      <c r="HE569" s="2" t="s">
        <v>89</v>
      </c>
      <c r="HF569" s="2" t="s">
        <v>123</v>
      </c>
      <c r="HG569" s="2" t="s">
        <v>192</v>
      </c>
      <c r="HH569" s="2"/>
      <c r="HI569" s="2" t="s">
        <v>100</v>
      </c>
      <c r="HJ569" s="2" t="s">
        <v>3</v>
      </c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 t="s">
        <v>3</v>
      </c>
    </row>
    <row r="570" spans="1:268" ht="15.75" customHeight="1" x14ac:dyDescent="0.2">
      <c r="A570" s="16" t="s">
        <v>203</v>
      </c>
      <c r="B570" s="2"/>
      <c r="C570" s="2"/>
      <c r="D570" s="2"/>
      <c r="E570" s="2"/>
      <c r="F570" s="2" t="s">
        <v>79</v>
      </c>
      <c r="G570" s="2"/>
      <c r="H570" s="2"/>
      <c r="I570" s="2">
        <v>0</v>
      </c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>
        <v>0</v>
      </c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>
        <v>3.8</v>
      </c>
      <c r="AZ570" s="2">
        <v>0.81</v>
      </c>
      <c r="BA570" s="2"/>
      <c r="BB570" s="2"/>
      <c r="BC570" s="2"/>
      <c r="BD570" s="2"/>
      <c r="BE570" s="2"/>
      <c r="BF570" s="2"/>
      <c r="BG570" s="2">
        <v>1.03</v>
      </c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 t="s">
        <v>100</v>
      </c>
      <c r="DK570" s="2"/>
      <c r="DL570" s="2">
        <f t="shared" si="8551"/>
        <v>1.03</v>
      </c>
      <c r="DM570" s="2">
        <f t="shared" si="8552"/>
        <v>0</v>
      </c>
      <c r="DN570" s="2" t="s">
        <v>204</v>
      </c>
      <c r="DO570" s="2" t="s">
        <v>3</v>
      </c>
      <c r="DP570" s="2">
        <f t="shared" si="8553"/>
        <v>3.0779999999999998E-2</v>
      </c>
      <c r="DQ570" s="2">
        <f t="shared" ref="DQ570:DR570" si="9460">K570*$I570+AF570*$AD570+BA570*$AY570</f>
        <v>0</v>
      </c>
      <c r="DR570" s="2">
        <f t="shared" si="9460"/>
        <v>0</v>
      </c>
      <c r="DS570" s="2">
        <f t="shared" ref="DS570:DX570" si="9461">(M570*$I570+AH570*$AD570+BC570*$AY570)/100</f>
        <v>0</v>
      </c>
      <c r="DT570" s="2">
        <f t="shared" si="9461"/>
        <v>0</v>
      </c>
      <c r="DU570" s="2">
        <f t="shared" si="9461"/>
        <v>0</v>
      </c>
      <c r="DV570" s="2">
        <f t="shared" si="9461"/>
        <v>0</v>
      </c>
      <c r="DW570" s="2">
        <f t="shared" si="9461"/>
        <v>3.9139999999999994E-2</v>
      </c>
      <c r="DX570" s="2">
        <f t="shared" si="9461"/>
        <v>0</v>
      </c>
      <c r="DY570" s="2">
        <f t="shared" ref="DY570:EC570" si="9462">S570*$I570+AN570*$AD570+BI570*$AY570</f>
        <v>0</v>
      </c>
      <c r="DZ570" s="2">
        <f t="shared" si="9462"/>
        <v>0</v>
      </c>
      <c r="EA570" s="2">
        <f t="shared" si="9462"/>
        <v>0</v>
      </c>
      <c r="EB570" s="2">
        <f t="shared" si="9462"/>
        <v>0</v>
      </c>
      <c r="EC570" s="2">
        <f t="shared" si="9462"/>
        <v>0</v>
      </c>
      <c r="ED570" s="2">
        <f t="shared" ref="ED570:EE570" si="9463">(X570*$I570+AS570*$AD570+BN570*$AY570)/100</f>
        <v>0</v>
      </c>
      <c r="EE570" s="2">
        <f t="shared" si="9463"/>
        <v>0</v>
      </c>
      <c r="EF570" s="2"/>
      <c r="EG570" s="2">
        <f t="shared" si="8558"/>
        <v>0</v>
      </c>
      <c r="EH570" s="2">
        <f t="shared" si="8559"/>
        <v>0</v>
      </c>
      <c r="EI570" s="39">
        <f t="shared" si="8560"/>
        <v>200.85846047999999</v>
      </c>
      <c r="EJ570" s="39">
        <f t="shared" ref="EJ570:EK570" si="9464">EJ$1*DQ570/1000000</f>
        <v>0</v>
      </c>
      <c r="EK570" s="39">
        <f t="shared" si="9464"/>
        <v>0</v>
      </c>
      <c r="EL570" s="39">
        <f t="shared" ref="EL570:EQ570" si="9465">EL$1*DS570</f>
        <v>0</v>
      </c>
      <c r="EM570" s="39">
        <f t="shared" si="9465"/>
        <v>0</v>
      </c>
      <c r="EN570" s="39">
        <f t="shared" si="9465"/>
        <v>0</v>
      </c>
      <c r="EO570" s="39">
        <f t="shared" si="9465"/>
        <v>0</v>
      </c>
      <c r="EP570" s="39">
        <f t="shared" si="9465"/>
        <v>513.28195999999991</v>
      </c>
      <c r="EQ570" s="39">
        <f t="shared" si="9465"/>
        <v>0</v>
      </c>
      <c r="ER570" s="39">
        <f t="shared" ref="ER570:EV570" si="9466">ER$1*DY570/1000000</f>
        <v>0</v>
      </c>
      <c r="ES570" s="39">
        <f t="shared" si="9466"/>
        <v>0</v>
      </c>
      <c r="ET570" s="39">
        <f t="shared" si="9466"/>
        <v>0</v>
      </c>
      <c r="EU570" s="39">
        <f t="shared" si="9466"/>
        <v>0</v>
      </c>
      <c r="EV570" s="39">
        <f t="shared" si="9466"/>
        <v>0</v>
      </c>
      <c r="EW570" s="39">
        <f t="shared" ref="EW570:EX570" si="9467">EW$1*ED570</f>
        <v>0</v>
      </c>
      <c r="EX570" s="39">
        <f t="shared" si="9467"/>
        <v>0</v>
      </c>
      <c r="EY570" s="2"/>
      <c r="EZ570" s="39">
        <f t="shared" si="8565"/>
        <v>0</v>
      </c>
      <c r="FA570" s="39">
        <f t="shared" si="8566"/>
        <v>0</v>
      </c>
      <c r="FB570" s="2">
        <f t="shared" si="8567"/>
        <v>0</v>
      </c>
      <c r="FC570" s="2">
        <f t="shared" ref="FC570:FD570" si="9468">BV570*$BT570+CQ570*$CO570</f>
        <v>0</v>
      </c>
      <c r="FD570" s="2">
        <f t="shared" si="9468"/>
        <v>0</v>
      </c>
      <c r="FE570" s="2">
        <f t="shared" ref="FE570:FJ570" si="9469">(BX570*$BT570+CS570*$CO570)/100</f>
        <v>0</v>
      </c>
      <c r="FF570" s="2">
        <f t="shared" si="9469"/>
        <v>0</v>
      </c>
      <c r="FG570" s="2">
        <f t="shared" si="9469"/>
        <v>0</v>
      </c>
      <c r="FH570" s="2">
        <f t="shared" si="9469"/>
        <v>0</v>
      </c>
      <c r="FI570" s="2">
        <f t="shared" si="9469"/>
        <v>0</v>
      </c>
      <c r="FJ570" s="2">
        <f t="shared" si="9469"/>
        <v>0</v>
      </c>
      <c r="FK570" s="2">
        <f t="shared" ref="FK570:FO570" si="9470">CD570*$BT570+CY570*$CO570</f>
        <v>0</v>
      </c>
      <c r="FL570" s="2">
        <f t="shared" si="9470"/>
        <v>0</v>
      </c>
      <c r="FM570" s="2">
        <f t="shared" si="9470"/>
        <v>0</v>
      </c>
      <c r="FN570" s="2">
        <f t="shared" si="9470"/>
        <v>0</v>
      </c>
      <c r="FO570" s="2">
        <f t="shared" si="9470"/>
        <v>0</v>
      </c>
      <c r="FP570" s="2">
        <f t="shared" ref="FP570:FQ570" si="9471">(CI570*$BT570+DD570*$CO570)/100</f>
        <v>0</v>
      </c>
      <c r="FQ570" s="2">
        <f t="shared" si="9471"/>
        <v>0</v>
      </c>
      <c r="FR570" s="2"/>
      <c r="FS570" s="2">
        <f t="shared" si="8572"/>
        <v>0</v>
      </c>
      <c r="FT570" s="2">
        <f t="shared" si="8573"/>
        <v>0</v>
      </c>
      <c r="FU570" s="39">
        <f t="shared" si="8574"/>
        <v>0</v>
      </c>
      <c r="FV570" s="39">
        <f t="shared" ref="FV570:FW570" si="9472">FV$1*FC570/1000000</f>
        <v>0</v>
      </c>
      <c r="FW570" s="39">
        <f t="shared" si="9472"/>
        <v>0</v>
      </c>
      <c r="FX570" s="39">
        <f t="shared" ref="FX570:GC570" si="9473">FX$1*FE570</f>
        <v>0</v>
      </c>
      <c r="FY570" s="39">
        <f t="shared" si="9473"/>
        <v>0</v>
      </c>
      <c r="FZ570" s="39">
        <f t="shared" si="9473"/>
        <v>0</v>
      </c>
      <c r="GA570" s="39">
        <f t="shared" si="9473"/>
        <v>0</v>
      </c>
      <c r="GB570" s="39">
        <f t="shared" si="9473"/>
        <v>0</v>
      </c>
      <c r="GC570" s="39">
        <f t="shared" si="9473"/>
        <v>0</v>
      </c>
      <c r="GD570" s="39">
        <f t="shared" ref="GD570:GH570" si="9474">GD$1*FK570/1000000</f>
        <v>0</v>
      </c>
      <c r="GE570" s="39">
        <f t="shared" si="9474"/>
        <v>0</v>
      </c>
      <c r="GF570" s="39">
        <f t="shared" si="9474"/>
        <v>0</v>
      </c>
      <c r="GG570" s="39">
        <f t="shared" si="9474"/>
        <v>0</v>
      </c>
      <c r="GH570" s="39">
        <f t="shared" si="9474"/>
        <v>0</v>
      </c>
      <c r="GI570" s="39">
        <f t="shared" ref="GI570:GJ570" si="9475">GI$1*FP570</f>
        <v>0</v>
      </c>
      <c r="GJ570" s="39">
        <f t="shared" si="9475"/>
        <v>0</v>
      </c>
      <c r="GK570" s="2"/>
      <c r="GL570" s="39">
        <f t="shared" si="8579"/>
        <v>0</v>
      </c>
      <c r="GM570" s="39">
        <f t="shared" si="8580"/>
        <v>0</v>
      </c>
      <c r="GN570" s="2" t="s">
        <v>3</v>
      </c>
      <c r="GO570" s="2">
        <f t="shared" si="8581"/>
        <v>3.8</v>
      </c>
      <c r="GP570" s="2">
        <f t="shared" si="8582"/>
        <v>1.03</v>
      </c>
      <c r="GQ570" s="15">
        <f t="shared" si="8583"/>
        <v>39.14</v>
      </c>
      <c r="GR570" s="15">
        <f t="shared" si="8584"/>
        <v>714.14042047999988</v>
      </c>
      <c r="GS570" s="15">
        <f t="shared" si="8585"/>
        <v>187.93168959999997</v>
      </c>
      <c r="GT570" s="2">
        <f t="shared" si="8586"/>
        <v>0</v>
      </c>
      <c r="GU570" s="2">
        <f t="shared" si="8587"/>
        <v>0</v>
      </c>
      <c r="GV570" s="2">
        <f t="shared" si="8588"/>
        <v>39.139999999999993</v>
      </c>
      <c r="GW570" s="2">
        <f t="shared" si="8589"/>
        <v>0</v>
      </c>
      <c r="GX570" s="2"/>
      <c r="GY570" s="2"/>
      <c r="GZ570" s="2"/>
      <c r="HA570" s="2"/>
      <c r="HB570" s="2">
        <f t="shared" si="8590"/>
        <v>0</v>
      </c>
      <c r="HC570" s="2">
        <f t="shared" si="8591"/>
        <v>0</v>
      </c>
      <c r="HD570" s="2" t="s">
        <v>3</v>
      </c>
      <c r="HE570" s="2" t="s">
        <v>89</v>
      </c>
      <c r="HF570" s="2" t="s">
        <v>123</v>
      </c>
      <c r="HG570" s="2" t="s">
        <v>205</v>
      </c>
      <c r="HH570" s="2"/>
      <c r="HI570" s="2" t="s">
        <v>100</v>
      </c>
      <c r="HJ570" s="2" t="s">
        <v>3</v>
      </c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 t="s">
        <v>3</v>
      </c>
    </row>
    <row r="571" spans="1:268" ht="15.75" customHeight="1" x14ac:dyDescent="0.2">
      <c r="A571" s="16" t="s">
        <v>1324</v>
      </c>
      <c r="B571" s="2"/>
      <c r="C571" s="2"/>
      <c r="D571" s="2"/>
      <c r="E571" s="2"/>
      <c r="F571" s="2" t="s">
        <v>79</v>
      </c>
      <c r="G571" s="2"/>
      <c r="H571" s="2"/>
      <c r="I571" s="2">
        <v>0</v>
      </c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>
        <v>0</v>
      </c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>
        <v>90</v>
      </c>
      <c r="AZ571" s="2">
        <v>0.16</v>
      </c>
      <c r="BA571" s="2"/>
      <c r="BB571" s="2"/>
      <c r="BC571" s="2"/>
      <c r="BD571" s="2"/>
      <c r="BE571" s="2"/>
      <c r="BF571" s="2"/>
      <c r="BG571" s="2">
        <v>0.45</v>
      </c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 t="s">
        <v>100</v>
      </c>
      <c r="DK571" s="2"/>
      <c r="DL571" s="2">
        <f t="shared" si="8551"/>
        <v>0.45</v>
      </c>
      <c r="DM571" s="2">
        <f t="shared" si="8552"/>
        <v>0</v>
      </c>
      <c r="DN571" s="2" t="s">
        <v>204</v>
      </c>
      <c r="DO571" s="2" t="s">
        <v>3</v>
      </c>
      <c r="DP571" s="2">
        <f t="shared" si="8553"/>
        <v>0.14400000000000002</v>
      </c>
      <c r="DQ571" s="2">
        <f t="shared" ref="DQ571:DR571" si="9476">K571*$I571+AF571*$AD571+BA571*$AY571</f>
        <v>0</v>
      </c>
      <c r="DR571" s="2">
        <f t="shared" si="9476"/>
        <v>0</v>
      </c>
      <c r="DS571" s="2">
        <f t="shared" ref="DS571:DX571" si="9477">(M571*$I571+AH571*$AD571+BC571*$AY571)/100</f>
        <v>0</v>
      </c>
      <c r="DT571" s="2">
        <f t="shared" si="9477"/>
        <v>0</v>
      </c>
      <c r="DU571" s="2">
        <f t="shared" si="9477"/>
        <v>0</v>
      </c>
      <c r="DV571" s="2">
        <f t="shared" si="9477"/>
        <v>0</v>
      </c>
      <c r="DW571" s="2">
        <f t="shared" si="9477"/>
        <v>0.40500000000000003</v>
      </c>
      <c r="DX571" s="2">
        <f t="shared" si="9477"/>
        <v>0</v>
      </c>
      <c r="DY571" s="2">
        <f t="shared" ref="DY571:EC571" si="9478">S571*$I571+AN571*$AD571+BI571*$AY571</f>
        <v>0</v>
      </c>
      <c r="DZ571" s="2">
        <f t="shared" si="9478"/>
        <v>0</v>
      </c>
      <c r="EA571" s="2">
        <f t="shared" si="9478"/>
        <v>0</v>
      </c>
      <c r="EB571" s="2">
        <f t="shared" si="9478"/>
        <v>0</v>
      </c>
      <c r="EC571" s="2">
        <f t="shared" si="9478"/>
        <v>0</v>
      </c>
      <c r="ED571" s="2">
        <f t="shared" ref="ED571:EE571" si="9479">(X571*$I571+AS571*$AD571+BN571*$AY571)/100</f>
        <v>0</v>
      </c>
      <c r="EE571" s="2">
        <f t="shared" si="9479"/>
        <v>0</v>
      </c>
      <c r="EF571" s="2"/>
      <c r="EG571" s="2">
        <f t="shared" si="8558"/>
        <v>0</v>
      </c>
      <c r="EH571" s="2">
        <f t="shared" si="8559"/>
        <v>0</v>
      </c>
      <c r="EI571" s="39">
        <f t="shared" si="8560"/>
        <v>939.68870400000014</v>
      </c>
      <c r="EJ571" s="39">
        <f t="shared" ref="EJ571:EK571" si="9480">EJ$1*DQ571/1000000</f>
        <v>0</v>
      </c>
      <c r="EK571" s="39">
        <f t="shared" si="9480"/>
        <v>0</v>
      </c>
      <c r="EL571" s="39">
        <f t="shared" ref="EL571:EQ571" si="9481">EL$1*DS571</f>
        <v>0</v>
      </c>
      <c r="EM571" s="39">
        <f t="shared" si="9481"/>
        <v>0</v>
      </c>
      <c r="EN571" s="39">
        <f t="shared" si="9481"/>
        <v>0</v>
      </c>
      <c r="EO571" s="39">
        <f t="shared" si="9481"/>
        <v>0</v>
      </c>
      <c r="EP571" s="39">
        <f t="shared" si="9481"/>
        <v>5311.17</v>
      </c>
      <c r="EQ571" s="39">
        <f t="shared" si="9481"/>
        <v>0</v>
      </c>
      <c r="ER571" s="39">
        <f t="shared" ref="ER571:EV571" si="9482">ER$1*DY571/1000000</f>
        <v>0</v>
      </c>
      <c r="ES571" s="39">
        <f t="shared" si="9482"/>
        <v>0</v>
      </c>
      <c r="ET571" s="39">
        <f t="shared" si="9482"/>
        <v>0</v>
      </c>
      <c r="EU571" s="39">
        <f t="shared" si="9482"/>
        <v>0</v>
      </c>
      <c r="EV571" s="39">
        <f t="shared" si="9482"/>
        <v>0</v>
      </c>
      <c r="EW571" s="39">
        <f t="shared" ref="EW571:EX571" si="9483">EW$1*ED571</f>
        <v>0</v>
      </c>
      <c r="EX571" s="39">
        <f t="shared" si="9483"/>
        <v>0</v>
      </c>
      <c r="EY571" s="2"/>
      <c r="EZ571" s="39">
        <f t="shared" si="8565"/>
        <v>0</v>
      </c>
      <c r="FA571" s="39">
        <f t="shared" si="8566"/>
        <v>0</v>
      </c>
      <c r="FB571" s="2">
        <f t="shared" si="8567"/>
        <v>0</v>
      </c>
      <c r="FC571" s="2">
        <f t="shared" ref="FC571:FD571" si="9484">BV571*$BT571+CQ571*$CO571</f>
        <v>0</v>
      </c>
      <c r="FD571" s="2">
        <f t="shared" si="9484"/>
        <v>0</v>
      </c>
      <c r="FE571" s="2">
        <f t="shared" ref="FE571:FJ571" si="9485">(BX571*$BT571+CS571*$CO571)/100</f>
        <v>0</v>
      </c>
      <c r="FF571" s="2">
        <f t="shared" si="9485"/>
        <v>0</v>
      </c>
      <c r="FG571" s="2">
        <f t="shared" si="9485"/>
        <v>0</v>
      </c>
      <c r="FH571" s="2">
        <f t="shared" si="9485"/>
        <v>0</v>
      </c>
      <c r="FI571" s="2">
        <f t="shared" si="9485"/>
        <v>0</v>
      </c>
      <c r="FJ571" s="2">
        <f t="shared" si="9485"/>
        <v>0</v>
      </c>
      <c r="FK571" s="2">
        <f t="shared" ref="FK571:FO571" si="9486">CD571*$BT571+CY571*$CO571</f>
        <v>0</v>
      </c>
      <c r="FL571" s="2">
        <f t="shared" si="9486"/>
        <v>0</v>
      </c>
      <c r="FM571" s="2">
        <f t="shared" si="9486"/>
        <v>0</v>
      </c>
      <c r="FN571" s="2">
        <f t="shared" si="9486"/>
        <v>0</v>
      </c>
      <c r="FO571" s="2">
        <f t="shared" si="9486"/>
        <v>0</v>
      </c>
      <c r="FP571" s="2">
        <f t="shared" ref="FP571:FQ571" si="9487">(CI571*$BT571+DD571*$CO571)/100</f>
        <v>0</v>
      </c>
      <c r="FQ571" s="2">
        <f t="shared" si="9487"/>
        <v>0</v>
      </c>
      <c r="FR571" s="2"/>
      <c r="FS571" s="2">
        <f t="shared" si="8572"/>
        <v>0</v>
      </c>
      <c r="FT571" s="2">
        <f t="shared" si="8573"/>
        <v>0</v>
      </c>
      <c r="FU571" s="39">
        <f t="shared" si="8574"/>
        <v>0</v>
      </c>
      <c r="FV571" s="39">
        <f t="shared" ref="FV571:FW571" si="9488">FV$1*FC571/1000000</f>
        <v>0</v>
      </c>
      <c r="FW571" s="39">
        <f t="shared" si="9488"/>
        <v>0</v>
      </c>
      <c r="FX571" s="39">
        <f t="shared" ref="FX571:GC571" si="9489">FX$1*FE571</f>
        <v>0</v>
      </c>
      <c r="FY571" s="39">
        <f t="shared" si="9489"/>
        <v>0</v>
      </c>
      <c r="FZ571" s="39">
        <f t="shared" si="9489"/>
        <v>0</v>
      </c>
      <c r="GA571" s="39">
        <f t="shared" si="9489"/>
        <v>0</v>
      </c>
      <c r="GB571" s="39">
        <f t="shared" si="9489"/>
        <v>0</v>
      </c>
      <c r="GC571" s="39">
        <f t="shared" si="9489"/>
        <v>0</v>
      </c>
      <c r="GD571" s="39">
        <f t="shared" ref="GD571:GH571" si="9490">GD$1*FK571/1000000</f>
        <v>0</v>
      </c>
      <c r="GE571" s="39">
        <f t="shared" si="9490"/>
        <v>0</v>
      </c>
      <c r="GF571" s="39">
        <f t="shared" si="9490"/>
        <v>0</v>
      </c>
      <c r="GG571" s="39">
        <f t="shared" si="9490"/>
        <v>0</v>
      </c>
      <c r="GH571" s="39">
        <f t="shared" si="9490"/>
        <v>0</v>
      </c>
      <c r="GI571" s="39">
        <f t="shared" ref="GI571:GJ571" si="9491">GI$1*FP571</f>
        <v>0</v>
      </c>
      <c r="GJ571" s="39">
        <f t="shared" si="9491"/>
        <v>0</v>
      </c>
      <c r="GK571" s="2"/>
      <c r="GL571" s="39">
        <f t="shared" si="8579"/>
        <v>0</v>
      </c>
      <c r="GM571" s="39">
        <f t="shared" si="8580"/>
        <v>0</v>
      </c>
      <c r="GN571" s="2" t="s">
        <v>3</v>
      </c>
      <c r="GO571" s="2">
        <f t="shared" si="8581"/>
        <v>90</v>
      </c>
      <c r="GP571" s="2">
        <f t="shared" si="8582"/>
        <v>0.45</v>
      </c>
      <c r="GQ571" s="15">
        <f t="shared" si="8583"/>
        <v>405</v>
      </c>
      <c r="GR571" s="15">
        <f t="shared" si="8584"/>
        <v>6250.8587040000002</v>
      </c>
      <c r="GS571" s="15">
        <f t="shared" si="8585"/>
        <v>69.453985599999996</v>
      </c>
      <c r="GT571" s="2">
        <f t="shared" si="8586"/>
        <v>0</v>
      </c>
      <c r="GU571" s="2">
        <f t="shared" si="8587"/>
        <v>0</v>
      </c>
      <c r="GV571" s="2">
        <f t="shared" si="8588"/>
        <v>405</v>
      </c>
      <c r="GW571" s="2">
        <f t="shared" si="8589"/>
        <v>0</v>
      </c>
      <c r="GX571" s="2"/>
      <c r="GY571" s="2"/>
      <c r="GZ571" s="2"/>
      <c r="HA571" s="2"/>
      <c r="HB571" s="2">
        <f t="shared" si="8590"/>
        <v>0</v>
      </c>
      <c r="HC571" s="2">
        <f t="shared" si="8591"/>
        <v>0</v>
      </c>
      <c r="HD571" s="2" t="s">
        <v>3</v>
      </c>
      <c r="HE571" s="2" t="s">
        <v>89</v>
      </c>
      <c r="HF571" s="2" t="s">
        <v>123</v>
      </c>
      <c r="HG571" s="2" t="s">
        <v>205</v>
      </c>
      <c r="HH571" s="2"/>
      <c r="HI571" s="2" t="s">
        <v>100</v>
      </c>
      <c r="HJ571" s="2" t="s">
        <v>3</v>
      </c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 t="s">
        <v>3</v>
      </c>
    </row>
    <row r="572" spans="1:268" ht="15.75" customHeight="1" x14ac:dyDescent="0.2">
      <c r="A572" s="16" t="s">
        <v>1331</v>
      </c>
      <c r="B572" s="2"/>
      <c r="C572" s="2"/>
      <c r="D572" s="2"/>
      <c r="E572" s="2"/>
      <c r="F572" s="2" t="s">
        <v>79</v>
      </c>
      <c r="G572" s="2"/>
      <c r="H572" s="2"/>
      <c r="I572" s="2">
        <v>0</v>
      </c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>
        <v>0</v>
      </c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>
        <v>6.7</v>
      </c>
      <c r="AZ572" s="2">
        <v>0.22</v>
      </c>
      <c r="BA572" s="2"/>
      <c r="BB572" s="2"/>
      <c r="BC572" s="2"/>
      <c r="BD572" s="2"/>
      <c r="BE572" s="2"/>
      <c r="BF572" s="2"/>
      <c r="BG572" s="2">
        <v>0.23</v>
      </c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 t="s">
        <v>100</v>
      </c>
      <c r="DK572" s="2"/>
      <c r="DL572" s="2">
        <f t="shared" si="8551"/>
        <v>0.23</v>
      </c>
      <c r="DM572" s="2">
        <f t="shared" si="8552"/>
        <v>0</v>
      </c>
      <c r="DN572" s="2" t="s">
        <v>204</v>
      </c>
      <c r="DO572" s="2" t="s">
        <v>3</v>
      </c>
      <c r="DP572" s="2">
        <f t="shared" si="8553"/>
        <v>1.474E-2</v>
      </c>
      <c r="DQ572" s="2">
        <f t="shared" ref="DQ572:DR572" si="9492">K572*$I572+AF572*$AD572+BA572*$AY572</f>
        <v>0</v>
      </c>
      <c r="DR572" s="2">
        <f t="shared" si="9492"/>
        <v>0</v>
      </c>
      <c r="DS572" s="2">
        <f t="shared" ref="DS572:DX572" si="9493">(M572*$I572+AH572*$AD572+BC572*$AY572)/100</f>
        <v>0</v>
      </c>
      <c r="DT572" s="2">
        <f t="shared" si="9493"/>
        <v>0</v>
      </c>
      <c r="DU572" s="2">
        <f t="shared" si="9493"/>
        <v>0</v>
      </c>
      <c r="DV572" s="2">
        <f t="shared" si="9493"/>
        <v>0</v>
      </c>
      <c r="DW572" s="2">
        <f t="shared" si="9493"/>
        <v>1.5410000000000002E-2</v>
      </c>
      <c r="DX572" s="2">
        <f t="shared" si="9493"/>
        <v>0</v>
      </c>
      <c r="DY572" s="2">
        <f t="shared" ref="DY572:EC572" si="9494">S572*$I572+AN572*$AD572+BI572*$AY572</f>
        <v>0</v>
      </c>
      <c r="DZ572" s="2">
        <f t="shared" si="9494"/>
        <v>0</v>
      </c>
      <c r="EA572" s="2">
        <f t="shared" si="9494"/>
        <v>0</v>
      </c>
      <c r="EB572" s="2">
        <f t="shared" si="9494"/>
        <v>0</v>
      </c>
      <c r="EC572" s="2">
        <f t="shared" si="9494"/>
        <v>0</v>
      </c>
      <c r="ED572" s="2">
        <f t="shared" ref="ED572:EE572" si="9495">(X572*$I572+AS572*$AD572+BN572*$AY572)/100</f>
        <v>0</v>
      </c>
      <c r="EE572" s="2">
        <f t="shared" si="9495"/>
        <v>0</v>
      </c>
      <c r="EF572" s="2"/>
      <c r="EG572" s="2">
        <f t="shared" si="8558"/>
        <v>0</v>
      </c>
      <c r="EH572" s="2">
        <f t="shared" si="8559"/>
        <v>0</v>
      </c>
      <c r="EI572" s="39">
        <f t="shared" si="8560"/>
        <v>96.187579839999998</v>
      </c>
      <c r="EJ572" s="39">
        <f t="shared" ref="EJ572:EK572" si="9496">EJ$1*DQ572/1000000</f>
        <v>0</v>
      </c>
      <c r="EK572" s="39">
        <f t="shared" si="9496"/>
        <v>0</v>
      </c>
      <c r="EL572" s="39">
        <f t="shared" ref="EL572:EQ572" si="9497">EL$1*DS572</f>
        <v>0</v>
      </c>
      <c r="EM572" s="39">
        <f t="shared" si="9497"/>
        <v>0</v>
      </c>
      <c r="EN572" s="39">
        <f t="shared" si="9497"/>
        <v>0</v>
      </c>
      <c r="EO572" s="39">
        <f t="shared" si="9497"/>
        <v>0</v>
      </c>
      <c r="EP572" s="39">
        <f t="shared" si="9497"/>
        <v>202.08674000000002</v>
      </c>
      <c r="EQ572" s="39">
        <f t="shared" si="9497"/>
        <v>0</v>
      </c>
      <c r="ER572" s="39">
        <f t="shared" ref="ER572:EV572" si="9498">ER$1*DY572/1000000</f>
        <v>0</v>
      </c>
      <c r="ES572" s="39">
        <f t="shared" si="9498"/>
        <v>0</v>
      </c>
      <c r="ET572" s="39">
        <f t="shared" si="9498"/>
        <v>0</v>
      </c>
      <c r="EU572" s="39">
        <f t="shared" si="9498"/>
        <v>0</v>
      </c>
      <c r="EV572" s="39">
        <f t="shared" si="9498"/>
        <v>0</v>
      </c>
      <c r="EW572" s="39">
        <f t="shared" ref="EW572:EX572" si="9499">EW$1*ED572</f>
        <v>0</v>
      </c>
      <c r="EX572" s="39">
        <f t="shared" si="9499"/>
        <v>0</v>
      </c>
      <c r="EY572" s="2"/>
      <c r="EZ572" s="39">
        <f t="shared" si="8565"/>
        <v>0</v>
      </c>
      <c r="FA572" s="39">
        <f t="shared" si="8566"/>
        <v>0</v>
      </c>
      <c r="FB572" s="2">
        <f t="shared" si="8567"/>
        <v>0</v>
      </c>
      <c r="FC572" s="2">
        <f t="shared" ref="FC572:FD572" si="9500">BV572*$BT572+CQ572*$CO572</f>
        <v>0</v>
      </c>
      <c r="FD572" s="2">
        <f t="shared" si="9500"/>
        <v>0</v>
      </c>
      <c r="FE572" s="2">
        <f t="shared" ref="FE572:FJ572" si="9501">(BX572*$BT572+CS572*$CO572)/100</f>
        <v>0</v>
      </c>
      <c r="FF572" s="2">
        <f t="shared" si="9501"/>
        <v>0</v>
      </c>
      <c r="FG572" s="2">
        <f t="shared" si="9501"/>
        <v>0</v>
      </c>
      <c r="FH572" s="2">
        <f t="shared" si="9501"/>
        <v>0</v>
      </c>
      <c r="FI572" s="2">
        <f t="shared" si="9501"/>
        <v>0</v>
      </c>
      <c r="FJ572" s="2">
        <f t="shared" si="9501"/>
        <v>0</v>
      </c>
      <c r="FK572" s="2">
        <f t="shared" ref="FK572:FO572" si="9502">CD572*$BT572+CY572*$CO572</f>
        <v>0</v>
      </c>
      <c r="FL572" s="2">
        <f t="shared" si="9502"/>
        <v>0</v>
      </c>
      <c r="FM572" s="2">
        <f t="shared" si="9502"/>
        <v>0</v>
      </c>
      <c r="FN572" s="2">
        <f t="shared" si="9502"/>
        <v>0</v>
      </c>
      <c r="FO572" s="2">
        <f t="shared" si="9502"/>
        <v>0</v>
      </c>
      <c r="FP572" s="2">
        <f t="shared" ref="FP572:FQ572" si="9503">(CI572*$BT572+DD572*$CO572)/100</f>
        <v>0</v>
      </c>
      <c r="FQ572" s="2">
        <f t="shared" si="9503"/>
        <v>0</v>
      </c>
      <c r="FR572" s="2"/>
      <c r="FS572" s="2">
        <f t="shared" si="8572"/>
        <v>0</v>
      </c>
      <c r="FT572" s="2">
        <f t="shared" si="8573"/>
        <v>0</v>
      </c>
      <c r="FU572" s="39">
        <f t="shared" si="8574"/>
        <v>0</v>
      </c>
      <c r="FV572" s="39">
        <f t="shared" ref="FV572:FW572" si="9504">FV$1*FC572/1000000</f>
        <v>0</v>
      </c>
      <c r="FW572" s="39">
        <f t="shared" si="9504"/>
        <v>0</v>
      </c>
      <c r="FX572" s="39">
        <f t="shared" ref="FX572:GC572" si="9505">FX$1*FE572</f>
        <v>0</v>
      </c>
      <c r="FY572" s="39">
        <f t="shared" si="9505"/>
        <v>0</v>
      </c>
      <c r="FZ572" s="39">
        <f t="shared" si="9505"/>
        <v>0</v>
      </c>
      <c r="GA572" s="39">
        <f t="shared" si="9505"/>
        <v>0</v>
      </c>
      <c r="GB572" s="39">
        <f t="shared" si="9505"/>
        <v>0</v>
      </c>
      <c r="GC572" s="39">
        <f t="shared" si="9505"/>
        <v>0</v>
      </c>
      <c r="GD572" s="39">
        <f t="shared" ref="GD572:GH572" si="9506">GD$1*FK572/1000000</f>
        <v>0</v>
      </c>
      <c r="GE572" s="39">
        <f t="shared" si="9506"/>
        <v>0</v>
      </c>
      <c r="GF572" s="39">
        <f t="shared" si="9506"/>
        <v>0</v>
      </c>
      <c r="GG572" s="39">
        <f t="shared" si="9506"/>
        <v>0</v>
      </c>
      <c r="GH572" s="39">
        <f t="shared" si="9506"/>
        <v>0</v>
      </c>
      <c r="GI572" s="39">
        <f t="shared" ref="GI572:GJ572" si="9507">GI$1*FP572</f>
        <v>0</v>
      </c>
      <c r="GJ572" s="39">
        <f t="shared" si="9507"/>
        <v>0</v>
      </c>
      <c r="GK572" s="2"/>
      <c r="GL572" s="39">
        <f t="shared" si="8579"/>
        <v>0</v>
      </c>
      <c r="GM572" s="39">
        <f t="shared" si="8580"/>
        <v>0</v>
      </c>
      <c r="GN572" s="2" t="s">
        <v>3</v>
      </c>
      <c r="GO572" s="2">
        <f t="shared" si="8581"/>
        <v>6.7</v>
      </c>
      <c r="GP572" s="2">
        <f t="shared" si="8582"/>
        <v>0.23</v>
      </c>
      <c r="GQ572" s="15">
        <f t="shared" si="8583"/>
        <v>15.41</v>
      </c>
      <c r="GR572" s="15">
        <f t="shared" si="8584"/>
        <v>298.27431984000003</v>
      </c>
      <c r="GS572" s="15">
        <f t="shared" si="8585"/>
        <v>44.518555200000002</v>
      </c>
      <c r="GT572" s="2">
        <f t="shared" si="8586"/>
        <v>0</v>
      </c>
      <c r="GU572" s="2">
        <f t="shared" si="8587"/>
        <v>0</v>
      </c>
      <c r="GV572" s="2">
        <f t="shared" si="8588"/>
        <v>15.410000000000002</v>
      </c>
      <c r="GW572" s="2">
        <f t="shared" si="8589"/>
        <v>0</v>
      </c>
      <c r="GX572" s="2"/>
      <c r="GY572" s="2"/>
      <c r="GZ572" s="2"/>
      <c r="HA572" s="2"/>
      <c r="HB572" s="2">
        <f t="shared" si="8590"/>
        <v>0</v>
      </c>
      <c r="HC572" s="2">
        <f t="shared" si="8591"/>
        <v>0</v>
      </c>
      <c r="HD572" s="2" t="s">
        <v>3</v>
      </c>
      <c r="HE572" s="2" t="s">
        <v>89</v>
      </c>
      <c r="HF572" s="2" t="s">
        <v>123</v>
      </c>
      <c r="HG572" s="2" t="s">
        <v>205</v>
      </c>
      <c r="HH572" s="2"/>
      <c r="HI572" s="2" t="s">
        <v>100</v>
      </c>
      <c r="HJ572" s="2" t="s">
        <v>3</v>
      </c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 t="s">
        <v>3</v>
      </c>
    </row>
    <row r="573" spans="1:268" ht="15.75" customHeight="1" x14ac:dyDescent="0.2">
      <c r="A573" s="16" t="s">
        <v>582</v>
      </c>
      <c r="B573" s="2"/>
      <c r="C573" s="2"/>
      <c r="D573" s="2"/>
      <c r="E573" s="2"/>
      <c r="F573" s="2" t="s">
        <v>79</v>
      </c>
      <c r="G573" s="2"/>
      <c r="H573" s="2"/>
      <c r="I573" s="2">
        <v>0</v>
      </c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>
        <v>0</v>
      </c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>
        <v>34</v>
      </c>
      <c r="AZ573" s="2">
        <v>0.14000000000000001</v>
      </c>
      <c r="BA573" s="2"/>
      <c r="BB573" s="2"/>
      <c r="BC573" s="2"/>
      <c r="BD573" s="2"/>
      <c r="BE573" s="2"/>
      <c r="BF573" s="2"/>
      <c r="BG573" s="2">
        <v>0.17</v>
      </c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 t="s">
        <v>100</v>
      </c>
      <c r="DK573" s="2"/>
      <c r="DL573" s="2">
        <f t="shared" si="8551"/>
        <v>0.17</v>
      </c>
      <c r="DM573" s="2">
        <f t="shared" si="8552"/>
        <v>0</v>
      </c>
      <c r="DN573" s="2" t="s">
        <v>204</v>
      </c>
      <c r="DO573" s="2" t="s">
        <v>3</v>
      </c>
      <c r="DP573" s="2">
        <f t="shared" si="8553"/>
        <v>4.7600000000000003E-2</v>
      </c>
      <c r="DQ573" s="2">
        <f t="shared" ref="DQ573:DR573" si="9508">K573*$I573+AF573*$AD573+BA573*$AY573</f>
        <v>0</v>
      </c>
      <c r="DR573" s="2">
        <f t="shared" si="9508"/>
        <v>0</v>
      </c>
      <c r="DS573" s="2">
        <f t="shared" ref="DS573:DX573" si="9509">(M573*$I573+AH573*$AD573+BC573*$AY573)/100</f>
        <v>0</v>
      </c>
      <c r="DT573" s="2">
        <f t="shared" si="9509"/>
        <v>0</v>
      </c>
      <c r="DU573" s="2">
        <f t="shared" si="9509"/>
        <v>0</v>
      </c>
      <c r="DV573" s="2">
        <f t="shared" si="9509"/>
        <v>0</v>
      </c>
      <c r="DW573" s="2">
        <f t="shared" si="9509"/>
        <v>5.7800000000000004E-2</v>
      </c>
      <c r="DX573" s="2">
        <f t="shared" si="9509"/>
        <v>0</v>
      </c>
      <c r="DY573" s="2">
        <f t="shared" ref="DY573:EC573" si="9510">S573*$I573+AN573*$AD573+BI573*$AY573</f>
        <v>0</v>
      </c>
      <c r="DZ573" s="2">
        <f t="shared" si="9510"/>
        <v>0</v>
      </c>
      <c r="EA573" s="2">
        <f t="shared" si="9510"/>
        <v>0</v>
      </c>
      <c r="EB573" s="2">
        <f t="shared" si="9510"/>
        <v>0</v>
      </c>
      <c r="EC573" s="2">
        <f t="shared" si="9510"/>
        <v>0</v>
      </c>
      <c r="ED573" s="2">
        <f t="shared" ref="ED573:EE573" si="9511">(X573*$I573+AS573*$AD573+BN573*$AY573)/100</f>
        <v>0</v>
      </c>
      <c r="EE573" s="2">
        <f t="shared" si="9511"/>
        <v>0</v>
      </c>
      <c r="EF573" s="2"/>
      <c r="EG573" s="2">
        <f t="shared" si="8558"/>
        <v>0</v>
      </c>
      <c r="EH573" s="2">
        <f t="shared" si="8559"/>
        <v>0</v>
      </c>
      <c r="EI573" s="39">
        <f t="shared" si="8560"/>
        <v>310.61932160000003</v>
      </c>
      <c r="EJ573" s="39">
        <f t="shared" ref="EJ573:EK573" si="9512">EJ$1*DQ573/1000000</f>
        <v>0</v>
      </c>
      <c r="EK573" s="39">
        <f t="shared" si="9512"/>
        <v>0</v>
      </c>
      <c r="EL573" s="39">
        <f t="shared" ref="EL573:EQ573" si="9513">EL$1*DS573</f>
        <v>0</v>
      </c>
      <c r="EM573" s="39">
        <f t="shared" si="9513"/>
        <v>0</v>
      </c>
      <c r="EN573" s="39">
        <f t="shared" si="9513"/>
        <v>0</v>
      </c>
      <c r="EO573" s="39">
        <f t="shared" si="9513"/>
        <v>0</v>
      </c>
      <c r="EP573" s="39">
        <f t="shared" si="9513"/>
        <v>757.9892000000001</v>
      </c>
      <c r="EQ573" s="39">
        <f t="shared" si="9513"/>
        <v>0</v>
      </c>
      <c r="ER573" s="39">
        <f t="shared" ref="ER573:EV573" si="9514">ER$1*DY573/1000000</f>
        <v>0</v>
      </c>
      <c r="ES573" s="39">
        <f t="shared" si="9514"/>
        <v>0</v>
      </c>
      <c r="ET573" s="39">
        <f t="shared" si="9514"/>
        <v>0</v>
      </c>
      <c r="EU573" s="39">
        <f t="shared" si="9514"/>
        <v>0</v>
      </c>
      <c r="EV573" s="39">
        <f t="shared" si="9514"/>
        <v>0</v>
      </c>
      <c r="EW573" s="39">
        <f t="shared" ref="EW573:EX573" si="9515">EW$1*ED573</f>
        <v>0</v>
      </c>
      <c r="EX573" s="39">
        <f t="shared" si="9515"/>
        <v>0</v>
      </c>
      <c r="EY573" s="2"/>
      <c r="EZ573" s="39">
        <f t="shared" si="8565"/>
        <v>0</v>
      </c>
      <c r="FA573" s="39">
        <f t="shared" si="8566"/>
        <v>0</v>
      </c>
      <c r="FB573" s="2">
        <f t="shared" si="8567"/>
        <v>0</v>
      </c>
      <c r="FC573" s="2">
        <f t="shared" ref="FC573:FD573" si="9516">BV573*$BT573+CQ573*$CO573</f>
        <v>0</v>
      </c>
      <c r="FD573" s="2">
        <f t="shared" si="9516"/>
        <v>0</v>
      </c>
      <c r="FE573" s="2">
        <f t="shared" ref="FE573:FJ573" si="9517">(BX573*$BT573+CS573*$CO573)/100</f>
        <v>0</v>
      </c>
      <c r="FF573" s="2">
        <f t="shared" si="9517"/>
        <v>0</v>
      </c>
      <c r="FG573" s="2">
        <f t="shared" si="9517"/>
        <v>0</v>
      </c>
      <c r="FH573" s="2">
        <f t="shared" si="9517"/>
        <v>0</v>
      </c>
      <c r="FI573" s="2">
        <f t="shared" si="9517"/>
        <v>0</v>
      </c>
      <c r="FJ573" s="2">
        <f t="shared" si="9517"/>
        <v>0</v>
      </c>
      <c r="FK573" s="2">
        <f t="shared" ref="FK573:FO573" si="9518">CD573*$BT573+CY573*$CO573</f>
        <v>0</v>
      </c>
      <c r="FL573" s="2">
        <f t="shared" si="9518"/>
        <v>0</v>
      </c>
      <c r="FM573" s="2">
        <f t="shared" si="9518"/>
        <v>0</v>
      </c>
      <c r="FN573" s="2">
        <f t="shared" si="9518"/>
        <v>0</v>
      </c>
      <c r="FO573" s="2">
        <f t="shared" si="9518"/>
        <v>0</v>
      </c>
      <c r="FP573" s="2">
        <f t="shared" ref="FP573:FQ573" si="9519">(CI573*$BT573+DD573*$CO573)/100</f>
        <v>0</v>
      </c>
      <c r="FQ573" s="2">
        <f t="shared" si="9519"/>
        <v>0</v>
      </c>
      <c r="FR573" s="2"/>
      <c r="FS573" s="2">
        <f t="shared" si="8572"/>
        <v>0</v>
      </c>
      <c r="FT573" s="2">
        <f t="shared" si="8573"/>
        <v>0</v>
      </c>
      <c r="FU573" s="39">
        <f t="shared" si="8574"/>
        <v>0</v>
      </c>
      <c r="FV573" s="39">
        <f t="shared" ref="FV573:FW573" si="9520">FV$1*FC573/1000000</f>
        <v>0</v>
      </c>
      <c r="FW573" s="39">
        <f t="shared" si="9520"/>
        <v>0</v>
      </c>
      <c r="FX573" s="39">
        <f t="shared" ref="FX573:GC573" si="9521">FX$1*FE573</f>
        <v>0</v>
      </c>
      <c r="FY573" s="39">
        <f t="shared" si="9521"/>
        <v>0</v>
      </c>
      <c r="FZ573" s="39">
        <f t="shared" si="9521"/>
        <v>0</v>
      </c>
      <c r="GA573" s="39">
        <f t="shared" si="9521"/>
        <v>0</v>
      </c>
      <c r="GB573" s="39">
        <f t="shared" si="9521"/>
        <v>0</v>
      </c>
      <c r="GC573" s="39">
        <f t="shared" si="9521"/>
        <v>0</v>
      </c>
      <c r="GD573" s="39">
        <f t="shared" ref="GD573:GH573" si="9522">GD$1*FK573/1000000</f>
        <v>0</v>
      </c>
      <c r="GE573" s="39">
        <f t="shared" si="9522"/>
        <v>0</v>
      </c>
      <c r="GF573" s="39">
        <f t="shared" si="9522"/>
        <v>0</v>
      </c>
      <c r="GG573" s="39">
        <f t="shared" si="9522"/>
        <v>0</v>
      </c>
      <c r="GH573" s="39">
        <f t="shared" si="9522"/>
        <v>0</v>
      </c>
      <c r="GI573" s="39">
        <f t="shared" ref="GI573:GJ573" si="9523">GI$1*FP573</f>
        <v>0</v>
      </c>
      <c r="GJ573" s="39">
        <f t="shared" si="9523"/>
        <v>0</v>
      </c>
      <c r="GK573" s="2"/>
      <c r="GL573" s="39">
        <f t="shared" si="8579"/>
        <v>0</v>
      </c>
      <c r="GM573" s="39">
        <f t="shared" si="8580"/>
        <v>0</v>
      </c>
      <c r="GN573" s="2" t="s">
        <v>3</v>
      </c>
      <c r="GO573" s="2">
        <f t="shared" si="8581"/>
        <v>34</v>
      </c>
      <c r="GP573" s="2">
        <f t="shared" si="8582"/>
        <v>0.17</v>
      </c>
      <c r="GQ573" s="15">
        <f t="shared" si="8583"/>
        <v>57.8</v>
      </c>
      <c r="GR573" s="15">
        <f t="shared" si="8584"/>
        <v>1068.6085216000001</v>
      </c>
      <c r="GS573" s="15">
        <f t="shared" si="8585"/>
        <v>31.429662400000005</v>
      </c>
      <c r="GT573" s="2">
        <f t="shared" si="8586"/>
        <v>0</v>
      </c>
      <c r="GU573" s="2">
        <f t="shared" si="8587"/>
        <v>0</v>
      </c>
      <c r="GV573" s="2">
        <f t="shared" si="8588"/>
        <v>57.8</v>
      </c>
      <c r="GW573" s="2">
        <f t="shared" si="8589"/>
        <v>0</v>
      </c>
      <c r="GX573" s="2"/>
      <c r="GY573" s="2"/>
      <c r="GZ573" s="2"/>
      <c r="HA573" s="2"/>
      <c r="HB573" s="2">
        <f t="shared" si="8590"/>
        <v>0</v>
      </c>
      <c r="HC573" s="2">
        <f t="shared" si="8591"/>
        <v>0</v>
      </c>
      <c r="HD573" s="2" t="s">
        <v>3</v>
      </c>
      <c r="HE573" s="2" t="s">
        <v>89</v>
      </c>
      <c r="HF573" s="2" t="s">
        <v>123</v>
      </c>
      <c r="HG573" s="2" t="s">
        <v>205</v>
      </c>
      <c r="HH573" s="2"/>
      <c r="HI573" s="2" t="s">
        <v>100</v>
      </c>
      <c r="HJ573" s="2" t="s">
        <v>3</v>
      </c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 t="s">
        <v>3</v>
      </c>
    </row>
    <row r="574" spans="1:268" ht="15.75" customHeight="1" x14ac:dyDescent="0.2">
      <c r="A574" s="16" t="s">
        <v>737</v>
      </c>
      <c r="B574" s="2"/>
      <c r="C574" s="2"/>
      <c r="D574" s="2"/>
      <c r="E574" s="2"/>
      <c r="F574" s="2" t="s">
        <v>79</v>
      </c>
      <c r="G574" s="2"/>
      <c r="H574" s="2"/>
      <c r="I574" s="2">
        <v>0</v>
      </c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>
        <v>0</v>
      </c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>
        <v>3</v>
      </c>
      <c r="AZ574" s="2">
        <v>0.6</v>
      </c>
      <c r="BA574" s="2"/>
      <c r="BB574" s="2"/>
      <c r="BC574" s="2"/>
      <c r="BD574" s="2"/>
      <c r="BE574" s="2"/>
      <c r="BF574" s="2"/>
      <c r="BG574" s="2">
        <v>1</v>
      </c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 t="s">
        <v>100</v>
      </c>
      <c r="DK574" s="2"/>
      <c r="DL574" s="2">
        <f t="shared" si="8551"/>
        <v>1</v>
      </c>
      <c r="DM574" s="2">
        <f t="shared" si="8552"/>
        <v>0</v>
      </c>
      <c r="DN574" s="2" t="s">
        <v>204</v>
      </c>
      <c r="DO574" s="2" t="s">
        <v>3</v>
      </c>
      <c r="DP574" s="2">
        <f t="shared" si="8553"/>
        <v>1.7999999999999999E-2</v>
      </c>
      <c r="DQ574" s="2">
        <f t="shared" ref="DQ574:DR574" si="9524">K574*$I574+AF574*$AD574+BA574*$AY574</f>
        <v>0</v>
      </c>
      <c r="DR574" s="2">
        <f t="shared" si="9524"/>
        <v>0</v>
      </c>
      <c r="DS574" s="2">
        <f t="shared" ref="DS574:DX574" si="9525">(M574*$I574+AH574*$AD574+BC574*$AY574)/100</f>
        <v>0</v>
      </c>
      <c r="DT574" s="2">
        <f t="shared" si="9525"/>
        <v>0</v>
      </c>
      <c r="DU574" s="2">
        <f t="shared" si="9525"/>
        <v>0</v>
      </c>
      <c r="DV574" s="2">
        <f t="shared" si="9525"/>
        <v>0</v>
      </c>
      <c r="DW574" s="2">
        <f t="shared" si="9525"/>
        <v>0.03</v>
      </c>
      <c r="DX574" s="2">
        <f t="shared" si="9525"/>
        <v>0</v>
      </c>
      <c r="DY574" s="2">
        <f t="shared" ref="DY574:EC574" si="9526">S574*$I574+AN574*$AD574+BI574*$AY574</f>
        <v>0</v>
      </c>
      <c r="DZ574" s="2">
        <f t="shared" si="9526"/>
        <v>0</v>
      </c>
      <c r="EA574" s="2">
        <f t="shared" si="9526"/>
        <v>0</v>
      </c>
      <c r="EB574" s="2">
        <f t="shared" si="9526"/>
        <v>0</v>
      </c>
      <c r="EC574" s="2">
        <f t="shared" si="9526"/>
        <v>0</v>
      </c>
      <c r="ED574" s="2">
        <f t="shared" ref="ED574:EE574" si="9527">(X574*$I574+AS574*$AD574+BN574*$AY574)/100</f>
        <v>0</v>
      </c>
      <c r="EE574" s="2">
        <f t="shared" si="9527"/>
        <v>0</v>
      </c>
      <c r="EF574" s="2"/>
      <c r="EG574" s="2">
        <f t="shared" si="8558"/>
        <v>0</v>
      </c>
      <c r="EH574" s="2">
        <f t="shared" si="8559"/>
        <v>0</v>
      </c>
      <c r="EI574" s="39">
        <f t="shared" si="8560"/>
        <v>117.46108799999999</v>
      </c>
      <c r="EJ574" s="39">
        <f t="shared" ref="EJ574:EK574" si="9528">EJ$1*DQ574/1000000</f>
        <v>0</v>
      </c>
      <c r="EK574" s="39">
        <f t="shared" si="9528"/>
        <v>0</v>
      </c>
      <c r="EL574" s="39">
        <f t="shared" ref="EL574:EQ574" si="9529">EL$1*DS574</f>
        <v>0</v>
      </c>
      <c r="EM574" s="39">
        <f t="shared" si="9529"/>
        <v>0</v>
      </c>
      <c r="EN574" s="39">
        <f t="shared" si="9529"/>
        <v>0</v>
      </c>
      <c r="EO574" s="39">
        <f t="shared" si="9529"/>
        <v>0</v>
      </c>
      <c r="EP574" s="39">
        <f t="shared" si="9529"/>
        <v>393.41999999999996</v>
      </c>
      <c r="EQ574" s="39">
        <f t="shared" si="9529"/>
        <v>0</v>
      </c>
      <c r="ER574" s="39">
        <f t="shared" ref="ER574:EV574" si="9530">ER$1*DY574/1000000</f>
        <v>0</v>
      </c>
      <c r="ES574" s="39">
        <f t="shared" si="9530"/>
        <v>0</v>
      </c>
      <c r="ET574" s="39">
        <f t="shared" si="9530"/>
        <v>0</v>
      </c>
      <c r="EU574" s="39">
        <f t="shared" si="9530"/>
        <v>0</v>
      </c>
      <c r="EV574" s="39">
        <f t="shared" si="9530"/>
        <v>0</v>
      </c>
      <c r="EW574" s="39">
        <f t="shared" ref="EW574:EX574" si="9531">EW$1*ED574</f>
        <v>0</v>
      </c>
      <c r="EX574" s="39">
        <f t="shared" si="9531"/>
        <v>0</v>
      </c>
      <c r="EY574" s="2"/>
      <c r="EZ574" s="39">
        <f t="shared" si="8565"/>
        <v>0</v>
      </c>
      <c r="FA574" s="39">
        <f t="shared" si="8566"/>
        <v>0</v>
      </c>
      <c r="FB574" s="2">
        <f t="shared" si="8567"/>
        <v>0</v>
      </c>
      <c r="FC574" s="2">
        <f t="shared" ref="FC574:FD574" si="9532">BV574*$BT574+CQ574*$CO574</f>
        <v>0</v>
      </c>
      <c r="FD574" s="2">
        <f t="shared" si="9532"/>
        <v>0</v>
      </c>
      <c r="FE574" s="2">
        <f t="shared" ref="FE574:FJ574" si="9533">(BX574*$BT574+CS574*$CO574)/100</f>
        <v>0</v>
      </c>
      <c r="FF574" s="2">
        <f t="shared" si="9533"/>
        <v>0</v>
      </c>
      <c r="FG574" s="2">
        <f t="shared" si="9533"/>
        <v>0</v>
      </c>
      <c r="FH574" s="2">
        <f t="shared" si="9533"/>
        <v>0</v>
      </c>
      <c r="FI574" s="2">
        <f t="shared" si="9533"/>
        <v>0</v>
      </c>
      <c r="FJ574" s="2">
        <f t="shared" si="9533"/>
        <v>0</v>
      </c>
      <c r="FK574" s="2">
        <f t="shared" ref="FK574:FO574" si="9534">CD574*$BT574+CY574*$CO574</f>
        <v>0</v>
      </c>
      <c r="FL574" s="2">
        <f t="shared" si="9534"/>
        <v>0</v>
      </c>
      <c r="FM574" s="2">
        <f t="shared" si="9534"/>
        <v>0</v>
      </c>
      <c r="FN574" s="2">
        <f t="shared" si="9534"/>
        <v>0</v>
      </c>
      <c r="FO574" s="2">
        <f t="shared" si="9534"/>
        <v>0</v>
      </c>
      <c r="FP574" s="2">
        <f t="shared" ref="FP574:FQ574" si="9535">(CI574*$BT574+DD574*$CO574)/100</f>
        <v>0</v>
      </c>
      <c r="FQ574" s="2">
        <f t="shared" si="9535"/>
        <v>0</v>
      </c>
      <c r="FR574" s="2"/>
      <c r="FS574" s="2">
        <f t="shared" si="8572"/>
        <v>0</v>
      </c>
      <c r="FT574" s="2">
        <f t="shared" si="8573"/>
        <v>0</v>
      </c>
      <c r="FU574" s="39">
        <f t="shared" si="8574"/>
        <v>0</v>
      </c>
      <c r="FV574" s="39">
        <f t="shared" ref="FV574:FW574" si="9536">FV$1*FC574/1000000</f>
        <v>0</v>
      </c>
      <c r="FW574" s="39">
        <f t="shared" si="9536"/>
        <v>0</v>
      </c>
      <c r="FX574" s="39">
        <f t="shared" ref="FX574:GC574" si="9537">FX$1*FE574</f>
        <v>0</v>
      </c>
      <c r="FY574" s="39">
        <f t="shared" si="9537"/>
        <v>0</v>
      </c>
      <c r="FZ574" s="39">
        <f t="shared" si="9537"/>
        <v>0</v>
      </c>
      <c r="GA574" s="39">
        <f t="shared" si="9537"/>
        <v>0</v>
      </c>
      <c r="GB574" s="39">
        <f t="shared" si="9537"/>
        <v>0</v>
      </c>
      <c r="GC574" s="39">
        <f t="shared" si="9537"/>
        <v>0</v>
      </c>
      <c r="GD574" s="39">
        <f t="shared" ref="GD574:GH574" si="9538">GD$1*FK574/1000000</f>
        <v>0</v>
      </c>
      <c r="GE574" s="39">
        <f t="shared" si="9538"/>
        <v>0</v>
      </c>
      <c r="GF574" s="39">
        <f t="shared" si="9538"/>
        <v>0</v>
      </c>
      <c r="GG574" s="39">
        <f t="shared" si="9538"/>
        <v>0</v>
      </c>
      <c r="GH574" s="39">
        <f t="shared" si="9538"/>
        <v>0</v>
      </c>
      <c r="GI574" s="39">
        <f t="shared" ref="GI574:GJ574" si="9539">GI$1*FP574</f>
        <v>0</v>
      </c>
      <c r="GJ574" s="39">
        <f t="shared" si="9539"/>
        <v>0</v>
      </c>
      <c r="GK574" s="2"/>
      <c r="GL574" s="39">
        <f t="shared" si="8579"/>
        <v>0</v>
      </c>
      <c r="GM574" s="39">
        <f t="shared" si="8580"/>
        <v>0</v>
      </c>
      <c r="GN574" s="2" t="s">
        <v>3</v>
      </c>
      <c r="GO574" s="2">
        <f t="shared" si="8581"/>
        <v>3</v>
      </c>
      <c r="GP574" s="2">
        <f t="shared" si="8582"/>
        <v>1</v>
      </c>
      <c r="GQ574" s="15">
        <f t="shared" si="8583"/>
        <v>30</v>
      </c>
      <c r="GR574" s="15">
        <f t="shared" si="8584"/>
        <v>510.88108799999998</v>
      </c>
      <c r="GS574" s="15">
        <f t="shared" si="8585"/>
        <v>170.29369599999998</v>
      </c>
      <c r="GT574" s="2">
        <f t="shared" si="8586"/>
        <v>0</v>
      </c>
      <c r="GU574" s="2">
        <f t="shared" si="8587"/>
        <v>0</v>
      </c>
      <c r="GV574" s="2">
        <f t="shared" si="8588"/>
        <v>30</v>
      </c>
      <c r="GW574" s="2">
        <f t="shared" si="8589"/>
        <v>0</v>
      </c>
      <c r="GX574" s="2"/>
      <c r="GY574" s="2"/>
      <c r="GZ574" s="2"/>
      <c r="HA574" s="2"/>
      <c r="HB574" s="2">
        <f t="shared" si="8590"/>
        <v>0</v>
      </c>
      <c r="HC574" s="2">
        <f t="shared" si="8591"/>
        <v>0</v>
      </c>
      <c r="HD574" s="2" t="s">
        <v>3</v>
      </c>
      <c r="HE574" s="2" t="s">
        <v>89</v>
      </c>
      <c r="HF574" s="2" t="s">
        <v>123</v>
      </c>
      <c r="HG574" s="2" t="s">
        <v>205</v>
      </c>
      <c r="HH574" s="2"/>
      <c r="HI574" s="2" t="s">
        <v>100</v>
      </c>
      <c r="HJ574" s="2" t="s">
        <v>3</v>
      </c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 t="s">
        <v>3</v>
      </c>
    </row>
    <row r="575" spans="1:268" ht="15.75" customHeight="1" x14ac:dyDescent="0.2">
      <c r="A575" s="16" t="s">
        <v>256</v>
      </c>
      <c r="B575" s="2" t="s">
        <v>99</v>
      </c>
      <c r="C575" s="2"/>
      <c r="D575" s="2"/>
      <c r="E575" s="2"/>
      <c r="F575" s="2" t="s">
        <v>79</v>
      </c>
      <c r="G575" s="2"/>
      <c r="H575" s="2"/>
      <c r="I575" s="2">
        <v>0</v>
      </c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>
        <v>0</v>
      </c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3">
        <f>22*0.9072</f>
        <v>19.958400000000001</v>
      </c>
      <c r="AZ575" s="2">
        <v>0.24</v>
      </c>
      <c r="BA575" s="2"/>
      <c r="BB575" s="2"/>
      <c r="BC575" s="2"/>
      <c r="BD575" s="2"/>
      <c r="BE575" s="2"/>
      <c r="BF575" s="2"/>
      <c r="BG575" s="2">
        <v>0.42</v>
      </c>
      <c r="BH575" s="2">
        <v>0.02</v>
      </c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>
        <v>0</v>
      </c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>
        <v>0</v>
      </c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 t="s">
        <v>100</v>
      </c>
      <c r="DK575" s="2" t="s">
        <v>100</v>
      </c>
      <c r="DL575" s="2">
        <f t="shared" si="8551"/>
        <v>0.42</v>
      </c>
      <c r="DM575" s="2">
        <f t="shared" si="8552"/>
        <v>0.02</v>
      </c>
      <c r="DN575" s="2" t="s">
        <v>257</v>
      </c>
      <c r="DO575" s="2" t="s">
        <v>3</v>
      </c>
      <c r="DP575" s="2">
        <f t="shared" si="8553"/>
        <v>4.7900160000000004E-2</v>
      </c>
      <c r="DQ575" s="2">
        <f t="shared" ref="DQ575:DR575" si="9540">K575*$I575+AF575*$AD575+BA575*$AY575</f>
        <v>0</v>
      </c>
      <c r="DR575" s="2">
        <f t="shared" si="9540"/>
        <v>0</v>
      </c>
      <c r="DS575" s="2">
        <f t="shared" ref="DS575:DX575" si="9541">(M575*$I575+AH575*$AD575+BC575*$AY575)/100</f>
        <v>0</v>
      </c>
      <c r="DT575" s="2">
        <f t="shared" si="9541"/>
        <v>0</v>
      </c>
      <c r="DU575" s="2">
        <f t="shared" si="9541"/>
        <v>0</v>
      </c>
      <c r="DV575" s="2">
        <f t="shared" si="9541"/>
        <v>0</v>
      </c>
      <c r="DW575" s="2">
        <f t="shared" si="9541"/>
        <v>8.3825280000000002E-2</v>
      </c>
      <c r="DX575" s="2">
        <f t="shared" si="9541"/>
        <v>3.9916800000000001E-3</v>
      </c>
      <c r="DY575" s="2">
        <f t="shared" ref="DY575:EC575" si="9542">S575*$I575+AN575*$AD575+BI575*$AY575</f>
        <v>0</v>
      </c>
      <c r="DZ575" s="2">
        <f t="shared" si="9542"/>
        <v>0</v>
      </c>
      <c r="EA575" s="2">
        <f t="shared" si="9542"/>
        <v>0</v>
      </c>
      <c r="EB575" s="2">
        <f t="shared" si="9542"/>
        <v>0</v>
      </c>
      <c r="EC575" s="2">
        <f t="shared" si="9542"/>
        <v>0</v>
      </c>
      <c r="ED575" s="2">
        <f t="shared" ref="ED575:EE575" si="9543">(X575*$I575+AS575*$AD575+BN575*$AY575)/100</f>
        <v>0</v>
      </c>
      <c r="EE575" s="2">
        <f t="shared" si="9543"/>
        <v>0</v>
      </c>
      <c r="EF575" s="2"/>
      <c r="EG575" s="2">
        <f t="shared" si="8558"/>
        <v>0</v>
      </c>
      <c r="EH575" s="2">
        <f t="shared" si="8559"/>
        <v>0</v>
      </c>
      <c r="EI575" s="39">
        <f t="shared" si="8560"/>
        <v>312.57805049856</v>
      </c>
      <c r="EJ575" s="39">
        <f t="shared" ref="EJ575:EK575" si="9544">EJ$1*DQ575/1000000</f>
        <v>0</v>
      </c>
      <c r="EK575" s="39">
        <f t="shared" si="9544"/>
        <v>0</v>
      </c>
      <c r="EL575" s="39">
        <f t="shared" ref="EL575:EQ575" si="9545">EL$1*DS575</f>
        <v>0</v>
      </c>
      <c r="EM575" s="39">
        <f t="shared" si="9545"/>
        <v>0</v>
      </c>
      <c r="EN575" s="39">
        <f t="shared" si="9545"/>
        <v>0</v>
      </c>
      <c r="EO575" s="39">
        <f t="shared" si="9545"/>
        <v>0</v>
      </c>
      <c r="EP575" s="39">
        <f t="shared" si="9545"/>
        <v>1099.28472192</v>
      </c>
      <c r="EQ575" s="39">
        <f t="shared" si="9545"/>
        <v>289.87390156031995</v>
      </c>
      <c r="ER575" s="39">
        <f t="shared" ref="ER575:EV575" si="9546">ER$1*DY575/1000000</f>
        <v>0</v>
      </c>
      <c r="ES575" s="39">
        <f t="shared" si="9546"/>
        <v>0</v>
      </c>
      <c r="ET575" s="39">
        <f t="shared" si="9546"/>
        <v>0</v>
      </c>
      <c r="EU575" s="39">
        <f t="shared" si="9546"/>
        <v>0</v>
      </c>
      <c r="EV575" s="39">
        <f t="shared" si="9546"/>
        <v>0</v>
      </c>
      <c r="EW575" s="39">
        <f t="shared" ref="EW575:EX575" si="9547">EW$1*ED575</f>
        <v>0</v>
      </c>
      <c r="EX575" s="39">
        <f t="shared" si="9547"/>
        <v>0</v>
      </c>
      <c r="EY575" s="2"/>
      <c r="EZ575" s="39">
        <f t="shared" si="8565"/>
        <v>0</v>
      </c>
      <c r="FA575" s="39">
        <f t="shared" si="8566"/>
        <v>0</v>
      </c>
      <c r="FB575" s="2">
        <f t="shared" si="8567"/>
        <v>0</v>
      </c>
      <c r="FC575" s="2">
        <f t="shared" ref="FC575:FD575" si="9548">BV575*$BT575+CQ575*$CO575</f>
        <v>0</v>
      </c>
      <c r="FD575" s="2">
        <f t="shared" si="9548"/>
        <v>0</v>
      </c>
      <c r="FE575" s="2">
        <f t="shared" ref="FE575:FJ575" si="9549">(BX575*$BT575+CS575*$CO575)/100</f>
        <v>0</v>
      </c>
      <c r="FF575" s="2">
        <f t="shared" si="9549"/>
        <v>0</v>
      </c>
      <c r="FG575" s="2">
        <f t="shared" si="9549"/>
        <v>0</v>
      </c>
      <c r="FH575" s="2">
        <f t="shared" si="9549"/>
        <v>0</v>
      </c>
      <c r="FI575" s="2">
        <f t="shared" si="9549"/>
        <v>0</v>
      </c>
      <c r="FJ575" s="2">
        <f t="shared" si="9549"/>
        <v>0</v>
      </c>
      <c r="FK575" s="2">
        <f t="shared" ref="FK575:FO575" si="9550">CD575*$BT575+CY575*$CO575</f>
        <v>0</v>
      </c>
      <c r="FL575" s="2">
        <f t="shared" si="9550"/>
        <v>0</v>
      </c>
      <c r="FM575" s="2">
        <f t="shared" si="9550"/>
        <v>0</v>
      </c>
      <c r="FN575" s="2">
        <f t="shared" si="9550"/>
        <v>0</v>
      </c>
      <c r="FO575" s="2">
        <f t="shared" si="9550"/>
        <v>0</v>
      </c>
      <c r="FP575" s="2">
        <f t="shared" ref="FP575:FQ575" si="9551">(CI575*$BT575+DD575*$CO575)/100</f>
        <v>0</v>
      </c>
      <c r="FQ575" s="2">
        <f t="shared" si="9551"/>
        <v>0</v>
      </c>
      <c r="FR575" s="2"/>
      <c r="FS575" s="2">
        <f t="shared" si="8572"/>
        <v>0</v>
      </c>
      <c r="FT575" s="2">
        <f t="shared" si="8573"/>
        <v>0</v>
      </c>
      <c r="FU575" s="39">
        <f t="shared" si="8574"/>
        <v>0</v>
      </c>
      <c r="FV575" s="39">
        <f t="shared" ref="FV575:FW575" si="9552">FV$1*FC575/1000000</f>
        <v>0</v>
      </c>
      <c r="FW575" s="39">
        <f t="shared" si="9552"/>
        <v>0</v>
      </c>
      <c r="FX575" s="39">
        <f t="shared" ref="FX575:GC575" si="9553">FX$1*FE575</f>
        <v>0</v>
      </c>
      <c r="FY575" s="39">
        <f t="shared" si="9553"/>
        <v>0</v>
      </c>
      <c r="FZ575" s="39">
        <f t="shared" si="9553"/>
        <v>0</v>
      </c>
      <c r="GA575" s="39">
        <f t="shared" si="9553"/>
        <v>0</v>
      </c>
      <c r="GB575" s="39">
        <f t="shared" si="9553"/>
        <v>0</v>
      </c>
      <c r="GC575" s="39">
        <f t="shared" si="9553"/>
        <v>0</v>
      </c>
      <c r="GD575" s="39">
        <f t="shared" ref="GD575:GH575" si="9554">GD$1*FK575/1000000</f>
        <v>0</v>
      </c>
      <c r="GE575" s="39">
        <f t="shared" si="9554"/>
        <v>0</v>
      </c>
      <c r="GF575" s="39">
        <f t="shared" si="9554"/>
        <v>0</v>
      </c>
      <c r="GG575" s="39">
        <f t="shared" si="9554"/>
        <v>0</v>
      </c>
      <c r="GH575" s="39">
        <f t="shared" si="9554"/>
        <v>0</v>
      </c>
      <c r="GI575" s="39">
        <f t="shared" ref="GI575:GJ575" si="9555">GI$1*FP575</f>
        <v>0</v>
      </c>
      <c r="GJ575" s="39">
        <f t="shared" si="9555"/>
        <v>0</v>
      </c>
      <c r="GK575" s="2"/>
      <c r="GL575" s="39">
        <f t="shared" si="8579"/>
        <v>0</v>
      </c>
      <c r="GM575" s="39">
        <f t="shared" si="8580"/>
        <v>0</v>
      </c>
      <c r="GN575" s="2" t="s">
        <v>3</v>
      </c>
      <c r="GO575" s="4">
        <f t="shared" si="8581"/>
        <v>19.958400000000001</v>
      </c>
      <c r="GP575" s="2">
        <f t="shared" si="8582"/>
        <v>0.42</v>
      </c>
      <c r="GQ575" s="15">
        <f t="shared" si="8583"/>
        <v>83.825280000000006</v>
      </c>
      <c r="GR575" s="15">
        <f t="shared" si="8584"/>
        <v>1701.7366739788799</v>
      </c>
      <c r="GS575" s="15">
        <f t="shared" si="8585"/>
        <v>85.264183199999991</v>
      </c>
      <c r="GT575" s="2">
        <f t="shared" si="8586"/>
        <v>0</v>
      </c>
      <c r="GU575" s="2">
        <f t="shared" si="8587"/>
        <v>0</v>
      </c>
      <c r="GV575" s="2">
        <f t="shared" si="8588"/>
        <v>83.825280000000006</v>
      </c>
      <c r="GW575" s="2">
        <f t="shared" si="8589"/>
        <v>0</v>
      </c>
      <c r="GX575" s="2"/>
      <c r="GY575" s="2"/>
      <c r="GZ575" s="2"/>
      <c r="HA575" s="2"/>
      <c r="HB575" s="2">
        <f t="shared" si="8590"/>
        <v>0</v>
      </c>
      <c r="HC575" s="2">
        <f t="shared" si="8591"/>
        <v>0</v>
      </c>
      <c r="HD575" s="2" t="s">
        <v>3</v>
      </c>
      <c r="HE575" s="2" t="s">
        <v>89</v>
      </c>
      <c r="HF575" s="2" t="s">
        <v>123</v>
      </c>
      <c r="HG575" s="2" t="s">
        <v>258</v>
      </c>
      <c r="HH575" s="2"/>
      <c r="HI575" s="2" t="s">
        <v>100</v>
      </c>
      <c r="HJ575" s="2" t="s">
        <v>3</v>
      </c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 t="s">
        <v>3</v>
      </c>
    </row>
    <row r="576" spans="1:268" ht="15.75" customHeight="1" x14ac:dyDescent="0.2">
      <c r="A576" s="16" t="s">
        <v>1012</v>
      </c>
      <c r="B576" s="2" t="s">
        <v>99</v>
      </c>
      <c r="C576" s="2"/>
      <c r="D576" s="2"/>
      <c r="E576" s="2" t="s">
        <v>179</v>
      </c>
      <c r="F576" s="2" t="s">
        <v>1013</v>
      </c>
      <c r="G576" s="2"/>
      <c r="H576" s="2" t="s">
        <v>181</v>
      </c>
      <c r="I576" s="2">
        <v>0</v>
      </c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>
        <v>0</v>
      </c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19">
        <f>1.6336+1.5302</f>
        <v>3.1638000000000002</v>
      </c>
      <c r="AZ576" s="4">
        <f>(0.512*1.6336+0.621*1.5302)/AY576</f>
        <v>0.56471881914153865</v>
      </c>
      <c r="BA576" s="2"/>
      <c r="BB576" s="2"/>
      <c r="BC576" s="2"/>
      <c r="BD576" s="2"/>
      <c r="BE576" s="2"/>
      <c r="BF576" s="2"/>
      <c r="BG576" s="4">
        <f>(0.151*1.6336+0.247*1.5302)/AY576</f>
        <v>0.19743125355585053</v>
      </c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>
        <v>0</v>
      </c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>
        <v>0</v>
      </c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 t="s">
        <v>100</v>
      </c>
      <c r="DK576" s="2"/>
      <c r="DL576" s="2">
        <f t="shared" si="8551"/>
        <v>0.19743125355585053</v>
      </c>
      <c r="DM576" s="2">
        <f t="shared" si="8552"/>
        <v>0</v>
      </c>
      <c r="DN576" s="2" t="s">
        <v>1014</v>
      </c>
      <c r="DO576" s="2" t="s">
        <v>3</v>
      </c>
      <c r="DP576" s="2">
        <f t="shared" si="8553"/>
        <v>1.7866574000000003E-2</v>
      </c>
      <c r="DQ576" s="2">
        <f t="shared" ref="DQ576:DR576" si="9556">K576*$I576+AF576*$AD576+BA576*$AY576</f>
        <v>0</v>
      </c>
      <c r="DR576" s="2">
        <f t="shared" si="9556"/>
        <v>0</v>
      </c>
      <c r="DS576" s="2">
        <f t="shared" ref="DS576:DX576" si="9557">(M576*$I576+AH576*$AD576+BC576*$AY576)/100</f>
        <v>0</v>
      </c>
      <c r="DT576" s="2">
        <f t="shared" si="9557"/>
        <v>0</v>
      </c>
      <c r="DU576" s="2">
        <f t="shared" si="9557"/>
        <v>0</v>
      </c>
      <c r="DV576" s="2">
        <f t="shared" si="9557"/>
        <v>0</v>
      </c>
      <c r="DW576" s="2">
        <f t="shared" si="9557"/>
        <v>6.2463299999999996E-3</v>
      </c>
      <c r="DX576" s="2">
        <f t="shared" si="9557"/>
        <v>0</v>
      </c>
      <c r="DY576" s="2">
        <f t="shared" ref="DY576:EC576" si="9558">S576*$I576+AN576*$AD576+BI576*$AY576</f>
        <v>0</v>
      </c>
      <c r="DZ576" s="2">
        <f t="shared" si="9558"/>
        <v>0</v>
      </c>
      <c r="EA576" s="2">
        <f t="shared" si="9558"/>
        <v>0</v>
      </c>
      <c r="EB576" s="2">
        <f t="shared" si="9558"/>
        <v>0</v>
      </c>
      <c r="EC576" s="2">
        <f t="shared" si="9558"/>
        <v>0</v>
      </c>
      <c r="ED576" s="2">
        <f t="shared" ref="ED576:EE576" si="9559">(X576*$I576+AS576*$AD576+BN576*$AY576)/100</f>
        <v>0</v>
      </c>
      <c r="EE576" s="2">
        <f t="shared" si="9559"/>
        <v>0</v>
      </c>
      <c r="EF576" s="2"/>
      <c r="EG576" s="2">
        <f t="shared" si="8558"/>
        <v>0</v>
      </c>
      <c r="EH576" s="2">
        <f t="shared" si="8559"/>
        <v>0</v>
      </c>
      <c r="EI576" s="39">
        <f t="shared" si="8560"/>
        <v>116.59040115958402</v>
      </c>
      <c r="EJ576" s="39">
        <f t="shared" ref="EJ576:EK576" si="9560">EJ$1*DQ576/1000000</f>
        <v>0</v>
      </c>
      <c r="EK576" s="39">
        <f t="shared" si="9560"/>
        <v>0</v>
      </c>
      <c r="EL576" s="39">
        <f t="shared" ref="EL576:EQ576" si="9561">EL$1*DS576</f>
        <v>0</v>
      </c>
      <c r="EM576" s="39">
        <f t="shared" si="9561"/>
        <v>0</v>
      </c>
      <c r="EN576" s="39">
        <f t="shared" si="9561"/>
        <v>0</v>
      </c>
      <c r="EO576" s="39">
        <f t="shared" si="9561"/>
        <v>0</v>
      </c>
      <c r="EP576" s="39">
        <f t="shared" si="9561"/>
        <v>81.914371619999997</v>
      </c>
      <c r="EQ576" s="39">
        <f t="shared" si="9561"/>
        <v>0</v>
      </c>
      <c r="ER576" s="39">
        <f t="shared" ref="ER576:EV576" si="9562">ER$1*DY576/1000000</f>
        <v>0</v>
      </c>
      <c r="ES576" s="39">
        <f t="shared" si="9562"/>
        <v>0</v>
      </c>
      <c r="ET576" s="39">
        <f t="shared" si="9562"/>
        <v>0</v>
      </c>
      <c r="EU576" s="39">
        <f t="shared" si="9562"/>
        <v>0</v>
      </c>
      <c r="EV576" s="39">
        <f t="shared" si="9562"/>
        <v>0</v>
      </c>
      <c r="EW576" s="39">
        <f t="shared" ref="EW576:EX576" si="9563">EW$1*ED576</f>
        <v>0</v>
      </c>
      <c r="EX576" s="39">
        <f t="shared" si="9563"/>
        <v>0</v>
      </c>
      <c r="EY576" s="2"/>
      <c r="EZ576" s="39">
        <f t="shared" si="8565"/>
        <v>0</v>
      </c>
      <c r="FA576" s="39">
        <f t="shared" si="8566"/>
        <v>0</v>
      </c>
      <c r="FB576" s="2">
        <f t="shared" si="8567"/>
        <v>0</v>
      </c>
      <c r="FC576" s="2">
        <f t="shared" ref="FC576:FD576" si="9564">BV576*$BT576+CQ576*$CO576</f>
        <v>0</v>
      </c>
      <c r="FD576" s="2">
        <f t="shared" si="9564"/>
        <v>0</v>
      </c>
      <c r="FE576" s="2">
        <f t="shared" ref="FE576:FJ576" si="9565">(BX576*$BT576+CS576*$CO576)/100</f>
        <v>0</v>
      </c>
      <c r="FF576" s="2">
        <f t="shared" si="9565"/>
        <v>0</v>
      </c>
      <c r="FG576" s="2">
        <f t="shared" si="9565"/>
        <v>0</v>
      </c>
      <c r="FH576" s="2">
        <f t="shared" si="9565"/>
        <v>0</v>
      </c>
      <c r="FI576" s="2">
        <f t="shared" si="9565"/>
        <v>0</v>
      </c>
      <c r="FJ576" s="2">
        <f t="shared" si="9565"/>
        <v>0</v>
      </c>
      <c r="FK576" s="2">
        <f t="shared" ref="FK576:FO576" si="9566">CD576*$BT576+CY576*$CO576</f>
        <v>0</v>
      </c>
      <c r="FL576" s="2">
        <f t="shared" si="9566"/>
        <v>0</v>
      </c>
      <c r="FM576" s="2">
        <f t="shared" si="9566"/>
        <v>0</v>
      </c>
      <c r="FN576" s="2">
        <f t="shared" si="9566"/>
        <v>0</v>
      </c>
      <c r="FO576" s="2">
        <f t="shared" si="9566"/>
        <v>0</v>
      </c>
      <c r="FP576" s="2">
        <f t="shared" ref="FP576:FQ576" si="9567">(CI576*$BT576+DD576*$CO576)/100</f>
        <v>0</v>
      </c>
      <c r="FQ576" s="2">
        <f t="shared" si="9567"/>
        <v>0</v>
      </c>
      <c r="FR576" s="2"/>
      <c r="FS576" s="2">
        <f t="shared" si="8572"/>
        <v>0</v>
      </c>
      <c r="FT576" s="2">
        <f t="shared" si="8573"/>
        <v>0</v>
      </c>
      <c r="FU576" s="39">
        <f t="shared" si="8574"/>
        <v>0</v>
      </c>
      <c r="FV576" s="39">
        <f t="shared" ref="FV576:FW576" si="9568">FV$1*FC576/1000000</f>
        <v>0</v>
      </c>
      <c r="FW576" s="39">
        <f t="shared" si="9568"/>
        <v>0</v>
      </c>
      <c r="FX576" s="39">
        <f t="shared" ref="FX576:GC576" si="9569">FX$1*FE576</f>
        <v>0</v>
      </c>
      <c r="FY576" s="39">
        <f t="shared" si="9569"/>
        <v>0</v>
      </c>
      <c r="FZ576" s="39">
        <f t="shared" si="9569"/>
        <v>0</v>
      </c>
      <c r="GA576" s="39">
        <f t="shared" si="9569"/>
        <v>0</v>
      </c>
      <c r="GB576" s="39">
        <f t="shared" si="9569"/>
        <v>0</v>
      </c>
      <c r="GC576" s="39">
        <f t="shared" si="9569"/>
        <v>0</v>
      </c>
      <c r="GD576" s="39">
        <f t="shared" ref="GD576:GH576" si="9570">GD$1*FK576/1000000</f>
        <v>0</v>
      </c>
      <c r="GE576" s="39">
        <f t="shared" si="9570"/>
        <v>0</v>
      </c>
      <c r="GF576" s="39">
        <f t="shared" si="9570"/>
        <v>0</v>
      </c>
      <c r="GG576" s="39">
        <f t="shared" si="9570"/>
        <v>0</v>
      </c>
      <c r="GH576" s="39">
        <f t="shared" si="9570"/>
        <v>0</v>
      </c>
      <c r="GI576" s="39">
        <f t="shared" ref="GI576:GJ576" si="9571">GI$1*FP576</f>
        <v>0</v>
      </c>
      <c r="GJ576" s="39">
        <f t="shared" si="9571"/>
        <v>0</v>
      </c>
      <c r="GK576" s="2"/>
      <c r="GL576" s="39">
        <f t="shared" si="8579"/>
        <v>0</v>
      </c>
      <c r="GM576" s="39">
        <f t="shared" si="8580"/>
        <v>0</v>
      </c>
      <c r="GN576" s="2" t="s">
        <v>3</v>
      </c>
      <c r="GO576" s="19">
        <f t="shared" si="8581"/>
        <v>3.1638000000000002</v>
      </c>
      <c r="GP576" s="4">
        <f t="shared" si="8582"/>
        <v>0.19743125355585053</v>
      </c>
      <c r="GQ576" s="15">
        <f t="shared" si="8583"/>
        <v>6.2463299999999995</v>
      </c>
      <c r="GR576" s="15">
        <f t="shared" si="8584"/>
        <v>198.50477277958402</v>
      </c>
      <c r="GS576" s="15">
        <f t="shared" si="8585"/>
        <v>62.742516208225553</v>
      </c>
      <c r="GT576" s="2">
        <f t="shared" si="8586"/>
        <v>0</v>
      </c>
      <c r="GU576" s="2">
        <f t="shared" si="8587"/>
        <v>0</v>
      </c>
      <c r="GV576" s="2">
        <f t="shared" si="8588"/>
        <v>6.2463300000000004</v>
      </c>
      <c r="GW576" s="2">
        <f t="shared" si="8589"/>
        <v>0</v>
      </c>
      <c r="GX576" s="2"/>
      <c r="GY576" s="2"/>
      <c r="GZ576" s="2"/>
      <c r="HA576" s="2"/>
      <c r="HB576" s="2">
        <f t="shared" si="8590"/>
        <v>0</v>
      </c>
      <c r="HC576" s="2">
        <f t="shared" si="8591"/>
        <v>0</v>
      </c>
      <c r="HD576" s="2" t="s">
        <v>3</v>
      </c>
      <c r="HE576" s="2" t="s">
        <v>89</v>
      </c>
      <c r="HF576" s="2" t="s">
        <v>123</v>
      </c>
      <c r="HG576" s="2"/>
      <c r="HH576" s="2"/>
      <c r="HI576" s="2" t="s">
        <v>100</v>
      </c>
      <c r="HJ576" s="2" t="s">
        <v>3</v>
      </c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 t="s">
        <v>3</v>
      </c>
    </row>
    <row r="577" spans="1:268" ht="15.75" customHeight="1" x14ac:dyDescent="0.2">
      <c r="A577" s="16" t="s">
        <v>740</v>
      </c>
      <c r="B577" s="2" t="s">
        <v>99</v>
      </c>
      <c r="C577" s="2"/>
      <c r="D577" s="2"/>
      <c r="E577" s="2"/>
      <c r="F577" s="2" t="s">
        <v>741</v>
      </c>
      <c r="G577" s="2"/>
      <c r="H577" s="2"/>
      <c r="I577" s="2">
        <v>0</v>
      </c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>
        <v>0</v>
      </c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>
        <v>35</v>
      </c>
      <c r="AZ577" s="2">
        <v>0.27</v>
      </c>
      <c r="BA577" s="2"/>
      <c r="BB577" s="2"/>
      <c r="BC577" s="2"/>
      <c r="BD577" s="2"/>
      <c r="BE577" s="2"/>
      <c r="BF577" s="2"/>
      <c r="BG577" s="2">
        <v>0.25</v>
      </c>
      <c r="BH577" s="2"/>
      <c r="BI577" s="2">
        <v>0.16</v>
      </c>
      <c r="BJ577" s="4">
        <v>0.4</v>
      </c>
      <c r="BK577" s="2"/>
      <c r="BL577" s="2"/>
      <c r="BM577" s="2"/>
      <c r="BN577" s="2"/>
      <c r="BO577" s="2"/>
      <c r="BP577" s="2"/>
      <c r="BQ577" s="2"/>
      <c r="BR577" s="2"/>
      <c r="BS577" s="2"/>
      <c r="BT577" s="2">
        <v>0</v>
      </c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>
        <v>0</v>
      </c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 t="s">
        <v>100</v>
      </c>
      <c r="DK577" s="2"/>
      <c r="DL577" s="2">
        <f t="shared" si="8551"/>
        <v>0.25</v>
      </c>
      <c r="DM577" s="2">
        <f t="shared" si="8552"/>
        <v>0</v>
      </c>
      <c r="DN577" s="2" t="s">
        <v>742</v>
      </c>
      <c r="DO577" s="2" t="s">
        <v>3</v>
      </c>
      <c r="DP577" s="2">
        <f t="shared" si="8553"/>
        <v>9.4500000000000015E-2</v>
      </c>
      <c r="DQ577" s="2">
        <f t="shared" ref="DQ577:DR577" si="9572">K577*$I577+AF577*$AD577+BA577*$AY577</f>
        <v>0</v>
      </c>
      <c r="DR577" s="2">
        <f t="shared" si="9572"/>
        <v>0</v>
      </c>
      <c r="DS577" s="2">
        <f t="shared" ref="DS577:DX577" si="9573">(M577*$I577+AH577*$AD577+BC577*$AY577)/100</f>
        <v>0</v>
      </c>
      <c r="DT577" s="2">
        <f t="shared" si="9573"/>
        <v>0</v>
      </c>
      <c r="DU577" s="2">
        <f t="shared" si="9573"/>
        <v>0</v>
      </c>
      <c r="DV577" s="2">
        <f t="shared" si="9573"/>
        <v>0</v>
      </c>
      <c r="DW577" s="2">
        <f t="shared" si="9573"/>
        <v>8.7499999999999994E-2</v>
      </c>
      <c r="DX577" s="2">
        <f t="shared" si="9573"/>
        <v>0</v>
      </c>
      <c r="DY577" s="2">
        <f t="shared" ref="DY577:EC577" si="9574">S577*$I577+AN577*$AD577+BI577*$AY577</f>
        <v>5.6000000000000005</v>
      </c>
      <c r="DZ577" s="2">
        <f t="shared" si="9574"/>
        <v>14</v>
      </c>
      <c r="EA577" s="2">
        <f t="shared" si="9574"/>
        <v>0</v>
      </c>
      <c r="EB577" s="2">
        <f t="shared" si="9574"/>
        <v>0</v>
      </c>
      <c r="EC577" s="2">
        <f t="shared" si="9574"/>
        <v>0</v>
      </c>
      <c r="ED577" s="2">
        <f t="shared" ref="ED577:EE577" si="9575">(X577*$I577+AS577*$AD577+BN577*$AY577)/100</f>
        <v>0</v>
      </c>
      <c r="EE577" s="2">
        <f t="shared" si="9575"/>
        <v>0</v>
      </c>
      <c r="EF577" s="2"/>
      <c r="EG577" s="2">
        <f t="shared" si="8558"/>
        <v>0</v>
      </c>
      <c r="EH577" s="2">
        <f t="shared" si="8559"/>
        <v>0</v>
      </c>
      <c r="EI577" s="39">
        <f t="shared" si="8560"/>
        <v>616.67071200000009</v>
      </c>
      <c r="EJ577" s="39">
        <f t="shared" ref="EJ577:EK577" si="9576">EJ$1*DQ577/1000000</f>
        <v>0</v>
      </c>
      <c r="EK577" s="39">
        <f t="shared" si="9576"/>
        <v>0</v>
      </c>
      <c r="EL577" s="39">
        <f t="shared" ref="EL577:EQ577" si="9577">EL$1*DS577</f>
        <v>0</v>
      </c>
      <c r="EM577" s="39">
        <f t="shared" si="9577"/>
        <v>0</v>
      </c>
      <c r="EN577" s="39">
        <f t="shared" si="9577"/>
        <v>0</v>
      </c>
      <c r="EO577" s="39">
        <f t="shared" si="9577"/>
        <v>0</v>
      </c>
      <c r="EP577" s="39">
        <f t="shared" si="9577"/>
        <v>1147.4749999999999</v>
      </c>
      <c r="EQ577" s="39">
        <f t="shared" si="9577"/>
        <v>0</v>
      </c>
      <c r="ER577" s="39">
        <f t="shared" ref="ER577:EV577" si="9578">ER$1*DY577/1000000</f>
        <v>158.93556270096462</v>
      </c>
      <c r="ES577" s="39">
        <f t="shared" si="9578"/>
        <v>466.56012861736332</v>
      </c>
      <c r="ET577" s="39">
        <f t="shared" si="9578"/>
        <v>0</v>
      </c>
      <c r="EU577" s="39">
        <f t="shared" si="9578"/>
        <v>0</v>
      </c>
      <c r="EV577" s="39">
        <f t="shared" si="9578"/>
        <v>0</v>
      </c>
      <c r="EW577" s="39">
        <f t="shared" ref="EW577:EX577" si="9579">EW$1*ED577</f>
        <v>0</v>
      </c>
      <c r="EX577" s="39">
        <f t="shared" si="9579"/>
        <v>0</v>
      </c>
      <c r="EY577" s="2"/>
      <c r="EZ577" s="39">
        <f t="shared" si="8565"/>
        <v>0</v>
      </c>
      <c r="FA577" s="39">
        <f t="shared" si="8566"/>
        <v>0</v>
      </c>
      <c r="FB577" s="2">
        <f t="shared" si="8567"/>
        <v>0</v>
      </c>
      <c r="FC577" s="2">
        <f t="shared" ref="FC577:FD577" si="9580">BV577*$BT577+CQ577*$CO577</f>
        <v>0</v>
      </c>
      <c r="FD577" s="2">
        <f t="shared" si="9580"/>
        <v>0</v>
      </c>
      <c r="FE577" s="2">
        <f t="shared" ref="FE577:FJ577" si="9581">(BX577*$BT577+CS577*$CO577)/100</f>
        <v>0</v>
      </c>
      <c r="FF577" s="2">
        <f t="shared" si="9581"/>
        <v>0</v>
      </c>
      <c r="FG577" s="2">
        <f t="shared" si="9581"/>
        <v>0</v>
      </c>
      <c r="FH577" s="2">
        <f t="shared" si="9581"/>
        <v>0</v>
      </c>
      <c r="FI577" s="2">
        <f t="shared" si="9581"/>
        <v>0</v>
      </c>
      <c r="FJ577" s="2">
        <f t="shared" si="9581"/>
        <v>0</v>
      </c>
      <c r="FK577" s="2">
        <f t="shared" ref="FK577:FO577" si="9582">CD577*$BT577+CY577*$CO577</f>
        <v>0</v>
      </c>
      <c r="FL577" s="2">
        <f t="shared" si="9582"/>
        <v>0</v>
      </c>
      <c r="FM577" s="2">
        <f t="shared" si="9582"/>
        <v>0</v>
      </c>
      <c r="FN577" s="2">
        <f t="shared" si="9582"/>
        <v>0</v>
      </c>
      <c r="FO577" s="2">
        <f t="shared" si="9582"/>
        <v>0</v>
      </c>
      <c r="FP577" s="2">
        <f t="shared" ref="FP577:FQ577" si="9583">(CI577*$BT577+DD577*$CO577)/100</f>
        <v>0</v>
      </c>
      <c r="FQ577" s="2">
        <f t="shared" si="9583"/>
        <v>0</v>
      </c>
      <c r="FR577" s="2"/>
      <c r="FS577" s="2">
        <f t="shared" si="8572"/>
        <v>0</v>
      </c>
      <c r="FT577" s="2">
        <f t="shared" si="8573"/>
        <v>0</v>
      </c>
      <c r="FU577" s="39">
        <f t="shared" si="8574"/>
        <v>0</v>
      </c>
      <c r="FV577" s="39">
        <f t="shared" ref="FV577:FW577" si="9584">FV$1*FC577/1000000</f>
        <v>0</v>
      </c>
      <c r="FW577" s="39">
        <f t="shared" si="9584"/>
        <v>0</v>
      </c>
      <c r="FX577" s="39">
        <f t="shared" ref="FX577:GC577" si="9585">FX$1*FE577</f>
        <v>0</v>
      </c>
      <c r="FY577" s="39">
        <f t="shared" si="9585"/>
        <v>0</v>
      </c>
      <c r="FZ577" s="39">
        <f t="shared" si="9585"/>
        <v>0</v>
      </c>
      <c r="GA577" s="39">
        <f t="shared" si="9585"/>
        <v>0</v>
      </c>
      <c r="GB577" s="39">
        <f t="shared" si="9585"/>
        <v>0</v>
      </c>
      <c r="GC577" s="39">
        <f t="shared" si="9585"/>
        <v>0</v>
      </c>
      <c r="GD577" s="39">
        <f t="shared" ref="GD577:GH577" si="9586">GD$1*FK577/1000000</f>
        <v>0</v>
      </c>
      <c r="GE577" s="39">
        <f t="shared" si="9586"/>
        <v>0</v>
      </c>
      <c r="GF577" s="39">
        <f t="shared" si="9586"/>
        <v>0</v>
      </c>
      <c r="GG577" s="39">
        <f t="shared" si="9586"/>
        <v>0</v>
      </c>
      <c r="GH577" s="39">
        <f t="shared" si="9586"/>
        <v>0</v>
      </c>
      <c r="GI577" s="39">
        <f t="shared" ref="GI577:GJ577" si="9587">GI$1*FP577</f>
        <v>0</v>
      </c>
      <c r="GJ577" s="39">
        <f t="shared" si="9587"/>
        <v>0</v>
      </c>
      <c r="GK577" s="2"/>
      <c r="GL577" s="39">
        <f t="shared" si="8579"/>
        <v>0</v>
      </c>
      <c r="GM577" s="39">
        <f t="shared" si="8580"/>
        <v>0</v>
      </c>
      <c r="GN577" s="2" t="s">
        <v>3</v>
      </c>
      <c r="GO577" s="2">
        <f t="shared" si="8581"/>
        <v>35</v>
      </c>
      <c r="GP577" s="2">
        <f t="shared" si="8582"/>
        <v>0.25</v>
      </c>
      <c r="GQ577" s="15">
        <f t="shared" si="8583"/>
        <v>87.5</v>
      </c>
      <c r="GR577" s="15">
        <f t="shared" si="8584"/>
        <v>2389.6414033183278</v>
      </c>
      <c r="GS577" s="15">
        <f t="shared" si="8585"/>
        <v>68.275468666237941</v>
      </c>
      <c r="GT577" s="2">
        <f t="shared" si="8586"/>
        <v>0</v>
      </c>
      <c r="GU577" s="2">
        <f t="shared" si="8587"/>
        <v>0</v>
      </c>
      <c r="GV577" s="2">
        <f t="shared" si="8588"/>
        <v>87.5</v>
      </c>
      <c r="GW577" s="2">
        <f t="shared" si="8589"/>
        <v>0</v>
      </c>
      <c r="GX577" s="2"/>
      <c r="GY577" s="2"/>
      <c r="GZ577" s="2"/>
      <c r="HA577" s="2"/>
      <c r="HB577" s="2">
        <f t="shared" si="8590"/>
        <v>0</v>
      </c>
      <c r="HC577" s="2">
        <f t="shared" si="8591"/>
        <v>0</v>
      </c>
      <c r="HD577" s="2" t="s">
        <v>3</v>
      </c>
      <c r="HE577" s="2" t="s">
        <v>89</v>
      </c>
      <c r="HF577" s="2" t="s">
        <v>123</v>
      </c>
      <c r="HG577" s="2"/>
      <c r="HH577" s="2"/>
      <c r="HI577" s="2" t="s">
        <v>100</v>
      </c>
      <c r="HJ577" s="2" t="s">
        <v>3</v>
      </c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 t="s">
        <v>3</v>
      </c>
    </row>
    <row r="578" spans="1:268" ht="15.75" customHeight="1" x14ac:dyDescent="0.2">
      <c r="A578" s="16" t="s">
        <v>310</v>
      </c>
      <c r="B578" s="2" t="s">
        <v>99</v>
      </c>
      <c r="C578" s="2"/>
      <c r="D578" s="2"/>
      <c r="E578" s="2"/>
      <c r="F578" s="2" t="s">
        <v>311</v>
      </c>
      <c r="G578" s="2"/>
      <c r="H578" s="2"/>
      <c r="I578" s="2">
        <v>0</v>
      </c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>
        <v>0</v>
      </c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19">
        <v>0.390235</v>
      </c>
      <c r="AZ578" s="2"/>
      <c r="BA578" s="2"/>
      <c r="BB578" s="2"/>
      <c r="BC578" s="2"/>
      <c r="BD578" s="2"/>
      <c r="BE578" s="2"/>
      <c r="BF578" s="2"/>
      <c r="BG578" s="2">
        <v>1.35</v>
      </c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>
        <v>0</v>
      </c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>
        <v>0</v>
      </c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 t="s">
        <v>100</v>
      </c>
      <c r="DK578" s="2"/>
      <c r="DL578" s="2">
        <f t="shared" si="8551"/>
        <v>1.35</v>
      </c>
      <c r="DM578" s="2">
        <f t="shared" si="8552"/>
        <v>0</v>
      </c>
      <c r="DN578" s="2" t="s">
        <v>312</v>
      </c>
      <c r="DO578" s="2" t="s">
        <v>3</v>
      </c>
      <c r="DP578" s="2">
        <f t="shared" si="8553"/>
        <v>0</v>
      </c>
      <c r="DQ578" s="2">
        <f t="shared" ref="DQ578:DR578" si="9588">K578*$I578+AF578*$AD578+BA578*$AY578</f>
        <v>0</v>
      </c>
      <c r="DR578" s="2">
        <f t="shared" si="9588"/>
        <v>0</v>
      </c>
      <c r="DS578" s="2">
        <f t="shared" ref="DS578:DX578" si="9589">(M578*$I578+AH578*$AD578+BC578*$AY578)/100</f>
        <v>0</v>
      </c>
      <c r="DT578" s="2">
        <f t="shared" si="9589"/>
        <v>0</v>
      </c>
      <c r="DU578" s="2">
        <f t="shared" si="9589"/>
        <v>0</v>
      </c>
      <c r="DV578" s="2">
        <f t="shared" si="9589"/>
        <v>0</v>
      </c>
      <c r="DW578" s="2">
        <f t="shared" si="9589"/>
        <v>5.2681725000000004E-3</v>
      </c>
      <c r="DX578" s="2">
        <f t="shared" si="9589"/>
        <v>0</v>
      </c>
      <c r="DY578" s="2">
        <f t="shared" ref="DY578:EC578" si="9590">S578*$I578+AN578*$AD578+BI578*$AY578</f>
        <v>0</v>
      </c>
      <c r="DZ578" s="2">
        <f t="shared" si="9590"/>
        <v>0</v>
      </c>
      <c r="EA578" s="2">
        <f t="shared" si="9590"/>
        <v>0</v>
      </c>
      <c r="EB578" s="2">
        <f t="shared" si="9590"/>
        <v>0</v>
      </c>
      <c r="EC578" s="2">
        <f t="shared" si="9590"/>
        <v>0</v>
      </c>
      <c r="ED578" s="2">
        <f t="shared" ref="ED578:EE578" si="9591">(X578*$I578+AS578*$AD578+BN578*$AY578)/100</f>
        <v>0</v>
      </c>
      <c r="EE578" s="2">
        <f t="shared" si="9591"/>
        <v>0</v>
      </c>
      <c r="EF578" s="2"/>
      <c r="EG578" s="2">
        <f t="shared" si="8558"/>
        <v>0</v>
      </c>
      <c r="EH578" s="2">
        <f t="shared" si="8559"/>
        <v>0</v>
      </c>
      <c r="EI578" s="39">
        <f t="shared" si="8560"/>
        <v>0</v>
      </c>
      <c r="EJ578" s="39">
        <f t="shared" ref="EJ578:EK578" si="9592">EJ$1*DQ578/1000000</f>
        <v>0</v>
      </c>
      <c r="EK578" s="39">
        <f t="shared" si="9592"/>
        <v>0</v>
      </c>
      <c r="EL578" s="39">
        <f t="shared" ref="EL578:EQ578" si="9593">EL$1*DS578</f>
        <v>0</v>
      </c>
      <c r="EM578" s="39">
        <f t="shared" si="9593"/>
        <v>0</v>
      </c>
      <c r="EN578" s="39">
        <f t="shared" si="9593"/>
        <v>0</v>
      </c>
      <c r="EO578" s="39">
        <f t="shared" si="9593"/>
        <v>0</v>
      </c>
      <c r="EP578" s="39">
        <f t="shared" si="9593"/>
        <v>69.086814165000007</v>
      </c>
      <c r="EQ578" s="39">
        <f t="shared" si="9593"/>
        <v>0</v>
      </c>
      <c r="ER578" s="39">
        <f t="shared" ref="ER578:EV578" si="9594">ER$1*DY578/1000000</f>
        <v>0</v>
      </c>
      <c r="ES578" s="39">
        <f t="shared" si="9594"/>
        <v>0</v>
      </c>
      <c r="ET578" s="39">
        <f t="shared" si="9594"/>
        <v>0</v>
      </c>
      <c r="EU578" s="39">
        <f t="shared" si="9594"/>
        <v>0</v>
      </c>
      <c r="EV578" s="39">
        <f t="shared" si="9594"/>
        <v>0</v>
      </c>
      <c r="EW578" s="39">
        <f t="shared" ref="EW578:EX578" si="9595">EW$1*ED578</f>
        <v>0</v>
      </c>
      <c r="EX578" s="39">
        <f t="shared" si="9595"/>
        <v>0</v>
      </c>
      <c r="EY578" s="2"/>
      <c r="EZ578" s="39">
        <f t="shared" si="8565"/>
        <v>0</v>
      </c>
      <c r="FA578" s="39">
        <f t="shared" si="8566"/>
        <v>0</v>
      </c>
      <c r="FB578" s="2">
        <f t="shared" si="8567"/>
        <v>0</v>
      </c>
      <c r="FC578" s="2">
        <f t="shared" ref="FC578:FD578" si="9596">BV578*$BT578+CQ578*$CO578</f>
        <v>0</v>
      </c>
      <c r="FD578" s="2">
        <f t="shared" si="9596"/>
        <v>0</v>
      </c>
      <c r="FE578" s="2">
        <f t="shared" ref="FE578:FJ578" si="9597">(BX578*$BT578+CS578*$CO578)/100</f>
        <v>0</v>
      </c>
      <c r="FF578" s="2">
        <f t="shared" si="9597"/>
        <v>0</v>
      </c>
      <c r="FG578" s="2">
        <f t="shared" si="9597"/>
        <v>0</v>
      </c>
      <c r="FH578" s="2">
        <f t="shared" si="9597"/>
        <v>0</v>
      </c>
      <c r="FI578" s="2">
        <f t="shared" si="9597"/>
        <v>0</v>
      </c>
      <c r="FJ578" s="2">
        <f t="shared" si="9597"/>
        <v>0</v>
      </c>
      <c r="FK578" s="2">
        <f t="shared" ref="FK578:FO578" si="9598">CD578*$BT578+CY578*$CO578</f>
        <v>0</v>
      </c>
      <c r="FL578" s="2">
        <f t="shared" si="9598"/>
        <v>0</v>
      </c>
      <c r="FM578" s="2">
        <f t="shared" si="9598"/>
        <v>0</v>
      </c>
      <c r="FN578" s="2">
        <f t="shared" si="9598"/>
        <v>0</v>
      </c>
      <c r="FO578" s="2">
        <f t="shared" si="9598"/>
        <v>0</v>
      </c>
      <c r="FP578" s="2">
        <f t="shared" ref="FP578:FQ578" si="9599">(CI578*$BT578+DD578*$CO578)/100</f>
        <v>0</v>
      </c>
      <c r="FQ578" s="2">
        <f t="shared" si="9599"/>
        <v>0</v>
      </c>
      <c r="FR578" s="2"/>
      <c r="FS578" s="2">
        <f t="shared" si="8572"/>
        <v>0</v>
      </c>
      <c r="FT578" s="2">
        <f t="shared" si="8573"/>
        <v>0</v>
      </c>
      <c r="FU578" s="39">
        <f t="shared" si="8574"/>
        <v>0</v>
      </c>
      <c r="FV578" s="39">
        <f t="shared" ref="FV578:FW578" si="9600">FV$1*FC578/1000000</f>
        <v>0</v>
      </c>
      <c r="FW578" s="39">
        <f t="shared" si="9600"/>
        <v>0</v>
      </c>
      <c r="FX578" s="39">
        <f t="shared" ref="FX578:GC578" si="9601">FX$1*FE578</f>
        <v>0</v>
      </c>
      <c r="FY578" s="39">
        <f t="shared" si="9601"/>
        <v>0</v>
      </c>
      <c r="FZ578" s="39">
        <f t="shared" si="9601"/>
        <v>0</v>
      </c>
      <c r="GA578" s="39">
        <f t="shared" si="9601"/>
        <v>0</v>
      </c>
      <c r="GB578" s="39">
        <f t="shared" si="9601"/>
        <v>0</v>
      </c>
      <c r="GC578" s="39">
        <f t="shared" si="9601"/>
        <v>0</v>
      </c>
      <c r="GD578" s="39">
        <f t="shared" ref="GD578:GH578" si="9602">GD$1*FK578/1000000</f>
        <v>0</v>
      </c>
      <c r="GE578" s="39">
        <f t="shared" si="9602"/>
        <v>0</v>
      </c>
      <c r="GF578" s="39">
        <f t="shared" si="9602"/>
        <v>0</v>
      </c>
      <c r="GG578" s="39">
        <f t="shared" si="9602"/>
        <v>0</v>
      </c>
      <c r="GH578" s="39">
        <f t="shared" si="9602"/>
        <v>0</v>
      </c>
      <c r="GI578" s="39">
        <f t="shared" ref="GI578:GJ578" si="9603">GI$1*FP578</f>
        <v>0</v>
      </c>
      <c r="GJ578" s="39">
        <f t="shared" si="9603"/>
        <v>0</v>
      </c>
      <c r="GK578" s="2"/>
      <c r="GL578" s="39">
        <f t="shared" si="8579"/>
        <v>0</v>
      </c>
      <c r="GM578" s="39">
        <f t="shared" si="8580"/>
        <v>0</v>
      </c>
      <c r="GN578" s="2" t="s">
        <v>3</v>
      </c>
      <c r="GO578" s="19">
        <f t="shared" si="8581"/>
        <v>0.390235</v>
      </c>
      <c r="GP578" s="2">
        <f t="shared" si="8582"/>
        <v>1.35</v>
      </c>
      <c r="GQ578" s="15">
        <f t="shared" si="8583"/>
        <v>5.2681725000000004</v>
      </c>
      <c r="GR578" s="15">
        <f t="shared" si="8584"/>
        <v>69.086814165000007</v>
      </c>
      <c r="GS578" s="15">
        <f t="shared" si="8585"/>
        <v>177.03900000000002</v>
      </c>
      <c r="GT578" s="2">
        <f t="shared" si="8586"/>
        <v>0</v>
      </c>
      <c r="GU578" s="2">
        <f t="shared" si="8587"/>
        <v>0</v>
      </c>
      <c r="GV578" s="2">
        <f t="shared" si="8588"/>
        <v>5.2681725000000004</v>
      </c>
      <c r="GW578" s="2">
        <f t="shared" si="8589"/>
        <v>0</v>
      </c>
      <c r="GX578" s="2"/>
      <c r="GY578" s="2"/>
      <c r="GZ578" s="2"/>
      <c r="HA578" s="2"/>
      <c r="HB578" s="2">
        <f t="shared" si="8590"/>
        <v>0</v>
      </c>
      <c r="HC578" s="2">
        <f t="shared" si="8591"/>
        <v>0</v>
      </c>
      <c r="HD578" s="2" t="s">
        <v>3</v>
      </c>
      <c r="HE578" s="2" t="s">
        <v>89</v>
      </c>
      <c r="HF578" s="2" t="s">
        <v>123</v>
      </c>
      <c r="HG578" s="2"/>
      <c r="HH578" s="2"/>
      <c r="HI578" s="2" t="s">
        <v>100</v>
      </c>
      <c r="HJ578" s="2" t="s">
        <v>3</v>
      </c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 t="s">
        <v>3</v>
      </c>
    </row>
    <row r="579" spans="1:268" ht="15.75" customHeight="1" x14ac:dyDescent="0.2">
      <c r="A579" s="16" t="s">
        <v>696</v>
      </c>
      <c r="B579" s="2" t="s">
        <v>99</v>
      </c>
      <c r="C579" s="2"/>
      <c r="D579" s="2"/>
      <c r="E579" s="2"/>
      <c r="F579" s="2" t="s">
        <v>697</v>
      </c>
      <c r="G579" s="2"/>
      <c r="H579" s="2"/>
      <c r="I579" s="2">
        <v>0</v>
      </c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>
        <v>0</v>
      </c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>
        <v>1.4</v>
      </c>
      <c r="AZ579" s="2">
        <v>0.7</v>
      </c>
      <c r="BA579" s="2"/>
      <c r="BB579" s="2"/>
      <c r="BC579" s="2"/>
      <c r="BD579" s="2"/>
      <c r="BE579" s="2"/>
      <c r="BF579" s="2"/>
      <c r="BG579" s="2">
        <v>0.7</v>
      </c>
      <c r="BH579" s="2"/>
      <c r="BI579" s="2">
        <v>1</v>
      </c>
      <c r="BJ579" s="2">
        <v>3</v>
      </c>
      <c r="BK579" s="2"/>
      <c r="BL579" s="2"/>
      <c r="BM579" s="2"/>
      <c r="BN579" s="2"/>
      <c r="BO579" s="2"/>
      <c r="BP579" s="2"/>
      <c r="BQ579" s="2"/>
      <c r="BR579" s="2"/>
      <c r="BS579" s="2"/>
      <c r="BT579" s="2">
        <v>0</v>
      </c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>
        <v>0</v>
      </c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 t="s">
        <v>100</v>
      </c>
      <c r="DK579" s="2"/>
      <c r="DL579" s="2">
        <f t="shared" si="8551"/>
        <v>0.7</v>
      </c>
      <c r="DM579" s="2">
        <f t="shared" si="8552"/>
        <v>0</v>
      </c>
      <c r="DN579" s="2" t="s">
        <v>698</v>
      </c>
      <c r="DO579" s="2" t="s">
        <v>3</v>
      </c>
      <c r="DP579" s="2">
        <f t="shared" si="8553"/>
        <v>9.7999999999999979E-3</v>
      </c>
      <c r="DQ579" s="2">
        <f t="shared" ref="DQ579:DR579" si="9604">K579*$I579+AF579*$AD579+BA579*$AY579</f>
        <v>0</v>
      </c>
      <c r="DR579" s="2">
        <f t="shared" si="9604"/>
        <v>0</v>
      </c>
      <c r="DS579" s="2">
        <f t="shared" ref="DS579:DX579" si="9605">(M579*$I579+AH579*$AD579+BC579*$AY579)/100</f>
        <v>0</v>
      </c>
      <c r="DT579" s="2">
        <f t="shared" si="9605"/>
        <v>0</v>
      </c>
      <c r="DU579" s="2">
        <f t="shared" si="9605"/>
        <v>0</v>
      </c>
      <c r="DV579" s="2">
        <f t="shared" si="9605"/>
        <v>0</v>
      </c>
      <c r="DW579" s="2">
        <f t="shared" si="9605"/>
        <v>9.7999999999999979E-3</v>
      </c>
      <c r="DX579" s="2">
        <f t="shared" si="9605"/>
        <v>0</v>
      </c>
      <c r="DY579" s="2">
        <f t="shared" ref="DY579:EC579" si="9606">S579*$I579+AN579*$AD579+BI579*$AY579</f>
        <v>1.4</v>
      </c>
      <c r="DZ579" s="2">
        <f t="shared" si="9606"/>
        <v>4.1999999999999993</v>
      </c>
      <c r="EA579" s="2">
        <f t="shared" si="9606"/>
        <v>0</v>
      </c>
      <c r="EB579" s="2">
        <f t="shared" si="9606"/>
        <v>0</v>
      </c>
      <c r="EC579" s="2">
        <f t="shared" si="9606"/>
        <v>0</v>
      </c>
      <c r="ED579" s="2">
        <f t="shared" ref="ED579:EE579" si="9607">(X579*$I579+AS579*$AD579+BN579*$AY579)/100</f>
        <v>0</v>
      </c>
      <c r="EE579" s="2">
        <f t="shared" si="9607"/>
        <v>0</v>
      </c>
      <c r="EF579" s="2"/>
      <c r="EG579" s="2">
        <f t="shared" si="8558"/>
        <v>0</v>
      </c>
      <c r="EH579" s="2">
        <f t="shared" si="8559"/>
        <v>0</v>
      </c>
      <c r="EI579" s="39">
        <f t="shared" si="8560"/>
        <v>63.95103679999999</v>
      </c>
      <c r="EJ579" s="39">
        <f t="shared" ref="EJ579:EK579" si="9608">EJ$1*DQ579/1000000</f>
        <v>0</v>
      </c>
      <c r="EK579" s="39">
        <f t="shared" si="9608"/>
        <v>0</v>
      </c>
      <c r="EL579" s="39">
        <f t="shared" ref="EL579:EQ579" si="9609">EL$1*DS579</f>
        <v>0</v>
      </c>
      <c r="EM579" s="39">
        <f t="shared" si="9609"/>
        <v>0</v>
      </c>
      <c r="EN579" s="39">
        <f t="shared" si="9609"/>
        <v>0</v>
      </c>
      <c r="EO579" s="39">
        <f t="shared" si="9609"/>
        <v>0</v>
      </c>
      <c r="EP579" s="39">
        <f t="shared" si="9609"/>
        <v>128.51719999999997</v>
      </c>
      <c r="EQ579" s="39">
        <f t="shared" si="9609"/>
        <v>0</v>
      </c>
      <c r="ER579" s="39">
        <f t="shared" ref="ER579:EV579" si="9610">ER$1*DY579/1000000</f>
        <v>39.733890675241149</v>
      </c>
      <c r="ES579" s="39">
        <f t="shared" si="9610"/>
        <v>139.96803858520897</v>
      </c>
      <c r="ET579" s="39">
        <f t="shared" si="9610"/>
        <v>0</v>
      </c>
      <c r="EU579" s="39">
        <f t="shared" si="9610"/>
        <v>0</v>
      </c>
      <c r="EV579" s="39">
        <f t="shared" si="9610"/>
        <v>0</v>
      </c>
      <c r="EW579" s="39">
        <f t="shared" ref="EW579:EX579" si="9611">EW$1*ED579</f>
        <v>0</v>
      </c>
      <c r="EX579" s="39">
        <f t="shared" si="9611"/>
        <v>0</v>
      </c>
      <c r="EY579" s="2"/>
      <c r="EZ579" s="39">
        <f t="shared" si="8565"/>
        <v>0</v>
      </c>
      <c r="FA579" s="39">
        <f t="shared" si="8566"/>
        <v>0</v>
      </c>
      <c r="FB579" s="2">
        <f t="shared" si="8567"/>
        <v>0</v>
      </c>
      <c r="FC579" s="2">
        <f t="shared" ref="FC579:FD579" si="9612">BV579*$BT579+CQ579*$CO579</f>
        <v>0</v>
      </c>
      <c r="FD579" s="2">
        <f t="shared" si="9612"/>
        <v>0</v>
      </c>
      <c r="FE579" s="2">
        <f t="shared" ref="FE579:FJ579" si="9613">(BX579*$BT579+CS579*$CO579)/100</f>
        <v>0</v>
      </c>
      <c r="FF579" s="2">
        <f t="shared" si="9613"/>
        <v>0</v>
      </c>
      <c r="FG579" s="2">
        <f t="shared" si="9613"/>
        <v>0</v>
      </c>
      <c r="FH579" s="2">
        <f t="shared" si="9613"/>
        <v>0</v>
      </c>
      <c r="FI579" s="2">
        <f t="shared" si="9613"/>
        <v>0</v>
      </c>
      <c r="FJ579" s="2">
        <f t="shared" si="9613"/>
        <v>0</v>
      </c>
      <c r="FK579" s="2">
        <f t="shared" ref="FK579:FO579" si="9614">CD579*$BT579+CY579*$CO579</f>
        <v>0</v>
      </c>
      <c r="FL579" s="2">
        <f t="shared" si="9614"/>
        <v>0</v>
      </c>
      <c r="FM579" s="2">
        <f t="shared" si="9614"/>
        <v>0</v>
      </c>
      <c r="FN579" s="2">
        <f t="shared" si="9614"/>
        <v>0</v>
      </c>
      <c r="FO579" s="2">
        <f t="shared" si="9614"/>
        <v>0</v>
      </c>
      <c r="FP579" s="2">
        <f t="shared" ref="FP579:FQ579" si="9615">(CI579*$BT579+DD579*$CO579)/100</f>
        <v>0</v>
      </c>
      <c r="FQ579" s="2">
        <f t="shared" si="9615"/>
        <v>0</v>
      </c>
      <c r="FR579" s="2"/>
      <c r="FS579" s="2">
        <f t="shared" si="8572"/>
        <v>0</v>
      </c>
      <c r="FT579" s="2">
        <f t="shared" si="8573"/>
        <v>0</v>
      </c>
      <c r="FU579" s="39">
        <f t="shared" si="8574"/>
        <v>0</v>
      </c>
      <c r="FV579" s="39">
        <f t="shared" ref="FV579:FW579" si="9616">FV$1*FC579/1000000</f>
        <v>0</v>
      </c>
      <c r="FW579" s="39">
        <f t="shared" si="9616"/>
        <v>0</v>
      </c>
      <c r="FX579" s="39">
        <f t="shared" ref="FX579:GC579" si="9617">FX$1*FE579</f>
        <v>0</v>
      </c>
      <c r="FY579" s="39">
        <f t="shared" si="9617"/>
        <v>0</v>
      </c>
      <c r="FZ579" s="39">
        <f t="shared" si="9617"/>
        <v>0</v>
      </c>
      <c r="GA579" s="39">
        <f t="shared" si="9617"/>
        <v>0</v>
      </c>
      <c r="GB579" s="39">
        <f t="shared" si="9617"/>
        <v>0</v>
      </c>
      <c r="GC579" s="39">
        <f t="shared" si="9617"/>
        <v>0</v>
      </c>
      <c r="GD579" s="39">
        <f t="shared" ref="GD579:GH579" si="9618">GD$1*FK579/1000000</f>
        <v>0</v>
      </c>
      <c r="GE579" s="39">
        <f t="shared" si="9618"/>
        <v>0</v>
      </c>
      <c r="GF579" s="39">
        <f t="shared" si="9618"/>
        <v>0</v>
      </c>
      <c r="GG579" s="39">
        <f t="shared" si="9618"/>
        <v>0</v>
      </c>
      <c r="GH579" s="39">
        <f t="shared" si="9618"/>
        <v>0</v>
      </c>
      <c r="GI579" s="39">
        <f t="shared" ref="GI579:GJ579" si="9619">GI$1*FP579</f>
        <v>0</v>
      </c>
      <c r="GJ579" s="39">
        <f t="shared" si="9619"/>
        <v>0</v>
      </c>
      <c r="GK579" s="2"/>
      <c r="GL579" s="39">
        <f t="shared" si="8579"/>
        <v>0</v>
      </c>
      <c r="GM579" s="39">
        <f t="shared" si="8580"/>
        <v>0</v>
      </c>
      <c r="GN579" s="2" t="s">
        <v>3</v>
      </c>
      <c r="GO579" s="2">
        <f t="shared" si="8581"/>
        <v>1.4</v>
      </c>
      <c r="GP579" s="2">
        <f t="shared" si="8582"/>
        <v>0.7</v>
      </c>
      <c r="GQ579" s="15">
        <f t="shared" si="8583"/>
        <v>9.7999999999999989</v>
      </c>
      <c r="GR579" s="15">
        <f t="shared" si="8584"/>
        <v>372.17016606045013</v>
      </c>
      <c r="GS579" s="15">
        <f t="shared" si="8585"/>
        <v>265.83583290032152</v>
      </c>
      <c r="GT579" s="2">
        <f t="shared" si="8586"/>
        <v>0</v>
      </c>
      <c r="GU579" s="2">
        <f t="shared" si="8587"/>
        <v>0</v>
      </c>
      <c r="GV579" s="2">
        <f t="shared" si="8588"/>
        <v>9.7999999999999989</v>
      </c>
      <c r="GW579" s="2">
        <f t="shared" si="8589"/>
        <v>0</v>
      </c>
      <c r="GX579" s="2"/>
      <c r="GY579" s="2"/>
      <c r="GZ579" s="2"/>
      <c r="HA579" s="2"/>
      <c r="HB579" s="2">
        <f t="shared" si="8590"/>
        <v>0</v>
      </c>
      <c r="HC579" s="2">
        <f t="shared" si="8591"/>
        <v>0</v>
      </c>
      <c r="HD579" s="2" t="s">
        <v>3</v>
      </c>
      <c r="HE579" s="2" t="s">
        <v>89</v>
      </c>
      <c r="HF579" s="2" t="s">
        <v>123</v>
      </c>
      <c r="HG579" s="2"/>
      <c r="HH579" s="2"/>
      <c r="HI579" s="2" t="s">
        <v>100</v>
      </c>
      <c r="HJ579" s="2" t="s">
        <v>3</v>
      </c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 t="s">
        <v>3</v>
      </c>
    </row>
    <row r="580" spans="1:268" ht="15.75" customHeight="1" x14ac:dyDescent="0.2">
      <c r="A580" s="16" t="s">
        <v>918</v>
      </c>
      <c r="B580" s="2" t="s">
        <v>99</v>
      </c>
      <c r="C580" s="2"/>
      <c r="D580" s="2"/>
      <c r="E580" s="2"/>
      <c r="F580" s="2" t="s">
        <v>919</v>
      </c>
      <c r="G580" s="2"/>
      <c r="H580" s="2"/>
      <c r="I580" s="2">
        <v>0</v>
      </c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>
        <v>0</v>
      </c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>
        <v>1.8</v>
      </c>
      <c r="AZ580" s="2">
        <v>0.25</v>
      </c>
      <c r="BA580" s="2"/>
      <c r="BB580" s="2"/>
      <c r="BC580" s="2"/>
      <c r="BD580" s="2"/>
      <c r="BE580" s="2"/>
      <c r="BF580" s="2"/>
      <c r="BG580" s="2">
        <v>0.47</v>
      </c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>
        <v>0</v>
      </c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>
        <v>0</v>
      </c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 t="s">
        <v>100</v>
      </c>
      <c r="DK580" s="2"/>
      <c r="DL580" s="2">
        <f t="shared" si="8551"/>
        <v>0.47</v>
      </c>
      <c r="DM580" s="2">
        <f t="shared" si="8552"/>
        <v>0</v>
      </c>
      <c r="DN580" s="2" t="s">
        <v>920</v>
      </c>
      <c r="DO580" s="2" t="s">
        <v>3</v>
      </c>
      <c r="DP580" s="2">
        <f t="shared" si="8553"/>
        <v>4.5000000000000005E-3</v>
      </c>
      <c r="DQ580" s="2">
        <f t="shared" ref="DQ580:DR580" si="9620">K580*$I580+AF580*$AD580+BA580*$AY580</f>
        <v>0</v>
      </c>
      <c r="DR580" s="2">
        <f t="shared" si="9620"/>
        <v>0</v>
      </c>
      <c r="DS580" s="2">
        <f t="shared" ref="DS580:DX580" si="9621">(M580*$I580+AH580*$AD580+BC580*$AY580)/100</f>
        <v>0</v>
      </c>
      <c r="DT580" s="2">
        <f t="shared" si="9621"/>
        <v>0</v>
      </c>
      <c r="DU580" s="2">
        <f t="shared" si="9621"/>
        <v>0</v>
      </c>
      <c r="DV580" s="2">
        <f t="shared" si="9621"/>
        <v>0</v>
      </c>
      <c r="DW580" s="2">
        <f t="shared" si="9621"/>
        <v>8.4600000000000005E-3</v>
      </c>
      <c r="DX580" s="2">
        <f t="shared" si="9621"/>
        <v>0</v>
      </c>
      <c r="DY580" s="2">
        <f t="shared" ref="DY580:EC580" si="9622">S580*$I580+AN580*$AD580+BI580*$AY580</f>
        <v>0</v>
      </c>
      <c r="DZ580" s="2">
        <f t="shared" si="9622"/>
        <v>0</v>
      </c>
      <c r="EA580" s="2">
        <f t="shared" si="9622"/>
        <v>0</v>
      </c>
      <c r="EB580" s="2">
        <f t="shared" si="9622"/>
        <v>0</v>
      </c>
      <c r="EC580" s="2">
        <f t="shared" si="9622"/>
        <v>0</v>
      </c>
      <c r="ED580" s="2">
        <f t="shared" ref="ED580:EE580" si="9623">(X580*$I580+AS580*$AD580+BN580*$AY580)/100</f>
        <v>0</v>
      </c>
      <c r="EE580" s="2">
        <f t="shared" si="9623"/>
        <v>0</v>
      </c>
      <c r="EF580" s="2"/>
      <c r="EG580" s="2">
        <f t="shared" si="8558"/>
        <v>0</v>
      </c>
      <c r="EH580" s="2">
        <f t="shared" si="8559"/>
        <v>0</v>
      </c>
      <c r="EI580" s="39">
        <f t="shared" si="8560"/>
        <v>29.365272000000004</v>
      </c>
      <c r="EJ580" s="39">
        <f t="shared" ref="EJ580:EK580" si="9624">EJ$1*DQ580/1000000</f>
        <v>0</v>
      </c>
      <c r="EK580" s="39">
        <f t="shared" si="9624"/>
        <v>0</v>
      </c>
      <c r="EL580" s="39">
        <f t="shared" ref="EL580:EQ580" si="9625">EL$1*DS580</f>
        <v>0</v>
      </c>
      <c r="EM580" s="39">
        <f t="shared" si="9625"/>
        <v>0</v>
      </c>
      <c r="EN580" s="39">
        <f t="shared" si="9625"/>
        <v>0</v>
      </c>
      <c r="EO580" s="39">
        <f t="shared" si="9625"/>
        <v>0</v>
      </c>
      <c r="EP580" s="39">
        <f t="shared" si="9625"/>
        <v>110.94444</v>
      </c>
      <c r="EQ580" s="39">
        <f t="shared" si="9625"/>
        <v>0</v>
      </c>
      <c r="ER580" s="39">
        <f t="shared" ref="ER580:EV580" si="9626">ER$1*DY580/1000000</f>
        <v>0</v>
      </c>
      <c r="ES580" s="39">
        <f t="shared" si="9626"/>
        <v>0</v>
      </c>
      <c r="ET580" s="39">
        <f t="shared" si="9626"/>
        <v>0</v>
      </c>
      <c r="EU580" s="39">
        <f t="shared" si="9626"/>
        <v>0</v>
      </c>
      <c r="EV580" s="39">
        <f t="shared" si="9626"/>
        <v>0</v>
      </c>
      <c r="EW580" s="39">
        <f t="shared" ref="EW580:EX580" si="9627">EW$1*ED580</f>
        <v>0</v>
      </c>
      <c r="EX580" s="39">
        <f t="shared" si="9627"/>
        <v>0</v>
      </c>
      <c r="EY580" s="2"/>
      <c r="EZ580" s="39">
        <f t="shared" si="8565"/>
        <v>0</v>
      </c>
      <c r="FA580" s="39">
        <f t="shared" si="8566"/>
        <v>0</v>
      </c>
      <c r="FB580" s="2">
        <f t="shared" si="8567"/>
        <v>0</v>
      </c>
      <c r="FC580" s="2">
        <f t="shared" ref="FC580:FD580" si="9628">BV580*$BT580+CQ580*$CO580</f>
        <v>0</v>
      </c>
      <c r="FD580" s="2">
        <f t="shared" si="9628"/>
        <v>0</v>
      </c>
      <c r="FE580" s="2">
        <f t="shared" ref="FE580:FJ580" si="9629">(BX580*$BT580+CS580*$CO580)/100</f>
        <v>0</v>
      </c>
      <c r="FF580" s="2">
        <f t="shared" si="9629"/>
        <v>0</v>
      </c>
      <c r="FG580" s="2">
        <f t="shared" si="9629"/>
        <v>0</v>
      </c>
      <c r="FH580" s="2">
        <f t="shared" si="9629"/>
        <v>0</v>
      </c>
      <c r="FI580" s="2">
        <f t="shared" si="9629"/>
        <v>0</v>
      </c>
      <c r="FJ580" s="2">
        <f t="shared" si="9629"/>
        <v>0</v>
      </c>
      <c r="FK580" s="2">
        <f t="shared" ref="FK580:FO580" si="9630">CD580*$BT580+CY580*$CO580</f>
        <v>0</v>
      </c>
      <c r="FL580" s="2">
        <f t="shared" si="9630"/>
        <v>0</v>
      </c>
      <c r="FM580" s="2">
        <f t="shared" si="9630"/>
        <v>0</v>
      </c>
      <c r="FN580" s="2">
        <f t="shared" si="9630"/>
        <v>0</v>
      </c>
      <c r="FO580" s="2">
        <f t="shared" si="9630"/>
        <v>0</v>
      </c>
      <c r="FP580" s="2">
        <f t="shared" ref="FP580:FQ580" si="9631">(CI580*$BT580+DD580*$CO580)/100</f>
        <v>0</v>
      </c>
      <c r="FQ580" s="2">
        <f t="shared" si="9631"/>
        <v>0</v>
      </c>
      <c r="FR580" s="2"/>
      <c r="FS580" s="2">
        <f t="shared" si="8572"/>
        <v>0</v>
      </c>
      <c r="FT580" s="2">
        <f t="shared" si="8573"/>
        <v>0</v>
      </c>
      <c r="FU580" s="39">
        <f t="shared" si="8574"/>
        <v>0</v>
      </c>
      <c r="FV580" s="39">
        <f t="shared" ref="FV580:FW580" si="9632">FV$1*FC580/1000000</f>
        <v>0</v>
      </c>
      <c r="FW580" s="39">
        <f t="shared" si="9632"/>
        <v>0</v>
      </c>
      <c r="FX580" s="39">
        <f t="shared" ref="FX580:GC580" si="9633">FX$1*FE580</f>
        <v>0</v>
      </c>
      <c r="FY580" s="39">
        <f t="shared" si="9633"/>
        <v>0</v>
      </c>
      <c r="FZ580" s="39">
        <f t="shared" si="9633"/>
        <v>0</v>
      </c>
      <c r="GA580" s="39">
        <f t="shared" si="9633"/>
        <v>0</v>
      </c>
      <c r="GB580" s="39">
        <f t="shared" si="9633"/>
        <v>0</v>
      </c>
      <c r="GC580" s="39">
        <f t="shared" si="9633"/>
        <v>0</v>
      </c>
      <c r="GD580" s="39">
        <f t="shared" ref="GD580:GH580" si="9634">GD$1*FK580/1000000</f>
        <v>0</v>
      </c>
      <c r="GE580" s="39">
        <f t="shared" si="9634"/>
        <v>0</v>
      </c>
      <c r="GF580" s="39">
        <f t="shared" si="9634"/>
        <v>0</v>
      </c>
      <c r="GG580" s="39">
        <f t="shared" si="9634"/>
        <v>0</v>
      </c>
      <c r="GH580" s="39">
        <f t="shared" si="9634"/>
        <v>0</v>
      </c>
      <c r="GI580" s="39">
        <f t="shared" ref="GI580:GJ580" si="9635">GI$1*FP580</f>
        <v>0</v>
      </c>
      <c r="GJ580" s="39">
        <f t="shared" si="9635"/>
        <v>0</v>
      </c>
      <c r="GK580" s="2"/>
      <c r="GL580" s="39">
        <f t="shared" si="8579"/>
        <v>0</v>
      </c>
      <c r="GM580" s="39">
        <f t="shared" si="8580"/>
        <v>0</v>
      </c>
      <c r="GN580" s="2" t="s">
        <v>3</v>
      </c>
      <c r="GO580" s="2">
        <f t="shared" si="8581"/>
        <v>1.8</v>
      </c>
      <c r="GP580" s="2">
        <f t="shared" si="8582"/>
        <v>0.47</v>
      </c>
      <c r="GQ580" s="15">
        <f t="shared" si="8583"/>
        <v>8.4600000000000009</v>
      </c>
      <c r="GR580" s="15">
        <f t="shared" si="8584"/>
        <v>140.30971199999999</v>
      </c>
      <c r="GS580" s="15">
        <f t="shared" si="8585"/>
        <v>77.949839999999995</v>
      </c>
      <c r="GT580" s="2">
        <f t="shared" si="8586"/>
        <v>0</v>
      </c>
      <c r="GU580" s="2">
        <f t="shared" si="8587"/>
        <v>0</v>
      </c>
      <c r="GV580" s="2">
        <f t="shared" si="8588"/>
        <v>8.4600000000000009</v>
      </c>
      <c r="GW580" s="2">
        <f t="shared" si="8589"/>
        <v>0</v>
      </c>
      <c r="GX580" s="2"/>
      <c r="GY580" s="2"/>
      <c r="GZ580" s="2"/>
      <c r="HA580" s="2"/>
      <c r="HB580" s="2">
        <f t="shared" si="8590"/>
        <v>0</v>
      </c>
      <c r="HC580" s="2">
        <f t="shared" si="8591"/>
        <v>0</v>
      </c>
      <c r="HD580" s="2" t="s">
        <v>3</v>
      </c>
      <c r="HE580" s="2" t="s">
        <v>89</v>
      </c>
      <c r="HF580" s="2" t="s">
        <v>123</v>
      </c>
      <c r="HG580" s="2"/>
      <c r="HH580" s="2"/>
      <c r="HI580" s="2" t="s">
        <v>100</v>
      </c>
      <c r="HJ580" s="2" t="s">
        <v>3</v>
      </c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 t="s">
        <v>3</v>
      </c>
    </row>
    <row r="581" spans="1:268" ht="15.75" customHeight="1" x14ac:dyDescent="0.2">
      <c r="A581" s="16" t="s">
        <v>1338</v>
      </c>
      <c r="B581" s="2" t="s">
        <v>99</v>
      </c>
      <c r="C581" s="2"/>
      <c r="D581" s="2"/>
      <c r="E581" s="2"/>
      <c r="F581" s="2" t="s">
        <v>697</v>
      </c>
      <c r="G581" s="2"/>
      <c r="H581" s="2"/>
      <c r="I581" s="2">
        <v>0</v>
      </c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>
        <v>0</v>
      </c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>
        <v>1.69</v>
      </c>
      <c r="AZ581" s="2">
        <v>0.48</v>
      </c>
      <c r="BA581" s="2"/>
      <c r="BB581" s="2"/>
      <c r="BC581" s="2"/>
      <c r="BD581" s="2"/>
      <c r="BE581" s="2"/>
      <c r="BF581" s="2"/>
      <c r="BG581" s="2">
        <v>0.55000000000000004</v>
      </c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>
        <v>0</v>
      </c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>
        <v>0</v>
      </c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 t="s">
        <v>100</v>
      </c>
      <c r="DK581" s="2"/>
      <c r="DL581" s="2">
        <f t="shared" si="8551"/>
        <v>0.55000000000000004</v>
      </c>
      <c r="DM581" s="2">
        <f t="shared" si="8552"/>
        <v>0</v>
      </c>
      <c r="DN581" s="2" t="s">
        <v>1339</v>
      </c>
      <c r="DO581" s="2" t="s">
        <v>3</v>
      </c>
      <c r="DP581" s="2">
        <f t="shared" si="8553"/>
        <v>8.1119999999999994E-3</v>
      </c>
      <c r="DQ581" s="2">
        <f t="shared" ref="DQ581:DR581" si="9636">K581*$I581+AF581*$AD581+BA581*$AY581</f>
        <v>0</v>
      </c>
      <c r="DR581" s="2">
        <f t="shared" si="9636"/>
        <v>0</v>
      </c>
      <c r="DS581" s="2">
        <f t="shared" ref="DS581:DX581" si="9637">(M581*$I581+AH581*$AD581+BC581*$AY581)/100</f>
        <v>0</v>
      </c>
      <c r="DT581" s="2">
        <f t="shared" si="9637"/>
        <v>0</v>
      </c>
      <c r="DU581" s="2">
        <f t="shared" si="9637"/>
        <v>0</v>
      </c>
      <c r="DV581" s="2">
        <f t="shared" si="9637"/>
        <v>0</v>
      </c>
      <c r="DW581" s="2">
        <f t="shared" si="9637"/>
        <v>9.2949999999999994E-3</v>
      </c>
      <c r="DX581" s="2">
        <f t="shared" si="9637"/>
        <v>0</v>
      </c>
      <c r="DY581" s="2">
        <f t="shared" ref="DY581:EC581" si="9638">S581*$I581+AN581*$AD581+BI581*$AY581</f>
        <v>0</v>
      </c>
      <c r="DZ581" s="2">
        <f t="shared" si="9638"/>
        <v>0</v>
      </c>
      <c r="EA581" s="2">
        <f t="shared" si="9638"/>
        <v>0</v>
      </c>
      <c r="EB581" s="2">
        <f t="shared" si="9638"/>
        <v>0</v>
      </c>
      <c r="EC581" s="2">
        <f t="shared" si="9638"/>
        <v>0</v>
      </c>
      <c r="ED581" s="2">
        <f t="shared" ref="ED581:EE581" si="9639">(X581*$I581+AS581*$AD581+BN581*$AY581)/100</f>
        <v>0</v>
      </c>
      <c r="EE581" s="2">
        <f t="shared" si="9639"/>
        <v>0</v>
      </c>
      <c r="EF581" s="2"/>
      <c r="EG581" s="2">
        <f t="shared" si="8558"/>
        <v>0</v>
      </c>
      <c r="EH581" s="2">
        <f t="shared" si="8559"/>
        <v>0</v>
      </c>
      <c r="EI581" s="39">
        <f t="shared" si="8560"/>
        <v>52.935796991999993</v>
      </c>
      <c r="EJ581" s="39">
        <f t="shared" ref="EJ581:EK581" si="9640">EJ$1*DQ581/1000000</f>
        <v>0</v>
      </c>
      <c r="EK581" s="39">
        <f t="shared" si="9640"/>
        <v>0</v>
      </c>
      <c r="EL581" s="39">
        <f t="shared" ref="EL581:EQ581" si="9641">EL$1*DS581</f>
        <v>0</v>
      </c>
      <c r="EM581" s="39">
        <f t="shared" si="9641"/>
        <v>0</v>
      </c>
      <c r="EN581" s="39">
        <f t="shared" si="9641"/>
        <v>0</v>
      </c>
      <c r="EO581" s="39">
        <f t="shared" si="9641"/>
        <v>0</v>
      </c>
      <c r="EP581" s="39">
        <f t="shared" si="9641"/>
        <v>121.89462999999999</v>
      </c>
      <c r="EQ581" s="39">
        <f t="shared" si="9641"/>
        <v>0</v>
      </c>
      <c r="ER581" s="39">
        <f t="shared" ref="ER581:EV581" si="9642">ER$1*DY581/1000000</f>
        <v>0</v>
      </c>
      <c r="ES581" s="39">
        <f t="shared" si="9642"/>
        <v>0</v>
      </c>
      <c r="ET581" s="39">
        <f t="shared" si="9642"/>
        <v>0</v>
      </c>
      <c r="EU581" s="39">
        <f t="shared" si="9642"/>
        <v>0</v>
      </c>
      <c r="EV581" s="39">
        <f t="shared" si="9642"/>
        <v>0</v>
      </c>
      <c r="EW581" s="39">
        <f t="shared" ref="EW581:EX581" si="9643">EW$1*ED581</f>
        <v>0</v>
      </c>
      <c r="EX581" s="39">
        <f t="shared" si="9643"/>
        <v>0</v>
      </c>
      <c r="EY581" s="2"/>
      <c r="EZ581" s="39">
        <f t="shared" si="8565"/>
        <v>0</v>
      </c>
      <c r="FA581" s="39">
        <f t="shared" si="8566"/>
        <v>0</v>
      </c>
      <c r="FB581" s="2">
        <f t="shared" si="8567"/>
        <v>0</v>
      </c>
      <c r="FC581" s="2">
        <f t="shared" ref="FC581:FD581" si="9644">BV581*$BT581+CQ581*$CO581</f>
        <v>0</v>
      </c>
      <c r="FD581" s="2">
        <f t="shared" si="9644"/>
        <v>0</v>
      </c>
      <c r="FE581" s="2">
        <f t="shared" ref="FE581:FJ581" si="9645">(BX581*$BT581+CS581*$CO581)/100</f>
        <v>0</v>
      </c>
      <c r="FF581" s="2">
        <f t="shared" si="9645"/>
        <v>0</v>
      </c>
      <c r="FG581" s="2">
        <f t="shared" si="9645"/>
        <v>0</v>
      </c>
      <c r="FH581" s="2">
        <f t="shared" si="9645"/>
        <v>0</v>
      </c>
      <c r="FI581" s="2">
        <f t="shared" si="9645"/>
        <v>0</v>
      </c>
      <c r="FJ581" s="2">
        <f t="shared" si="9645"/>
        <v>0</v>
      </c>
      <c r="FK581" s="2">
        <f t="shared" ref="FK581:FO581" si="9646">CD581*$BT581+CY581*$CO581</f>
        <v>0</v>
      </c>
      <c r="FL581" s="2">
        <f t="shared" si="9646"/>
        <v>0</v>
      </c>
      <c r="FM581" s="2">
        <f t="shared" si="9646"/>
        <v>0</v>
      </c>
      <c r="FN581" s="2">
        <f t="shared" si="9646"/>
        <v>0</v>
      </c>
      <c r="FO581" s="2">
        <f t="shared" si="9646"/>
        <v>0</v>
      </c>
      <c r="FP581" s="2">
        <f t="shared" ref="FP581:FQ581" si="9647">(CI581*$BT581+DD581*$CO581)/100</f>
        <v>0</v>
      </c>
      <c r="FQ581" s="2">
        <f t="shared" si="9647"/>
        <v>0</v>
      </c>
      <c r="FR581" s="2"/>
      <c r="FS581" s="2">
        <f t="shared" si="8572"/>
        <v>0</v>
      </c>
      <c r="FT581" s="2">
        <f t="shared" si="8573"/>
        <v>0</v>
      </c>
      <c r="FU581" s="39">
        <f t="shared" si="8574"/>
        <v>0</v>
      </c>
      <c r="FV581" s="39">
        <f t="shared" ref="FV581:FW581" si="9648">FV$1*FC581/1000000</f>
        <v>0</v>
      </c>
      <c r="FW581" s="39">
        <f t="shared" si="9648"/>
        <v>0</v>
      </c>
      <c r="FX581" s="39">
        <f t="shared" ref="FX581:GC581" si="9649">FX$1*FE581</f>
        <v>0</v>
      </c>
      <c r="FY581" s="39">
        <f t="shared" si="9649"/>
        <v>0</v>
      </c>
      <c r="FZ581" s="39">
        <f t="shared" si="9649"/>
        <v>0</v>
      </c>
      <c r="GA581" s="39">
        <f t="shared" si="9649"/>
        <v>0</v>
      </c>
      <c r="GB581" s="39">
        <f t="shared" si="9649"/>
        <v>0</v>
      </c>
      <c r="GC581" s="39">
        <f t="shared" si="9649"/>
        <v>0</v>
      </c>
      <c r="GD581" s="39">
        <f t="shared" ref="GD581:GH581" si="9650">GD$1*FK581/1000000</f>
        <v>0</v>
      </c>
      <c r="GE581" s="39">
        <f t="shared" si="9650"/>
        <v>0</v>
      </c>
      <c r="GF581" s="39">
        <f t="shared" si="9650"/>
        <v>0</v>
      </c>
      <c r="GG581" s="39">
        <f t="shared" si="9650"/>
        <v>0</v>
      </c>
      <c r="GH581" s="39">
        <f t="shared" si="9650"/>
        <v>0</v>
      </c>
      <c r="GI581" s="39">
        <f t="shared" ref="GI581:GJ581" si="9651">GI$1*FP581</f>
        <v>0</v>
      </c>
      <c r="GJ581" s="39">
        <f t="shared" si="9651"/>
        <v>0</v>
      </c>
      <c r="GK581" s="2"/>
      <c r="GL581" s="39">
        <f t="shared" si="8579"/>
        <v>0</v>
      </c>
      <c r="GM581" s="39">
        <f t="shared" si="8580"/>
        <v>0</v>
      </c>
      <c r="GN581" s="2" t="s">
        <v>3</v>
      </c>
      <c r="GO581" s="2">
        <f t="shared" si="8581"/>
        <v>1.69</v>
      </c>
      <c r="GP581" s="2">
        <f t="shared" si="8582"/>
        <v>0.55000000000000004</v>
      </c>
      <c r="GQ581" s="15">
        <f t="shared" si="8583"/>
        <v>9.2950000000000017</v>
      </c>
      <c r="GR581" s="15">
        <f t="shared" si="8584"/>
        <v>174.83042699199999</v>
      </c>
      <c r="GS581" s="15">
        <f t="shared" si="8585"/>
        <v>103.4499568</v>
      </c>
      <c r="GT581" s="2">
        <f t="shared" si="8586"/>
        <v>0</v>
      </c>
      <c r="GU581" s="2">
        <f t="shared" si="8587"/>
        <v>0</v>
      </c>
      <c r="GV581" s="2">
        <f t="shared" si="8588"/>
        <v>9.2949999999999999</v>
      </c>
      <c r="GW581" s="2">
        <f t="shared" si="8589"/>
        <v>0</v>
      </c>
      <c r="GX581" s="2"/>
      <c r="GY581" s="2"/>
      <c r="GZ581" s="2"/>
      <c r="HA581" s="2"/>
      <c r="HB581" s="2">
        <f t="shared" si="8590"/>
        <v>0</v>
      </c>
      <c r="HC581" s="2">
        <f t="shared" si="8591"/>
        <v>0</v>
      </c>
      <c r="HD581" s="2" t="s">
        <v>3</v>
      </c>
      <c r="HE581" s="2" t="s">
        <v>89</v>
      </c>
      <c r="HF581" s="2" t="s">
        <v>123</v>
      </c>
      <c r="HG581" s="2"/>
      <c r="HH581" s="2"/>
      <c r="HI581" s="2" t="s">
        <v>100</v>
      </c>
      <c r="HJ581" s="2" t="s">
        <v>3</v>
      </c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 t="s">
        <v>3</v>
      </c>
    </row>
    <row r="582" spans="1:268" ht="15.75" customHeight="1" x14ac:dyDescent="0.2">
      <c r="A582" s="16" t="s">
        <v>583</v>
      </c>
      <c r="B582" s="2"/>
      <c r="C582" s="2"/>
      <c r="D582" s="2"/>
      <c r="E582" s="2"/>
      <c r="F582" s="2" t="s">
        <v>584</v>
      </c>
      <c r="G582" s="2"/>
      <c r="H582" s="2"/>
      <c r="I582" s="2">
        <v>0</v>
      </c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15">
        <v>361.91356846301909</v>
      </c>
      <c r="AZ582" s="2">
        <v>0.66</v>
      </c>
      <c r="BA582" s="2">
        <v>0.35</v>
      </c>
      <c r="BB582" s="2"/>
      <c r="BC582" s="2"/>
      <c r="BD582" s="2"/>
      <c r="BE582" s="2"/>
      <c r="BF582" s="2"/>
      <c r="BG582" s="4">
        <v>1.18</v>
      </c>
      <c r="BH582" s="2">
        <v>3.1E-2</v>
      </c>
      <c r="BI582" s="2">
        <v>0.23</v>
      </c>
      <c r="BJ582" s="2">
        <v>0.11</v>
      </c>
      <c r="BK582" s="2">
        <v>5.0000000000000001E-3</v>
      </c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 t="s">
        <v>100</v>
      </c>
      <c r="DK582" s="2" t="s">
        <v>100</v>
      </c>
      <c r="DL582" s="2">
        <f t="shared" si="8551"/>
        <v>1.18</v>
      </c>
      <c r="DM582" s="2">
        <f t="shared" si="8552"/>
        <v>3.1000000000000003E-2</v>
      </c>
      <c r="DN582" s="2" t="s">
        <v>585</v>
      </c>
      <c r="DO582" s="2" t="s">
        <v>3</v>
      </c>
      <c r="DP582" s="2">
        <f t="shared" si="8553"/>
        <v>2.3886295518559262</v>
      </c>
      <c r="DQ582" s="2">
        <f t="shared" ref="DQ582:DR582" si="9652">K582*$I582+AF582*$AD582+BA582*$AY582</f>
        <v>126.66974896205667</v>
      </c>
      <c r="DR582" s="2">
        <f t="shared" si="9652"/>
        <v>0</v>
      </c>
      <c r="DS582" s="2">
        <f t="shared" ref="DS582:DX582" si="9653">(M582*$I582+AH582*$AD582+BC582*$AY582)/100</f>
        <v>0</v>
      </c>
      <c r="DT582" s="2">
        <f t="shared" si="9653"/>
        <v>0</v>
      </c>
      <c r="DU582" s="2">
        <f t="shared" si="9653"/>
        <v>0</v>
      </c>
      <c r="DV582" s="2">
        <f t="shared" si="9653"/>
        <v>0</v>
      </c>
      <c r="DW582" s="2">
        <f t="shared" si="9653"/>
        <v>4.2705801078636254</v>
      </c>
      <c r="DX582" s="2">
        <f t="shared" si="9653"/>
        <v>0.11219320622353593</v>
      </c>
      <c r="DY582" s="2">
        <f t="shared" ref="DY582:EC582" si="9654">S582*$I582+AN582*$AD582+BI582*$AY582</f>
        <v>83.240120746494398</v>
      </c>
      <c r="DZ582" s="2">
        <f t="shared" si="9654"/>
        <v>39.810492530932102</v>
      </c>
      <c r="EA582" s="2">
        <f t="shared" si="9654"/>
        <v>1.8095678423150954</v>
      </c>
      <c r="EB582" s="2">
        <f t="shared" si="9654"/>
        <v>0</v>
      </c>
      <c r="EC582" s="2">
        <f t="shared" si="9654"/>
        <v>0</v>
      </c>
      <c r="ED582" s="2">
        <f t="shared" ref="ED582:EE582" si="9655">(X582*$I582+AS582*$AD582+BN582*$AY582)/100</f>
        <v>0</v>
      </c>
      <c r="EE582" s="2">
        <f t="shared" si="9655"/>
        <v>0</v>
      </c>
      <c r="EF582" s="2"/>
      <c r="EG582" s="2">
        <f t="shared" si="8558"/>
        <v>0</v>
      </c>
      <c r="EH582" s="2">
        <f t="shared" si="8559"/>
        <v>0</v>
      </c>
      <c r="EI582" s="39">
        <f t="shared" si="8560"/>
        <v>15587.279221663861</v>
      </c>
      <c r="EJ582" s="39">
        <f t="shared" ref="EJ582:EK582" si="9656">EJ$1*DQ582/1000000</f>
        <v>5180.8334623709343</v>
      </c>
      <c r="EK582" s="39">
        <f t="shared" si="9656"/>
        <v>0</v>
      </c>
      <c r="EL582" s="39">
        <f t="shared" ref="EL582:EQ582" si="9657">EL$1*DS582</f>
        <v>0</v>
      </c>
      <c r="EM582" s="39">
        <f t="shared" si="9657"/>
        <v>0</v>
      </c>
      <c r="EN582" s="39">
        <f t="shared" si="9657"/>
        <v>0</v>
      </c>
      <c r="EO582" s="39">
        <f t="shared" si="9657"/>
        <v>0</v>
      </c>
      <c r="EP582" s="39">
        <f t="shared" si="9657"/>
        <v>56004.387534523587</v>
      </c>
      <c r="EQ582" s="39">
        <f t="shared" si="9657"/>
        <v>8147.4172319870158</v>
      </c>
      <c r="ER582" s="39">
        <f t="shared" ref="ER582:EV582" si="9658">ER$1*DY582/1000000</f>
        <v>2362.4670410964864</v>
      </c>
      <c r="ES582" s="39">
        <f t="shared" si="9658"/>
        <v>1326.7134653965904</v>
      </c>
      <c r="ET582" s="39">
        <f t="shared" si="9658"/>
        <v>129.48010673645601</v>
      </c>
      <c r="EU582" s="39">
        <f t="shared" si="9658"/>
        <v>0</v>
      </c>
      <c r="EV582" s="39">
        <f t="shared" si="9658"/>
        <v>0</v>
      </c>
      <c r="EW582" s="39">
        <f t="shared" ref="EW582:EX582" si="9659">EW$1*ED582</f>
        <v>0</v>
      </c>
      <c r="EX582" s="39">
        <f t="shared" si="9659"/>
        <v>0</v>
      </c>
      <c r="EY582" s="2"/>
      <c r="EZ582" s="39">
        <f t="shared" si="8565"/>
        <v>0</v>
      </c>
      <c r="FA582" s="39">
        <f t="shared" si="8566"/>
        <v>0</v>
      </c>
      <c r="FB582" s="2">
        <f t="shared" si="8567"/>
        <v>0</v>
      </c>
      <c r="FC582" s="2">
        <f t="shared" ref="FC582:FD582" si="9660">BV582*$BT582+CQ582*$CO582</f>
        <v>0</v>
      </c>
      <c r="FD582" s="2">
        <f t="shared" si="9660"/>
        <v>0</v>
      </c>
      <c r="FE582" s="2">
        <f t="shared" ref="FE582:FJ582" si="9661">(BX582*$BT582+CS582*$CO582)/100</f>
        <v>0</v>
      </c>
      <c r="FF582" s="2">
        <f t="shared" si="9661"/>
        <v>0</v>
      </c>
      <c r="FG582" s="2">
        <f t="shared" si="9661"/>
        <v>0</v>
      </c>
      <c r="FH582" s="2">
        <f t="shared" si="9661"/>
        <v>0</v>
      </c>
      <c r="FI582" s="2">
        <f t="shared" si="9661"/>
        <v>0</v>
      </c>
      <c r="FJ582" s="2">
        <f t="shared" si="9661"/>
        <v>0</v>
      </c>
      <c r="FK582" s="2">
        <f t="shared" ref="FK582:FO582" si="9662">CD582*$BT582+CY582*$CO582</f>
        <v>0</v>
      </c>
      <c r="FL582" s="2">
        <f t="shared" si="9662"/>
        <v>0</v>
      </c>
      <c r="FM582" s="2">
        <f t="shared" si="9662"/>
        <v>0</v>
      </c>
      <c r="FN582" s="2">
        <f t="shared" si="9662"/>
        <v>0</v>
      </c>
      <c r="FO582" s="2">
        <f t="shared" si="9662"/>
        <v>0</v>
      </c>
      <c r="FP582" s="2">
        <f t="shared" ref="FP582:FQ582" si="9663">(CI582*$BT582+DD582*$CO582)/100</f>
        <v>0</v>
      </c>
      <c r="FQ582" s="2">
        <f t="shared" si="9663"/>
        <v>0</v>
      </c>
      <c r="FR582" s="2"/>
      <c r="FS582" s="2">
        <f t="shared" si="8572"/>
        <v>0</v>
      </c>
      <c r="FT582" s="2">
        <f t="shared" si="8573"/>
        <v>0</v>
      </c>
      <c r="FU582" s="39">
        <f t="shared" si="8574"/>
        <v>0</v>
      </c>
      <c r="FV582" s="39">
        <f t="shared" ref="FV582:FW582" si="9664">FV$1*FC582/1000000</f>
        <v>0</v>
      </c>
      <c r="FW582" s="39">
        <f t="shared" si="9664"/>
        <v>0</v>
      </c>
      <c r="FX582" s="39">
        <f t="shared" ref="FX582:GC582" si="9665">FX$1*FE582</f>
        <v>0</v>
      </c>
      <c r="FY582" s="39">
        <f t="shared" si="9665"/>
        <v>0</v>
      </c>
      <c r="FZ582" s="39">
        <f t="shared" si="9665"/>
        <v>0</v>
      </c>
      <c r="GA582" s="39">
        <f t="shared" si="9665"/>
        <v>0</v>
      </c>
      <c r="GB582" s="39">
        <f t="shared" si="9665"/>
        <v>0</v>
      </c>
      <c r="GC582" s="39">
        <f t="shared" si="9665"/>
        <v>0</v>
      </c>
      <c r="GD582" s="39">
        <f t="shared" ref="GD582:GH582" si="9666">GD$1*FK582/1000000</f>
        <v>0</v>
      </c>
      <c r="GE582" s="39">
        <f t="shared" si="9666"/>
        <v>0</v>
      </c>
      <c r="GF582" s="39">
        <f t="shared" si="9666"/>
        <v>0</v>
      </c>
      <c r="GG582" s="39">
        <f t="shared" si="9666"/>
        <v>0</v>
      </c>
      <c r="GH582" s="39">
        <f t="shared" si="9666"/>
        <v>0</v>
      </c>
      <c r="GI582" s="39">
        <f t="shared" ref="GI582:GJ582" si="9667">GI$1*FP582</f>
        <v>0</v>
      </c>
      <c r="GJ582" s="39">
        <f t="shared" si="9667"/>
        <v>0</v>
      </c>
      <c r="GK582" s="2"/>
      <c r="GL582" s="39">
        <f t="shared" si="8579"/>
        <v>0</v>
      </c>
      <c r="GM582" s="39">
        <f t="shared" si="8580"/>
        <v>0</v>
      </c>
      <c r="GN582" s="2" t="s">
        <v>3</v>
      </c>
      <c r="GO582" s="15">
        <f t="shared" si="8581"/>
        <v>361.91356846301909</v>
      </c>
      <c r="GP582" s="2">
        <f t="shared" si="8582"/>
        <v>1.18</v>
      </c>
      <c r="GQ582" s="18">
        <f t="shared" si="8583"/>
        <v>4270.580107863625</v>
      </c>
      <c r="GR582" s="15">
        <f t="shared" si="8584"/>
        <v>88738.578063774941</v>
      </c>
      <c r="GS582" s="15">
        <f t="shared" si="8585"/>
        <v>245.19273604643089</v>
      </c>
      <c r="GT582" s="2">
        <f t="shared" si="8586"/>
        <v>0</v>
      </c>
      <c r="GU582" s="2">
        <f t="shared" si="8587"/>
        <v>0</v>
      </c>
      <c r="GV582" s="2">
        <f t="shared" si="8588"/>
        <v>4270.580107863625</v>
      </c>
      <c r="GW582" s="2">
        <f t="shared" si="8589"/>
        <v>0</v>
      </c>
      <c r="GX582" s="2"/>
      <c r="GY582" s="2"/>
      <c r="GZ582" s="2"/>
      <c r="HA582" s="2"/>
      <c r="HB582" s="2">
        <f t="shared" si="8590"/>
        <v>0</v>
      </c>
      <c r="HC582" s="2">
        <f t="shared" si="8591"/>
        <v>0</v>
      </c>
      <c r="HD582" s="2" t="s">
        <v>3</v>
      </c>
      <c r="HE582" s="2" t="s">
        <v>89</v>
      </c>
      <c r="HF582" s="2" t="s">
        <v>123</v>
      </c>
      <c r="HG582" s="2"/>
      <c r="HH582" s="2"/>
      <c r="HI582" s="2" t="s">
        <v>100</v>
      </c>
      <c r="HJ582" s="2" t="s">
        <v>3</v>
      </c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 t="s">
        <v>3</v>
      </c>
    </row>
    <row r="583" spans="1:268" ht="15.75" customHeight="1" x14ac:dyDescent="0.2">
      <c r="A583" s="16" t="s">
        <v>1322</v>
      </c>
      <c r="B583" s="2"/>
      <c r="C583" s="2"/>
      <c r="D583" s="2"/>
      <c r="E583" s="2"/>
      <c r="F583" s="2" t="s">
        <v>79</v>
      </c>
      <c r="G583" s="2"/>
      <c r="H583" s="2"/>
      <c r="I583" s="2">
        <v>0</v>
      </c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>
        <v>0</v>
      </c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>
        <v>157</v>
      </c>
      <c r="AZ583" s="2">
        <v>0.14000000000000001</v>
      </c>
      <c r="BA583" s="2"/>
      <c r="BB583" s="2"/>
      <c r="BC583" s="2"/>
      <c r="BD583" s="2"/>
      <c r="BE583" s="2"/>
      <c r="BF583" s="2"/>
      <c r="BG583" s="2">
        <v>0.64</v>
      </c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 t="s">
        <v>100</v>
      </c>
      <c r="DK583" s="2"/>
      <c r="DL583" s="2">
        <f t="shared" si="8551"/>
        <v>0.64</v>
      </c>
      <c r="DM583" s="2">
        <f t="shared" si="8552"/>
        <v>0</v>
      </c>
      <c r="DN583" s="2" t="s">
        <v>204</v>
      </c>
      <c r="DO583" s="2" t="s">
        <v>3</v>
      </c>
      <c r="DP583" s="2">
        <f t="shared" si="8553"/>
        <v>0.2198</v>
      </c>
      <c r="DQ583" s="2">
        <f t="shared" ref="DQ583:DR583" si="9668">K583*$I583+AF583*$AD583+BA583*$AY583</f>
        <v>0</v>
      </c>
      <c r="DR583" s="2">
        <f t="shared" si="9668"/>
        <v>0</v>
      </c>
      <c r="DS583" s="2">
        <f t="shared" ref="DS583:DX583" si="9669">(M583*$I583+AH583*$AD583+BC583*$AY583)/100</f>
        <v>0</v>
      </c>
      <c r="DT583" s="2">
        <f t="shared" si="9669"/>
        <v>0</v>
      </c>
      <c r="DU583" s="2">
        <f t="shared" si="9669"/>
        <v>0</v>
      </c>
      <c r="DV583" s="2">
        <f t="shared" si="9669"/>
        <v>0</v>
      </c>
      <c r="DW583" s="2">
        <f t="shared" si="9669"/>
        <v>1.0048000000000001</v>
      </c>
      <c r="DX583" s="2">
        <f t="shared" si="9669"/>
        <v>0</v>
      </c>
      <c r="DY583" s="2">
        <f t="shared" ref="DY583:EC583" si="9670">S583*$I583+AN583*$AD583+BI583*$AY583</f>
        <v>0</v>
      </c>
      <c r="DZ583" s="2">
        <f t="shared" si="9670"/>
        <v>0</v>
      </c>
      <c r="EA583" s="2">
        <f t="shared" si="9670"/>
        <v>0</v>
      </c>
      <c r="EB583" s="2">
        <f t="shared" si="9670"/>
        <v>0</v>
      </c>
      <c r="EC583" s="2">
        <f t="shared" si="9670"/>
        <v>0</v>
      </c>
      <c r="ED583" s="2">
        <f t="shared" ref="ED583:EE583" si="9671">(X583*$I583+AS583*$AD583+BN583*$AY583)/100</f>
        <v>0</v>
      </c>
      <c r="EE583" s="2">
        <f t="shared" si="9671"/>
        <v>0</v>
      </c>
      <c r="EF583" s="2"/>
      <c r="EG583" s="2">
        <f t="shared" si="8558"/>
        <v>0</v>
      </c>
      <c r="EH583" s="2">
        <f t="shared" si="8559"/>
        <v>0</v>
      </c>
      <c r="EI583" s="39">
        <f t="shared" si="8560"/>
        <v>1434.3303968</v>
      </c>
      <c r="EJ583" s="39">
        <f t="shared" ref="EJ583:EK583" si="9672">EJ$1*DQ583/1000000</f>
        <v>0</v>
      </c>
      <c r="EK583" s="39">
        <f t="shared" si="9672"/>
        <v>0</v>
      </c>
      <c r="EL583" s="39">
        <f t="shared" ref="EL583:EQ583" si="9673">EL$1*DS583</f>
        <v>0</v>
      </c>
      <c r="EM583" s="39">
        <f t="shared" si="9673"/>
        <v>0</v>
      </c>
      <c r="EN583" s="39">
        <f t="shared" si="9673"/>
        <v>0</v>
      </c>
      <c r="EO583" s="39">
        <f t="shared" si="9673"/>
        <v>0</v>
      </c>
      <c r="EP583" s="39">
        <f t="shared" si="9673"/>
        <v>13176.947200000002</v>
      </c>
      <c r="EQ583" s="39">
        <f t="shared" si="9673"/>
        <v>0</v>
      </c>
      <c r="ER583" s="39">
        <f t="shared" ref="ER583:EV583" si="9674">ER$1*DY583/1000000</f>
        <v>0</v>
      </c>
      <c r="ES583" s="39">
        <f t="shared" si="9674"/>
        <v>0</v>
      </c>
      <c r="ET583" s="39">
        <f t="shared" si="9674"/>
        <v>0</v>
      </c>
      <c r="EU583" s="39">
        <f t="shared" si="9674"/>
        <v>0</v>
      </c>
      <c r="EV583" s="39">
        <f t="shared" si="9674"/>
        <v>0</v>
      </c>
      <c r="EW583" s="39">
        <f t="shared" ref="EW583:EX583" si="9675">EW$1*ED583</f>
        <v>0</v>
      </c>
      <c r="EX583" s="39">
        <f t="shared" si="9675"/>
        <v>0</v>
      </c>
      <c r="EY583" s="2"/>
      <c r="EZ583" s="39">
        <f t="shared" si="8565"/>
        <v>0</v>
      </c>
      <c r="FA583" s="39">
        <f t="shared" si="8566"/>
        <v>0</v>
      </c>
      <c r="FB583" s="2">
        <f t="shared" si="8567"/>
        <v>0</v>
      </c>
      <c r="FC583" s="2">
        <f t="shared" ref="FC583:FD583" si="9676">BV583*$BT583+CQ583*$CO583</f>
        <v>0</v>
      </c>
      <c r="FD583" s="2">
        <f t="shared" si="9676"/>
        <v>0</v>
      </c>
      <c r="FE583" s="2">
        <f t="shared" ref="FE583:FJ583" si="9677">(BX583*$BT583+CS583*$CO583)/100</f>
        <v>0</v>
      </c>
      <c r="FF583" s="2">
        <f t="shared" si="9677"/>
        <v>0</v>
      </c>
      <c r="FG583" s="2">
        <f t="shared" si="9677"/>
        <v>0</v>
      </c>
      <c r="FH583" s="2">
        <f t="shared" si="9677"/>
        <v>0</v>
      </c>
      <c r="FI583" s="2">
        <f t="shared" si="9677"/>
        <v>0</v>
      </c>
      <c r="FJ583" s="2">
        <f t="shared" si="9677"/>
        <v>0</v>
      </c>
      <c r="FK583" s="2">
        <f t="shared" ref="FK583:FO583" si="9678">CD583*$BT583+CY583*$CO583</f>
        <v>0</v>
      </c>
      <c r="FL583" s="2">
        <f t="shared" si="9678"/>
        <v>0</v>
      </c>
      <c r="FM583" s="2">
        <f t="shared" si="9678"/>
        <v>0</v>
      </c>
      <c r="FN583" s="2">
        <f t="shared" si="9678"/>
        <v>0</v>
      </c>
      <c r="FO583" s="2">
        <f t="shared" si="9678"/>
        <v>0</v>
      </c>
      <c r="FP583" s="2">
        <f t="shared" ref="FP583:FQ583" si="9679">(CI583*$BT583+DD583*$CO583)/100</f>
        <v>0</v>
      </c>
      <c r="FQ583" s="2">
        <f t="shared" si="9679"/>
        <v>0</v>
      </c>
      <c r="FR583" s="2"/>
      <c r="FS583" s="2">
        <f t="shared" si="8572"/>
        <v>0</v>
      </c>
      <c r="FT583" s="2">
        <f t="shared" si="8573"/>
        <v>0</v>
      </c>
      <c r="FU583" s="39">
        <f t="shared" si="8574"/>
        <v>0</v>
      </c>
      <c r="FV583" s="39">
        <f t="shared" ref="FV583:FW583" si="9680">FV$1*FC583/1000000</f>
        <v>0</v>
      </c>
      <c r="FW583" s="39">
        <f t="shared" si="9680"/>
        <v>0</v>
      </c>
      <c r="FX583" s="39">
        <f t="shared" ref="FX583:GC583" si="9681">FX$1*FE583</f>
        <v>0</v>
      </c>
      <c r="FY583" s="39">
        <f t="shared" si="9681"/>
        <v>0</v>
      </c>
      <c r="FZ583" s="39">
        <f t="shared" si="9681"/>
        <v>0</v>
      </c>
      <c r="GA583" s="39">
        <f t="shared" si="9681"/>
        <v>0</v>
      </c>
      <c r="GB583" s="39">
        <f t="shared" si="9681"/>
        <v>0</v>
      </c>
      <c r="GC583" s="39">
        <f t="shared" si="9681"/>
        <v>0</v>
      </c>
      <c r="GD583" s="39">
        <f t="shared" ref="GD583:GH583" si="9682">GD$1*FK583/1000000</f>
        <v>0</v>
      </c>
      <c r="GE583" s="39">
        <f t="shared" si="9682"/>
        <v>0</v>
      </c>
      <c r="GF583" s="39">
        <f t="shared" si="9682"/>
        <v>0</v>
      </c>
      <c r="GG583" s="39">
        <f t="shared" si="9682"/>
        <v>0</v>
      </c>
      <c r="GH583" s="39">
        <f t="shared" si="9682"/>
        <v>0</v>
      </c>
      <c r="GI583" s="39">
        <f t="shared" ref="GI583:GJ583" si="9683">GI$1*FP583</f>
        <v>0</v>
      </c>
      <c r="GJ583" s="39">
        <f t="shared" si="9683"/>
        <v>0</v>
      </c>
      <c r="GK583" s="2"/>
      <c r="GL583" s="39">
        <f t="shared" si="8579"/>
        <v>0</v>
      </c>
      <c r="GM583" s="39">
        <f t="shared" si="8580"/>
        <v>0</v>
      </c>
      <c r="GN583" s="2" t="s">
        <v>3</v>
      </c>
      <c r="GO583" s="2">
        <f t="shared" si="8581"/>
        <v>157</v>
      </c>
      <c r="GP583" s="2">
        <f t="shared" si="8582"/>
        <v>0.64</v>
      </c>
      <c r="GQ583" s="18">
        <f t="shared" si="8583"/>
        <v>1004.8</v>
      </c>
      <c r="GR583" s="15">
        <f t="shared" si="8584"/>
        <v>14611.277596800002</v>
      </c>
      <c r="GS583" s="15">
        <f t="shared" si="8585"/>
        <v>93.065462400000015</v>
      </c>
      <c r="GT583" s="2">
        <f t="shared" si="8586"/>
        <v>0</v>
      </c>
      <c r="GU583" s="2">
        <f t="shared" si="8587"/>
        <v>0</v>
      </c>
      <c r="GV583" s="2">
        <f t="shared" si="8588"/>
        <v>1004.8</v>
      </c>
      <c r="GW583" s="2">
        <f t="shared" si="8589"/>
        <v>0</v>
      </c>
      <c r="GX583" s="2"/>
      <c r="GY583" s="2"/>
      <c r="GZ583" s="2"/>
      <c r="HA583" s="2"/>
      <c r="HB583" s="2">
        <f t="shared" si="8590"/>
        <v>0</v>
      </c>
      <c r="HC583" s="2">
        <f t="shared" si="8591"/>
        <v>0</v>
      </c>
      <c r="HD583" s="2" t="s">
        <v>3</v>
      </c>
      <c r="HE583" s="2" t="s">
        <v>89</v>
      </c>
      <c r="HF583" s="2" t="s">
        <v>123</v>
      </c>
      <c r="HG583" s="2"/>
      <c r="HH583" s="2"/>
      <c r="HI583" s="2" t="s">
        <v>100</v>
      </c>
      <c r="HJ583" s="2" t="s">
        <v>3</v>
      </c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 t="s">
        <v>3</v>
      </c>
    </row>
    <row r="584" spans="1:268" ht="15.75" customHeight="1" x14ac:dyDescent="0.2">
      <c r="A584" s="16" t="s">
        <v>1330</v>
      </c>
      <c r="B584" s="2"/>
      <c r="C584" s="2"/>
      <c r="D584" s="2"/>
      <c r="E584" s="2"/>
      <c r="F584" s="2" t="s">
        <v>79</v>
      </c>
      <c r="G584" s="2"/>
      <c r="H584" s="2"/>
      <c r="I584" s="2">
        <v>0</v>
      </c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>
        <v>0</v>
      </c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>
        <v>96</v>
      </c>
      <c r="AZ584" s="2">
        <v>0.14000000000000001</v>
      </c>
      <c r="BA584" s="2"/>
      <c r="BB584" s="2"/>
      <c r="BC584" s="2"/>
      <c r="BD584" s="2"/>
      <c r="BE584" s="2"/>
      <c r="BF584" s="2"/>
      <c r="BG584" s="2">
        <v>0.35</v>
      </c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 t="s">
        <v>100</v>
      </c>
      <c r="DK584" s="2"/>
      <c r="DL584" s="2">
        <f t="shared" si="8551"/>
        <v>0.34999999999999992</v>
      </c>
      <c r="DM584" s="2">
        <f t="shared" si="8552"/>
        <v>0</v>
      </c>
      <c r="DN584" s="2" t="s">
        <v>204</v>
      </c>
      <c r="DO584" s="2" t="s">
        <v>3</v>
      </c>
      <c r="DP584" s="2">
        <f t="shared" si="8553"/>
        <v>0.13440000000000002</v>
      </c>
      <c r="DQ584" s="2">
        <f t="shared" ref="DQ584:DR584" si="9684">K584*$I584+AF584*$AD584+BA584*$AY584</f>
        <v>0</v>
      </c>
      <c r="DR584" s="2">
        <f t="shared" si="9684"/>
        <v>0</v>
      </c>
      <c r="DS584" s="2">
        <f t="shared" ref="DS584:DX584" si="9685">(M584*$I584+AH584*$AD584+BC584*$AY584)/100</f>
        <v>0</v>
      </c>
      <c r="DT584" s="2">
        <f t="shared" si="9685"/>
        <v>0</v>
      </c>
      <c r="DU584" s="2">
        <f t="shared" si="9685"/>
        <v>0</v>
      </c>
      <c r="DV584" s="2">
        <f t="shared" si="9685"/>
        <v>0</v>
      </c>
      <c r="DW584" s="2">
        <f t="shared" si="9685"/>
        <v>0.33599999999999997</v>
      </c>
      <c r="DX584" s="2">
        <f t="shared" si="9685"/>
        <v>0</v>
      </c>
      <c r="DY584" s="2">
        <f t="shared" ref="DY584:EC584" si="9686">S584*$I584+AN584*$AD584+BI584*$AY584</f>
        <v>0</v>
      </c>
      <c r="DZ584" s="2">
        <f t="shared" si="9686"/>
        <v>0</v>
      </c>
      <c r="EA584" s="2">
        <f t="shared" si="9686"/>
        <v>0</v>
      </c>
      <c r="EB584" s="2">
        <f t="shared" si="9686"/>
        <v>0</v>
      </c>
      <c r="EC584" s="2">
        <f t="shared" si="9686"/>
        <v>0</v>
      </c>
      <c r="ED584" s="2">
        <f t="shared" ref="ED584:EE584" si="9687">(X584*$I584+AS584*$AD584+BN584*$AY584)/100</f>
        <v>0</v>
      </c>
      <c r="EE584" s="2">
        <f t="shared" si="9687"/>
        <v>0</v>
      </c>
      <c r="EF584" s="2"/>
      <c r="EG584" s="2">
        <f t="shared" si="8558"/>
        <v>0</v>
      </c>
      <c r="EH584" s="2">
        <f t="shared" si="8559"/>
        <v>0</v>
      </c>
      <c r="EI584" s="39">
        <f t="shared" si="8560"/>
        <v>877.04279040000017</v>
      </c>
      <c r="EJ584" s="39">
        <f t="shared" ref="EJ584:EK584" si="9688">EJ$1*DQ584/1000000</f>
        <v>0</v>
      </c>
      <c r="EK584" s="39">
        <f t="shared" si="9688"/>
        <v>0</v>
      </c>
      <c r="EL584" s="39">
        <f t="shared" ref="EL584:EQ584" si="9689">EL$1*DS584</f>
        <v>0</v>
      </c>
      <c r="EM584" s="39">
        <f t="shared" si="9689"/>
        <v>0</v>
      </c>
      <c r="EN584" s="39">
        <f t="shared" si="9689"/>
        <v>0</v>
      </c>
      <c r="EO584" s="39">
        <f t="shared" si="9689"/>
        <v>0</v>
      </c>
      <c r="EP584" s="39">
        <f t="shared" si="9689"/>
        <v>4406.3039999999992</v>
      </c>
      <c r="EQ584" s="39">
        <f t="shared" si="9689"/>
        <v>0</v>
      </c>
      <c r="ER584" s="39">
        <f t="shared" ref="ER584:EV584" si="9690">ER$1*DY584/1000000</f>
        <v>0</v>
      </c>
      <c r="ES584" s="39">
        <f t="shared" si="9690"/>
        <v>0</v>
      </c>
      <c r="ET584" s="39">
        <f t="shared" si="9690"/>
        <v>0</v>
      </c>
      <c r="EU584" s="39">
        <f t="shared" si="9690"/>
        <v>0</v>
      </c>
      <c r="EV584" s="39">
        <f t="shared" si="9690"/>
        <v>0</v>
      </c>
      <c r="EW584" s="39">
        <f t="shared" ref="EW584:EX584" si="9691">EW$1*ED584</f>
        <v>0</v>
      </c>
      <c r="EX584" s="39">
        <f t="shared" si="9691"/>
        <v>0</v>
      </c>
      <c r="EY584" s="2"/>
      <c r="EZ584" s="39">
        <f t="shared" si="8565"/>
        <v>0</v>
      </c>
      <c r="FA584" s="39">
        <f t="shared" si="8566"/>
        <v>0</v>
      </c>
      <c r="FB584" s="2">
        <f t="shared" si="8567"/>
        <v>0</v>
      </c>
      <c r="FC584" s="2">
        <f t="shared" ref="FC584:FD584" si="9692">BV584*$BT584+CQ584*$CO584</f>
        <v>0</v>
      </c>
      <c r="FD584" s="2">
        <f t="shared" si="9692"/>
        <v>0</v>
      </c>
      <c r="FE584" s="2">
        <f t="shared" ref="FE584:FJ584" si="9693">(BX584*$BT584+CS584*$CO584)/100</f>
        <v>0</v>
      </c>
      <c r="FF584" s="2">
        <f t="shared" si="9693"/>
        <v>0</v>
      </c>
      <c r="FG584" s="2">
        <f t="shared" si="9693"/>
        <v>0</v>
      </c>
      <c r="FH584" s="2">
        <f t="shared" si="9693"/>
        <v>0</v>
      </c>
      <c r="FI584" s="2">
        <f t="shared" si="9693"/>
        <v>0</v>
      </c>
      <c r="FJ584" s="2">
        <f t="shared" si="9693"/>
        <v>0</v>
      </c>
      <c r="FK584" s="2">
        <f t="shared" ref="FK584:FO584" si="9694">CD584*$BT584+CY584*$CO584</f>
        <v>0</v>
      </c>
      <c r="FL584" s="2">
        <f t="shared" si="9694"/>
        <v>0</v>
      </c>
      <c r="FM584" s="2">
        <f t="shared" si="9694"/>
        <v>0</v>
      </c>
      <c r="FN584" s="2">
        <f t="shared" si="9694"/>
        <v>0</v>
      </c>
      <c r="FO584" s="2">
        <f t="shared" si="9694"/>
        <v>0</v>
      </c>
      <c r="FP584" s="2">
        <f t="shared" ref="FP584:FQ584" si="9695">(CI584*$BT584+DD584*$CO584)/100</f>
        <v>0</v>
      </c>
      <c r="FQ584" s="2">
        <f t="shared" si="9695"/>
        <v>0</v>
      </c>
      <c r="FR584" s="2"/>
      <c r="FS584" s="2">
        <f t="shared" si="8572"/>
        <v>0</v>
      </c>
      <c r="FT584" s="2">
        <f t="shared" si="8573"/>
        <v>0</v>
      </c>
      <c r="FU584" s="39">
        <f t="shared" si="8574"/>
        <v>0</v>
      </c>
      <c r="FV584" s="39">
        <f t="shared" ref="FV584:FW584" si="9696">FV$1*FC584/1000000</f>
        <v>0</v>
      </c>
      <c r="FW584" s="39">
        <f t="shared" si="9696"/>
        <v>0</v>
      </c>
      <c r="FX584" s="39">
        <f t="shared" ref="FX584:GC584" si="9697">FX$1*FE584</f>
        <v>0</v>
      </c>
      <c r="FY584" s="39">
        <f t="shared" si="9697"/>
        <v>0</v>
      </c>
      <c r="FZ584" s="39">
        <f t="shared" si="9697"/>
        <v>0</v>
      </c>
      <c r="GA584" s="39">
        <f t="shared" si="9697"/>
        <v>0</v>
      </c>
      <c r="GB584" s="39">
        <f t="shared" si="9697"/>
        <v>0</v>
      </c>
      <c r="GC584" s="39">
        <f t="shared" si="9697"/>
        <v>0</v>
      </c>
      <c r="GD584" s="39">
        <f t="shared" ref="GD584:GH584" si="9698">GD$1*FK584/1000000</f>
        <v>0</v>
      </c>
      <c r="GE584" s="39">
        <f t="shared" si="9698"/>
        <v>0</v>
      </c>
      <c r="GF584" s="39">
        <f t="shared" si="9698"/>
        <v>0</v>
      </c>
      <c r="GG584" s="39">
        <f t="shared" si="9698"/>
        <v>0</v>
      </c>
      <c r="GH584" s="39">
        <f t="shared" si="9698"/>
        <v>0</v>
      </c>
      <c r="GI584" s="39">
        <f t="shared" ref="GI584:GJ584" si="9699">GI$1*FP584</f>
        <v>0</v>
      </c>
      <c r="GJ584" s="39">
        <f t="shared" si="9699"/>
        <v>0</v>
      </c>
      <c r="GK584" s="2"/>
      <c r="GL584" s="39">
        <f t="shared" si="8579"/>
        <v>0</v>
      </c>
      <c r="GM584" s="39">
        <f t="shared" si="8580"/>
        <v>0</v>
      </c>
      <c r="GN584" s="2" t="s">
        <v>3</v>
      </c>
      <c r="GO584" s="2">
        <f t="shared" si="8581"/>
        <v>96</v>
      </c>
      <c r="GP584" s="2">
        <f t="shared" si="8582"/>
        <v>0.34999999999999992</v>
      </c>
      <c r="GQ584" s="15">
        <f t="shared" si="8583"/>
        <v>335.99999999999994</v>
      </c>
      <c r="GR584" s="15">
        <f t="shared" si="8584"/>
        <v>5283.346790399999</v>
      </c>
      <c r="GS584" s="15">
        <f t="shared" si="8585"/>
        <v>55.034862399999987</v>
      </c>
      <c r="GT584" s="2">
        <f t="shared" si="8586"/>
        <v>0</v>
      </c>
      <c r="GU584" s="2">
        <f t="shared" si="8587"/>
        <v>0</v>
      </c>
      <c r="GV584" s="2">
        <f t="shared" si="8588"/>
        <v>335.99999999999994</v>
      </c>
      <c r="GW584" s="2">
        <f t="shared" si="8589"/>
        <v>0</v>
      </c>
      <c r="GX584" s="2"/>
      <c r="GY584" s="2"/>
      <c r="GZ584" s="2"/>
      <c r="HA584" s="2"/>
      <c r="HB584" s="2">
        <f t="shared" si="8590"/>
        <v>0</v>
      </c>
      <c r="HC584" s="2">
        <f t="shared" si="8591"/>
        <v>0</v>
      </c>
      <c r="HD584" s="2" t="s">
        <v>3</v>
      </c>
      <c r="HE584" s="2" t="s">
        <v>89</v>
      </c>
      <c r="HF584" s="2" t="s">
        <v>123</v>
      </c>
      <c r="HG584" s="2"/>
      <c r="HH584" s="2"/>
      <c r="HI584" s="2" t="s">
        <v>100</v>
      </c>
      <c r="HJ584" s="2" t="s">
        <v>3</v>
      </c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 t="s">
        <v>3</v>
      </c>
    </row>
    <row r="585" spans="1:268" ht="15.75" customHeight="1" x14ac:dyDescent="0.2">
      <c r="A585" s="16" t="s">
        <v>523</v>
      </c>
      <c r="B585" s="2"/>
      <c r="C585" s="2"/>
      <c r="D585" s="2"/>
      <c r="E585" s="2"/>
      <c r="F585" s="2" t="s">
        <v>79</v>
      </c>
      <c r="G585" s="2"/>
      <c r="H585" s="2"/>
      <c r="I585" s="2">
        <v>0</v>
      </c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>
        <v>0</v>
      </c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>
        <v>35</v>
      </c>
      <c r="AZ585" s="2">
        <v>0.3</v>
      </c>
      <c r="BA585" s="2"/>
      <c r="BB585" s="2"/>
      <c r="BC585" s="2"/>
      <c r="BD585" s="2"/>
      <c r="BE585" s="2"/>
      <c r="BF585" s="2"/>
      <c r="BG585" s="2">
        <v>0.6</v>
      </c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 t="s">
        <v>100</v>
      </c>
      <c r="DK585" s="2"/>
      <c r="DL585" s="2">
        <f t="shared" si="8551"/>
        <v>0.6</v>
      </c>
      <c r="DM585" s="2">
        <f t="shared" si="8552"/>
        <v>0</v>
      </c>
      <c r="DN585" s="2" t="s">
        <v>204</v>
      </c>
      <c r="DO585" s="2" t="s">
        <v>3</v>
      </c>
      <c r="DP585" s="2">
        <f t="shared" si="8553"/>
        <v>0.105</v>
      </c>
      <c r="DQ585" s="2">
        <f t="shared" ref="DQ585:DR585" si="9700">K585*$I585+AF585*$AD585+BA585*$AY585</f>
        <v>0</v>
      </c>
      <c r="DR585" s="2">
        <f t="shared" si="9700"/>
        <v>0</v>
      </c>
      <c r="DS585" s="2">
        <f t="shared" ref="DS585:DX585" si="9701">(M585*$I585+AH585*$AD585+BC585*$AY585)/100</f>
        <v>0</v>
      </c>
      <c r="DT585" s="2">
        <f t="shared" si="9701"/>
        <v>0</v>
      </c>
      <c r="DU585" s="2">
        <f t="shared" si="9701"/>
        <v>0</v>
      </c>
      <c r="DV585" s="2">
        <f t="shared" si="9701"/>
        <v>0</v>
      </c>
      <c r="DW585" s="2">
        <f t="shared" si="9701"/>
        <v>0.21</v>
      </c>
      <c r="DX585" s="2">
        <f t="shared" si="9701"/>
        <v>0</v>
      </c>
      <c r="DY585" s="2">
        <f t="shared" ref="DY585:EC585" si="9702">S585*$I585+AN585*$AD585+BI585*$AY585</f>
        <v>0</v>
      </c>
      <c r="DZ585" s="2">
        <f t="shared" si="9702"/>
        <v>0</v>
      </c>
      <c r="EA585" s="2">
        <f t="shared" si="9702"/>
        <v>0</v>
      </c>
      <c r="EB585" s="2">
        <f t="shared" si="9702"/>
        <v>0</v>
      </c>
      <c r="EC585" s="2">
        <f t="shared" si="9702"/>
        <v>0</v>
      </c>
      <c r="ED585" s="2">
        <f t="shared" ref="ED585:EE585" si="9703">(X585*$I585+AS585*$AD585+BN585*$AY585)/100</f>
        <v>0</v>
      </c>
      <c r="EE585" s="2">
        <f t="shared" si="9703"/>
        <v>0</v>
      </c>
      <c r="EF585" s="2"/>
      <c r="EG585" s="2">
        <f t="shared" si="8558"/>
        <v>0</v>
      </c>
      <c r="EH585" s="2">
        <f t="shared" si="8559"/>
        <v>0</v>
      </c>
      <c r="EI585" s="39">
        <f t="shared" si="8560"/>
        <v>685.18967999999995</v>
      </c>
      <c r="EJ585" s="39">
        <f t="shared" ref="EJ585:EK585" si="9704">EJ$1*DQ585/1000000</f>
        <v>0</v>
      </c>
      <c r="EK585" s="39">
        <f t="shared" si="9704"/>
        <v>0</v>
      </c>
      <c r="EL585" s="39">
        <f t="shared" ref="EL585:EQ585" si="9705">EL$1*DS585</f>
        <v>0</v>
      </c>
      <c r="EM585" s="39">
        <f t="shared" si="9705"/>
        <v>0</v>
      </c>
      <c r="EN585" s="39">
        <f t="shared" si="9705"/>
        <v>0</v>
      </c>
      <c r="EO585" s="39">
        <f t="shared" si="9705"/>
        <v>0</v>
      </c>
      <c r="EP585" s="39">
        <f t="shared" si="9705"/>
        <v>2753.94</v>
      </c>
      <c r="EQ585" s="39">
        <f t="shared" si="9705"/>
        <v>0</v>
      </c>
      <c r="ER585" s="39">
        <f t="shared" ref="ER585:EV585" si="9706">ER$1*DY585/1000000</f>
        <v>0</v>
      </c>
      <c r="ES585" s="39">
        <f t="shared" si="9706"/>
        <v>0</v>
      </c>
      <c r="ET585" s="39">
        <f t="shared" si="9706"/>
        <v>0</v>
      </c>
      <c r="EU585" s="39">
        <f t="shared" si="9706"/>
        <v>0</v>
      </c>
      <c r="EV585" s="39">
        <f t="shared" si="9706"/>
        <v>0</v>
      </c>
      <c r="EW585" s="39">
        <f t="shared" ref="EW585:EX585" si="9707">EW$1*ED585</f>
        <v>0</v>
      </c>
      <c r="EX585" s="39">
        <f t="shared" si="9707"/>
        <v>0</v>
      </c>
      <c r="EY585" s="2"/>
      <c r="EZ585" s="39">
        <f t="shared" si="8565"/>
        <v>0</v>
      </c>
      <c r="FA585" s="39">
        <f t="shared" si="8566"/>
        <v>0</v>
      </c>
      <c r="FB585" s="2">
        <f t="shared" si="8567"/>
        <v>0</v>
      </c>
      <c r="FC585" s="2">
        <f t="shared" ref="FC585:FD585" si="9708">BV585*$BT585+CQ585*$CO585</f>
        <v>0</v>
      </c>
      <c r="FD585" s="2">
        <f t="shared" si="9708"/>
        <v>0</v>
      </c>
      <c r="FE585" s="2">
        <f t="shared" ref="FE585:FJ585" si="9709">(BX585*$BT585+CS585*$CO585)/100</f>
        <v>0</v>
      </c>
      <c r="FF585" s="2">
        <f t="shared" si="9709"/>
        <v>0</v>
      </c>
      <c r="FG585" s="2">
        <f t="shared" si="9709"/>
        <v>0</v>
      </c>
      <c r="FH585" s="2">
        <f t="shared" si="9709"/>
        <v>0</v>
      </c>
      <c r="FI585" s="2">
        <f t="shared" si="9709"/>
        <v>0</v>
      </c>
      <c r="FJ585" s="2">
        <f t="shared" si="9709"/>
        <v>0</v>
      </c>
      <c r="FK585" s="2">
        <f t="shared" ref="FK585:FO585" si="9710">CD585*$BT585+CY585*$CO585</f>
        <v>0</v>
      </c>
      <c r="FL585" s="2">
        <f t="shared" si="9710"/>
        <v>0</v>
      </c>
      <c r="FM585" s="2">
        <f t="shared" si="9710"/>
        <v>0</v>
      </c>
      <c r="FN585" s="2">
        <f t="shared" si="9710"/>
        <v>0</v>
      </c>
      <c r="FO585" s="2">
        <f t="shared" si="9710"/>
        <v>0</v>
      </c>
      <c r="FP585" s="2">
        <f t="shared" ref="FP585:FQ585" si="9711">(CI585*$BT585+DD585*$CO585)/100</f>
        <v>0</v>
      </c>
      <c r="FQ585" s="2">
        <f t="shared" si="9711"/>
        <v>0</v>
      </c>
      <c r="FR585" s="2"/>
      <c r="FS585" s="2">
        <f t="shared" si="8572"/>
        <v>0</v>
      </c>
      <c r="FT585" s="2">
        <f t="shared" si="8573"/>
        <v>0</v>
      </c>
      <c r="FU585" s="39">
        <f t="shared" si="8574"/>
        <v>0</v>
      </c>
      <c r="FV585" s="39">
        <f t="shared" ref="FV585:FW585" si="9712">FV$1*FC585/1000000</f>
        <v>0</v>
      </c>
      <c r="FW585" s="39">
        <f t="shared" si="9712"/>
        <v>0</v>
      </c>
      <c r="FX585" s="39">
        <f t="shared" ref="FX585:GC585" si="9713">FX$1*FE585</f>
        <v>0</v>
      </c>
      <c r="FY585" s="39">
        <f t="shared" si="9713"/>
        <v>0</v>
      </c>
      <c r="FZ585" s="39">
        <f t="shared" si="9713"/>
        <v>0</v>
      </c>
      <c r="GA585" s="39">
        <f t="shared" si="9713"/>
        <v>0</v>
      </c>
      <c r="GB585" s="39">
        <f t="shared" si="9713"/>
        <v>0</v>
      </c>
      <c r="GC585" s="39">
        <f t="shared" si="9713"/>
        <v>0</v>
      </c>
      <c r="GD585" s="39">
        <f t="shared" ref="GD585:GH585" si="9714">GD$1*FK585/1000000</f>
        <v>0</v>
      </c>
      <c r="GE585" s="39">
        <f t="shared" si="9714"/>
        <v>0</v>
      </c>
      <c r="GF585" s="39">
        <f t="shared" si="9714"/>
        <v>0</v>
      </c>
      <c r="GG585" s="39">
        <f t="shared" si="9714"/>
        <v>0</v>
      </c>
      <c r="GH585" s="39">
        <f t="shared" si="9714"/>
        <v>0</v>
      </c>
      <c r="GI585" s="39">
        <f t="shared" ref="GI585:GJ585" si="9715">GI$1*FP585</f>
        <v>0</v>
      </c>
      <c r="GJ585" s="39">
        <f t="shared" si="9715"/>
        <v>0</v>
      </c>
      <c r="GK585" s="2"/>
      <c r="GL585" s="39">
        <f t="shared" si="8579"/>
        <v>0</v>
      </c>
      <c r="GM585" s="39">
        <f t="shared" si="8580"/>
        <v>0</v>
      </c>
      <c r="GN585" s="2" t="s">
        <v>3</v>
      </c>
      <c r="GO585" s="2">
        <f t="shared" si="8581"/>
        <v>35</v>
      </c>
      <c r="GP585" s="2">
        <f t="shared" si="8582"/>
        <v>0.6</v>
      </c>
      <c r="GQ585" s="15">
        <f t="shared" si="8583"/>
        <v>210</v>
      </c>
      <c r="GR585" s="15">
        <f t="shared" si="8584"/>
        <v>3439.12968</v>
      </c>
      <c r="GS585" s="15">
        <f t="shared" si="8585"/>
        <v>98.260847999999996</v>
      </c>
      <c r="GT585" s="2">
        <f t="shared" si="8586"/>
        <v>0</v>
      </c>
      <c r="GU585" s="2">
        <f t="shared" si="8587"/>
        <v>0</v>
      </c>
      <c r="GV585" s="2">
        <f t="shared" si="8588"/>
        <v>210</v>
      </c>
      <c r="GW585" s="2">
        <f t="shared" si="8589"/>
        <v>0</v>
      </c>
      <c r="GX585" s="2"/>
      <c r="GY585" s="2"/>
      <c r="GZ585" s="2"/>
      <c r="HA585" s="2"/>
      <c r="HB585" s="2">
        <f t="shared" si="8590"/>
        <v>0</v>
      </c>
      <c r="HC585" s="2">
        <f t="shared" si="8591"/>
        <v>0</v>
      </c>
      <c r="HD585" s="2" t="s">
        <v>3</v>
      </c>
      <c r="HE585" s="2" t="s">
        <v>89</v>
      </c>
      <c r="HF585" s="2" t="s">
        <v>123</v>
      </c>
      <c r="HG585" s="2"/>
      <c r="HH585" s="2"/>
      <c r="HI585" s="2" t="s">
        <v>100</v>
      </c>
      <c r="HJ585" s="2" t="s">
        <v>3</v>
      </c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 t="s">
        <v>3</v>
      </c>
    </row>
    <row r="586" spans="1:268" ht="15.75" customHeight="1" x14ac:dyDescent="0.2">
      <c r="A586" s="16" t="s">
        <v>1235</v>
      </c>
      <c r="B586" s="2"/>
      <c r="C586" s="2"/>
      <c r="D586" s="2"/>
      <c r="E586" s="2"/>
      <c r="F586" s="2" t="s">
        <v>79</v>
      </c>
      <c r="G586" s="2"/>
      <c r="H586" s="2"/>
      <c r="I586" s="2">
        <v>0</v>
      </c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>
        <v>0</v>
      </c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>
        <v>8.3000000000000007</v>
      </c>
      <c r="AZ586" s="2">
        <v>0.24</v>
      </c>
      <c r="BA586" s="2"/>
      <c r="BB586" s="2"/>
      <c r="BC586" s="2"/>
      <c r="BD586" s="2"/>
      <c r="BE586" s="2"/>
      <c r="BF586" s="2"/>
      <c r="BG586" s="2">
        <v>0.6</v>
      </c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 t="s">
        <v>100</v>
      </c>
      <c r="DK586" s="2"/>
      <c r="DL586" s="2">
        <f t="shared" si="8551"/>
        <v>0.6</v>
      </c>
      <c r="DM586" s="2">
        <f t="shared" si="8552"/>
        <v>0</v>
      </c>
      <c r="DN586" s="2" t="s">
        <v>204</v>
      </c>
      <c r="DO586" s="2" t="s">
        <v>3</v>
      </c>
      <c r="DP586" s="2">
        <f t="shared" si="8553"/>
        <v>1.992E-2</v>
      </c>
      <c r="DQ586" s="2">
        <f t="shared" ref="DQ586:DR586" si="9716">K586*$I586+AF586*$AD586+BA586*$AY586</f>
        <v>0</v>
      </c>
      <c r="DR586" s="2">
        <f t="shared" si="9716"/>
        <v>0</v>
      </c>
      <c r="DS586" s="2">
        <f t="shared" ref="DS586:DX586" si="9717">(M586*$I586+AH586*$AD586+BC586*$AY586)/100</f>
        <v>0</v>
      </c>
      <c r="DT586" s="2">
        <f t="shared" si="9717"/>
        <v>0</v>
      </c>
      <c r="DU586" s="2">
        <f t="shared" si="9717"/>
        <v>0</v>
      </c>
      <c r="DV586" s="2">
        <f t="shared" si="9717"/>
        <v>0</v>
      </c>
      <c r="DW586" s="2">
        <f t="shared" si="9717"/>
        <v>4.9800000000000004E-2</v>
      </c>
      <c r="DX586" s="2">
        <f t="shared" si="9717"/>
        <v>0</v>
      </c>
      <c r="DY586" s="2">
        <f t="shared" ref="DY586:EC586" si="9718">S586*$I586+AN586*$AD586+BI586*$AY586</f>
        <v>0</v>
      </c>
      <c r="DZ586" s="2">
        <f t="shared" si="9718"/>
        <v>0</v>
      </c>
      <c r="EA586" s="2">
        <f t="shared" si="9718"/>
        <v>0</v>
      </c>
      <c r="EB586" s="2">
        <f t="shared" si="9718"/>
        <v>0</v>
      </c>
      <c r="EC586" s="2">
        <f t="shared" si="9718"/>
        <v>0</v>
      </c>
      <c r="ED586" s="2">
        <f t="shared" ref="ED586:EE586" si="9719">(X586*$I586+AS586*$AD586+BN586*$AY586)/100</f>
        <v>0</v>
      </c>
      <c r="EE586" s="2">
        <f t="shared" si="9719"/>
        <v>0</v>
      </c>
      <c r="EF586" s="2"/>
      <c r="EG586" s="2">
        <f t="shared" si="8558"/>
        <v>0</v>
      </c>
      <c r="EH586" s="2">
        <f t="shared" si="8559"/>
        <v>0</v>
      </c>
      <c r="EI586" s="39">
        <f t="shared" si="8560"/>
        <v>129.99027072000001</v>
      </c>
      <c r="EJ586" s="39">
        <f t="shared" ref="EJ586:EK586" si="9720">EJ$1*DQ586/1000000</f>
        <v>0</v>
      </c>
      <c r="EK586" s="39">
        <f t="shared" si="9720"/>
        <v>0</v>
      </c>
      <c r="EL586" s="39">
        <f t="shared" ref="EL586:EQ586" si="9721">EL$1*DS586</f>
        <v>0</v>
      </c>
      <c r="EM586" s="39">
        <f t="shared" si="9721"/>
        <v>0</v>
      </c>
      <c r="EN586" s="39">
        <f t="shared" si="9721"/>
        <v>0</v>
      </c>
      <c r="EO586" s="39">
        <f t="shared" si="9721"/>
        <v>0</v>
      </c>
      <c r="EP586" s="39">
        <f t="shared" si="9721"/>
        <v>653.07720000000006</v>
      </c>
      <c r="EQ586" s="39">
        <f t="shared" si="9721"/>
        <v>0</v>
      </c>
      <c r="ER586" s="39">
        <f t="shared" ref="ER586:EV586" si="9722">ER$1*DY586/1000000</f>
        <v>0</v>
      </c>
      <c r="ES586" s="39">
        <f t="shared" si="9722"/>
        <v>0</v>
      </c>
      <c r="ET586" s="39">
        <f t="shared" si="9722"/>
        <v>0</v>
      </c>
      <c r="EU586" s="39">
        <f t="shared" si="9722"/>
        <v>0</v>
      </c>
      <c r="EV586" s="39">
        <f t="shared" si="9722"/>
        <v>0</v>
      </c>
      <c r="EW586" s="39">
        <f t="shared" ref="EW586:EX586" si="9723">EW$1*ED586</f>
        <v>0</v>
      </c>
      <c r="EX586" s="39">
        <f t="shared" si="9723"/>
        <v>0</v>
      </c>
      <c r="EY586" s="2"/>
      <c r="EZ586" s="39">
        <f t="shared" si="8565"/>
        <v>0</v>
      </c>
      <c r="FA586" s="39">
        <f t="shared" si="8566"/>
        <v>0</v>
      </c>
      <c r="FB586" s="2">
        <f t="shared" si="8567"/>
        <v>0</v>
      </c>
      <c r="FC586" s="2">
        <f t="shared" ref="FC586:FD586" si="9724">BV586*$BT586+CQ586*$CO586</f>
        <v>0</v>
      </c>
      <c r="FD586" s="2">
        <f t="shared" si="9724"/>
        <v>0</v>
      </c>
      <c r="FE586" s="2">
        <f t="shared" ref="FE586:FJ586" si="9725">(BX586*$BT586+CS586*$CO586)/100</f>
        <v>0</v>
      </c>
      <c r="FF586" s="2">
        <f t="shared" si="9725"/>
        <v>0</v>
      </c>
      <c r="FG586" s="2">
        <f t="shared" si="9725"/>
        <v>0</v>
      </c>
      <c r="FH586" s="2">
        <f t="shared" si="9725"/>
        <v>0</v>
      </c>
      <c r="FI586" s="2">
        <f t="shared" si="9725"/>
        <v>0</v>
      </c>
      <c r="FJ586" s="2">
        <f t="shared" si="9725"/>
        <v>0</v>
      </c>
      <c r="FK586" s="2">
        <f t="shared" ref="FK586:FO586" si="9726">CD586*$BT586+CY586*$CO586</f>
        <v>0</v>
      </c>
      <c r="FL586" s="2">
        <f t="shared" si="9726"/>
        <v>0</v>
      </c>
      <c r="FM586" s="2">
        <f t="shared" si="9726"/>
        <v>0</v>
      </c>
      <c r="FN586" s="2">
        <f t="shared" si="9726"/>
        <v>0</v>
      </c>
      <c r="FO586" s="2">
        <f t="shared" si="9726"/>
        <v>0</v>
      </c>
      <c r="FP586" s="2">
        <f t="shared" ref="FP586:FQ586" si="9727">(CI586*$BT586+DD586*$CO586)/100</f>
        <v>0</v>
      </c>
      <c r="FQ586" s="2">
        <f t="shared" si="9727"/>
        <v>0</v>
      </c>
      <c r="FR586" s="2"/>
      <c r="FS586" s="2">
        <f t="shared" si="8572"/>
        <v>0</v>
      </c>
      <c r="FT586" s="2">
        <f t="shared" si="8573"/>
        <v>0</v>
      </c>
      <c r="FU586" s="39">
        <f t="shared" si="8574"/>
        <v>0</v>
      </c>
      <c r="FV586" s="39">
        <f t="shared" ref="FV586:FW586" si="9728">FV$1*FC586/1000000</f>
        <v>0</v>
      </c>
      <c r="FW586" s="39">
        <f t="shared" si="9728"/>
        <v>0</v>
      </c>
      <c r="FX586" s="39">
        <f t="shared" ref="FX586:GC586" si="9729">FX$1*FE586</f>
        <v>0</v>
      </c>
      <c r="FY586" s="39">
        <f t="shared" si="9729"/>
        <v>0</v>
      </c>
      <c r="FZ586" s="39">
        <f t="shared" si="9729"/>
        <v>0</v>
      </c>
      <c r="GA586" s="39">
        <f t="shared" si="9729"/>
        <v>0</v>
      </c>
      <c r="GB586" s="39">
        <f t="shared" si="9729"/>
        <v>0</v>
      </c>
      <c r="GC586" s="39">
        <f t="shared" si="9729"/>
        <v>0</v>
      </c>
      <c r="GD586" s="39">
        <f t="shared" ref="GD586:GH586" si="9730">GD$1*FK586/1000000</f>
        <v>0</v>
      </c>
      <c r="GE586" s="39">
        <f t="shared" si="9730"/>
        <v>0</v>
      </c>
      <c r="GF586" s="39">
        <f t="shared" si="9730"/>
        <v>0</v>
      </c>
      <c r="GG586" s="39">
        <f t="shared" si="9730"/>
        <v>0</v>
      </c>
      <c r="GH586" s="39">
        <f t="shared" si="9730"/>
        <v>0</v>
      </c>
      <c r="GI586" s="39">
        <f t="shared" ref="GI586:GJ586" si="9731">GI$1*FP586</f>
        <v>0</v>
      </c>
      <c r="GJ586" s="39">
        <f t="shared" si="9731"/>
        <v>0</v>
      </c>
      <c r="GK586" s="2"/>
      <c r="GL586" s="39">
        <f t="shared" si="8579"/>
        <v>0</v>
      </c>
      <c r="GM586" s="39">
        <f t="shared" si="8580"/>
        <v>0</v>
      </c>
      <c r="GN586" s="2" t="s">
        <v>3</v>
      </c>
      <c r="GO586" s="2">
        <f t="shared" si="8581"/>
        <v>8.3000000000000007</v>
      </c>
      <c r="GP586" s="2">
        <f t="shared" si="8582"/>
        <v>0.6</v>
      </c>
      <c r="GQ586" s="15">
        <f t="shared" si="8583"/>
        <v>49.8</v>
      </c>
      <c r="GR586" s="15">
        <f t="shared" si="8584"/>
        <v>783.06747072000007</v>
      </c>
      <c r="GS586" s="15">
        <f t="shared" si="8585"/>
        <v>94.345478400000005</v>
      </c>
      <c r="GT586" s="2">
        <f t="shared" si="8586"/>
        <v>0</v>
      </c>
      <c r="GU586" s="2">
        <f t="shared" si="8587"/>
        <v>0</v>
      </c>
      <c r="GV586" s="2">
        <f t="shared" si="8588"/>
        <v>49.8</v>
      </c>
      <c r="GW586" s="2">
        <f t="shared" si="8589"/>
        <v>0</v>
      </c>
      <c r="GX586" s="2"/>
      <c r="GY586" s="2"/>
      <c r="GZ586" s="2"/>
      <c r="HA586" s="2"/>
      <c r="HB586" s="2">
        <f t="shared" si="8590"/>
        <v>0</v>
      </c>
      <c r="HC586" s="2">
        <f t="shared" si="8591"/>
        <v>0</v>
      </c>
      <c r="HD586" s="2" t="s">
        <v>3</v>
      </c>
      <c r="HE586" s="2" t="s">
        <v>89</v>
      </c>
      <c r="HF586" s="2" t="s">
        <v>123</v>
      </c>
      <c r="HG586" s="2"/>
      <c r="HH586" s="2"/>
      <c r="HI586" s="2" t="s">
        <v>100</v>
      </c>
      <c r="HJ586" s="2" t="s">
        <v>3</v>
      </c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 t="s">
        <v>3</v>
      </c>
    </row>
    <row r="587" spans="1:268" ht="15.75" customHeight="1" x14ac:dyDescent="0.2">
      <c r="A587" s="16" t="s">
        <v>539</v>
      </c>
      <c r="B587" s="2"/>
      <c r="C587" s="2"/>
      <c r="D587" s="2"/>
      <c r="E587" s="2"/>
      <c r="F587" s="2" t="s">
        <v>79</v>
      </c>
      <c r="G587" s="2"/>
      <c r="H587" s="2"/>
      <c r="I587" s="2">
        <v>0</v>
      </c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>
        <v>0</v>
      </c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>
        <v>8.9</v>
      </c>
      <c r="AZ587" s="2">
        <v>0.63</v>
      </c>
      <c r="BA587" s="2"/>
      <c r="BB587" s="2"/>
      <c r="BC587" s="2"/>
      <c r="BD587" s="2"/>
      <c r="BE587" s="2"/>
      <c r="BF587" s="2"/>
      <c r="BG587" s="2">
        <v>2.2999999999999998</v>
      </c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 t="s">
        <v>100</v>
      </c>
      <c r="DK587" s="2"/>
      <c r="DL587" s="2">
        <f t="shared" si="8551"/>
        <v>2.2999999999999998</v>
      </c>
      <c r="DM587" s="2">
        <f t="shared" si="8552"/>
        <v>0</v>
      </c>
      <c r="DN587" s="2" t="s">
        <v>204</v>
      </c>
      <c r="DO587" s="2" t="s">
        <v>3</v>
      </c>
      <c r="DP587" s="2">
        <f t="shared" si="8553"/>
        <v>5.6070000000000002E-2</v>
      </c>
      <c r="DQ587" s="2">
        <f t="shared" ref="DQ587:DR587" si="9732">K587*$I587+AF587*$AD587+BA587*$AY587</f>
        <v>0</v>
      </c>
      <c r="DR587" s="2">
        <f t="shared" si="9732"/>
        <v>0</v>
      </c>
      <c r="DS587" s="2">
        <f t="shared" ref="DS587:DX587" si="9733">(M587*$I587+AH587*$AD587+BC587*$AY587)/100</f>
        <v>0</v>
      </c>
      <c r="DT587" s="2">
        <f t="shared" si="9733"/>
        <v>0</v>
      </c>
      <c r="DU587" s="2">
        <f t="shared" si="9733"/>
        <v>0</v>
      </c>
      <c r="DV587" s="2">
        <f t="shared" si="9733"/>
        <v>0</v>
      </c>
      <c r="DW587" s="2">
        <f t="shared" si="9733"/>
        <v>0.20469999999999999</v>
      </c>
      <c r="DX587" s="2">
        <f t="shared" si="9733"/>
        <v>0</v>
      </c>
      <c r="DY587" s="2">
        <f t="shared" ref="DY587:EC587" si="9734">S587*$I587+AN587*$AD587+BI587*$AY587</f>
        <v>0</v>
      </c>
      <c r="DZ587" s="2">
        <f t="shared" si="9734"/>
        <v>0</v>
      </c>
      <c r="EA587" s="2">
        <f t="shared" si="9734"/>
        <v>0</v>
      </c>
      <c r="EB587" s="2">
        <f t="shared" si="9734"/>
        <v>0</v>
      </c>
      <c r="EC587" s="2">
        <f t="shared" si="9734"/>
        <v>0</v>
      </c>
      <c r="ED587" s="2">
        <f t="shared" ref="ED587:EE587" si="9735">(X587*$I587+AS587*$AD587+BN587*$AY587)/100</f>
        <v>0</v>
      </c>
      <c r="EE587" s="2">
        <f t="shared" si="9735"/>
        <v>0</v>
      </c>
      <c r="EF587" s="2"/>
      <c r="EG587" s="2">
        <f t="shared" si="8558"/>
        <v>0</v>
      </c>
      <c r="EH587" s="2">
        <f t="shared" si="8559"/>
        <v>0</v>
      </c>
      <c r="EI587" s="39">
        <f t="shared" si="8560"/>
        <v>365.89128912000001</v>
      </c>
      <c r="EJ587" s="39">
        <f t="shared" ref="EJ587:EK587" si="9736">EJ$1*DQ587/1000000</f>
        <v>0</v>
      </c>
      <c r="EK587" s="39">
        <f t="shared" si="9736"/>
        <v>0</v>
      </c>
      <c r="EL587" s="39">
        <f t="shared" ref="EL587:EQ587" si="9737">EL$1*DS587</f>
        <v>0</v>
      </c>
      <c r="EM587" s="39">
        <f t="shared" si="9737"/>
        <v>0</v>
      </c>
      <c r="EN587" s="39">
        <f t="shared" si="9737"/>
        <v>0</v>
      </c>
      <c r="EO587" s="39">
        <f t="shared" si="9737"/>
        <v>0</v>
      </c>
      <c r="EP587" s="39">
        <f t="shared" si="9737"/>
        <v>2684.4357999999997</v>
      </c>
      <c r="EQ587" s="39">
        <f t="shared" si="9737"/>
        <v>0</v>
      </c>
      <c r="ER587" s="39">
        <f t="shared" ref="ER587:EV587" si="9738">ER$1*DY587/1000000</f>
        <v>0</v>
      </c>
      <c r="ES587" s="39">
        <f t="shared" si="9738"/>
        <v>0</v>
      </c>
      <c r="ET587" s="39">
        <f t="shared" si="9738"/>
        <v>0</v>
      </c>
      <c r="EU587" s="39">
        <f t="shared" si="9738"/>
        <v>0</v>
      </c>
      <c r="EV587" s="39">
        <f t="shared" si="9738"/>
        <v>0</v>
      </c>
      <c r="EW587" s="39">
        <f t="shared" ref="EW587:EX587" si="9739">EW$1*ED587</f>
        <v>0</v>
      </c>
      <c r="EX587" s="39">
        <f t="shared" si="9739"/>
        <v>0</v>
      </c>
      <c r="EY587" s="2"/>
      <c r="EZ587" s="39">
        <f t="shared" si="8565"/>
        <v>0</v>
      </c>
      <c r="FA587" s="39">
        <f t="shared" si="8566"/>
        <v>0</v>
      </c>
      <c r="FB587" s="2">
        <f t="shared" si="8567"/>
        <v>0</v>
      </c>
      <c r="FC587" s="2">
        <f t="shared" ref="FC587:FD587" si="9740">BV587*$BT587+CQ587*$CO587</f>
        <v>0</v>
      </c>
      <c r="FD587" s="2">
        <f t="shared" si="9740"/>
        <v>0</v>
      </c>
      <c r="FE587" s="2">
        <f t="shared" ref="FE587:FJ587" si="9741">(BX587*$BT587+CS587*$CO587)/100</f>
        <v>0</v>
      </c>
      <c r="FF587" s="2">
        <f t="shared" si="9741"/>
        <v>0</v>
      </c>
      <c r="FG587" s="2">
        <f t="shared" si="9741"/>
        <v>0</v>
      </c>
      <c r="FH587" s="2">
        <f t="shared" si="9741"/>
        <v>0</v>
      </c>
      <c r="FI587" s="2">
        <f t="shared" si="9741"/>
        <v>0</v>
      </c>
      <c r="FJ587" s="2">
        <f t="shared" si="9741"/>
        <v>0</v>
      </c>
      <c r="FK587" s="2">
        <f t="shared" ref="FK587:FO587" si="9742">CD587*$BT587+CY587*$CO587</f>
        <v>0</v>
      </c>
      <c r="FL587" s="2">
        <f t="shared" si="9742"/>
        <v>0</v>
      </c>
      <c r="FM587" s="2">
        <f t="shared" si="9742"/>
        <v>0</v>
      </c>
      <c r="FN587" s="2">
        <f t="shared" si="9742"/>
        <v>0</v>
      </c>
      <c r="FO587" s="2">
        <f t="shared" si="9742"/>
        <v>0</v>
      </c>
      <c r="FP587" s="2">
        <f t="shared" ref="FP587:FQ587" si="9743">(CI587*$BT587+DD587*$CO587)/100</f>
        <v>0</v>
      </c>
      <c r="FQ587" s="2">
        <f t="shared" si="9743"/>
        <v>0</v>
      </c>
      <c r="FR587" s="2"/>
      <c r="FS587" s="2">
        <f t="shared" si="8572"/>
        <v>0</v>
      </c>
      <c r="FT587" s="2">
        <f t="shared" si="8573"/>
        <v>0</v>
      </c>
      <c r="FU587" s="39">
        <f t="shared" si="8574"/>
        <v>0</v>
      </c>
      <c r="FV587" s="39">
        <f t="shared" ref="FV587:FW587" si="9744">FV$1*FC587/1000000</f>
        <v>0</v>
      </c>
      <c r="FW587" s="39">
        <f t="shared" si="9744"/>
        <v>0</v>
      </c>
      <c r="FX587" s="39">
        <f t="shared" ref="FX587:GC587" si="9745">FX$1*FE587</f>
        <v>0</v>
      </c>
      <c r="FY587" s="39">
        <f t="shared" si="9745"/>
        <v>0</v>
      </c>
      <c r="FZ587" s="39">
        <f t="shared" si="9745"/>
        <v>0</v>
      </c>
      <c r="GA587" s="39">
        <f t="shared" si="9745"/>
        <v>0</v>
      </c>
      <c r="GB587" s="39">
        <f t="shared" si="9745"/>
        <v>0</v>
      </c>
      <c r="GC587" s="39">
        <f t="shared" si="9745"/>
        <v>0</v>
      </c>
      <c r="GD587" s="39">
        <f t="shared" ref="GD587:GH587" si="9746">GD$1*FK587/1000000</f>
        <v>0</v>
      </c>
      <c r="GE587" s="39">
        <f t="shared" si="9746"/>
        <v>0</v>
      </c>
      <c r="GF587" s="39">
        <f t="shared" si="9746"/>
        <v>0</v>
      </c>
      <c r="GG587" s="39">
        <f t="shared" si="9746"/>
        <v>0</v>
      </c>
      <c r="GH587" s="39">
        <f t="shared" si="9746"/>
        <v>0</v>
      </c>
      <c r="GI587" s="39">
        <f t="shared" ref="GI587:GJ587" si="9747">GI$1*FP587</f>
        <v>0</v>
      </c>
      <c r="GJ587" s="39">
        <f t="shared" si="9747"/>
        <v>0</v>
      </c>
      <c r="GK587" s="2"/>
      <c r="GL587" s="39">
        <f t="shared" si="8579"/>
        <v>0</v>
      </c>
      <c r="GM587" s="39">
        <f t="shared" si="8580"/>
        <v>0</v>
      </c>
      <c r="GN587" s="2" t="s">
        <v>3</v>
      </c>
      <c r="GO587" s="2">
        <f t="shared" si="8581"/>
        <v>8.9</v>
      </c>
      <c r="GP587" s="2">
        <f t="shared" si="8582"/>
        <v>2.2999999999999998</v>
      </c>
      <c r="GQ587" s="15">
        <f t="shared" si="8583"/>
        <v>204.7</v>
      </c>
      <c r="GR587" s="15">
        <f t="shared" si="8584"/>
        <v>3050.32708912</v>
      </c>
      <c r="GS587" s="15">
        <f t="shared" si="8585"/>
        <v>342.73338079999996</v>
      </c>
      <c r="GT587" s="2">
        <f t="shared" si="8586"/>
        <v>0</v>
      </c>
      <c r="GU587" s="2">
        <f t="shared" si="8587"/>
        <v>0</v>
      </c>
      <c r="GV587" s="2">
        <f t="shared" si="8588"/>
        <v>204.7</v>
      </c>
      <c r="GW587" s="2">
        <f t="shared" si="8589"/>
        <v>0</v>
      </c>
      <c r="GX587" s="2"/>
      <c r="GY587" s="2"/>
      <c r="GZ587" s="2"/>
      <c r="HA587" s="2"/>
      <c r="HB587" s="2">
        <f t="shared" si="8590"/>
        <v>0</v>
      </c>
      <c r="HC587" s="2">
        <f t="shared" si="8591"/>
        <v>0</v>
      </c>
      <c r="HD587" s="2" t="s">
        <v>3</v>
      </c>
      <c r="HE587" s="2" t="s">
        <v>89</v>
      </c>
      <c r="HF587" s="2" t="s">
        <v>123</v>
      </c>
      <c r="HG587" s="2"/>
      <c r="HH587" s="2"/>
      <c r="HI587" s="2" t="s">
        <v>100</v>
      </c>
      <c r="HJ587" s="2" t="s">
        <v>3</v>
      </c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 t="s">
        <v>3</v>
      </c>
    </row>
    <row r="588" spans="1:268" ht="15.75" customHeight="1" x14ac:dyDescent="0.2">
      <c r="A588" s="16" t="s">
        <v>999</v>
      </c>
      <c r="B588" s="2"/>
      <c r="C588" s="2"/>
      <c r="D588" s="2"/>
      <c r="E588" s="2"/>
      <c r="F588" s="2" t="s">
        <v>79</v>
      </c>
      <c r="G588" s="2"/>
      <c r="H588" s="2"/>
      <c r="I588" s="2">
        <v>0</v>
      </c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>
        <v>0</v>
      </c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>
        <v>1.2</v>
      </c>
      <c r="AZ588" s="2">
        <v>0.22</v>
      </c>
      <c r="BA588" s="2"/>
      <c r="BB588" s="2"/>
      <c r="BC588" s="2"/>
      <c r="BD588" s="2"/>
      <c r="BE588" s="2"/>
      <c r="BF588" s="2"/>
      <c r="BG588" s="2">
        <v>0.83</v>
      </c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 t="s">
        <v>100</v>
      </c>
      <c r="DK588" s="2"/>
      <c r="DL588" s="2">
        <f t="shared" si="8551"/>
        <v>0.83</v>
      </c>
      <c r="DM588" s="2">
        <f t="shared" si="8552"/>
        <v>0</v>
      </c>
      <c r="DN588" s="2" t="s">
        <v>204</v>
      </c>
      <c r="DO588" s="2" t="s">
        <v>3</v>
      </c>
      <c r="DP588" s="2">
        <f t="shared" si="8553"/>
        <v>2.64E-3</v>
      </c>
      <c r="DQ588" s="2">
        <f t="shared" ref="DQ588:DR588" si="9748">K588*$I588+AF588*$AD588+BA588*$AY588</f>
        <v>0</v>
      </c>
      <c r="DR588" s="2">
        <f t="shared" si="9748"/>
        <v>0</v>
      </c>
      <c r="DS588" s="2">
        <f t="shared" ref="DS588:DX588" si="9749">(M588*$I588+AH588*$AD588+BC588*$AY588)/100</f>
        <v>0</v>
      </c>
      <c r="DT588" s="2">
        <f t="shared" si="9749"/>
        <v>0</v>
      </c>
      <c r="DU588" s="2">
        <f t="shared" si="9749"/>
        <v>0</v>
      </c>
      <c r="DV588" s="2">
        <f t="shared" si="9749"/>
        <v>0</v>
      </c>
      <c r="DW588" s="2">
        <f t="shared" si="9749"/>
        <v>9.9599999999999984E-3</v>
      </c>
      <c r="DX588" s="2">
        <f t="shared" si="9749"/>
        <v>0</v>
      </c>
      <c r="DY588" s="2">
        <f t="shared" ref="DY588:EC588" si="9750">S588*$I588+AN588*$AD588+BI588*$AY588</f>
        <v>0</v>
      </c>
      <c r="DZ588" s="2">
        <f t="shared" si="9750"/>
        <v>0</v>
      </c>
      <c r="EA588" s="2">
        <f t="shared" si="9750"/>
        <v>0</v>
      </c>
      <c r="EB588" s="2">
        <f t="shared" si="9750"/>
        <v>0</v>
      </c>
      <c r="EC588" s="2">
        <f t="shared" si="9750"/>
        <v>0</v>
      </c>
      <c r="ED588" s="2">
        <f t="shared" ref="ED588:EE588" si="9751">(X588*$I588+AS588*$AD588+BN588*$AY588)/100</f>
        <v>0</v>
      </c>
      <c r="EE588" s="2">
        <f t="shared" si="9751"/>
        <v>0</v>
      </c>
      <c r="EF588" s="2"/>
      <c r="EG588" s="2">
        <f t="shared" si="8558"/>
        <v>0</v>
      </c>
      <c r="EH588" s="2">
        <f t="shared" si="8559"/>
        <v>0</v>
      </c>
      <c r="EI588" s="39">
        <f t="shared" si="8560"/>
        <v>17.227626239999999</v>
      </c>
      <c r="EJ588" s="39">
        <f t="shared" ref="EJ588:EK588" si="9752">EJ$1*DQ588/1000000</f>
        <v>0</v>
      </c>
      <c r="EK588" s="39">
        <f t="shared" si="9752"/>
        <v>0</v>
      </c>
      <c r="EL588" s="39">
        <f t="shared" ref="EL588:EQ588" si="9753">EL$1*DS588</f>
        <v>0</v>
      </c>
      <c r="EM588" s="39">
        <f t="shared" si="9753"/>
        <v>0</v>
      </c>
      <c r="EN588" s="39">
        <f t="shared" si="9753"/>
        <v>0</v>
      </c>
      <c r="EO588" s="39">
        <f t="shared" si="9753"/>
        <v>0</v>
      </c>
      <c r="EP588" s="39">
        <f t="shared" si="9753"/>
        <v>130.61543999999998</v>
      </c>
      <c r="EQ588" s="39">
        <f t="shared" si="9753"/>
        <v>0</v>
      </c>
      <c r="ER588" s="39">
        <f t="shared" ref="ER588:EV588" si="9754">ER$1*DY588/1000000</f>
        <v>0</v>
      </c>
      <c r="ES588" s="39">
        <f t="shared" si="9754"/>
        <v>0</v>
      </c>
      <c r="ET588" s="39">
        <f t="shared" si="9754"/>
        <v>0</v>
      </c>
      <c r="EU588" s="39">
        <f t="shared" si="9754"/>
        <v>0</v>
      </c>
      <c r="EV588" s="39">
        <f t="shared" si="9754"/>
        <v>0</v>
      </c>
      <c r="EW588" s="39">
        <f t="shared" ref="EW588:EX588" si="9755">EW$1*ED588</f>
        <v>0</v>
      </c>
      <c r="EX588" s="39">
        <f t="shared" si="9755"/>
        <v>0</v>
      </c>
      <c r="EY588" s="2"/>
      <c r="EZ588" s="39">
        <f t="shared" si="8565"/>
        <v>0</v>
      </c>
      <c r="FA588" s="39">
        <f t="shared" si="8566"/>
        <v>0</v>
      </c>
      <c r="FB588" s="2">
        <f t="shared" si="8567"/>
        <v>0</v>
      </c>
      <c r="FC588" s="2">
        <f t="shared" ref="FC588:FD588" si="9756">BV588*$BT588+CQ588*$CO588</f>
        <v>0</v>
      </c>
      <c r="FD588" s="2">
        <f t="shared" si="9756"/>
        <v>0</v>
      </c>
      <c r="FE588" s="2">
        <f t="shared" ref="FE588:FJ588" si="9757">(BX588*$BT588+CS588*$CO588)/100</f>
        <v>0</v>
      </c>
      <c r="FF588" s="2">
        <f t="shared" si="9757"/>
        <v>0</v>
      </c>
      <c r="FG588" s="2">
        <f t="shared" si="9757"/>
        <v>0</v>
      </c>
      <c r="FH588" s="2">
        <f t="shared" si="9757"/>
        <v>0</v>
      </c>
      <c r="FI588" s="2">
        <f t="shared" si="9757"/>
        <v>0</v>
      </c>
      <c r="FJ588" s="2">
        <f t="shared" si="9757"/>
        <v>0</v>
      </c>
      <c r="FK588" s="2">
        <f t="shared" ref="FK588:FO588" si="9758">CD588*$BT588+CY588*$CO588</f>
        <v>0</v>
      </c>
      <c r="FL588" s="2">
        <f t="shared" si="9758"/>
        <v>0</v>
      </c>
      <c r="FM588" s="2">
        <f t="shared" si="9758"/>
        <v>0</v>
      </c>
      <c r="FN588" s="2">
        <f t="shared" si="9758"/>
        <v>0</v>
      </c>
      <c r="FO588" s="2">
        <f t="shared" si="9758"/>
        <v>0</v>
      </c>
      <c r="FP588" s="2">
        <f t="shared" ref="FP588:FQ588" si="9759">(CI588*$BT588+DD588*$CO588)/100</f>
        <v>0</v>
      </c>
      <c r="FQ588" s="2">
        <f t="shared" si="9759"/>
        <v>0</v>
      </c>
      <c r="FR588" s="2"/>
      <c r="FS588" s="2">
        <f t="shared" si="8572"/>
        <v>0</v>
      </c>
      <c r="FT588" s="2">
        <f t="shared" si="8573"/>
        <v>0</v>
      </c>
      <c r="FU588" s="39">
        <f t="shared" si="8574"/>
        <v>0</v>
      </c>
      <c r="FV588" s="39">
        <f t="shared" ref="FV588:FW588" si="9760">FV$1*FC588/1000000</f>
        <v>0</v>
      </c>
      <c r="FW588" s="39">
        <f t="shared" si="9760"/>
        <v>0</v>
      </c>
      <c r="FX588" s="39">
        <f t="shared" ref="FX588:GC588" si="9761">FX$1*FE588</f>
        <v>0</v>
      </c>
      <c r="FY588" s="39">
        <f t="shared" si="9761"/>
        <v>0</v>
      </c>
      <c r="FZ588" s="39">
        <f t="shared" si="9761"/>
        <v>0</v>
      </c>
      <c r="GA588" s="39">
        <f t="shared" si="9761"/>
        <v>0</v>
      </c>
      <c r="GB588" s="39">
        <f t="shared" si="9761"/>
        <v>0</v>
      </c>
      <c r="GC588" s="39">
        <f t="shared" si="9761"/>
        <v>0</v>
      </c>
      <c r="GD588" s="39">
        <f t="shared" ref="GD588:GH588" si="9762">GD$1*FK588/1000000</f>
        <v>0</v>
      </c>
      <c r="GE588" s="39">
        <f t="shared" si="9762"/>
        <v>0</v>
      </c>
      <c r="GF588" s="39">
        <f t="shared" si="9762"/>
        <v>0</v>
      </c>
      <c r="GG588" s="39">
        <f t="shared" si="9762"/>
        <v>0</v>
      </c>
      <c r="GH588" s="39">
        <f t="shared" si="9762"/>
        <v>0</v>
      </c>
      <c r="GI588" s="39">
        <f t="shared" ref="GI588:GJ588" si="9763">GI$1*FP588</f>
        <v>0</v>
      </c>
      <c r="GJ588" s="39">
        <f t="shared" si="9763"/>
        <v>0</v>
      </c>
      <c r="GK588" s="2"/>
      <c r="GL588" s="39">
        <f t="shared" si="8579"/>
        <v>0</v>
      </c>
      <c r="GM588" s="39">
        <f t="shared" si="8580"/>
        <v>0</v>
      </c>
      <c r="GN588" s="2" t="s">
        <v>3</v>
      </c>
      <c r="GO588" s="2">
        <f t="shared" si="8581"/>
        <v>1.2</v>
      </c>
      <c r="GP588" s="2">
        <f t="shared" si="8582"/>
        <v>0.83</v>
      </c>
      <c r="GQ588" s="15">
        <f t="shared" si="8583"/>
        <v>9.9600000000000009</v>
      </c>
      <c r="GR588" s="15">
        <f t="shared" si="8584"/>
        <v>147.84306623999998</v>
      </c>
      <c r="GS588" s="15">
        <f t="shared" si="8585"/>
        <v>123.20255519999999</v>
      </c>
      <c r="GT588" s="2">
        <f t="shared" si="8586"/>
        <v>0</v>
      </c>
      <c r="GU588" s="2">
        <f t="shared" si="8587"/>
        <v>0</v>
      </c>
      <c r="GV588" s="2">
        <f t="shared" si="8588"/>
        <v>9.9599999999999991</v>
      </c>
      <c r="GW588" s="2">
        <f t="shared" si="8589"/>
        <v>0</v>
      </c>
      <c r="GX588" s="2"/>
      <c r="GY588" s="2"/>
      <c r="GZ588" s="2"/>
      <c r="HA588" s="2"/>
      <c r="HB588" s="2">
        <f t="shared" si="8590"/>
        <v>0</v>
      </c>
      <c r="HC588" s="2">
        <f t="shared" si="8591"/>
        <v>0</v>
      </c>
      <c r="HD588" s="2" t="s">
        <v>3</v>
      </c>
      <c r="HE588" s="2" t="s">
        <v>89</v>
      </c>
      <c r="HF588" s="2" t="s">
        <v>123</v>
      </c>
      <c r="HG588" s="2"/>
      <c r="HH588" s="2"/>
      <c r="HI588" s="2" t="s">
        <v>100</v>
      </c>
      <c r="HJ588" s="2" t="s">
        <v>3</v>
      </c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 t="s">
        <v>3</v>
      </c>
    </row>
    <row r="589" spans="1:268" ht="15.75" customHeight="1" x14ac:dyDescent="0.2">
      <c r="A589" s="16" t="s">
        <v>545</v>
      </c>
      <c r="B589" s="2"/>
      <c r="C589" s="2"/>
      <c r="D589" s="2"/>
      <c r="E589" s="2"/>
      <c r="F589" s="2" t="s">
        <v>79</v>
      </c>
      <c r="G589" s="2"/>
      <c r="H589" s="2"/>
      <c r="I589" s="2">
        <v>0</v>
      </c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>
        <v>0</v>
      </c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>
        <v>80</v>
      </c>
      <c r="AZ589" s="2">
        <v>0.3</v>
      </c>
      <c r="BA589" s="2"/>
      <c r="BB589" s="2"/>
      <c r="BC589" s="2"/>
      <c r="BD589" s="2"/>
      <c r="BE589" s="2"/>
      <c r="BF589" s="2"/>
      <c r="BG589" s="2">
        <v>0.54</v>
      </c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 t="s">
        <v>100</v>
      </c>
      <c r="DK589" s="2"/>
      <c r="DL589" s="2">
        <f t="shared" si="8551"/>
        <v>0.54</v>
      </c>
      <c r="DM589" s="2">
        <f t="shared" si="8552"/>
        <v>0</v>
      </c>
      <c r="DN589" s="2" t="s">
        <v>204</v>
      </c>
      <c r="DO589" s="2" t="s">
        <v>3</v>
      </c>
      <c r="DP589" s="2">
        <f t="shared" si="8553"/>
        <v>0.24</v>
      </c>
      <c r="DQ589" s="2">
        <f t="shared" ref="DQ589:DR589" si="9764">K589*$I589+AF589*$AD589+BA589*$AY589</f>
        <v>0</v>
      </c>
      <c r="DR589" s="2">
        <f t="shared" si="9764"/>
        <v>0</v>
      </c>
      <c r="DS589" s="2">
        <f t="shared" ref="DS589:DX589" si="9765">(M589*$I589+AH589*$AD589+BC589*$AY589)/100</f>
        <v>0</v>
      </c>
      <c r="DT589" s="2">
        <f t="shared" si="9765"/>
        <v>0</v>
      </c>
      <c r="DU589" s="2">
        <f t="shared" si="9765"/>
        <v>0</v>
      </c>
      <c r="DV589" s="2">
        <f t="shared" si="9765"/>
        <v>0</v>
      </c>
      <c r="DW589" s="2">
        <f t="shared" si="9765"/>
        <v>0.43200000000000005</v>
      </c>
      <c r="DX589" s="2">
        <f t="shared" si="9765"/>
        <v>0</v>
      </c>
      <c r="DY589" s="2">
        <f t="shared" ref="DY589:EC589" si="9766">S589*$I589+AN589*$AD589+BI589*$AY589</f>
        <v>0</v>
      </c>
      <c r="DZ589" s="2">
        <f t="shared" si="9766"/>
        <v>0</v>
      </c>
      <c r="EA589" s="2">
        <f t="shared" si="9766"/>
        <v>0</v>
      </c>
      <c r="EB589" s="2">
        <f t="shared" si="9766"/>
        <v>0</v>
      </c>
      <c r="EC589" s="2">
        <f t="shared" si="9766"/>
        <v>0</v>
      </c>
      <c r="ED589" s="2">
        <f t="shared" ref="ED589:EE589" si="9767">(X589*$I589+AS589*$AD589+BN589*$AY589)/100</f>
        <v>0</v>
      </c>
      <c r="EE589" s="2">
        <f t="shared" si="9767"/>
        <v>0</v>
      </c>
      <c r="EF589" s="2"/>
      <c r="EG589" s="2">
        <f t="shared" si="8558"/>
        <v>0</v>
      </c>
      <c r="EH589" s="2">
        <f t="shared" si="8559"/>
        <v>0</v>
      </c>
      <c r="EI589" s="39">
        <f t="shared" si="8560"/>
        <v>1566.1478399999999</v>
      </c>
      <c r="EJ589" s="39">
        <f t="shared" ref="EJ589:EK589" si="9768">EJ$1*DQ589/1000000</f>
        <v>0</v>
      </c>
      <c r="EK589" s="39">
        <f t="shared" si="9768"/>
        <v>0</v>
      </c>
      <c r="EL589" s="39">
        <f t="shared" ref="EL589:EQ589" si="9769">EL$1*DS589</f>
        <v>0</v>
      </c>
      <c r="EM589" s="39">
        <f t="shared" si="9769"/>
        <v>0</v>
      </c>
      <c r="EN589" s="39">
        <f t="shared" si="9769"/>
        <v>0</v>
      </c>
      <c r="EO589" s="39">
        <f t="shared" si="9769"/>
        <v>0</v>
      </c>
      <c r="EP589" s="39">
        <f t="shared" si="9769"/>
        <v>5665.2480000000005</v>
      </c>
      <c r="EQ589" s="39">
        <f t="shared" si="9769"/>
        <v>0</v>
      </c>
      <c r="ER589" s="39">
        <f t="shared" ref="ER589:EV589" si="9770">ER$1*DY589/1000000</f>
        <v>0</v>
      </c>
      <c r="ES589" s="39">
        <f t="shared" si="9770"/>
        <v>0</v>
      </c>
      <c r="ET589" s="39">
        <f t="shared" si="9770"/>
        <v>0</v>
      </c>
      <c r="EU589" s="39">
        <f t="shared" si="9770"/>
        <v>0</v>
      </c>
      <c r="EV589" s="39">
        <f t="shared" si="9770"/>
        <v>0</v>
      </c>
      <c r="EW589" s="39">
        <f t="shared" ref="EW589:EX589" si="9771">EW$1*ED589</f>
        <v>0</v>
      </c>
      <c r="EX589" s="39">
        <f t="shared" si="9771"/>
        <v>0</v>
      </c>
      <c r="EY589" s="2"/>
      <c r="EZ589" s="39">
        <f t="shared" si="8565"/>
        <v>0</v>
      </c>
      <c r="FA589" s="39">
        <f t="shared" si="8566"/>
        <v>0</v>
      </c>
      <c r="FB589" s="2">
        <f t="shared" si="8567"/>
        <v>0</v>
      </c>
      <c r="FC589" s="2">
        <f t="shared" ref="FC589:FD589" si="9772">BV589*$BT589+CQ589*$CO589</f>
        <v>0</v>
      </c>
      <c r="FD589" s="2">
        <f t="shared" si="9772"/>
        <v>0</v>
      </c>
      <c r="FE589" s="2">
        <f t="shared" ref="FE589:FJ589" si="9773">(BX589*$BT589+CS589*$CO589)/100</f>
        <v>0</v>
      </c>
      <c r="FF589" s="2">
        <f t="shared" si="9773"/>
        <v>0</v>
      </c>
      <c r="FG589" s="2">
        <f t="shared" si="9773"/>
        <v>0</v>
      </c>
      <c r="FH589" s="2">
        <f t="shared" si="9773"/>
        <v>0</v>
      </c>
      <c r="FI589" s="2">
        <f t="shared" si="9773"/>
        <v>0</v>
      </c>
      <c r="FJ589" s="2">
        <f t="shared" si="9773"/>
        <v>0</v>
      </c>
      <c r="FK589" s="2">
        <f t="shared" ref="FK589:FO589" si="9774">CD589*$BT589+CY589*$CO589</f>
        <v>0</v>
      </c>
      <c r="FL589" s="2">
        <f t="shared" si="9774"/>
        <v>0</v>
      </c>
      <c r="FM589" s="2">
        <f t="shared" si="9774"/>
        <v>0</v>
      </c>
      <c r="FN589" s="2">
        <f t="shared" si="9774"/>
        <v>0</v>
      </c>
      <c r="FO589" s="2">
        <f t="shared" si="9774"/>
        <v>0</v>
      </c>
      <c r="FP589" s="2">
        <f t="shared" ref="FP589:FQ589" si="9775">(CI589*$BT589+DD589*$CO589)/100</f>
        <v>0</v>
      </c>
      <c r="FQ589" s="2">
        <f t="shared" si="9775"/>
        <v>0</v>
      </c>
      <c r="FR589" s="2"/>
      <c r="FS589" s="2">
        <f t="shared" si="8572"/>
        <v>0</v>
      </c>
      <c r="FT589" s="2">
        <f t="shared" si="8573"/>
        <v>0</v>
      </c>
      <c r="FU589" s="39">
        <f t="shared" si="8574"/>
        <v>0</v>
      </c>
      <c r="FV589" s="39">
        <f t="shared" ref="FV589:FW589" si="9776">FV$1*FC589/1000000</f>
        <v>0</v>
      </c>
      <c r="FW589" s="39">
        <f t="shared" si="9776"/>
        <v>0</v>
      </c>
      <c r="FX589" s="39">
        <f t="shared" ref="FX589:GC589" si="9777">FX$1*FE589</f>
        <v>0</v>
      </c>
      <c r="FY589" s="39">
        <f t="shared" si="9777"/>
        <v>0</v>
      </c>
      <c r="FZ589" s="39">
        <f t="shared" si="9777"/>
        <v>0</v>
      </c>
      <c r="GA589" s="39">
        <f t="shared" si="9777"/>
        <v>0</v>
      </c>
      <c r="GB589" s="39">
        <f t="shared" si="9777"/>
        <v>0</v>
      </c>
      <c r="GC589" s="39">
        <f t="shared" si="9777"/>
        <v>0</v>
      </c>
      <c r="GD589" s="39">
        <f t="shared" ref="GD589:GH589" si="9778">GD$1*FK589/1000000</f>
        <v>0</v>
      </c>
      <c r="GE589" s="39">
        <f t="shared" si="9778"/>
        <v>0</v>
      </c>
      <c r="GF589" s="39">
        <f t="shared" si="9778"/>
        <v>0</v>
      </c>
      <c r="GG589" s="39">
        <f t="shared" si="9778"/>
        <v>0</v>
      </c>
      <c r="GH589" s="39">
        <f t="shared" si="9778"/>
        <v>0</v>
      </c>
      <c r="GI589" s="39">
        <f t="shared" ref="GI589:GJ589" si="9779">GI$1*FP589</f>
        <v>0</v>
      </c>
      <c r="GJ589" s="39">
        <f t="shared" si="9779"/>
        <v>0</v>
      </c>
      <c r="GK589" s="2"/>
      <c r="GL589" s="39">
        <f t="shared" si="8579"/>
        <v>0</v>
      </c>
      <c r="GM589" s="39">
        <f t="shared" si="8580"/>
        <v>0</v>
      </c>
      <c r="GN589" s="2" t="s">
        <v>3</v>
      </c>
      <c r="GO589" s="2">
        <f t="shared" si="8581"/>
        <v>80</v>
      </c>
      <c r="GP589" s="2">
        <f t="shared" si="8582"/>
        <v>0.54</v>
      </c>
      <c r="GQ589" s="15">
        <f t="shared" si="8583"/>
        <v>432</v>
      </c>
      <c r="GR589" s="15">
        <f t="shared" si="8584"/>
        <v>7231.3958400000001</v>
      </c>
      <c r="GS589" s="15">
        <f t="shared" si="8585"/>
        <v>90.392448000000002</v>
      </c>
      <c r="GT589" s="2">
        <f t="shared" si="8586"/>
        <v>0</v>
      </c>
      <c r="GU589" s="2">
        <f t="shared" si="8587"/>
        <v>0</v>
      </c>
      <c r="GV589" s="2">
        <f t="shared" si="8588"/>
        <v>432</v>
      </c>
      <c r="GW589" s="2">
        <f t="shared" si="8589"/>
        <v>0</v>
      </c>
      <c r="GX589" s="2"/>
      <c r="GY589" s="2"/>
      <c r="GZ589" s="2"/>
      <c r="HA589" s="2"/>
      <c r="HB589" s="2">
        <f t="shared" si="8590"/>
        <v>0</v>
      </c>
      <c r="HC589" s="2">
        <f t="shared" si="8591"/>
        <v>0</v>
      </c>
      <c r="HD589" s="2" t="s">
        <v>3</v>
      </c>
      <c r="HE589" s="2" t="s">
        <v>89</v>
      </c>
      <c r="HF589" s="2" t="s">
        <v>123</v>
      </c>
      <c r="HG589" s="2"/>
      <c r="HH589" s="2"/>
      <c r="HI589" s="2" t="s">
        <v>100</v>
      </c>
      <c r="HJ589" s="2" t="s">
        <v>3</v>
      </c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 t="s">
        <v>3</v>
      </c>
    </row>
    <row r="590" spans="1:268" ht="15.75" customHeight="1" x14ac:dyDescent="0.2">
      <c r="A590" s="16" t="s">
        <v>125</v>
      </c>
      <c r="B590" s="2" t="s">
        <v>99</v>
      </c>
      <c r="C590" s="2"/>
      <c r="D590" s="2"/>
      <c r="E590" s="2"/>
      <c r="F590" s="2" t="s">
        <v>79</v>
      </c>
      <c r="G590" s="2"/>
      <c r="H590" s="2"/>
      <c r="I590" s="2">
        <v>0</v>
      </c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>
        <v>0</v>
      </c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>
        <v>0.02</v>
      </c>
      <c r="AZ590" s="2">
        <v>0.2</v>
      </c>
      <c r="BA590" s="2"/>
      <c r="BB590" s="2"/>
      <c r="BC590" s="2"/>
      <c r="BD590" s="2"/>
      <c r="BE590" s="2"/>
      <c r="BF590" s="2"/>
      <c r="BG590" s="2">
        <v>1.25</v>
      </c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>
        <v>0</v>
      </c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>
        <v>0</v>
      </c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 t="s">
        <v>100</v>
      </c>
      <c r="DK590" s="2"/>
      <c r="DL590" s="2">
        <f t="shared" si="8551"/>
        <v>1.25</v>
      </c>
      <c r="DM590" s="2">
        <f t="shared" si="8552"/>
        <v>0</v>
      </c>
      <c r="DN590" s="2" t="s">
        <v>126</v>
      </c>
      <c r="DO590" s="2" t="s">
        <v>3</v>
      </c>
      <c r="DP590" s="2">
        <f t="shared" si="8553"/>
        <v>4.0000000000000003E-5</v>
      </c>
      <c r="DQ590" s="2">
        <f t="shared" ref="DQ590:DR590" si="9780">K590*$I590+AF590*$AD590+BA590*$AY590</f>
        <v>0</v>
      </c>
      <c r="DR590" s="2">
        <f t="shared" si="9780"/>
        <v>0</v>
      </c>
      <c r="DS590" s="2">
        <f t="shared" ref="DS590:DX590" si="9781">(M590*$I590+AH590*$AD590+BC590*$AY590)/100</f>
        <v>0</v>
      </c>
      <c r="DT590" s="2">
        <f t="shared" si="9781"/>
        <v>0</v>
      </c>
      <c r="DU590" s="2">
        <f t="shared" si="9781"/>
        <v>0</v>
      </c>
      <c r="DV590" s="2">
        <f t="shared" si="9781"/>
        <v>0</v>
      </c>
      <c r="DW590" s="2">
        <f t="shared" si="9781"/>
        <v>2.5000000000000001E-4</v>
      </c>
      <c r="DX590" s="2">
        <f t="shared" si="9781"/>
        <v>0</v>
      </c>
      <c r="DY590" s="2">
        <f t="shared" ref="DY590:EC590" si="9782">S590*$I590+AN590*$AD590+BI590*$AY590</f>
        <v>0</v>
      </c>
      <c r="DZ590" s="2">
        <f t="shared" si="9782"/>
        <v>0</v>
      </c>
      <c r="EA590" s="2">
        <f t="shared" si="9782"/>
        <v>0</v>
      </c>
      <c r="EB590" s="2">
        <f t="shared" si="9782"/>
        <v>0</v>
      </c>
      <c r="EC590" s="2">
        <f t="shared" si="9782"/>
        <v>0</v>
      </c>
      <c r="ED590" s="2">
        <f t="shared" ref="ED590:EE590" si="9783">(X590*$I590+AS590*$AD590+BN590*$AY590)/100</f>
        <v>0</v>
      </c>
      <c r="EE590" s="2">
        <f t="shared" si="9783"/>
        <v>0</v>
      </c>
      <c r="EF590" s="2"/>
      <c r="EG590" s="2">
        <f t="shared" si="8558"/>
        <v>0</v>
      </c>
      <c r="EH590" s="2">
        <f t="shared" si="8559"/>
        <v>0</v>
      </c>
      <c r="EI590" s="39">
        <f t="shared" si="8560"/>
        <v>0.26102464000000003</v>
      </c>
      <c r="EJ590" s="39">
        <f t="shared" ref="EJ590:EK590" si="9784">EJ$1*DQ590/1000000</f>
        <v>0</v>
      </c>
      <c r="EK590" s="39">
        <f t="shared" si="9784"/>
        <v>0</v>
      </c>
      <c r="EL590" s="39">
        <f t="shared" ref="EL590:EQ590" si="9785">EL$1*DS590</f>
        <v>0</v>
      </c>
      <c r="EM590" s="39">
        <f t="shared" si="9785"/>
        <v>0</v>
      </c>
      <c r="EN590" s="39">
        <f t="shared" si="9785"/>
        <v>0</v>
      </c>
      <c r="EO590" s="39">
        <f t="shared" si="9785"/>
        <v>0</v>
      </c>
      <c r="EP590" s="39">
        <f t="shared" si="9785"/>
        <v>3.2785000000000002</v>
      </c>
      <c r="EQ590" s="39">
        <f t="shared" si="9785"/>
        <v>0</v>
      </c>
      <c r="ER590" s="39">
        <f t="shared" ref="ER590:EV590" si="9786">ER$1*DY590/1000000</f>
        <v>0</v>
      </c>
      <c r="ES590" s="39">
        <f t="shared" si="9786"/>
        <v>0</v>
      </c>
      <c r="ET590" s="39">
        <f t="shared" si="9786"/>
        <v>0</v>
      </c>
      <c r="EU590" s="39">
        <f t="shared" si="9786"/>
        <v>0</v>
      </c>
      <c r="EV590" s="39">
        <f t="shared" si="9786"/>
        <v>0</v>
      </c>
      <c r="EW590" s="39">
        <f t="shared" ref="EW590:EX590" si="9787">EW$1*ED590</f>
        <v>0</v>
      </c>
      <c r="EX590" s="39">
        <f t="shared" si="9787"/>
        <v>0</v>
      </c>
      <c r="EY590" s="2"/>
      <c r="EZ590" s="39">
        <f t="shared" si="8565"/>
        <v>0</v>
      </c>
      <c r="FA590" s="39">
        <f t="shared" si="8566"/>
        <v>0</v>
      </c>
      <c r="FB590" s="2">
        <f t="shared" si="8567"/>
        <v>0</v>
      </c>
      <c r="FC590" s="2">
        <f t="shared" ref="FC590:FD590" si="9788">BV590*$BT590+CQ590*$CO590</f>
        <v>0</v>
      </c>
      <c r="FD590" s="2">
        <f t="shared" si="9788"/>
        <v>0</v>
      </c>
      <c r="FE590" s="2">
        <f t="shared" ref="FE590:FJ590" si="9789">(BX590*$BT590+CS590*$CO590)/100</f>
        <v>0</v>
      </c>
      <c r="FF590" s="2">
        <f t="shared" si="9789"/>
        <v>0</v>
      </c>
      <c r="FG590" s="2">
        <f t="shared" si="9789"/>
        <v>0</v>
      </c>
      <c r="FH590" s="2">
        <f t="shared" si="9789"/>
        <v>0</v>
      </c>
      <c r="FI590" s="2">
        <f t="shared" si="9789"/>
        <v>0</v>
      </c>
      <c r="FJ590" s="2">
        <f t="shared" si="9789"/>
        <v>0</v>
      </c>
      <c r="FK590" s="2">
        <f t="shared" ref="FK590:FO590" si="9790">CD590*$BT590+CY590*$CO590</f>
        <v>0</v>
      </c>
      <c r="FL590" s="2">
        <f t="shared" si="9790"/>
        <v>0</v>
      </c>
      <c r="FM590" s="2">
        <f t="shared" si="9790"/>
        <v>0</v>
      </c>
      <c r="FN590" s="2">
        <f t="shared" si="9790"/>
        <v>0</v>
      </c>
      <c r="FO590" s="2">
        <f t="shared" si="9790"/>
        <v>0</v>
      </c>
      <c r="FP590" s="2">
        <f t="shared" ref="FP590:FQ590" si="9791">(CI590*$BT590+DD590*$CO590)/100</f>
        <v>0</v>
      </c>
      <c r="FQ590" s="2">
        <f t="shared" si="9791"/>
        <v>0</v>
      </c>
      <c r="FR590" s="2"/>
      <c r="FS590" s="2">
        <f t="shared" si="8572"/>
        <v>0</v>
      </c>
      <c r="FT590" s="2">
        <f t="shared" si="8573"/>
        <v>0</v>
      </c>
      <c r="FU590" s="39">
        <f t="shared" si="8574"/>
        <v>0</v>
      </c>
      <c r="FV590" s="39">
        <f t="shared" ref="FV590:FW590" si="9792">FV$1*FC590/1000000</f>
        <v>0</v>
      </c>
      <c r="FW590" s="39">
        <f t="shared" si="9792"/>
        <v>0</v>
      </c>
      <c r="FX590" s="39">
        <f t="shared" ref="FX590:GC590" si="9793">FX$1*FE590</f>
        <v>0</v>
      </c>
      <c r="FY590" s="39">
        <f t="shared" si="9793"/>
        <v>0</v>
      </c>
      <c r="FZ590" s="39">
        <f t="shared" si="9793"/>
        <v>0</v>
      </c>
      <c r="GA590" s="39">
        <f t="shared" si="9793"/>
        <v>0</v>
      </c>
      <c r="GB590" s="39">
        <f t="shared" si="9793"/>
        <v>0</v>
      </c>
      <c r="GC590" s="39">
        <f t="shared" si="9793"/>
        <v>0</v>
      </c>
      <c r="GD590" s="39">
        <f t="shared" ref="GD590:GH590" si="9794">GD$1*FK590/1000000</f>
        <v>0</v>
      </c>
      <c r="GE590" s="39">
        <f t="shared" si="9794"/>
        <v>0</v>
      </c>
      <c r="GF590" s="39">
        <f t="shared" si="9794"/>
        <v>0</v>
      </c>
      <c r="GG590" s="39">
        <f t="shared" si="9794"/>
        <v>0</v>
      </c>
      <c r="GH590" s="39">
        <f t="shared" si="9794"/>
        <v>0</v>
      </c>
      <c r="GI590" s="39">
        <f t="shared" ref="GI590:GJ590" si="9795">GI$1*FP590</f>
        <v>0</v>
      </c>
      <c r="GJ590" s="39">
        <f t="shared" si="9795"/>
        <v>0</v>
      </c>
      <c r="GK590" s="2"/>
      <c r="GL590" s="39">
        <f t="shared" si="8579"/>
        <v>0</v>
      </c>
      <c r="GM590" s="39">
        <f t="shared" si="8580"/>
        <v>0</v>
      </c>
      <c r="GN590" s="2" t="s">
        <v>3</v>
      </c>
      <c r="GO590" s="2">
        <f t="shared" si="8581"/>
        <v>0.02</v>
      </c>
      <c r="GP590" s="2">
        <f t="shared" si="8582"/>
        <v>1.25</v>
      </c>
      <c r="GQ590" s="15">
        <f t="shared" si="8583"/>
        <v>0.25</v>
      </c>
      <c r="GR590" s="15">
        <f t="shared" si="8584"/>
        <v>3.5395246400000002</v>
      </c>
      <c r="GS590" s="15">
        <f t="shared" si="8585"/>
        <v>176.97623200000001</v>
      </c>
      <c r="GT590" s="2">
        <f t="shared" si="8586"/>
        <v>0</v>
      </c>
      <c r="GU590" s="2">
        <f t="shared" si="8587"/>
        <v>0</v>
      </c>
      <c r="GV590" s="2">
        <f t="shared" si="8588"/>
        <v>0.25</v>
      </c>
      <c r="GW590" s="2">
        <f t="shared" si="8589"/>
        <v>0</v>
      </c>
      <c r="GX590" s="2"/>
      <c r="GY590" s="2"/>
      <c r="GZ590" s="2"/>
      <c r="HA590" s="2"/>
      <c r="HB590" s="2">
        <f t="shared" si="8590"/>
        <v>0</v>
      </c>
      <c r="HC590" s="2">
        <f t="shared" si="8591"/>
        <v>0</v>
      </c>
      <c r="HD590" s="2" t="s">
        <v>3</v>
      </c>
      <c r="HE590" s="2" t="s">
        <v>89</v>
      </c>
      <c r="HF590" s="2" t="s">
        <v>123</v>
      </c>
      <c r="HG590" s="2"/>
      <c r="HH590" s="2"/>
      <c r="HI590" s="2" t="s">
        <v>100</v>
      </c>
      <c r="HJ590" s="2" t="s">
        <v>3</v>
      </c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 t="s">
        <v>3</v>
      </c>
    </row>
    <row r="591" spans="1:268" ht="15.75" customHeight="1" x14ac:dyDescent="0.2">
      <c r="A591" s="16" t="s">
        <v>663</v>
      </c>
      <c r="B591" s="2" t="s">
        <v>99</v>
      </c>
      <c r="C591" s="2"/>
      <c r="D591" s="2"/>
      <c r="E591" s="2"/>
      <c r="F591" s="2" t="s">
        <v>79</v>
      </c>
      <c r="G591" s="2"/>
      <c r="H591" s="2"/>
      <c r="I591" s="2">
        <v>0</v>
      </c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>
        <v>0</v>
      </c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>
        <v>2.5000000000000001E-2</v>
      </c>
      <c r="AZ591" s="2">
        <v>0.3</v>
      </c>
      <c r="BA591" s="2"/>
      <c r="BB591" s="2"/>
      <c r="BC591" s="2"/>
      <c r="BD591" s="2"/>
      <c r="BE591" s="2"/>
      <c r="BF591" s="2"/>
      <c r="BG591" s="2">
        <v>0.94</v>
      </c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>
        <v>0</v>
      </c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>
        <v>0</v>
      </c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 t="s">
        <v>100</v>
      </c>
      <c r="DK591" s="2"/>
      <c r="DL591" s="2">
        <f t="shared" si="8551"/>
        <v>0.94</v>
      </c>
      <c r="DM591" s="2">
        <f t="shared" si="8552"/>
        <v>0</v>
      </c>
      <c r="DN591" s="2" t="s">
        <v>126</v>
      </c>
      <c r="DO591" s="2" t="s">
        <v>3</v>
      </c>
      <c r="DP591" s="2">
        <f t="shared" si="8553"/>
        <v>7.4999999999999993E-5</v>
      </c>
      <c r="DQ591" s="2">
        <f t="shared" ref="DQ591:DR591" si="9796">K591*$I591+AF591*$AD591+BA591*$AY591</f>
        <v>0</v>
      </c>
      <c r="DR591" s="2">
        <f t="shared" si="9796"/>
        <v>0</v>
      </c>
      <c r="DS591" s="2">
        <f t="shared" ref="DS591:DX591" si="9797">(M591*$I591+AH591*$AD591+BC591*$AY591)/100</f>
        <v>0</v>
      </c>
      <c r="DT591" s="2">
        <f t="shared" si="9797"/>
        <v>0</v>
      </c>
      <c r="DU591" s="2">
        <f t="shared" si="9797"/>
        <v>0</v>
      </c>
      <c r="DV591" s="2">
        <f t="shared" si="9797"/>
        <v>0</v>
      </c>
      <c r="DW591" s="2">
        <f t="shared" si="9797"/>
        <v>2.3499999999999999E-4</v>
      </c>
      <c r="DX591" s="2">
        <f t="shared" si="9797"/>
        <v>0</v>
      </c>
      <c r="DY591" s="2">
        <f t="shared" ref="DY591:EC591" si="9798">S591*$I591+AN591*$AD591+BI591*$AY591</f>
        <v>0</v>
      </c>
      <c r="DZ591" s="2">
        <f t="shared" si="9798"/>
        <v>0</v>
      </c>
      <c r="EA591" s="2">
        <f t="shared" si="9798"/>
        <v>0</v>
      </c>
      <c r="EB591" s="2">
        <f t="shared" si="9798"/>
        <v>0</v>
      </c>
      <c r="EC591" s="2">
        <f t="shared" si="9798"/>
        <v>0</v>
      </c>
      <c r="ED591" s="2">
        <f t="shared" ref="ED591:EE591" si="9799">(X591*$I591+AS591*$AD591+BN591*$AY591)/100</f>
        <v>0</v>
      </c>
      <c r="EE591" s="2">
        <f t="shared" si="9799"/>
        <v>0</v>
      </c>
      <c r="EF591" s="2"/>
      <c r="EG591" s="2">
        <f t="shared" si="8558"/>
        <v>0</v>
      </c>
      <c r="EH591" s="2">
        <f t="shared" si="8559"/>
        <v>0</v>
      </c>
      <c r="EI591" s="39">
        <f t="shared" si="8560"/>
        <v>0.48942119999999995</v>
      </c>
      <c r="EJ591" s="39">
        <f t="shared" ref="EJ591:EK591" si="9800">EJ$1*DQ591/1000000</f>
        <v>0</v>
      </c>
      <c r="EK591" s="39">
        <f t="shared" si="9800"/>
        <v>0</v>
      </c>
      <c r="EL591" s="39">
        <f t="shared" ref="EL591:EQ591" si="9801">EL$1*DS591</f>
        <v>0</v>
      </c>
      <c r="EM591" s="39">
        <f t="shared" si="9801"/>
        <v>0</v>
      </c>
      <c r="EN591" s="39">
        <f t="shared" si="9801"/>
        <v>0</v>
      </c>
      <c r="EO591" s="39">
        <f t="shared" si="9801"/>
        <v>0</v>
      </c>
      <c r="EP591" s="39">
        <f t="shared" si="9801"/>
        <v>3.0817899999999998</v>
      </c>
      <c r="EQ591" s="39">
        <f t="shared" si="9801"/>
        <v>0</v>
      </c>
      <c r="ER591" s="39">
        <f t="shared" ref="ER591:EV591" si="9802">ER$1*DY591/1000000</f>
        <v>0</v>
      </c>
      <c r="ES591" s="39">
        <f t="shared" si="9802"/>
        <v>0</v>
      </c>
      <c r="ET591" s="39">
        <f t="shared" si="9802"/>
        <v>0</v>
      </c>
      <c r="EU591" s="39">
        <f t="shared" si="9802"/>
        <v>0</v>
      </c>
      <c r="EV591" s="39">
        <f t="shared" si="9802"/>
        <v>0</v>
      </c>
      <c r="EW591" s="39">
        <f t="shared" ref="EW591:EX591" si="9803">EW$1*ED591</f>
        <v>0</v>
      </c>
      <c r="EX591" s="39">
        <f t="shared" si="9803"/>
        <v>0</v>
      </c>
      <c r="EY591" s="2"/>
      <c r="EZ591" s="39">
        <f t="shared" si="8565"/>
        <v>0</v>
      </c>
      <c r="FA591" s="39">
        <f t="shared" si="8566"/>
        <v>0</v>
      </c>
      <c r="FB591" s="2">
        <f t="shared" si="8567"/>
        <v>0</v>
      </c>
      <c r="FC591" s="2">
        <f t="shared" ref="FC591:FD591" si="9804">BV591*$BT591+CQ591*$CO591</f>
        <v>0</v>
      </c>
      <c r="FD591" s="2">
        <f t="shared" si="9804"/>
        <v>0</v>
      </c>
      <c r="FE591" s="2">
        <f t="shared" ref="FE591:FJ591" si="9805">(BX591*$BT591+CS591*$CO591)/100</f>
        <v>0</v>
      </c>
      <c r="FF591" s="2">
        <f t="shared" si="9805"/>
        <v>0</v>
      </c>
      <c r="FG591" s="2">
        <f t="shared" si="9805"/>
        <v>0</v>
      </c>
      <c r="FH591" s="2">
        <f t="shared" si="9805"/>
        <v>0</v>
      </c>
      <c r="FI591" s="2">
        <f t="shared" si="9805"/>
        <v>0</v>
      </c>
      <c r="FJ591" s="2">
        <f t="shared" si="9805"/>
        <v>0</v>
      </c>
      <c r="FK591" s="2">
        <f t="shared" ref="FK591:FO591" si="9806">CD591*$BT591+CY591*$CO591</f>
        <v>0</v>
      </c>
      <c r="FL591" s="2">
        <f t="shared" si="9806"/>
        <v>0</v>
      </c>
      <c r="FM591" s="2">
        <f t="shared" si="9806"/>
        <v>0</v>
      </c>
      <c r="FN591" s="2">
        <f t="shared" si="9806"/>
        <v>0</v>
      </c>
      <c r="FO591" s="2">
        <f t="shared" si="9806"/>
        <v>0</v>
      </c>
      <c r="FP591" s="2">
        <f t="shared" ref="FP591:FQ591" si="9807">(CI591*$BT591+DD591*$CO591)/100</f>
        <v>0</v>
      </c>
      <c r="FQ591" s="2">
        <f t="shared" si="9807"/>
        <v>0</v>
      </c>
      <c r="FR591" s="2"/>
      <c r="FS591" s="2">
        <f t="shared" si="8572"/>
        <v>0</v>
      </c>
      <c r="FT591" s="2">
        <f t="shared" si="8573"/>
        <v>0</v>
      </c>
      <c r="FU591" s="39">
        <f t="shared" si="8574"/>
        <v>0</v>
      </c>
      <c r="FV591" s="39">
        <f t="shared" ref="FV591:FW591" si="9808">FV$1*FC591/1000000</f>
        <v>0</v>
      </c>
      <c r="FW591" s="39">
        <f t="shared" si="9808"/>
        <v>0</v>
      </c>
      <c r="FX591" s="39">
        <f t="shared" ref="FX591:GC591" si="9809">FX$1*FE591</f>
        <v>0</v>
      </c>
      <c r="FY591" s="39">
        <f t="shared" si="9809"/>
        <v>0</v>
      </c>
      <c r="FZ591" s="39">
        <f t="shared" si="9809"/>
        <v>0</v>
      </c>
      <c r="GA591" s="39">
        <f t="shared" si="9809"/>
        <v>0</v>
      </c>
      <c r="GB591" s="39">
        <f t="shared" si="9809"/>
        <v>0</v>
      </c>
      <c r="GC591" s="39">
        <f t="shared" si="9809"/>
        <v>0</v>
      </c>
      <c r="GD591" s="39">
        <f t="shared" ref="GD591:GH591" si="9810">GD$1*FK591/1000000</f>
        <v>0</v>
      </c>
      <c r="GE591" s="39">
        <f t="shared" si="9810"/>
        <v>0</v>
      </c>
      <c r="GF591" s="39">
        <f t="shared" si="9810"/>
        <v>0</v>
      </c>
      <c r="GG591" s="39">
        <f t="shared" si="9810"/>
        <v>0</v>
      </c>
      <c r="GH591" s="39">
        <f t="shared" si="9810"/>
        <v>0</v>
      </c>
      <c r="GI591" s="39">
        <f t="shared" ref="GI591:GJ591" si="9811">GI$1*FP591</f>
        <v>0</v>
      </c>
      <c r="GJ591" s="39">
        <f t="shared" si="9811"/>
        <v>0</v>
      </c>
      <c r="GK591" s="2"/>
      <c r="GL591" s="39">
        <f t="shared" si="8579"/>
        <v>0</v>
      </c>
      <c r="GM591" s="39">
        <f t="shared" si="8580"/>
        <v>0</v>
      </c>
      <c r="GN591" s="2" t="s">
        <v>3</v>
      </c>
      <c r="GO591" s="2">
        <f t="shared" si="8581"/>
        <v>2.5000000000000001E-2</v>
      </c>
      <c r="GP591" s="2">
        <f t="shared" si="8582"/>
        <v>0.94</v>
      </c>
      <c r="GQ591" s="15">
        <f t="shared" si="8583"/>
        <v>0.23499999999999999</v>
      </c>
      <c r="GR591" s="15">
        <f t="shared" si="8584"/>
        <v>3.5712111999999996</v>
      </c>
      <c r="GS591" s="15">
        <f t="shared" si="8585"/>
        <v>142.84844799999996</v>
      </c>
      <c r="GT591" s="2">
        <f t="shared" si="8586"/>
        <v>0</v>
      </c>
      <c r="GU591" s="2">
        <f t="shared" si="8587"/>
        <v>0</v>
      </c>
      <c r="GV591" s="2">
        <f t="shared" si="8588"/>
        <v>0.23499999999999999</v>
      </c>
      <c r="GW591" s="2">
        <f t="shared" si="8589"/>
        <v>0</v>
      </c>
      <c r="GX591" s="2"/>
      <c r="GY591" s="2"/>
      <c r="GZ591" s="2"/>
      <c r="HA591" s="2"/>
      <c r="HB591" s="2">
        <f t="shared" si="8590"/>
        <v>0</v>
      </c>
      <c r="HC591" s="2">
        <f t="shared" si="8591"/>
        <v>0</v>
      </c>
      <c r="HD591" s="2" t="s">
        <v>3</v>
      </c>
      <c r="HE591" s="2" t="s">
        <v>89</v>
      </c>
      <c r="HF591" s="2" t="s">
        <v>123</v>
      </c>
      <c r="HG591" s="2"/>
      <c r="HH591" s="2"/>
      <c r="HI591" s="2" t="s">
        <v>100</v>
      </c>
      <c r="HJ591" s="2" t="s">
        <v>3</v>
      </c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 t="s">
        <v>3</v>
      </c>
    </row>
    <row r="592" spans="1:268" ht="15.75" customHeight="1" x14ac:dyDescent="0.2">
      <c r="A592" s="16" t="s">
        <v>746</v>
      </c>
      <c r="B592" s="2" t="s">
        <v>99</v>
      </c>
      <c r="C592" s="2"/>
      <c r="D592" s="2"/>
      <c r="E592" s="2"/>
      <c r="F592" s="2" t="s">
        <v>79</v>
      </c>
      <c r="G592" s="2"/>
      <c r="H592" s="2"/>
      <c r="I592" s="2">
        <v>0</v>
      </c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>
        <v>0</v>
      </c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>
        <v>0.05</v>
      </c>
      <c r="AZ592" s="2">
        <v>0.2</v>
      </c>
      <c r="BA592" s="2"/>
      <c r="BB592" s="2"/>
      <c r="BC592" s="2"/>
      <c r="BD592" s="2"/>
      <c r="BE592" s="2"/>
      <c r="BF592" s="2"/>
      <c r="BG592" s="2">
        <v>0.3</v>
      </c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>
        <v>0</v>
      </c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>
        <v>0</v>
      </c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 t="s">
        <v>100</v>
      </c>
      <c r="DK592" s="2"/>
      <c r="DL592" s="2">
        <f t="shared" si="8551"/>
        <v>0.3</v>
      </c>
      <c r="DM592" s="2">
        <f t="shared" si="8552"/>
        <v>0</v>
      </c>
      <c r="DN592" s="2" t="s">
        <v>126</v>
      </c>
      <c r="DO592" s="2" t="s">
        <v>3</v>
      </c>
      <c r="DP592" s="2">
        <f t="shared" si="8553"/>
        <v>1.0000000000000002E-4</v>
      </c>
      <c r="DQ592" s="2">
        <f t="shared" ref="DQ592:DR592" si="9812">K592*$I592+AF592*$AD592+BA592*$AY592</f>
        <v>0</v>
      </c>
      <c r="DR592" s="2">
        <f t="shared" si="9812"/>
        <v>0</v>
      </c>
      <c r="DS592" s="2">
        <f t="shared" ref="DS592:DX592" si="9813">(M592*$I592+AH592*$AD592+BC592*$AY592)/100</f>
        <v>0</v>
      </c>
      <c r="DT592" s="2">
        <f t="shared" si="9813"/>
        <v>0</v>
      </c>
      <c r="DU592" s="2">
        <f t="shared" si="9813"/>
        <v>0</v>
      </c>
      <c r="DV592" s="2">
        <f t="shared" si="9813"/>
        <v>0</v>
      </c>
      <c r="DW592" s="2">
        <f t="shared" si="9813"/>
        <v>1.4999999999999999E-4</v>
      </c>
      <c r="DX592" s="2">
        <f t="shared" si="9813"/>
        <v>0</v>
      </c>
      <c r="DY592" s="2">
        <f t="shared" ref="DY592:EC592" si="9814">S592*$I592+AN592*$AD592+BI592*$AY592</f>
        <v>0</v>
      </c>
      <c r="DZ592" s="2">
        <f t="shared" si="9814"/>
        <v>0</v>
      </c>
      <c r="EA592" s="2">
        <f t="shared" si="9814"/>
        <v>0</v>
      </c>
      <c r="EB592" s="2">
        <f t="shared" si="9814"/>
        <v>0</v>
      </c>
      <c r="EC592" s="2">
        <f t="shared" si="9814"/>
        <v>0</v>
      </c>
      <c r="ED592" s="2">
        <f t="shared" ref="ED592:EE592" si="9815">(X592*$I592+AS592*$AD592+BN592*$AY592)/100</f>
        <v>0</v>
      </c>
      <c r="EE592" s="2">
        <f t="shared" si="9815"/>
        <v>0</v>
      </c>
      <c r="EF592" s="2"/>
      <c r="EG592" s="2">
        <f t="shared" si="8558"/>
        <v>0</v>
      </c>
      <c r="EH592" s="2">
        <f t="shared" si="8559"/>
        <v>0</v>
      </c>
      <c r="EI592" s="39">
        <f t="shared" si="8560"/>
        <v>0.65256160000000007</v>
      </c>
      <c r="EJ592" s="39">
        <f t="shared" ref="EJ592:EK592" si="9816">EJ$1*DQ592/1000000</f>
        <v>0</v>
      </c>
      <c r="EK592" s="39">
        <f t="shared" si="9816"/>
        <v>0</v>
      </c>
      <c r="EL592" s="39">
        <f t="shared" ref="EL592:EQ592" si="9817">EL$1*DS592</f>
        <v>0</v>
      </c>
      <c r="EM592" s="39">
        <f t="shared" si="9817"/>
        <v>0</v>
      </c>
      <c r="EN592" s="39">
        <f t="shared" si="9817"/>
        <v>0</v>
      </c>
      <c r="EO592" s="39">
        <f t="shared" si="9817"/>
        <v>0</v>
      </c>
      <c r="EP592" s="39">
        <f t="shared" si="9817"/>
        <v>1.9670999999999998</v>
      </c>
      <c r="EQ592" s="39">
        <f t="shared" si="9817"/>
        <v>0</v>
      </c>
      <c r="ER592" s="39">
        <f t="shared" ref="ER592:EV592" si="9818">ER$1*DY592/1000000</f>
        <v>0</v>
      </c>
      <c r="ES592" s="39">
        <f t="shared" si="9818"/>
        <v>0</v>
      </c>
      <c r="ET592" s="39">
        <f t="shared" si="9818"/>
        <v>0</v>
      </c>
      <c r="EU592" s="39">
        <f t="shared" si="9818"/>
        <v>0</v>
      </c>
      <c r="EV592" s="39">
        <f t="shared" si="9818"/>
        <v>0</v>
      </c>
      <c r="EW592" s="39">
        <f t="shared" ref="EW592:EX592" si="9819">EW$1*ED592</f>
        <v>0</v>
      </c>
      <c r="EX592" s="39">
        <f t="shared" si="9819"/>
        <v>0</v>
      </c>
      <c r="EY592" s="2"/>
      <c r="EZ592" s="39">
        <f t="shared" si="8565"/>
        <v>0</v>
      </c>
      <c r="FA592" s="39">
        <f t="shared" si="8566"/>
        <v>0</v>
      </c>
      <c r="FB592" s="2">
        <f t="shared" si="8567"/>
        <v>0</v>
      </c>
      <c r="FC592" s="2">
        <f t="shared" ref="FC592:FD592" si="9820">BV592*$BT592+CQ592*$CO592</f>
        <v>0</v>
      </c>
      <c r="FD592" s="2">
        <f t="shared" si="9820"/>
        <v>0</v>
      </c>
      <c r="FE592" s="2">
        <f t="shared" ref="FE592:FJ592" si="9821">(BX592*$BT592+CS592*$CO592)/100</f>
        <v>0</v>
      </c>
      <c r="FF592" s="2">
        <f t="shared" si="9821"/>
        <v>0</v>
      </c>
      <c r="FG592" s="2">
        <f t="shared" si="9821"/>
        <v>0</v>
      </c>
      <c r="FH592" s="2">
        <f t="shared" si="9821"/>
        <v>0</v>
      </c>
      <c r="FI592" s="2">
        <f t="shared" si="9821"/>
        <v>0</v>
      </c>
      <c r="FJ592" s="2">
        <f t="shared" si="9821"/>
        <v>0</v>
      </c>
      <c r="FK592" s="2">
        <f t="shared" ref="FK592:FO592" si="9822">CD592*$BT592+CY592*$CO592</f>
        <v>0</v>
      </c>
      <c r="FL592" s="2">
        <f t="shared" si="9822"/>
        <v>0</v>
      </c>
      <c r="FM592" s="2">
        <f t="shared" si="9822"/>
        <v>0</v>
      </c>
      <c r="FN592" s="2">
        <f t="shared" si="9822"/>
        <v>0</v>
      </c>
      <c r="FO592" s="2">
        <f t="shared" si="9822"/>
        <v>0</v>
      </c>
      <c r="FP592" s="2">
        <f t="shared" ref="FP592:FQ592" si="9823">(CI592*$BT592+DD592*$CO592)/100</f>
        <v>0</v>
      </c>
      <c r="FQ592" s="2">
        <f t="shared" si="9823"/>
        <v>0</v>
      </c>
      <c r="FR592" s="2"/>
      <c r="FS592" s="2">
        <f t="shared" si="8572"/>
        <v>0</v>
      </c>
      <c r="FT592" s="2">
        <f t="shared" si="8573"/>
        <v>0</v>
      </c>
      <c r="FU592" s="39">
        <f t="shared" si="8574"/>
        <v>0</v>
      </c>
      <c r="FV592" s="39">
        <f t="shared" ref="FV592:FW592" si="9824">FV$1*FC592/1000000</f>
        <v>0</v>
      </c>
      <c r="FW592" s="39">
        <f t="shared" si="9824"/>
        <v>0</v>
      </c>
      <c r="FX592" s="39">
        <f t="shared" ref="FX592:GC592" si="9825">FX$1*FE592</f>
        <v>0</v>
      </c>
      <c r="FY592" s="39">
        <f t="shared" si="9825"/>
        <v>0</v>
      </c>
      <c r="FZ592" s="39">
        <f t="shared" si="9825"/>
        <v>0</v>
      </c>
      <c r="GA592" s="39">
        <f t="shared" si="9825"/>
        <v>0</v>
      </c>
      <c r="GB592" s="39">
        <f t="shared" si="9825"/>
        <v>0</v>
      </c>
      <c r="GC592" s="39">
        <f t="shared" si="9825"/>
        <v>0</v>
      </c>
      <c r="GD592" s="39">
        <f t="shared" ref="GD592:GH592" si="9826">GD$1*FK592/1000000</f>
        <v>0</v>
      </c>
      <c r="GE592" s="39">
        <f t="shared" si="9826"/>
        <v>0</v>
      </c>
      <c r="GF592" s="39">
        <f t="shared" si="9826"/>
        <v>0</v>
      </c>
      <c r="GG592" s="39">
        <f t="shared" si="9826"/>
        <v>0</v>
      </c>
      <c r="GH592" s="39">
        <f t="shared" si="9826"/>
        <v>0</v>
      </c>
      <c r="GI592" s="39">
        <f t="shared" ref="GI592:GJ592" si="9827">GI$1*FP592</f>
        <v>0</v>
      </c>
      <c r="GJ592" s="39">
        <f t="shared" si="9827"/>
        <v>0</v>
      </c>
      <c r="GK592" s="2"/>
      <c r="GL592" s="39">
        <f t="shared" si="8579"/>
        <v>0</v>
      </c>
      <c r="GM592" s="39">
        <f t="shared" si="8580"/>
        <v>0</v>
      </c>
      <c r="GN592" s="2" t="s">
        <v>3</v>
      </c>
      <c r="GO592" s="2">
        <f t="shared" si="8581"/>
        <v>0.05</v>
      </c>
      <c r="GP592" s="2">
        <f t="shared" si="8582"/>
        <v>0.3</v>
      </c>
      <c r="GQ592" s="15">
        <f t="shared" si="8583"/>
        <v>0.15</v>
      </c>
      <c r="GR592" s="15">
        <f t="shared" si="8584"/>
        <v>2.6196615999999997</v>
      </c>
      <c r="GS592" s="15">
        <f t="shared" si="8585"/>
        <v>52.39323199999999</v>
      </c>
      <c r="GT592" s="2">
        <f t="shared" si="8586"/>
        <v>0</v>
      </c>
      <c r="GU592" s="2">
        <f t="shared" si="8587"/>
        <v>0</v>
      </c>
      <c r="GV592" s="2">
        <f t="shared" si="8588"/>
        <v>0.15</v>
      </c>
      <c r="GW592" s="2">
        <f t="shared" si="8589"/>
        <v>0</v>
      </c>
      <c r="GX592" s="2"/>
      <c r="GY592" s="2"/>
      <c r="GZ592" s="2"/>
      <c r="HA592" s="2"/>
      <c r="HB592" s="2">
        <f t="shared" si="8590"/>
        <v>0</v>
      </c>
      <c r="HC592" s="2">
        <f t="shared" si="8591"/>
        <v>0</v>
      </c>
      <c r="HD592" s="2" t="s">
        <v>3</v>
      </c>
      <c r="HE592" s="2" t="s">
        <v>89</v>
      </c>
      <c r="HF592" s="2" t="s">
        <v>123</v>
      </c>
      <c r="HG592" s="2"/>
      <c r="HH592" s="2"/>
      <c r="HI592" s="2" t="s">
        <v>100</v>
      </c>
      <c r="HJ592" s="2" t="s">
        <v>3</v>
      </c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 t="s">
        <v>3</v>
      </c>
    </row>
    <row r="593" spans="1:268" ht="15.75" customHeight="1" x14ac:dyDescent="0.2">
      <c r="A593" s="16" t="s">
        <v>966</v>
      </c>
      <c r="B593" s="2" t="s">
        <v>99</v>
      </c>
      <c r="C593" s="2"/>
      <c r="D593" s="2"/>
      <c r="E593" s="2"/>
      <c r="F593" s="2" t="s">
        <v>79</v>
      </c>
      <c r="G593" s="2"/>
      <c r="H593" s="2"/>
      <c r="I593" s="2">
        <v>0</v>
      </c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>
        <v>0</v>
      </c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>
        <v>1.3</v>
      </c>
      <c r="AZ593" s="2">
        <v>0.16</v>
      </c>
      <c r="BA593" s="2"/>
      <c r="BB593" s="2"/>
      <c r="BC593" s="2"/>
      <c r="BD593" s="2"/>
      <c r="BE593" s="2"/>
      <c r="BF593" s="2"/>
      <c r="BG593" s="2">
        <v>0.95</v>
      </c>
      <c r="BH593" s="2">
        <v>0.03</v>
      </c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>
        <v>0</v>
      </c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>
        <v>0</v>
      </c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 t="s">
        <v>100</v>
      </c>
      <c r="DK593" s="2" t="s">
        <v>100</v>
      </c>
      <c r="DL593" s="2">
        <f t="shared" si="8551"/>
        <v>0.94999999999999984</v>
      </c>
      <c r="DM593" s="2">
        <f t="shared" si="8552"/>
        <v>0.03</v>
      </c>
      <c r="DN593" s="2" t="s">
        <v>126</v>
      </c>
      <c r="DO593" s="2" t="s">
        <v>3</v>
      </c>
      <c r="DP593" s="2">
        <f t="shared" si="8553"/>
        <v>2.0800000000000003E-3</v>
      </c>
      <c r="DQ593" s="2">
        <f t="shared" ref="DQ593:DR593" si="9828">K593*$I593+AF593*$AD593+BA593*$AY593</f>
        <v>0</v>
      </c>
      <c r="DR593" s="2">
        <f t="shared" si="9828"/>
        <v>0</v>
      </c>
      <c r="DS593" s="2">
        <f t="shared" ref="DS593:DX593" si="9829">(M593*$I593+AH593*$AD593+BC593*$AY593)/100</f>
        <v>0</v>
      </c>
      <c r="DT593" s="2">
        <f t="shared" si="9829"/>
        <v>0</v>
      </c>
      <c r="DU593" s="2">
        <f t="shared" si="9829"/>
        <v>0</v>
      </c>
      <c r="DV593" s="2">
        <f t="shared" si="9829"/>
        <v>0</v>
      </c>
      <c r="DW593" s="2">
        <f t="shared" si="9829"/>
        <v>1.2349999999999998E-2</v>
      </c>
      <c r="DX593" s="2">
        <f t="shared" si="9829"/>
        <v>3.8999999999999999E-4</v>
      </c>
      <c r="DY593" s="2">
        <f t="shared" ref="DY593:EC593" si="9830">S593*$I593+AN593*$AD593+BI593*$AY593</f>
        <v>0</v>
      </c>
      <c r="DZ593" s="2">
        <f t="shared" si="9830"/>
        <v>0</v>
      </c>
      <c r="EA593" s="2">
        <f t="shared" si="9830"/>
        <v>0</v>
      </c>
      <c r="EB593" s="2">
        <f t="shared" si="9830"/>
        <v>0</v>
      </c>
      <c r="EC593" s="2">
        <f t="shared" si="9830"/>
        <v>0</v>
      </c>
      <c r="ED593" s="2">
        <f t="shared" ref="ED593:EE593" si="9831">(X593*$I593+AS593*$AD593+BN593*$AY593)/100</f>
        <v>0</v>
      </c>
      <c r="EE593" s="2">
        <f t="shared" si="9831"/>
        <v>0</v>
      </c>
      <c r="EF593" s="2"/>
      <c r="EG593" s="2">
        <f t="shared" si="8558"/>
        <v>0</v>
      </c>
      <c r="EH593" s="2">
        <f t="shared" si="8559"/>
        <v>0</v>
      </c>
      <c r="EI593" s="39">
        <f t="shared" si="8560"/>
        <v>13.573281280000002</v>
      </c>
      <c r="EJ593" s="39">
        <f t="shared" ref="EJ593:EK593" si="9832">EJ$1*DQ593/1000000</f>
        <v>0</v>
      </c>
      <c r="EK593" s="39">
        <f t="shared" si="9832"/>
        <v>0</v>
      </c>
      <c r="EL593" s="39">
        <f t="shared" ref="EL593:EQ593" si="9833">EL$1*DS593</f>
        <v>0</v>
      </c>
      <c r="EM593" s="39">
        <f t="shared" si="9833"/>
        <v>0</v>
      </c>
      <c r="EN593" s="39">
        <f t="shared" si="9833"/>
        <v>0</v>
      </c>
      <c r="EO593" s="39">
        <f t="shared" si="9833"/>
        <v>0</v>
      </c>
      <c r="EP593" s="39">
        <f t="shared" si="9833"/>
        <v>161.95789999999997</v>
      </c>
      <c r="EQ593" s="39">
        <f t="shared" si="9833"/>
        <v>28.321614359999995</v>
      </c>
      <c r="ER593" s="39">
        <f t="shared" ref="ER593:EV593" si="9834">ER$1*DY593/1000000</f>
        <v>0</v>
      </c>
      <c r="ES593" s="39">
        <f t="shared" si="9834"/>
        <v>0</v>
      </c>
      <c r="ET593" s="39">
        <f t="shared" si="9834"/>
        <v>0</v>
      </c>
      <c r="EU593" s="39">
        <f t="shared" si="9834"/>
        <v>0</v>
      </c>
      <c r="EV593" s="39">
        <f t="shared" si="9834"/>
        <v>0</v>
      </c>
      <c r="EW593" s="39">
        <f t="shared" ref="EW593:EX593" si="9835">EW$1*ED593</f>
        <v>0</v>
      </c>
      <c r="EX593" s="39">
        <f t="shared" si="9835"/>
        <v>0</v>
      </c>
      <c r="EY593" s="2"/>
      <c r="EZ593" s="39">
        <f t="shared" si="8565"/>
        <v>0</v>
      </c>
      <c r="FA593" s="39">
        <f t="shared" si="8566"/>
        <v>0</v>
      </c>
      <c r="FB593" s="2">
        <f t="shared" si="8567"/>
        <v>0</v>
      </c>
      <c r="FC593" s="2">
        <f t="shared" ref="FC593:FD593" si="9836">BV593*$BT593+CQ593*$CO593</f>
        <v>0</v>
      </c>
      <c r="FD593" s="2">
        <f t="shared" si="9836"/>
        <v>0</v>
      </c>
      <c r="FE593" s="2">
        <f t="shared" ref="FE593:FJ593" si="9837">(BX593*$BT593+CS593*$CO593)/100</f>
        <v>0</v>
      </c>
      <c r="FF593" s="2">
        <f t="shared" si="9837"/>
        <v>0</v>
      </c>
      <c r="FG593" s="2">
        <f t="shared" si="9837"/>
        <v>0</v>
      </c>
      <c r="FH593" s="2">
        <f t="shared" si="9837"/>
        <v>0</v>
      </c>
      <c r="FI593" s="2">
        <f t="shared" si="9837"/>
        <v>0</v>
      </c>
      <c r="FJ593" s="2">
        <f t="shared" si="9837"/>
        <v>0</v>
      </c>
      <c r="FK593" s="2">
        <f t="shared" ref="FK593:FO593" si="9838">CD593*$BT593+CY593*$CO593</f>
        <v>0</v>
      </c>
      <c r="FL593" s="2">
        <f t="shared" si="9838"/>
        <v>0</v>
      </c>
      <c r="FM593" s="2">
        <f t="shared" si="9838"/>
        <v>0</v>
      </c>
      <c r="FN593" s="2">
        <f t="shared" si="9838"/>
        <v>0</v>
      </c>
      <c r="FO593" s="2">
        <f t="shared" si="9838"/>
        <v>0</v>
      </c>
      <c r="FP593" s="2">
        <f t="shared" ref="FP593:FQ593" si="9839">(CI593*$BT593+DD593*$CO593)/100</f>
        <v>0</v>
      </c>
      <c r="FQ593" s="2">
        <f t="shared" si="9839"/>
        <v>0</v>
      </c>
      <c r="FR593" s="2"/>
      <c r="FS593" s="2">
        <f t="shared" si="8572"/>
        <v>0</v>
      </c>
      <c r="FT593" s="2">
        <f t="shared" si="8573"/>
        <v>0</v>
      </c>
      <c r="FU593" s="39">
        <f t="shared" si="8574"/>
        <v>0</v>
      </c>
      <c r="FV593" s="39">
        <f t="shared" ref="FV593:FW593" si="9840">FV$1*FC593/1000000</f>
        <v>0</v>
      </c>
      <c r="FW593" s="39">
        <f t="shared" si="9840"/>
        <v>0</v>
      </c>
      <c r="FX593" s="39">
        <f t="shared" ref="FX593:GC593" si="9841">FX$1*FE593</f>
        <v>0</v>
      </c>
      <c r="FY593" s="39">
        <f t="shared" si="9841"/>
        <v>0</v>
      </c>
      <c r="FZ593" s="39">
        <f t="shared" si="9841"/>
        <v>0</v>
      </c>
      <c r="GA593" s="39">
        <f t="shared" si="9841"/>
        <v>0</v>
      </c>
      <c r="GB593" s="39">
        <f t="shared" si="9841"/>
        <v>0</v>
      </c>
      <c r="GC593" s="39">
        <f t="shared" si="9841"/>
        <v>0</v>
      </c>
      <c r="GD593" s="39">
        <f t="shared" ref="GD593:GH593" si="9842">GD$1*FK593/1000000</f>
        <v>0</v>
      </c>
      <c r="GE593" s="39">
        <f t="shared" si="9842"/>
        <v>0</v>
      </c>
      <c r="GF593" s="39">
        <f t="shared" si="9842"/>
        <v>0</v>
      </c>
      <c r="GG593" s="39">
        <f t="shared" si="9842"/>
        <v>0</v>
      </c>
      <c r="GH593" s="39">
        <f t="shared" si="9842"/>
        <v>0</v>
      </c>
      <c r="GI593" s="39">
        <f t="shared" ref="GI593:GJ593" si="9843">GI$1*FP593</f>
        <v>0</v>
      </c>
      <c r="GJ593" s="39">
        <f t="shared" si="9843"/>
        <v>0</v>
      </c>
      <c r="GK593" s="2"/>
      <c r="GL593" s="39">
        <f t="shared" si="8579"/>
        <v>0</v>
      </c>
      <c r="GM593" s="39">
        <f t="shared" si="8580"/>
        <v>0</v>
      </c>
      <c r="GN593" s="2" t="s">
        <v>3</v>
      </c>
      <c r="GO593" s="2">
        <f t="shared" si="8581"/>
        <v>1.3</v>
      </c>
      <c r="GP593" s="2">
        <f t="shared" si="8582"/>
        <v>0.94999999999999984</v>
      </c>
      <c r="GQ593" s="15">
        <f t="shared" si="8583"/>
        <v>12.349999999999998</v>
      </c>
      <c r="GR593" s="15">
        <f t="shared" si="8584"/>
        <v>203.85279563999995</v>
      </c>
      <c r="GS593" s="15">
        <f t="shared" si="8585"/>
        <v>156.80984279999996</v>
      </c>
      <c r="GT593" s="2">
        <f t="shared" si="8586"/>
        <v>0</v>
      </c>
      <c r="GU593" s="2">
        <f t="shared" si="8587"/>
        <v>0</v>
      </c>
      <c r="GV593" s="2">
        <f t="shared" si="8588"/>
        <v>12.349999999999998</v>
      </c>
      <c r="GW593" s="2">
        <f t="shared" si="8589"/>
        <v>0</v>
      </c>
      <c r="GX593" s="2"/>
      <c r="GY593" s="2"/>
      <c r="GZ593" s="2"/>
      <c r="HA593" s="2"/>
      <c r="HB593" s="2">
        <f t="shared" si="8590"/>
        <v>0</v>
      </c>
      <c r="HC593" s="2">
        <f t="shared" si="8591"/>
        <v>0</v>
      </c>
      <c r="HD593" s="2" t="s">
        <v>3</v>
      </c>
      <c r="HE593" s="2" t="s">
        <v>89</v>
      </c>
      <c r="HF593" s="2" t="s">
        <v>123</v>
      </c>
      <c r="HG593" s="2"/>
      <c r="HH593" s="2"/>
      <c r="HI593" s="2" t="s">
        <v>100</v>
      </c>
      <c r="HJ593" s="2" t="s">
        <v>3</v>
      </c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 t="s">
        <v>3</v>
      </c>
    </row>
    <row r="594" spans="1:268" ht="15.75" customHeight="1" x14ac:dyDescent="0.2">
      <c r="A594" s="16" t="s">
        <v>1024</v>
      </c>
      <c r="B594" s="2" t="s">
        <v>99</v>
      </c>
      <c r="C594" s="2"/>
      <c r="D594" s="2"/>
      <c r="E594" s="2"/>
      <c r="F594" s="2" t="s">
        <v>79</v>
      </c>
      <c r="G594" s="2"/>
      <c r="H594" s="2"/>
      <c r="I594" s="2">
        <v>0</v>
      </c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>
        <v>0</v>
      </c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>
        <v>0.02</v>
      </c>
      <c r="AZ594" s="2">
        <v>0.34</v>
      </c>
      <c r="BA594" s="2"/>
      <c r="BB594" s="2"/>
      <c r="BC594" s="2"/>
      <c r="BD594" s="2"/>
      <c r="BE594" s="2"/>
      <c r="BF594" s="2"/>
      <c r="BG594" s="2">
        <v>0.53</v>
      </c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>
        <v>0</v>
      </c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>
        <v>0</v>
      </c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 t="s">
        <v>100</v>
      </c>
      <c r="DK594" s="2"/>
      <c r="DL594" s="2">
        <f t="shared" si="8551"/>
        <v>0.53</v>
      </c>
      <c r="DM594" s="2">
        <f t="shared" si="8552"/>
        <v>0</v>
      </c>
      <c r="DN594" s="2" t="s">
        <v>126</v>
      </c>
      <c r="DO594" s="2" t="s">
        <v>3</v>
      </c>
      <c r="DP594" s="2">
        <f t="shared" si="8553"/>
        <v>6.7999999999999999E-5</v>
      </c>
      <c r="DQ594" s="2">
        <f t="shared" ref="DQ594:DR594" si="9844">K594*$I594+AF594*$AD594+BA594*$AY594</f>
        <v>0</v>
      </c>
      <c r="DR594" s="2">
        <f t="shared" si="9844"/>
        <v>0</v>
      </c>
      <c r="DS594" s="2">
        <f t="shared" ref="DS594:DX594" si="9845">(M594*$I594+AH594*$AD594+BC594*$AY594)/100</f>
        <v>0</v>
      </c>
      <c r="DT594" s="2">
        <f t="shared" si="9845"/>
        <v>0</v>
      </c>
      <c r="DU594" s="2">
        <f t="shared" si="9845"/>
        <v>0</v>
      </c>
      <c r="DV594" s="2">
        <f t="shared" si="9845"/>
        <v>0</v>
      </c>
      <c r="DW594" s="2">
        <f t="shared" si="9845"/>
        <v>1.06E-4</v>
      </c>
      <c r="DX594" s="2">
        <f t="shared" si="9845"/>
        <v>0</v>
      </c>
      <c r="DY594" s="2">
        <f t="shared" ref="DY594:EC594" si="9846">S594*$I594+AN594*$AD594+BI594*$AY594</f>
        <v>0</v>
      </c>
      <c r="DZ594" s="2">
        <f t="shared" si="9846"/>
        <v>0</v>
      </c>
      <c r="EA594" s="2">
        <f t="shared" si="9846"/>
        <v>0</v>
      </c>
      <c r="EB594" s="2">
        <f t="shared" si="9846"/>
        <v>0</v>
      </c>
      <c r="EC594" s="2">
        <f t="shared" si="9846"/>
        <v>0</v>
      </c>
      <c r="ED594" s="2">
        <f t="shared" ref="ED594:EE594" si="9847">(X594*$I594+AS594*$AD594+BN594*$AY594)/100</f>
        <v>0</v>
      </c>
      <c r="EE594" s="2">
        <f t="shared" si="9847"/>
        <v>0</v>
      </c>
      <c r="EF594" s="2"/>
      <c r="EG594" s="2">
        <f t="shared" si="8558"/>
        <v>0</v>
      </c>
      <c r="EH594" s="2">
        <f t="shared" si="8559"/>
        <v>0</v>
      </c>
      <c r="EI594" s="39">
        <f t="shared" si="8560"/>
        <v>0.44374188799999997</v>
      </c>
      <c r="EJ594" s="39">
        <f t="shared" ref="EJ594:EK594" si="9848">EJ$1*DQ594/1000000</f>
        <v>0</v>
      </c>
      <c r="EK594" s="39">
        <f t="shared" si="9848"/>
        <v>0</v>
      </c>
      <c r="EL594" s="39">
        <f t="shared" ref="EL594:EQ594" si="9849">EL$1*DS594</f>
        <v>0</v>
      </c>
      <c r="EM594" s="39">
        <f t="shared" si="9849"/>
        <v>0</v>
      </c>
      <c r="EN594" s="39">
        <f t="shared" si="9849"/>
        <v>0</v>
      </c>
      <c r="EO594" s="39">
        <f t="shared" si="9849"/>
        <v>0</v>
      </c>
      <c r="EP594" s="39">
        <f t="shared" si="9849"/>
        <v>1.3900840000000001</v>
      </c>
      <c r="EQ594" s="39">
        <f t="shared" si="9849"/>
        <v>0</v>
      </c>
      <c r="ER594" s="39">
        <f t="shared" ref="ER594:EV594" si="9850">ER$1*DY594/1000000</f>
        <v>0</v>
      </c>
      <c r="ES594" s="39">
        <f t="shared" si="9850"/>
        <v>0</v>
      </c>
      <c r="ET594" s="39">
        <f t="shared" si="9850"/>
        <v>0</v>
      </c>
      <c r="EU594" s="39">
        <f t="shared" si="9850"/>
        <v>0</v>
      </c>
      <c r="EV594" s="39">
        <f t="shared" si="9850"/>
        <v>0</v>
      </c>
      <c r="EW594" s="39">
        <f t="shared" ref="EW594:EX594" si="9851">EW$1*ED594</f>
        <v>0</v>
      </c>
      <c r="EX594" s="39">
        <f t="shared" si="9851"/>
        <v>0</v>
      </c>
      <c r="EY594" s="2"/>
      <c r="EZ594" s="39">
        <f t="shared" si="8565"/>
        <v>0</v>
      </c>
      <c r="FA594" s="39">
        <f t="shared" si="8566"/>
        <v>0</v>
      </c>
      <c r="FB594" s="2">
        <f t="shared" si="8567"/>
        <v>0</v>
      </c>
      <c r="FC594" s="2">
        <f t="shared" ref="FC594:FD594" si="9852">BV594*$BT594+CQ594*$CO594</f>
        <v>0</v>
      </c>
      <c r="FD594" s="2">
        <f t="shared" si="9852"/>
        <v>0</v>
      </c>
      <c r="FE594" s="2">
        <f t="shared" ref="FE594:FJ594" si="9853">(BX594*$BT594+CS594*$CO594)/100</f>
        <v>0</v>
      </c>
      <c r="FF594" s="2">
        <f t="shared" si="9853"/>
        <v>0</v>
      </c>
      <c r="FG594" s="2">
        <f t="shared" si="9853"/>
        <v>0</v>
      </c>
      <c r="FH594" s="2">
        <f t="shared" si="9853"/>
        <v>0</v>
      </c>
      <c r="FI594" s="2">
        <f t="shared" si="9853"/>
        <v>0</v>
      </c>
      <c r="FJ594" s="2">
        <f t="shared" si="9853"/>
        <v>0</v>
      </c>
      <c r="FK594" s="2">
        <f t="shared" ref="FK594:FO594" si="9854">CD594*$BT594+CY594*$CO594</f>
        <v>0</v>
      </c>
      <c r="FL594" s="2">
        <f t="shared" si="9854"/>
        <v>0</v>
      </c>
      <c r="FM594" s="2">
        <f t="shared" si="9854"/>
        <v>0</v>
      </c>
      <c r="FN594" s="2">
        <f t="shared" si="9854"/>
        <v>0</v>
      </c>
      <c r="FO594" s="2">
        <f t="shared" si="9854"/>
        <v>0</v>
      </c>
      <c r="FP594" s="2">
        <f t="shared" ref="FP594:FQ594" si="9855">(CI594*$BT594+DD594*$CO594)/100</f>
        <v>0</v>
      </c>
      <c r="FQ594" s="2">
        <f t="shared" si="9855"/>
        <v>0</v>
      </c>
      <c r="FR594" s="2"/>
      <c r="FS594" s="2">
        <f t="shared" si="8572"/>
        <v>0</v>
      </c>
      <c r="FT594" s="2">
        <f t="shared" si="8573"/>
        <v>0</v>
      </c>
      <c r="FU594" s="39">
        <f t="shared" si="8574"/>
        <v>0</v>
      </c>
      <c r="FV594" s="39">
        <f t="shared" ref="FV594:FW594" si="9856">FV$1*FC594/1000000</f>
        <v>0</v>
      </c>
      <c r="FW594" s="39">
        <f t="shared" si="9856"/>
        <v>0</v>
      </c>
      <c r="FX594" s="39">
        <f t="shared" ref="FX594:GC594" si="9857">FX$1*FE594</f>
        <v>0</v>
      </c>
      <c r="FY594" s="39">
        <f t="shared" si="9857"/>
        <v>0</v>
      </c>
      <c r="FZ594" s="39">
        <f t="shared" si="9857"/>
        <v>0</v>
      </c>
      <c r="GA594" s="39">
        <f t="shared" si="9857"/>
        <v>0</v>
      </c>
      <c r="GB594" s="39">
        <f t="shared" si="9857"/>
        <v>0</v>
      </c>
      <c r="GC594" s="39">
        <f t="shared" si="9857"/>
        <v>0</v>
      </c>
      <c r="GD594" s="39">
        <f t="shared" ref="GD594:GH594" si="9858">GD$1*FK594/1000000</f>
        <v>0</v>
      </c>
      <c r="GE594" s="39">
        <f t="shared" si="9858"/>
        <v>0</v>
      </c>
      <c r="GF594" s="39">
        <f t="shared" si="9858"/>
        <v>0</v>
      </c>
      <c r="GG594" s="39">
        <f t="shared" si="9858"/>
        <v>0</v>
      </c>
      <c r="GH594" s="39">
        <f t="shared" si="9858"/>
        <v>0</v>
      </c>
      <c r="GI594" s="39">
        <f t="shared" ref="GI594:GJ594" si="9859">GI$1*FP594</f>
        <v>0</v>
      </c>
      <c r="GJ594" s="39">
        <f t="shared" si="9859"/>
        <v>0</v>
      </c>
      <c r="GK594" s="2"/>
      <c r="GL594" s="39">
        <f t="shared" si="8579"/>
        <v>0</v>
      </c>
      <c r="GM594" s="39">
        <f t="shared" si="8580"/>
        <v>0</v>
      </c>
      <c r="GN594" s="2" t="s">
        <v>3</v>
      </c>
      <c r="GO594" s="2">
        <f t="shared" si="8581"/>
        <v>0.02</v>
      </c>
      <c r="GP594" s="2">
        <f t="shared" si="8582"/>
        <v>0.53</v>
      </c>
      <c r="GQ594" s="15">
        <f t="shared" si="8583"/>
        <v>0.10600000000000001</v>
      </c>
      <c r="GR594" s="15">
        <f t="shared" si="8584"/>
        <v>1.833825888</v>
      </c>
      <c r="GS594" s="15">
        <f t="shared" si="8585"/>
        <v>91.691294400000004</v>
      </c>
      <c r="GT594" s="2">
        <f t="shared" si="8586"/>
        <v>0</v>
      </c>
      <c r="GU594" s="2">
        <f t="shared" si="8587"/>
        <v>0</v>
      </c>
      <c r="GV594" s="2">
        <f t="shared" si="8588"/>
        <v>0.106</v>
      </c>
      <c r="GW594" s="2">
        <f t="shared" si="8589"/>
        <v>0</v>
      </c>
      <c r="GX594" s="2"/>
      <c r="GY594" s="2"/>
      <c r="GZ594" s="2"/>
      <c r="HA594" s="2"/>
      <c r="HB594" s="2">
        <f t="shared" si="8590"/>
        <v>0</v>
      </c>
      <c r="HC594" s="2">
        <f t="shared" si="8591"/>
        <v>0</v>
      </c>
      <c r="HD594" s="2" t="s">
        <v>3</v>
      </c>
      <c r="HE594" s="2" t="s">
        <v>89</v>
      </c>
      <c r="HF594" s="2" t="s">
        <v>123</v>
      </c>
      <c r="HG594" s="2"/>
      <c r="HH594" s="2"/>
      <c r="HI594" s="2" t="s">
        <v>100</v>
      </c>
      <c r="HJ594" s="2" t="s">
        <v>3</v>
      </c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 t="s">
        <v>3</v>
      </c>
    </row>
    <row r="595" spans="1:268" ht="15.75" customHeight="1" x14ac:dyDescent="0.2">
      <c r="A595" s="16" t="s">
        <v>1077</v>
      </c>
      <c r="B595" s="2" t="s">
        <v>99</v>
      </c>
      <c r="C595" s="2"/>
      <c r="D595" s="2"/>
      <c r="E595" s="2"/>
      <c r="F595" s="2" t="s">
        <v>1043</v>
      </c>
      <c r="G595" s="2"/>
      <c r="H595" s="2"/>
      <c r="I595" s="2">
        <v>0</v>
      </c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>
        <v>0</v>
      </c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>
        <v>3.5</v>
      </c>
      <c r="AZ595" s="2">
        <v>0.28000000000000003</v>
      </c>
      <c r="BA595" s="2"/>
      <c r="BB595" s="2"/>
      <c r="BC595" s="2"/>
      <c r="BD595" s="2"/>
      <c r="BE595" s="2"/>
      <c r="BF595" s="2"/>
      <c r="BG595" s="2">
        <v>0.32</v>
      </c>
      <c r="BH595" s="19">
        <v>0.04</v>
      </c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>
        <v>0</v>
      </c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>
        <v>0</v>
      </c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 t="s">
        <v>100</v>
      </c>
      <c r="DK595" s="2"/>
      <c r="DL595" s="2">
        <f t="shared" si="8551"/>
        <v>0.32</v>
      </c>
      <c r="DM595" s="2">
        <f t="shared" si="8552"/>
        <v>0.04</v>
      </c>
      <c r="DN595" s="2" t="s">
        <v>1078</v>
      </c>
      <c r="DO595" s="2" t="s">
        <v>3</v>
      </c>
      <c r="DP595" s="2">
        <f t="shared" si="8553"/>
        <v>9.8000000000000014E-3</v>
      </c>
      <c r="DQ595" s="2">
        <f t="shared" ref="DQ595:DR595" si="9860">K595*$I595+AF595*$AD595+BA595*$AY595</f>
        <v>0</v>
      </c>
      <c r="DR595" s="2">
        <f t="shared" si="9860"/>
        <v>0</v>
      </c>
      <c r="DS595" s="2">
        <f t="shared" ref="DS595:DX595" si="9861">(M595*$I595+AH595*$AD595+BC595*$AY595)/100</f>
        <v>0</v>
      </c>
      <c r="DT595" s="2">
        <f t="shared" si="9861"/>
        <v>0</v>
      </c>
      <c r="DU595" s="2">
        <f t="shared" si="9861"/>
        <v>0</v>
      </c>
      <c r="DV595" s="2">
        <f t="shared" si="9861"/>
        <v>0</v>
      </c>
      <c r="DW595" s="2">
        <f t="shared" si="9861"/>
        <v>1.1200000000000002E-2</v>
      </c>
      <c r="DX595" s="2">
        <f t="shared" si="9861"/>
        <v>1.4000000000000002E-3</v>
      </c>
      <c r="DY595" s="2">
        <f t="shared" ref="DY595:EC595" si="9862">S595*$I595+AN595*$AD595+BI595*$AY595</f>
        <v>0</v>
      </c>
      <c r="DZ595" s="2">
        <f t="shared" si="9862"/>
        <v>0</v>
      </c>
      <c r="EA595" s="2">
        <f t="shared" si="9862"/>
        <v>0</v>
      </c>
      <c r="EB595" s="2">
        <f t="shared" si="9862"/>
        <v>0</v>
      </c>
      <c r="EC595" s="2">
        <f t="shared" si="9862"/>
        <v>0</v>
      </c>
      <c r="ED595" s="2">
        <f t="shared" ref="ED595:EE595" si="9863">(X595*$I595+AS595*$AD595+BN595*$AY595)/100</f>
        <v>0</v>
      </c>
      <c r="EE595" s="2">
        <f t="shared" si="9863"/>
        <v>0</v>
      </c>
      <c r="EF595" s="2"/>
      <c r="EG595" s="2">
        <f t="shared" si="8558"/>
        <v>0</v>
      </c>
      <c r="EH595" s="2">
        <f t="shared" si="8559"/>
        <v>0</v>
      </c>
      <c r="EI595" s="39">
        <f t="shared" si="8560"/>
        <v>63.951036800000011</v>
      </c>
      <c r="EJ595" s="39">
        <f t="shared" ref="EJ595:EK595" si="9864">EJ$1*DQ595/1000000</f>
        <v>0</v>
      </c>
      <c r="EK595" s="39">
        <f t="shared" si="9864"/>
        <v>0</v>
      </c>
      <c r="EL595" s="39">
        <f t="shared" ref="EL595:EQ595" si="9865">EL$1*DS595</f>
        <v>0</v>
      </c>
      <c r="EM595" s="39">
        <f t="shared" si="9865"/>
        <v>0</v>
      </c>
      <c r="EN595" s="39">
        <f t="shared" si="9865"/>
        <v>0</v>
      </c>
      <c r="EO595" s="39">
        <f t="shared" si="9865"/>
        <v>0</v>
      </c>
      <c r="EP595" s="39">
        <f t="shared" si="9865"/>
        <v>146.87680000000003</v>
      </c>
      <c r="EQ595" s="39">
        <f t="shared" si="9865"/>
        <v>101.66733360000001</v>
      </c>
      <c r="ER595" s="39">
        <f t="shared" ref="ER595:EV595" si="9866">ER$1*DY595/1000000</f>
        <v>0</v>
      </c>
      <c r="ES595" s="39">
        <f t="shared" si="9866"/>
        <v>0</v>
      </c>
      <c r="ET595" s="39">
        <f t="shared" si="9866"/>
        <v>0</v>
      </c>
      <c r="EU595" s="39">
        <f t="shared" si="9866"/>
        <v>0</v>
      </c>
      <c r="EV595" s="39">
        <f t="shared" si="9866"/>
        <v>0</v>
      </c>
      <c r="EW595" s="39">
        <f t="shared" ref="EW595:EX595" si="9867">EW$1*ED595</f>
        <v>0</v>
      </c>
      <c r="EX595" s="39">
        <f t="shared" si="9867"/>
        <v>0</v>
      </c>
      <c r="EY595" s="2"/>
      <c r="EZ595" s="39">
        <f t="shared" si="8565"/>
        <v>0</v>
      </c>
      <c r="FA595" s="39">
        <f t="shared" si="8566"/>
        <v>0</v>
      </c>
      <c r="FB595" s="2">
        <f t="shared" si="8567"/>
        <v>0</v>
      </c>
      <c r="FC595" s="2">
        <f t="shared" ref="FC595:FD595" si="9868">BV595*$BT595+CQ595*$CO595</f>
        <v>0</v>
      </c>
      <c r="FD595" s="2">
        <f t="shared" si="9868"/>
        <v>0</v>
      </c>
      <c r="FE595" s="2">
        <f t="shared" ref="FE595:FJ595" si="9869">(BX595*$BT595+CS595*$CO595)/100</f>
        <v>0</v>
      </c>
      <c r="FF595" s="2">
        <f t="shared" si="9869"/>
        <v>0</v>
      </c>
      <c r="FG595" s="2">
        <f t="shared" si="9869"/>
        <v>0</v>
      </c>
      <c r="FH595" s="2">
        <f t="shared" si="9869"/>
        <v>0</v>
      </c>
      <c r="FI595" s="2">
        <f t="shared" si="9869"/>
        <v>0</v>
      </c>
      <c r="FJ595" s="2">
        <f t="shared" si="9869"/>
        <v>0</v>
      </c>
      <c r="FK595" s="2">
        <f t="shared" ref="FK595:FO595" si="9870">CD595*$BT595+CY595*$CO595</f>
        <v>0</v>
      </c>
      <c r="FL595" s="2">
        <f t="shared" si="9870"/>
        <v>0</v>
      </c>
      <c r="FM595" s="2">
        <f t="shared" si="9870"/>
        <v>0</v>
      </c>
      <c r="FN595" s="2">
        <f t="shared" si="9870"/>
        <v>0</v>
      </c>
      <c r="FO595" s="2">
        <f t="shared" si="9870"/>
        <v>0</v>
      </c>
      <c r="FP595" s="2">
        <f t="shared" ref="FP595:FQ595" si="9871">(CI595*$BT595+DD595*$CO595)/100</f>
        <v>0</v>
      </c>
      <c r="FQ595" s="2">
        <f t="shared" si="9871"/>
        <v>0</v>
      </c>
      <c r="FR595" s="2"/>
      <c r="FS595" s="2">
        <f t="shared" si="8572"/>
        <v>0</v>
      </c>
      <c r="FT595" s="2">
        <f t="shared" si="8573"/>
        <v>0</v>
      </c>
      <c r="FU595" s="39">
        <f t="shared" si="8574"/>
        <v>0</v>
      </c>
      <c r="FV595" s="39">
        <f t="shared" ref="FV595:FW595" si="9872">FV$1*FC595/1000000</f>
        <v>0</v>
      </c>
      <c r="FW595" s="39">
        <f t="shared" si="9872"/>
        <v>0</v>
      </c>
      <c r="FX595" s="39">
        <f t="shared" ref="FX595:GC595" si="9873">FX$1*FE595</f>
        <v>0</v>
      </c>
      <c r="FY595" s="39">
        <f t="shared" si="9873"/>
        <v>0</v>
      </c>
      <c r="FZ595" s="39">
        <f t="shared" si="9873"/>
        <v>0</v>
      </c>
      <c r="GA595" s="39">
        <f t="shared" si="9873"/>
        <v>0</v>
      </c>
      <c r="GB595" s="39">
        <f t="shared" si="9873"/>
        <v>0</v>
      </c>
      <c r="GC595" s="39">
        <f t="shared" si="9873"/>
        <v>0</v>
      </c>
      <c r="GD595" s="39">
        <f t="shared" ref="GD595:GH595" si="9874">GD$1*FK595/1000000</f>
        <v>0</v>
      </c>
      <c r="GE595" s="39">
        <f t="shared" si="9874"/>
        <v>0</v>
      </c>
      <c r="GF595" s="39">
        <f t="shared" si="9874"/>
        <v>0</v>
      </c>
      <c r="GG595" s="39">
        <f t="shared" si="9874"/>
        <v>0</v>
      </c>
      <c r="GH595" s="39">
        <f t="shared" si="9874"/>
        <v>0</v>
      </c>
      <c r="GI595" s="39">
        <f t="shared" ref="GI595:GJ595" si="9875">GI$1*FP595</f>
        <v>0</v>
      </c>
      <c r="GJ595" s="39">
        <f t="shared" si="9875"/>
        <v>0</v>
      </c>
      <c r="GK595" s="2"/>
      <c r="GL595" s="39">
        <f t="shared" si="8579"/>
        <v>0</v>
      </c>
      <c r="GM595" s="39">
        <f t="shared" si="8580"/>
        <v>0</v>
      </c>
      <c r="GN595" s="2" t="s">
        <v>3</v>
      </c>
      <c r="GO595" s="2">
        <f t="shared" si="8581"/>
        <v>3.5</v>
      </c>
      <c r="GP595" s="2">
        <f t="shared" si="8582"/>
        <v>0.32</v>
      </c>
      <c r="GQ595" s="15">
        <f t="shared" si="8583"/>
        <v>11.2</v>
      </c>
      <c r="GR595" s="15">
        <f t="shared" si="8584"/>
        <v>312.49517040000006</v>
      </c>
      <c r="GS595" s="15">
        <f t="shared" si="8585"/>
        <v>89.28433440000002</v>
      </c>
      <c r="GT595" s="2">
        <f t="shared" si="8586"/>
        <v>0</v>
      </c>
      <c r="GU595" s="2">
        <f t="shared" si="8587"/>
        <v>0</v>
      </c>
      <c r="GV595" s="2">
        <f t="shared" si="8588"/>
        <v>11.2</v>
      </c>
      <c r="GW595" s="2">
        <f t="shared" si="8589"/>
        <v>0</v>
      </c>
      <c r="GX595" s="2"/>
      <c r="GY595" s="2"/>
      <c r="GZ595" s="2"/>
      <c r="HA595" s="2"/>
      <c r="HB595" s="2">
        <f t="shared" si="8590"/>
        <v>0</v>
      </c>
      <c r="HC595" s="2">
        <f t="shared" si="8591"/>
        <v>0</v>
      </c>
      <c r="HD595" s="2" t="s">
        <v>3</v>
      </c>
      <c r="HE595" s="2" t="s">
        <v>89</v>
      </c>
      <c r="HF595" s="2" t="s">
        <v>123</v>
      </c>
      <c r="HG595" s="2"/>
      <c r="HH595" s="2"/>
      <c r="HI595" s="2" t="s">
        <v>100</v>
      </c>
      <c r="HJ595" s="2" t="s">
        <v>3</v>
      </c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 t="s">
        <v>3</v>
      </c>
    </row>
    <row r="596" spans="1:268" ht="15.75" customHeight="1" x14ac:dyDescent="0.2">
      <c r="A596" s="16" t="s">
        <v>1089</v>
      </c>
      <c r="B596" s="2" t="s">
        <v>99</v>
      </c>
      <c r="C596" s="2"/>
      <c r="D596" s="2"/>
      <c r="E596" s="2"/>
      <c r="F596" s="2" t="s">
        <v>79</v>
      </c>
      <c r="G596" s="2"/>
      <c r="H596" s="2"/>
      <c r="I596" s="2">
        <v>0</v>
      </c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>
        <v>0</v>
      </c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>
        <v>0.03</v>
      </c>
      <c r="AZ596" s="2">
        <v>0.2</v>
      </c>
      <c r="BA596" s="2"/>
      <c r="BB596" s="2"/>
      <c r="BC596" s="2"/>
      <c r="BD596" s="2"/>
      <c r="BE596" s="2"/>
      <c r="BF596" s="2"/>
      <c r="BG596" s="2">
        <v>1.4</v>
      </c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>
        <v>0</v>
      </c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>
        <v>0</v>
      </c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 t="s">
        <v>100</v>
      </c>
      <c r="DK596" s="2"/>
      <c r="DL596" s="2">
        <f t="shared" si="8551"/>
        <v>1.4</v>
      </c>
      <c r="DM596" s="2">
        <f t="shared" si="8552"/>
        <v>0</v>
      </c>
      <c r="DN596" s="2" t="s">
        <v>126</v>
      </c>
      <c r="DO596" s="2" t="s">
        <v>3</v>
      </c>
      <c r="DP596" s="2">
        <f t="shared" si="8553"/>
        <v>6.0000000000000002E-5</v>
      </c>
      <c r="DQ596" s="2">
        <f t="shared" ref="DQ596:DR596" si="9876">K596*$I596+AF596*$AD596+BA596*$AY596</f>
        <v>0</v>
      </c>
      <c r="DR596" s="2">
        <f t="shared" si="9876"/>
        <v>0</v>
      </c>
      <c r="DS596" s="2">
        <f t="shared" ref="DS596:DX596" si="9877">(M596*$I596+AH596*$AD596+BC596*$AY596)/100</f>
        <v>0</v>
      </c>
      <c r="DT596" s="2">
        <f t="shared" si="9877"/>
        <v>0</v>
      </c>
      <c r="DU596" s="2">
        <f t="shared" si="9877"/>
        <v>0</v>
      </c>
      <c r="DV596" s="2">
        <f t="shared" si="9877"/>
        <v>0</v>
      </c>
      <c r="DW596" s="2">
        <f t="shared" si="9877"/>
        <v>4.1999999999999996E-4</v>
      </c>
      <c r="DX596" s="2">
        <f t="shared" si="9877"/>
        <v>0</v>
      </c>
      <c r="DY596" s="2">
        <f t="shared" ref="DY596:EC596" si="9878">S596*$I596+AN596*$AD596+BI596*$AY596</f>
        <v>0</v>
      </c>
      <c r="DZ596" s="2">
        <f t="shared" si="9878"/>
        <v>0</v>
      </c>
      <c r="EA596" s="2">
        <f t="shared" si="9878"/>
        <v>0</v>
      </c>
      <c r="EB596" s="2">
        <f t="shared" si="9878"/>
        <v>0</v>
      </c>
      <c r="EC596" s="2">
        <f t="shared" si="9878"/>
        <v>0</v>
      </c>
      <c r="ED596" s="2">
        <f t="shared" ref="ED596:EE596" si="9879">(X596*$I596+AS596*$AD596+BN596*$AY596)/100</f>
        <v>0</v>
      </c>
      <c r="EE596" s="2">
        <f t="shared" si="9879"/>
        <v>0</v>
      </c>
      <c r="EF596" s="2"/>
      <c r="EG596" s="2">
        <f t="shared" si="8558"/>
        <v>0</v>
      </c>
      <c r="EH596" s="2">
        <f t="shared" si="8559"/>
        <v>0</v>
      </c>
      <c r="EI596" s="39">
        <f t="shared" si="8560"/>
        <v>0.39153695999999999</v>
      </c>
      <c r="EJ596" s="39">
        <f t="shared" ref="EJ596:EK596" si="9880">EJ$1*DQ596/1000000</f>
        <v>0</v>
      </c>
      <c r="EK596" s="39">
        <f t="shared" si="9880"/>
        <v>0</v>
      </c>
      <c r="EL596" s="39">
        <f t="shared" ref="EL596:EQ596" si="9881">EL$1*DS596</f>
        <v>0</v>
      </c>
      <c r="EM596" s="39">
        <f t="shared" si="9881"/>
        <v>0</v>
      </c>
      <c r="EN596" s="39">
        <f t="shared" si="9881"/>
        <v>0</v>
      </c>
      <c r="EO596" s="39">
        <f t="shared" si="9881"/>
        <v>0</v>
      </c>
      <c r="EP596" s="39">
        <f t="shared" si="9881"/>
        <v>5.5078799999999992</v>
      </c>
      <c r="EQ596" s="39">
        <f t="shared" si="9881"/>
        <v>0</v>
      </c>
      <c r="ER596" s="39">
        <f t="shared" ref="ER596:EV596" si="9882">ER$1*DY596/1000000</f>
        <v>0</v>
      </c>
      <c r="ES596" s="39">
        <f t="shared" si="9882"/>
        <v>0</v>
      </c>
      <c r="ET596" s="39">
        <f t="shared" si="9882"/>
        <v>0</v>
      </c>
      <c r="EU596" s="39">
        <f t="shared" si="9882"/>
        <v>0</v>
      </c>
      <c r="EV596" s="39">
        <f t="shared" si="9882"/>
        <v>0</v>
      </c>
      <c r="EW596" s="39">
        <f t="shared" ref="EW596:EX596" si="9883">EW$1*ED596</f>
        <v>0</v>
      </c>
      <c r="EX596" s="39">
        <f t="shared" si="9883"/>
        <v>0</v>
      </c>
      <c r="EY596" s="2"/>
      <c r="EZ596" s="39">
        <f t="shared" si="8565"/>
        <v>0</v>
      </c>
      <c r="FA596" s="39">
        <f t="shared" si="8566"/>
        <v>0</v>
      </c>
      <c r="FB596" s="2">
        <f t="shared" si="8567"/>
        <v>0</v>
      </c>
      <c r="FC596" s="2">
        <f t="shared" ref="FC596:FD596" si="9884">BV596*$BT596+CQ596*$CO596</f>
        <v>0</v>
      </c>
      <c r="FD596" s="2">
        <f t="shared" si="9884"/>
        <v>0</v>
      </c>
      <c r="FE596" s="2">
        <f t="shared" ref="FE596:FJ596" si="9885">(BX596*$BT596+CS596*$CO596)/100</f>
        <v>0</v>
      </c>
      <c r="FF596" s="2">
        <f t="shared" si="9885"/>
        <v>0</v>
      </c>
      <c r="FG596" s="2">
        <f t="shared" si="9885"/>
        <v>0</v>
      </c>
      <c r="FH596" s="2">
        <f t="shared" si="9885"/>
        <v>0</v>
      </c>
      <c r="FI596" s="2">
        <f t="shared" si="9885"/>
        <v>0</v>
      </c>
      <c r="FJ596" s="2">
        <f t="shared" si="9885"/>
        <v>0</v>
      </c>
      <c r="FK596" s="2">
        <f t="shared" ref="FK596:FO596" si="9886">CD596*$BT596+CY596*$CO596</f>
        <v>0</v>
      </c>
      <c r="FL596" s="2">
        <f t="shared" si="9886"/>
        <v>0</v>
      </c>
      <c r="FM596" s="2">
        <f t="shared" si="9886"/>
        <v>0</v>
      </c>
      <c r="FN596" s="2">
        <f t="shared" si="9886"/>
        <v>0</v>
      </c>
      <c r="FO596" s="2">
        <f t="shared" si="9886"/>
        <v>0</v>
      </c>
      <c r="FP596" s="2">
        <f t="shared" ref="FP596:FQ596" si="9887">(CI596*$BT596+DD596*$CO596)/100</f>
        <v>0</v>
      </c>
      <c r="FQ596" s="2">
        <f t="shared" si="9887"/>
        <v>0</v>
      </c>
      <c r="FR596" s="2"/>
      <c r="FS596" s="2">
        <f t="shared" si="8572"/>
        <v>0</v>
      </c>
      <c r="FT596" s="2">
        <f t="shared" si="8573"/>
        <v>0</v>
      </c>
      <c r="FU596" s="39">
        <f t="shared" si="8574"/>
        <v>0</v>
      </c>
      <c r="FV596" s="39">
        <f t="shared" ref="FV596:FW596" si="9888">FV$1*FC596/1000000</f>
        <v>0</v>
      </c>
      <c r="FW596" s="39">
        <f t="shared" si="9888"/>
        <v>0</v>
      </c>
      <c r="FX596" s="39">
        <f t="shared" ref="FX596:GC596" si="9889">FX$1*FE596</f>
        <v>0</v>
      </c>
      <c r="FY596" s="39">
        <f t="shared" si="9889"/>
        <v>0</v>
      </c>
      <c r="FZ596" s="39">
        <f t="shared" si="9889"/>
        <v>0</v>
      </c>
      <c r="GA596" s="39">
        <f t="shared" si="9889"/>
        <v>0</v>
      </c>
      <c r="GB596" s="39">
        <f t="shared" si="9889"/>
        <v>0</v>
      </c>
      <c r="GC596" s="39">
        <f t="shared" si="9889"/>
        <v>0</v>
      </c>
      <c r="GD596" s="39">
        <f t="shared" ref="GD596:GH596" si="9890">GD$1*FK596/1000000</f>
        <v>0</v>
      </c>
      <c r="GE596" s="39">
        <f t="shared" si="9890"/>
        <v>0</v>
      </c>
      <c r="GF596" s="39">
        <f t="shared" si="9890"/>
        <v>0</v>
      </c>
      <c r="GG596" s="39">
        <f t="shared" si="9890"/>
        <v>0</v>
      </c>
      <c r="GH596" s="39">
        <f t="shared" si="9890"/>
        <v>0</v>
      </c>
      <c r="GI596" s="39">
        <f t="shared" ref="GI596:GJ596" si="9891">GI$1*FP596</f>
        <v>0</v>
      </c>
      <c r="GJ596" s="39">
        <f t="shared" si="9891"/>
        <v>0</v>
      </c>
      <c r="GK596" s="2"/>
      <c r="GL596" s="39">
        <f t="shared" si="8579"/>
        <v>0</v>
      </c>
      <c r="GM596" s="39">
        <f t="shared" si="8580"/>
        <v>0</v>
      </c>
      <c r="GN596" s="2" t="s">
        <v>3</v>
      </c>
      <c r="GO596" s="2">
        <f t="shared" si="8581"/>
        <v>0.03</v>
      </c>
      <c r="GP596" s="2">
        <f t="shared" si="8582"/>
        <v>1.4</v>
      </c>
      <c r="GQ596" s="15">
        <f t="shared" si="8583"/>
        <v>0.42</v>
      </c>
      <c r="GR596" s="15">
        <f t="shared" si="8584"/>
        <v>5.899416959999999</v>
      </c>
      <c r="GS596" s="15">
        <f t="shared" si="8585"/>
        <v>196.64723199999997</v>
      </c>
      <c r="GT596" s="2">
        <f t="shared" si="8586"/>
        <v>0</v>
      </c>
      <c r="GU596" s="2">
        <f t="shared" si="8587"/>
        <v>0</v>
      </c>
      <c r="GV596" s="2">
        <f t="shared" si="8588"/>
        <v>0.41999999999999993</v>
      </c>
      <c r="GW596" s="2">
        <f t="shared" si="8589"/>
        <v>0</v>
      </c>
      <c r="GX596" s="2"/>
      <c r="GY596" s="2"/>
      <c r="GZ596" s="2"/>
      <c r="HA596" s="2"/>
      <c r="HB596" s="2">
        <f t="shared" si="8590"/>
        <v>0</v>
      </c>
      <c r="HC596" s="2">
        <f t="shared" si="8591"/>
        <v>0</v>
      </c>
      <c r="HD596" s="2" t="s">
        <v>3</v>
      </c>
      <c r="HE596" s="2" t="s">
        <v>89</v>
      </c>
      <c r="HF596" s="2" t="s">
        <v>123</v>
      </c>
      <c r="HG596" s="2"/>
      <c r="HH596" s="2"/>
      <c r="HI596" s="2" t="s">
        <v>100</v>
      </c>
      <c r="HJ596" s="2" t="s">
        <v>3</v>
      </c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 t="s">
        <v>3</v>
      </c>
    </row>
    <row r="597" spans="1:268" ht="15.75" customHeight="1" x14ac:dyDescent="0.2">
      <c r="A597" s="16" t="s">
        <v>1216</v>
      </c>
      <c r="B597" s="2" t="s">
        <v>99</v>
      </c>
      <c r="C597" s="2"/>
      <c r="D597" s="2"/>
      <c r="E597" s="2"/>
      <c r="F597" s="2" t="s">
        <v>79</v>
      </c>
      <c r="G597" s="2"/>
      <c r="H597" s="2"/>
      <c r="I597" s="2">
        <v>0</v>
      </c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>
        <v>0</v>
      </c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>
        <v>0.09</v>
      </c>
      <c r="AZ597" s="2">
        <v>0.15</v>
      </c>
      <c r="BA597" s="2"/>
      <c r="BB597" s="2"/>
      <c r="BC597" s="2"/>
      <c r="BD597" s="2"/>
      <c r="BE597" s="2"/>
      <c r="BF597" s="2"/>
      <c r="BG597" s="2">
        <v>0.34</v>
      </c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>
        <v>0</v>
      </c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>
        <v>0</v>
      </c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 t="s">
        <v>100</v>
      </c>
      <c r="DK597" s="2"/>
      <c r="DL597" s="2">
        <f t="shared" si="8551"/>
        <v>0.34</v>
      </c>
      <c r="DM597" s="2">
        <f t="shared" si="8552"/>
        <v>0</v>
      </c>
      <c r="DN597" s="2" t="s">
        <v>126</v>
      </c>
      <c r="DO597" s="2" t="s">
        <v>3</v>
      </c>
      <c r="DP597" s="2">
        <f t="shared" si="8553"/>
        <v>1.35E-4</v>
      </c>
      <c r="DQ597" s="2">
        <f t="shared" ref="DQ597:DR597" si="9892">K597*$I597+AF597*$AD597+BA597*$AY597</f>
        <v>0</v>
      </c>
      <c r="DR597" s="2">
        <f t="shared" si="9892"/>
        <v>0</v>
      </c>
      <c r="DS597" s="2">
        <f t="shared" ref="DS597:DX597" si="9893">(M597*$I597+AH597*$AD597+BC597*$AY597)/100</f>
        <v>0</v>
      </c>
      <c r="DT597" s="2">
        <f t="shared" si="9893"/>
        <v>0</v>
      </c>
      <c r="DU597" s="2">
        <f t="shared" si="9893"/>
        <v>0</v>
      </c>
      <c r="DV597" s="2">
        <f t="shared" si="9893"/>
        <v>0</v>
      </c>
      <c r="DW597" s="2">
        <f t="shared" si="9893"/>
        <v>3.0600000000000001E-4</v>
      </c>
      <c r="DX597" s="2">
        <f t="shared" si="9893"/>
        <v>0</v>
      </c>
      <c r="DY597" s="2">
        <f t="shared" ref="DY597:EC597" si="9894">S597*$I597+AN597*$AD597+BI597*$AY597</f>
        <v>0</v>
      </c>
      <c r="DZ597" s="2">
        <f t="shared" si="9894"/>
        <v>0</v>
      </c>
      <c r="EA597" s="2">
        <f t="shared" si="9894"/>
        <v>0</v>
      </c>
      <c r="EB597" s="2">
        <f t="shared" si="9894"/>
        <v>0</v>
      </c>
      <c r="EC597" s="2">
        <f t="shared" si="9894"/>
        <v>0</v>
      </c>
      <c r="ED597" s="2">
        <f t="shared" ref="ED597:EE597" si="9895">(X597*$I597+AS597*$AD597+BN597*$AY597)/100</f>
        <v>0</v>
      </c>
      <c r="EE597" s="2">
        <f t="shared" si="9895"/>
        <v>0</v>
      </c>
      <c r="EF597" s="2"/>
      <c r="EG597" s="2">
        <f t="shared" si="8558"/>
        <v>0</v>
      </c>
      <c r="EH597" s="2">
        <f t="shared" si="8559"/>
        <v>0</v>
      </c>
      <c r="EI597" s="39">
        <f t="shared" si="8560"/>
        <v>0.88095816000000005</v>
      </c>
      <c r="EJ597" s="39">
        <f t="shared" ref="EJ597:EK597" si="9896">EJ$1*DQ597/1000000</f>
        <v>0</v>
      </c>
      <c r="EK597" s="39">
        <f t="shared" si="9896"/>
        <v>0</v>
      </c>
      <c r="EL597" s="39">
        <f t="shared" ref="EL597:EQ597" si="9897">EL$1*DS597</f>
        <v>0</v>
      </c>
      <c r="EM597" s="39">
        <f t="shared" si="9897"/>
        <v>0</v>
      </c>
      <c r="EN597" s="39">
        <f t="shared" si="9897"/>
        <v>0</v>
      </c>
      <c r="EO597" s="39">
        <f t="shared" si="9897"/>
        <v>0</v>
      </c>
      <c r="EP597" s="39">
        <f t="shared" si="9897"/>
        <v>4.0128840000000006</v>
      </c>
      <c r="EQ597" s="39">
        <f t="shared" si="9897"/>
        <v>0</v>
      </c>
      <c r="ER597" s="39">
        <f t="shared" ref="ER597:EV597" si="9898">ER$1*DY597/1000000</f>
        <v>0</v>
      </c>
      <c r="ES597" s="39">
        <f t="shared" si="9898"/>
        <v>0</v>
      </c>
      <c r="ET597" s="39">
        <f t="shared" si="9898"/>
        <v>0</v>
      </c>
      <c r="EU597" s="39">
        <f t="shared" si="9898"/>
        <v>0</v>
      </c>
      <c r="EV597" s="39">
        <f t="shared" si="9898"/>
        <v>0</v>
      </c>
      <c r="EW597" s="39">
        <f t="shared" ref="EW597:EX597" si="9899">EW$1*ED597</f>
        <v>0</v>
      </c>
      <c r="EX597" s="39">
        <f t="shared" si="9899"/>
        <v>0</v>
      </c>
      <c r="EY597" s="2"/>
      <c r="EZ597" s="39">
        <f t="shared" si="8565"/>
        <v>0</v>
      </c>
      <c r="FA597" s="39">
        <f t="shared" si="8566"/>
        <v>0</v>
      </c>
      <c r="FB597" s="2">
        <f t="shared" si="8567"/>
        <v>0</v>
      </c>
      <c r="FC597" s="2">
        <f t="shared" ref="FC597:FD597" si="9900">BV597*$BT597+CQ597*$CO597</f>
        <v>0</v>
      </c>
      <c r="FD597" s="2">
        <f t="shared" si="9900"/>
        <v>0</v>
      </c>
      <c r="FE597" s="2">
        <f t="shared" ref="FE597:FJ597" si="9901">(BX597*$BT597+CS597*$CO597)/100</f>
        <v>0</v>
      </c>
      <c r="FF597" s="2">
        <f t="shared" si="9901"/>
        <v>0</v>
      </c>
      <c r="FG597" s="2">
        <f t="shared" si="9901"/>
        <v>0</v>
      </c>
      <c r="FH597" s="2">
        <f t="shared" si="9901"/>
        <v>0</v>
      </c>
      <c r="FI597" s="2">
        <f t="shared" si="9901"/>
        <v>0</v>
      </c>
      <c r="FJ597" s="2">
        <f t="shared" si="9901"/>
        <v>0</v>
      </c>
      <c r="FK597" s="2">
        <f t="shared" ref="FK597:FO597" si="9902">CD597*$BT597+CY597*$CO597</f>
        <v>0</v>
      </c>
      <c r="FL597" s="2">
        <f t="shared" si="9902"/>
        <v>0</v>
      </c>
      <c r="FM597" s="2">
        <f t="shared" si="9902"/>
        <v>0</v>
      </c>
      <c r="FN597" s="2">
        <f t="shared" si="9902"/>
        <v>0</v>
      </c>
      <c r="FO597" s="2">
        <f t="shared" si="9902"/>
        <v>0</v>
      </c>
      <c r="FP597" s="2">
        <f t="shared" ref="FP597:FQ597" si="9903">(CI597*$BT597+DD597*$CO597)/100</f>
        <v>0</v>
      </c>
      <c r="FQ597" s="2">
        <f t="shared" si="9903"/>
        <v>0</v>
      </c>
      <c r="FR597" s="2"/>
      <c r="FS597" s="2">
        <f t="shared" si="8572"/>
        <v>0</v>
      </c>
      <c r="FT597" s="2">
        <f t="shared" si="8573"/>
        <v>0</v>
      </c>
      <c r="FU597" s="39">
        <f t="shared" si="8574"/>
        <v>0</v>
      </c>
      <c r="FV597" s="39">
        <f t="shared" ref="FV597:FW597" si="9904">FV$1*FC597/1000000</f>
        <v>0</v>
      </c>
      <c r="FW597" s="39">
        <f t="shared" si="9904"/>
        <v>0</v>
      </c>
      <c r="FX597" s="39">
        <f t="shared" ref="FX597:GC597" si="9905">FX$1*FE597</f>
        <v>0</v>
      </c>
      <c r="FY597" s="39">
        <f t="shared" si="9905"/>
        <v>0</v>
      </c>
      <c r="FZ597" s="39">
        <f t="shared" si="9905"/>
        <v>0</v>
      </c>
      <c r="GA597" s="39">
        <f t="shared" si="9905"/>
        <v>0</v>
      </c>
      <c r="GB597" s="39">
        <f t="shared" si="9905"/>
        <v>0</v>
      </c>
      <c r="GC597" s="39">
        <f t="shared" si="9905"/>
        <v>0</v>
      </c>
      <c r="GD597" s="39">
        <f t="shared" ref="GD597:GH597" si="9906">GD$1*FK597/1000000</f>
        <v>0</v>
      </c>
      <c r="GE597" s="39">
        <f t="shared" si="9906"/>
        <v>0</v>
      </c>
      <c r="GF597" s="39">
        <f t="shared" si="9906"/>
        <v>0</v>
      </c>
      <c r="GG597" s="39">
        <f t="shared" si="9906"/>
        <v>0</v>
      </c>
      <c r="GH597" s="39">
        <f t="shared" si="9906"/>
        <v>0</v>
      </c>
      <c r="GI597" s="39">
        <f t="shared" ref="GI597:GJ597" si="9907">GI$1*FP597</f>
        <v>0</v>
      </c>
      <c r="GJ597" s="39">
        <f t="shared" si="9907"/>
        <v>0</v>
      </c>
      <c r="GK597" s="2"/>
      <c r="GL597" s="39">
        <f t="shared" si="8579"/>
        <v>0</v>
      </c>
      <c r="GM597" s="39">
        <f t="shared" si="8580"/>
        <v>0</v>
      </c>
      <c r="GN597" s="2" t="s">
        <v>3</v>
      </c>
      <c r="GO597" s="2">
        <f t="shared" si="8581"/>
        <v>0.09</v>
      </c>
      <c r="GP597" s="2">
        <f t="shared" si="8582"/>
        <v>0.34</v>
      </c>
      <c r="GQ597" s="15">
        <f t="shared" si="8583"/>
        <v>0.30599999999999999</v>
      </c>
      <c r="GR597" s="15">
        <f t="shared" si="8584"/>
        <v>4.8938421600000002</v>
      </c>
      <c r="GS597" s="15">
        <f t="shared" si="8585"/>
        <v>54.376024000000001</v>
      </c>
      <c r="GT597" s="2">
        <f t="shared" si="8586"/>
        <v>0</v>
      </c>
      <c r="GU597" s="2">
        <f t="shared" si="8587"/>
        <v>0</v>
      </c>
      <c r="GV597" s="2">
        <f t="shared" si="8588"/>
        <v>0.30599999999999999</v>
      </c>
      <c r="GW597" s="2">
        <f t="shared" si="8589"/>
        <v>0</v>
      </c>
      <c r="GX597" s="2"/>
      <c r="GY597" s="2"/>
      <c r="GZ597" s="2"/>
      <c r="HA597" s="2"/>
      <c r="HB597" s="2">
        <f t="shared" si="8590"/>
        <v>0</v>
      </c>
      <c r="HC597" s="2">
        <f t="shared" si="8591"/>
        <v>0</v>
      </c>
      <c r="HD597" s="2" t="s">
        <v>3</v>
      </c>
      <c r="HE597" s="2" t="s">
        <v>89</v>
      </c>
      <c r="HF597" s="2" t="s">
        <v>123</v>
      </c>
      <c r="HG597" s="2"/>
      <c r="HH597" s="2"/>
      <c r="HI597" s="2" t="s">
        <v>100</v>
      </c>
      <c r="HJ597" s="2" t="s">
        <v>3</v>
      </c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 t="s">
        <v>3</v>
      </c>
    </row>
    <row r="598" spans="1:268" ht="15.75" customHeight="1" x14ac:dyDescent="0.2">
      <c r="A598" s="16" t="s">
        <v>1261</v>
      </c>
      <c r="B598" s="2" t="s">
        <v>99</v>
      </c>
      <c r="C598" s="2"/>
      <c r="D598" s="2"/>
      <c r="E598" s="2"/>
      <c r="F598" s="2" t="s">
        <v>79</v>
      </c>
      <c r="G598" s="2"/>
      <c r="H598" s="2"/>
      <c r="I598" s="2">
        <v>0</v>
      </c>
      <c r="J598" s="4"/>
      <c r="K598" s="2"/>
      <c r="L598" s="2"/>
      <c r="M598" s="2"/>
      <c r="N598" s="2"/>
      <c r="O598" s="2"/>
      <c r="P598" s="2"/>
      <c r="Q598" s="4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>
        <v>0</v>
      </c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>
        <v>1.6</v>
      </c>
      <c r="AZ598" s="2">
        <v>0.19</v>
      </c>
      <c r="BA598" s="2"/>
      <c r="BB598" s="2"/>
      <c r="BC598" s="2"/>
      <c r="BD598" s="2"/>
      <c r="BE598" s="2"/>
      <c r="BF598" s="2"/>
      <c r="BG598" s="2">
        <v>0.65</v>
      </c>
      <c r="BH598" s="2">
        <v>0.03</v>
      </c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>
        <v>0</v>
      </c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>
        <v>0</v>
      </c>
      <c r="CP598" s="4"/>
      <c r="CQ598" s="2"/>
      <c r="CR598" s="2"/>
      <c r="CS598" s="2"/>
      <c r="CT598" s="2"/>
      <c r="CU598" s="2"/>
      <c r="CV598" s="2"/>
      <c r="CW598" s="4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 t="s">
        <v>100</v>
      </c>
      <c r="DK598" s="2" t="s">
        <v>100</v>
      </c>
      <c r="DL598" s="2">
        <f t="shared" si="8551"/>
        <v>0.65</v>
      </c>
      <c r="DM598" s="2">
        <f t="shared" si="8552"/>
        <v>0.03</v>
      </c>
      <c r="DN598" s="2" t="s">
        <v>126</v>
      </c>
      <c r="DO598" s="2" t="s">
        <v>3</v>
      </c>
      <c r="DP598" s="2">
        <f t="shared" si="8553"/>
        <v>3.0400000000000006E-3</v>
      </c>
      <c r="DQ598" s="2">
        <f t="shared" ref="DQ598:DR598" si="9908">K598*$I598+AF598*$AD598+BA598*$AY598</f>
        <v>0</v>
      </c>
      <c r="DR598" s="2">
        <f t="shared" si="9908"/>
        <v>0</v>
      </c>
      <c r="DS598" s="2">
        <f t="shared" ref="DS598:DX598" si="9909">(M598*$I598+AH598*$AD598+BC598*$AY598)/100</f>
        <v>0</v>
      </c>
      <c r="DT598" s="2">
        <f t="shared" si="9909"/>
        <v>0</v>
      </c>
      <c r="DU598" s="2">
        <f t="shared" si="9909"/>
        <v>0</v>
      </c>
      <c r="DV598" s="2">
        <f t="shared" si="9909"/>
        <v>0</v>
      </c>
      <c r="DW598" s="2">
        <f t="shared" si="9909"/>
        <v>1.04E-2</v>
      </c>
      <c r="DX598" s="2">
        <f t="shared" si="9909"/>
        <v>4.8000000000000001E-4</v>
      </c>
      <c r="DY598" s="2">
        <f t="shared" ref="DY598:EC598" si="9910">S598*$I598+AN598*$AD598+BI598*$AY598</f>
        <v>0</v>
      </c>
      <c r="DZ598" s="2">
        <f t="shared" si="9910"/>
        <v>0</v>
      </c>
      <c r="EA598" s="2">
        <f t="shared" si="9910"/>
        <v>0</v>
      </c>
      <c r="EB598" s="2">
        <f t="shared" si="9910"/>
        <v>0</v>
      </c>
      <c r="EC598" s="2">
        <f t="shared" si="9910"/>
        <v>0</v>
      </c>
      <c r="ED598" s="2">
        <f t="shared" ref="ED598:EE598" si="9911">(X598*$I598+AS598*$AD598+BN598*$AY598)/100</f>
        <v>0</v>
      </c>
      <c r="EE598" s="2">
        <f t="shared" si="9911"/>
        <v>0</v>
      </c>
      <c r="EF598" s="2"/>
      <c r="EG598" s="2">
        <f t="shared" si="8558"/>
        <v>0</v>
      </c>
      <c r="EH598" s="2">
        <f t="shared" si="8559"/>
        <v>0</v>
      </c>
      <c r="EI598" s="39">
        <f t="shared" si="8560"/>
        <v>19.837872640000004</v>
      </c>
      <c r="EJ598" s="39">
        <f t="shared" ref="EJ598:EK598" si="9912">EJ$1*DQ598/1000000</f>
        <v>0</v>
      </c>
      <c r="EK598" s="39">
        <f t="shared" si="9912"/>
        <v>0</v>
      </c>
      <c r="EL598" s="39">
        <f t="shared" ref="EL598:EQ598" si="9913">EL$1*DS598</f>
        <v>0</v>
      </c>
      <c r="EM598" s="39">
        <f t="shared" si="9913"/>
        <v>0</v>
      </c>
      <c r="EN598" s="39">
        <f t="shared" si="9913"/>
        <v>0</v>
      </c>
      <c r="EO598" s="39">
        <f t="shared" si="9913"/>
        <v>0</v>
      </c>
      <c r="EP598" s="39">
        <f t="shared" si="9913"/>
        <v>136.38559999999998</v>
      </c>
      <c r="EQ598" s="39">
        <f t="shared" si="9913"/>
        <v>34.857371519999994</v>
      </c>
      <c r="ER598" s="39">
        <f t="shared" ref="ER598:EV598" si="9914">ER$1*DY598/1000000</f>
        <v>0</v>
      </c>
      <c r="ES598" s="39">
        <f t="shared" si="9914"/>
        <v>0</v>
      </c>
      <c r="ET598" s="39">
        <f t="shared" si="9914"/>
        <v>0</v>
      </c>
      <c r="EU598" s="39">
        <f t="shared" si="9914"/>
        <v>0</v>
      </c>
      <c r="EV598" s="39">
        <f t="shared" si="9914"/>
        <v>0</v>
      </c>
      <c r="EW598" s="39">
        <f t="shared" ref="EW598:EX598" si="9915">EW$1*ED598</f>
        <v>0</v>
      </c>
      <c r="EX598" s="39">
        <f t="shared" si="9915"/>
        <v>0</v>
      </c>
      <c r="EY598" s="2"/>
      <c r="EZ598" s="39">
        <f t="shared" si="8565"/>
        <v>0</v>
      </c>
      <c r="FA598" s="39">
        <f t="shared" si="8566"/>
        <v>0</v>
      </c>
      <c r="FB598" s="2">
        <f t="shared" si="8567"/>
        <v>0</v>
      </c>
      <c r="FC598" s="2">
        <f t="shared" ref="FC598:FD598" si="9916">BV598*$BT598+CQ598*$CO598</f>
        <v>0</v>
      </c>
      <c r="FD598" s="2">
        <f t="shared" si="9916"/>
        <v>0</v>
      </c>
      <c r="FE598" s="2">
        <f t="shared" ref="FE598:FJ598" si="9917">(BX598*$BT598+CS598*$CO598)/100</f>
        <v>0</v>
      </c>
      <c r="FF598" s="2">
        <f t="shared" si="9917"/>
        <v>0</v>
      </c>
      <c r="FG598" s="2">
        <f t="shared" si="9917"/>
        <v>0</v>
      </c>
      <c r="FH598" s="2">
        <f t="shared" si="9917"/>
        <v>0</v>
      </c>
      <c r="FI598" s="2">
        <f t="shared" si="9917"/>
        <v>0</v>
      </c>
      <c r="FJ598" s="2">
        <f t="shared" si="9917"/>
        <v>0</v>
      </c>
      <c r="FK598" s="2">
        <f t="shared" ref="FK598:FO598" si="9918">CD598*$BT598+CY598*$CO598</f>
        <v>0</v>
      </c>
      <c r="FL598" s="2">
        <f t="shared" si="9918"/>
        <v>0</v>
      </c>
      <c r="FM598" s="2">
        <f t="shared" si="9918"/>
        <v>0</v>
      </c>
      <c r="FN598" s="2">
        <f t="shared" si="9918"/>
        <v>0</v>
      </c>
      <c r="FO598" s="2">
        <f t="shared" si="9918"/>
        <v>0</v>
      </c>
      <c r="FP598" s="2">
        <f t="shared" ref="FP598:FQ598" si="9919">(CI598*$BT598+DD598*$CO598)/100</f>
        <v>0</v>
      </c>
      <c r="FQ598" s="2">
        <f t="shared" si="9919"/>
        <v>0</v>
      </c>
      <c r="FR598" s="2"/>
      <c r="FS598" s="2">
        <f t="shared" si="8572"/>
        <v>0</v>
      </c>
      <c r="FT598" s="2">
        <f t="shared" si="8573"/>
        <v>0</v>
      </c>
      <c r="FU598" s="39">
        <f t="shared" si="8574"/>
        <v>0</v>
      </c>
      <c r="FV598" s="39">
        <f t="shared" ref="FV598:FW598" si="9920">FV$1*FC598/1000000</f>
        <v>0</v>
      </c>
      <c r="FW598" s="39">
        <f t="shared" si="9920"/>
        <v>0</v>
      </c>
      <c r="FX598" s="39">
        <f t="shared" ref="FX598:GC598" si="9921">FX$1*FE598</f>
        <v>0</v>
      </c>
      <c r="FY598" s="39">
        <f t="shared" si="9921"/>
        <v>0</v>
      </c>
      <c r="FZ598" s="39">
        <f t="shared" si="9921"/>
        <v>0</v>
      </c>
      <c r="GA598" s="39">
        <f t="shared" si="9921"/>
        <v>0</v>
      </c>
      <c r="GB598" s="39">
        <f t="shared" si="9921"/>
        <v>0</v>
      </c>
      <c r="GC598" s="39">
        <f t="shared" si="9921"/>
        <v>0</v>
      </c>
      <c r="GD598" s="39">
        <f t="shared" ref="GD598:GH598" si="9922">GD$1*FK598/1000000</f>
        <v>0</v>
      </c>
      <c r="GE598" s="39">
        <f t="shared" si="9922"/>
        <v>0</v>
      </c>
      <c r="GF598" s="39">
        <f t="shared" si="9922"/>
        <v>0</v>
      </c>
      <c r="GG598" s="39">
        <f t="shared" si="9922"/>
        <v>0</v>
      </c>
      <c r="GH598" s="39">
        <f t="shared" si="9922"/>
        <v>0</v>
      </c>
      <c r="GI598" s="39">
        <f t="shared" ref="GI598:GJ598" si="9923">GI$1*FP598</f>
        <v>0</v>
      </c>
      <c r="GJ598" s="39">
        <f t="shared" si="9923"/>
        <v>0</v>
      </c>
      <c r="GK598" s="2"/>
      <c r="GL598" s="39">
        <f t="shared" si="8579"/>
        <v>0</v>
      </c>
      <c r="GM598" s="39">
        <f t="shared" si="8580"/>
        <v>0</v>
      </c>
      <c r="GN598" s="2" t="s">
        <v>3</v>
      </c>
      <c r="GO598" s="2">
        <f t="shared" si="8581"/>
        <v>1.6</v>
      </c>
      <c r="GP598" s="2">
        <f t="shared" si="8582"/>
        <v>0.65</v>
      </c>
      <c r="GQ598" s="15">
        <f t="shared" si="8583"/>
        <v>10.4</v>
      </c>
      <c r="GR598" s="15">
        <f t="shared" si="8584"/>
        <v>191.08084415999997</v>
      </c>
      <c r="GS598" s="15">
        <f t="shared" si="8585"/>
        <v>119.42552759999998</v>
      </c>
      <c r="GT598" s="2">
        <f t="shared" si="8586"/>
        <v>0</v>
      </c>
      <c r="GU598" s="2">
        <f t="shared" si="8587"/>
        <v>0</v>
      </c>
      <c r="GV598" s="2">
        <f t="shared" si="8588"/>
        <v>10.4</v>
      </c>
      <c r="GW598" s="2">
        <f t="shared" si="8589"/>
        <v>0</v>
      </c>
      <c r="GX598" s="2"/>
      <c r="GY598" s="2"/>
      <c r="GZ598" s="2"/>
      <c r="HA598" s="2"/>
      <c r="HB598" s="2">
        <f t="shared" si="8590"/>
        <v>0</v>
      </c>
      <c r="HC598" s="2">
        <f t="shared" si="8591"/>
        <v>0</v>
      </c>
      <c r="HD598" s="2" t="s">
        <v>3</v>
      </c>
      <c r="HE598" s="2" t="s">
        <v>89</v>
      </c>
      <c r="HF598" s="2" t="s">
        <v>123</v>
      </c>
      <c r="HG598" s="2"/>
      <c r="HH598" s="2"/>
      <c r="HI598" s="2" t="s">
        <v>100</v>
      </c>
      <c r="HJ598" s="2" t="s">
        <v>3</v>
      </c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 t="s">
        <v>3</v>
      </c>
    </row>
    <row r="599" spans="1:268" ht="15.75" customHeight="1" x14ac:dyDescent="0.2">
      <c r="A599" s="16" t="s">
        <v>1262</v>
      </c>
      <c r="B599" s="2" t="s">
        <v>99</v>
      </c>
      <c r="C599" s="2"/>
      <c r="D599" s="2"/>
      <c r="E599" s="2"/>
      <c r="F599" s="2" t="s">
        <v>79</v>
      </c>
      <c r="G599" s="2"/>
      <c r="H599" s="2"/>
      <c r="I599" s="2">
        <v>0</v>
      </c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>
        <v>0</v>
      </c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>
        <v>0.05</v>
      </c>
      <c r="AZ599" s="2">
        <v>0.25</v>
      </c>
      <c r="BA599" s="2"/>
      <c r="BB599" s="2"/>
      <c r="BC599" s="2"/>
      <c r="BD599" s="2"/>
      <c r="BE599" s="2"/>
      <c r="BF599" s="2"/>
      <c r="BG599" s="2">
        <v>0.44</v>
      </c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>
        <v>0</v>
      </c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>
        <v>0</v>
      </c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 t="s">
        <v>100</v>
      </c>
      <c r="DK599" s="2"/>
      <c r="DL599" s="2">
        <f t="shared" si="8551"/>
        <v>0.44</v>
      </c>
      <c r="DM599" s="2">
        <f t="shared" si="8552"/>
        <v>0</v>
      </c>
      <c r="DN599" s="2" t="s">
        <v>126</v>
      </c>
      <c r="DO599" s="2" t="s">
        <v>3</v>
      </c>
      <c r="DP599" s="2">
        <f t="shared" si="8553"/>
        <v>1.25E-4</v>
      </c>
      <c r="DQ599" s="2">
        <f t="shared" ref="DQ599:DR599" si="9924">K599*$I599+AF599*$AD599+BA599*$AY599</f>
        <v>0</v>
      </c>
      <c r="DR599" s="2">
        <f t="shared" si="9924"/>
        <v>0</v>
      </c>
      <c r="DS599" s="2">
        <f t="shared" ref="DS599:DX599" si="9925">(M599*$I599+AH599*$AD599+BC599*$AY599)/100</f>
        <v>0</v>
      </c>
      <c r="DT599" s="2">
        <f t="shared" si="9925"/>
        <v>0</v>
      </c>
      <c r="DU599" s="2">
        <f t="shared" si="9925"/>
        <v>0</v>
      </c>
      <c r="DV599" s="2">
        <f t="shared" si="9925"/>
        <v>0</v>
      </c>
      <c r="DW599" s="2">
        <f t="shared" si="9925"/>
        <v>2.2000000000000003E-4</v>
      </c>
      <c r="DX599" s="2">
        <f t="shared" si="9925"/>
        <v>0</v>
      </c>
      <c r="DY599" s="2">
        <f t="shared" ref="DY599:EC599" si="9926">S599*$I599+AN599*$AD599+BI599*$AY599</f>
        <v>0</v>
      </c>
      <c r="DZ599" s="2">
        <f t="shared" si="9926"/>
        <v>0</v>
      </c>
      <c r="EA599" s="2">
        <f t="shared" si="9926"/>
        <v>0</v>
      </c>
      <c r="EB599" s="2">
        <f t="shared" si="9926"/>
        <v>0</v>
      </c>
      <c r="EC599" s="2">
        <f t="shared" si="9926"/>
        <v>0</v>
      </c>
      <c r="ED599" s="2">
        <f t="shared" ref="ED599:EE599" si="9927">(X599*$I599+AS599*$AD599+BN599*$AY599)/100</f>
        <v>0</v>
      </c>
      <c r="EE599" s="2">
        <f t="shared" si="9927"/>
        <v>0</v>
      </c>
      <c r="EF599" s="2"/>
      <c r="EG599" s="2">
        <f t="shared" si="8558"/>
        <v>0</v>
      </c>
      <c r="EH599" s="2">
        <f t="shared" si="8559"/>
        <v>0</v>
      </c>
      <c r="EI599" s="39">
        <f t="shared" si="8560"/>
        <v>0.81570200000000004</v>
      </c>
      <c r="EJ599" s="39">
        <f t="shared" ref="EJ599:EK599" si="9928">EJ$1*DQ599/1000000</f>
        <v>0</v>
      </c>
      <c r="EK599" s="39">
        <f t="shared" si="9928"/>
        <v>0</v>
      </c>
      <c r="EL599" s="39">
        <f t="shared" ref="EL599:EQ599" si="9929">EL$1*DS599</f>
        <v>0</v>
      </c>
      <c r="EM599" s="39">
        <f t="shared" si="9929"/>
        <v>0</v>
      </c>
      <c r="EN599" s="39">
        <f t="shared" si="9929"/>
        <v>0</v>
      </c>
      <c r="EO599" s="39">
        <f t="shared" si="9929"/>
        <v>0</v>
      </c>
      <c r="EP599" s="39">
        <f t="shared" si="9929"/>
        <v>2.8850800000000003</v>
      </c>
      <c r="EQ599" s="39">
        <f t="shared" si="9929"/>
        <v>0</v>
      </c>
      <c r="ER599" s="39">
        <f t="shared" ref="ER599:EV599" si="9930">ER$1*DY599/1000000</f>
        <v>0</v>
      </c>
      <c r="ES599" s="39">
        <f t="shared" si="9930"/>
        <v>0</v>
      </c>
      <c r="ET599" s="39">
        <f t="shared" si="9930"/>
        <v>0</v>
      </c>
      <c r="EU599" s="39">
        <f t="shared" si="9930"/>
        <v>0</v>
      </c>
      <c r="EV599" s="39">
        <f t="shared" si="9930"/>
        <v>0</v>
      </c>
      <c r="EW599" s="39">
        <f t="shared" ref="EW599:EX599" si="9931">EW$1*ED599</f>
        <v>0</v>
      </c>
      <c r="EX599" s="39">
        <f t="shared" si="9931"/>
        <v>0</v>
      </c>
      <c r="EY599" s="2"/>
      <c r="EZ599" s="39">
        <f t="shared" si="8565"/>
        <v>0</v>
      </c>
      <c r="FA599" s="39">
        <f t="shared" si="8566"/>
        <v>0</v>
      </c>
      <c r="FB599" s="2">
        <f t="shared" si="8567"/>
        <v>0</v>
      </c>
      <c r="FC599" s="2">
        <f t="shared" ref="FC599:FD599" si="9932">BV599*$BT599+CQ599*$CO599</f>
        <v>0</v>
      </c>
      <c r="FD599" s="2">
        <f t="shared" si="9932"/>
        <v>0</v>
      </c>
      <c r="FE599" s="2">
        <f t="shared" ref="FE599:FJ599" si="9933">(BX599*$BT599+CS599*$CO599)/100</f>
        <v>0</v>
      </c>
      <c r="FF599" s="2">
        <f t="shared" si="9933"/>
        <v>0</v>
      </c>
      <c r="FG599" s="2">
        <f t="shared" si="9933"/>
        <v>0</v>
      </c>
      <c r="FH599" s="2">
        <f t="shared" si="9933"/>
        <v>0</v>
      </c>
      <c r="FI599" s="2">
        <f t="shared" si="9933"/>
        <v>0</v>
      </c>
      <c r="FJ599" s="2">
        <f t="shared" si="9933"/>
        <v>0</v>
      </c>
      <c r="FK599" s="2">
        <f t="shared" ref="FK599:FO599" si="9934">CD599*$BT599+CY599*$CO599</f>
        <v>0</v>
      </c>
      <c r="FL599" s="2">
        <f t="shared" si="9934"/>
        <v>0</v>
      </c>
      <c r="FM599" s="2">
        <f t="shared" si="9934"/>
        <v>0</v>
      </c>
      <c r="FN599" s="2">
        <f t="shared" si="9934"/>
        <v>0</v>
      </c>
      <c r="FO599" s="2">
        <f t="shared" si="9934"/>
        <v>0</v>
      </c>
      <c r="FP599" s="2">
        <f t="shared" ref="FP599:FQ599" si="9935">(CI599*$BT599+DD599*$CO599)/100</f>
        <v>0</v>
      </c>
      <c r="FQ599" s="2">
        <f t="shared" si="9935"/>
        <v>0</v>
      </c>
      <c r="FR599" s="2"/>
      <c r="FS599" s="2">
        <f t="shared" si="8572"/>
        <v>0</v>
      </c>
      <c r="FT599" s="2">
        <f t="shared" si="8573"/>
        <v>0</v>
      </c>
      <c r="FU599" s="39">
        <f t="shared" si="8574"/>
        <v>0</v>
      </c>
      <c r="FV599" s="39">
        <f t="shared" ref="FV599:FW599" si="9936">FV$1*FC599/1000000</f>
        <v>0</v>
      </c>
      <c r="FW599" s="39">
        <f t="shared" si="9936"/>
        <v>0</v>
      </c>
      <c r="FX599" s="39">
        <f t="shared" ref="FX599:GC599" si="9937">FX$1*FE599</f>
        <v>0</v>
      </c>
      <c r="FY599" s="39">
        <f t="shared" si="9937"/>
        <v>0</v>
      </c>
      <c r="FZ599" s="39">
        <f t="shared" si="9937"/>
        <v>0</v>
      </c>
      <c r="GA599" s="39">
        <f t="shared" si="9937"/>
        <v>0</v>
      </c>
      <c r="GB599" s="39">
        <f t="shared" si="9937"/>
        <v>0</v>
      </c>
      <c r="GC599" s="39">
        <f t="shared" si="9937"/>
        <v>0</v>
      </c>
      <c r="GD599" s="39">
        <f t="shared" ref="GD599:GH599" si="9938">GD$1*FK599/1000000</f>
        <v>0</v>
      </c>
      <c r="GE599" s="39">
        <f t="shared" si="9938"/>
        <v>0</v>
      </c>
      <c r="GF599" s="39">
        <f t="shared" si="9938"/>
        <v>0</v>
      </c>
      <c r="GG599" s="39">
        <f t="shared" si="9938"/>
        <v>0</v>
      </c>
      <c r="GH599" s="39">
        <f t="shared" si="9938"/>
        <v>0</v>
      </c>
      <c r="GI599" s="39">
        <f t="shared" ref="GI599:GJ599" si="9939">GI$1*FP599</f>
        <v>0</v>
      </c>
      <c r="GJ599" s="39">
        <f t="shared" si="9939"/>
        <v>0</v>
      </c>
      <c r="GK599" s="2"/>
      <c r="GL599" s="39">
        <f t="shared" si="8579"/>
        <v>0</v>
      </c>
      <c r="GM599" s="39">
        <f t="shared" si="8580"/>
        <v>0</v>
      </c>
      <c r="GN599" s="2" t="s">
        <v>3</v>
      </c>
      <c r="GO599" s="2">
        <f t="shared" si="8581"/>
        <v>0.05</v>
      </c>
      <c r="GP599" s="2">
        <f t="shared" si="8582"/>
        <v>0.44</v>
      </c>
      <c r="GQ599" s="15">
        <f t="shared" si="8583"/>
        <v>0.22</v>
      </c>
      <c r="GR599" s="15">
        <f t="shared" si="8584"/>
        <v>3.7007820000000002</v>
      </c>
      <c r="GS599" s="15">
        <f t="shared" si="8585"/>
        <v>74.015640000000005</v>
      </c>
      <c r="GT599" s="2">
        <f t="shared" si="8586"/>
        <v>0</v>
      </c>
      <c r="GU599" s="2">
        <f t="shared" si="8587"/>
        <v>0</v>
      </c>
      <c r="GV599" s="2">
        <f t="shared" si="8588"/>
        <v>0.22000000000000003</v>
      </c>
      <c r="GW599" s="2">
        <f t="shared" si="8589"/>
        <v>0</v>
      </c>
      <c r="GX599" s="2"/>
      <c r="GY599" s="2"/>
      <c r="GZ599" s="2"/>
      <c r="HA599" s="2"/>
      <c r="HB599" s="2">
        <f t="shared" si="8590"/>
        <v>0</v>
      </c>
      <c r="HC599" s="2">
        <f t="shared" si="8591"/>
        <v>0</v>
      </c>
      <c r="HD599" s="2" t="s">
        <v>3</v>
      </c>
      <c r="HE599" s="2" t="s">
        <v>89</v>
      </c>
      <c r="HF599" s="2" t="s">
        <v>123</v>
      </c>
      <c r="HG599" s="2"/>
      <c r="HH599" s="2"/>
      <c r="HI599" s="2" t="s">
        <v>100</v>
      </c>
      <c r="HJ599" s="2" t="s">
        <v>3</v>
      </c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 t="s">
        <v>3</v>
      </c>
    </row>
    <row r="600" spans="1:268" ht="15.75" customHeight="1" x14ac:dyDescent="0.2">
      <c r="A600" s="16" t="s">
        <v>1264</v>
      </c>
      <c r="B600" s="2" t="s">
        <v>99</v>
      </c>
      <c r="C600" s="2"/>
      <c r="D600" s="2"/>
      <c r="E600" s="2"/>
      <c r="F600" s="2" t="s">
        <v>79</v>
      </c>
      <c r="G600" s="2"/>
      <c r="H600" s="2"/>
      <c r="I600" s="2">
        <v>0</v>
      </c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>
        <v>0</v>
      </c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>
        <v>3.5999999999999997E-2</v>
      </c>
      <c r="AZ600" s="2">
        <v>0.69</v>
      </c>
      <c r="BA600" s="2"/>
      <c r="BB600" s="2"/>
      <c r="BC600" s="2"/>
      <c r="BD600" s="2"/>
      <c r="BE600" s="2"/>
      <c r="BF600" s="2"/>
      <c r="BG600" s="2">
        <v>0.94</v>
      </c>
      <c r="BH600" s="2">
        <v>0.06</v>
      </c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>
        <v>0</v>
      </c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>
        <v>0</v>
      </c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 t="s">
        <v>100</v>
      </c>
      <c r="DK600" s="2" t="s">
        <v>100</v>
      </c>
      <c r="DL600" s="2">
        <f t="shared" si="8551"/>
        <v>0.94</v>
      </c>
      <c r="DM600" s="2">
        <f t="shared" si="8552"/>
        <v>5.9999999999999991E-2</v>
      </c>
      <c r="DN600" s="2" t="s">
        <v>467</v>
      </c>
      <c r="DO600" s="2" t="s">
        <v>3</v>
      </c>
      <c r="DP600" s="2">
        <f t="shared" si="8553"/>
        <v>2.4839999999999997E-4</v>
      </c>
      <c r="DQ600" s="2">
        <f t="shared" ref="DQ600:DR600" si="9940">K600*$I600+AF600*$AD600+BA600*$AY600</f>
        <v>0</v>
      </c>
      <c r="DR600" s="2">
        <f t="shared" si="9940"/>
        <v>0</v>
      </c>
      <c r="DS600" s="2">
        <f t="shared" ref="DS600:DX600" si="9941">(M600*$I600+AH600*$AD600+BC600*$AY600)/100</f>
        <v>0</v>
      </c>
      <c r="DT600" s="2">
        <f t="shared" si="9941"/>
        <v>0</v>
      </c>
      <c r="DU600" s="2">
        <f t="shared" si="9941"/>
        <v>0</v>
      </c>
      <c r="DV600" s="2">
        <f t="shared" si="9941"/>
        <v>0</v>
      </c>
      <c r="DW600" s="2">
        <f t="shared" si="9941"/>
        <v>3.3839999999999993E-4</v>
      </c>
      <c r="DX600" s="2">
        <f t="shared" si="9941"/>
        <v>2.1599999999999996E-5</v>
      </c>
      <c r="DY600" s="2">
        <f t="shared" ref="DY600:EC600" si="9942">S600*$I600+AN600*$AD600+BI600*$AY600</f>
        <v>0</v>
      </c>
      <c r="DZ600" s="2">
        <f t="shared" si="9942"/>
        <v>0</v>
      </c>
      <c r="EA600" s="2">
        <f t="shared" si="9942"/>
        <v>0</v>
      </c>
      <c r="EB600" s="2">
        <f t="shared" si="9942"/>
        <v>0</v>
      </c>
      <c r="EC600" s="2">
        <f t="shared" si="9942"/>
        <v>0</v>
      </c>
      <c r="ED600" s="2">
        <f t="shared" ref="ED600:EE600" si="9943">(X600*$I600+AS600*$AD600+BN600*$AY600)/100</f>
        <v>0</v>
      </c>
      <c r="EE600" s="2">
        <f t="shared" si="9943"/>
        <v>0</v>
      </c>
      <c r="EF600" s="2"/>
      <c r="EG600" s="2">
        <f t="shared" si="8558"/>
        <v>0</v>
      </c>
      <c r="EH600" s="2">
        <f t="shared" si="8559"/>
        <v>0</v>
      </c>
      <c r="EI600" s="39">
        <f t="shared" si="8560"/>
        <v>1.6209630143999998</v>
      </c>
      <c r="EJ600" s="39">
        <f t="shared" ref="EJ600:EK600" si="9944">EJ$1*DQ600/1000000</f>
        <v>0</v>
      </c>
      <c r="EK600" s="39">
        <f t="shared" si="9944"/>
        <v>0</v>
      </c>
      <c r="EL600" s="39">
        <f t="shared" ref="EL600:EQ600" si="9945">EL$1*DS600</f>
        <v>0</v>
      </c>
      <c r="EM600" s="39">
        <f t="shared" si="9945"/>
        <v>0</v>
      </c>
      <c r="EN600" s="39">
        <f t="shared" si="9945"/>
        <v>0</v>
      </c>
      <c r="EO600" s="39">
        <f t="shared" si="9945"/>
        <v>0</v>
      </c>
      <c r="EP600" s="39">
        <f t="shared" si="9945"/>
        <v>4.4377775999999987</v>
      </c>
      <c r="EQ600" s="39">
        <f t="shared" si="9945"/>
        <v>1.5685817183999995</v>
      </c>
      <c r="ER600" s="39">
        <f t="shared" ref="ER600:EV600" si="9946">ER$1*DY600/1000000</f>
        <v>0</v>
      </c>
      <c r="ES600" s="39">
        <f t="shared" si="9946"/>
        <v>0</v>
      </c>
      <c r="ET600" s="39">
        <f t="shared" si="9946"/>
        <v>0</v>
      </c>
      <c r="EU600" s="39">
        <f t="shared" si="9946"/>
        <v>0</v>
      </c>
      <c r="EV600" s="39">
        <f t="shared" si="9946"/>
        <v>0</v>
      </c>
      <c r="EW600" s="39">
        <f t="shared" ref="EW600:EX600" si="9947">EW$1*ED600</f>
        <v>0</v>
      </c>
      <c r="EX600" s="39">
        <f t="shared" si="9947"/>
        <v>0</v>
      </c>
      <c r="EY600" s="2"/>
      <c r="EZ600" s="39">
        <f t="shared" si="8565"/>
        <v>0</v>
      </c>
      <c r="FA600" s="39">
        <f t="shared" si="8566"/>
        <v>0</v>
      </c>
      <c r="FB600" s="2">
        <f t="shared" si="8567"/>
        <v>0</v>
      </c>
      <c r="FC600" s="2">
        <f t="shared" ref="FC600:FD600" si="9948">BV600*$BT600+CQ600*$CO600</f>
        <v>0</v>
      </c>
      <c r="FD600" s="2">
        <f t="shared" si="9948"/>
        <v>0</v>
      </c>
      <c r="FE600" s="2">
        <f t="shared" ref="FE600:FJ600" si="9949">(BX600*$BT600+CS600*$CO600)/100</f>
        <v>0</v>
      </c>
      <c r="FF600" s="2">
        <f t="shared" si="9949"/>
        <v>0</v>
      </c>
      <c r="FG600" s="2">
        <f t="shared" si="9949"/>
        <v>0</v>
      </c>
      <c r="FH600" s="2">
        <f t="shared" si="9949"/>
        <v>0</v>
      </c>
      <c r="FI600" s="2">
        <f t="shared" si="9949"/>
        <v>0</v>
      </c>
      <c r="FJ600" s="2">
        <f t="shared" si="9949"/>
        <v>0</v>
      </c>
      <c r="FK600" s="2">
        <f t="shared" ref="FK600:FO600" si="9950">CD600*$BT600+CY600*$CO600</f>
        <v>0</v>
      </c>
      <c r="FL600" s="2">
        <f t="shared" si="9950"/>
        <v>0</v>
      </c>
      <c r="FM600" s="2">
        <f t="shared" si="9950"/>
        <v>0</v>
      </c>
      <c r="FN600" s="2">
        <f t="shared" si="9950"/>
        <v>0</v>
      </c>
      <c r="FO600" s="2">
        <f t="shared" si="9950"/>
        <v>0</v>
      </c>
      <c r="FP600" s="2">
        <f t="shared" ref="FP600:FQ600" si="9951">(CI600*$BT600+DD600*$CO600)/100</f>
        <v>0</v>
      </c>
      <c r="FQ600" s="2">
        <f t="shared" si="9951"/>
        <v>0</v>
      </c>
      <c r="FR600" s="2"/>
      <c r="FS600" s="2">
        <f t="shared" si="8572"/>
        <v>0</v>
      </c>
      <c r="FT600" s="2">
        <f t="shared" si="8573"/>
        <v>0</v>
      </c>
      <c r="FU600" s="39">
        <f t="shared" si="8574"/>
        <v>0</v>
      </c>
      <c r="FV600" s="39">
        <f t="shared" ref="FV600:FW600" si="9952">FV$1*FC600/1000000</f>
        <v>0</v>
      </c>
      <c r="FW600" s="39">
        <f t="shared" si="9952"/>
        <v>0</v>
      </c>
      <c r="FX600" s="39">
        <f t="shared" ref="FX600:GC600" si="9953">FX$1*FE600</f>
        <v>0</v>
      </c>
      <c r="FY600" s="39">
        <f t="shared" si="9953"/>
        <v>0</v>
      </c>
      <c r="FZ600" s="39">
        <f t="shared" si="9953"/>
        <v>0</v>
      </c>
      <c r="GA600" s="39">
        <f t="shared" si="9953"/>
        <v>0</v>
      </c>
      <c r="GB600" s="39">
        <f t="shared" si="9953"/>
        <v>0</v>
      </c>
      <c r="GC600" s="39">
        <f t="shared" si="9953"/>
        <v>0</v>
      </c>
      <c r="GD600" s="39">
        <f t="shared" ref="GD600:GH600" si="9954">GD$1*FK600/1000000</f>
        <v>0</v>
      </c>
      <c r="GE600" s="39">
        <f t="shared" si="9954"/>
        <v>0</v>
      </c>
      <c r="GF600" s="39">
        <f t="shared" si="9954"/>
        <v>0</v>
      </c>
      <c r="GG600" s="39">
        <f t="shared" si="9954"/>
        <v>0</v>
      </c>
      <c r="GH600" s="39">
        <f t="shared" si="9954"/>
        <v>0</v>
      </c>
      <c r="GI600" s="39">
        <f t="shared" ref="GI600:GJ600" si="9955">GI$1*FP600</f>
        <v>0</v>
      </c>
      <c r="GJ600" s="39">
        <f t="shared" si="9955"/>
        <v>0</v>
      </c>
      <c r="GK600" s="2"/>
      <c r="GL600" s="39">
        <f t="shared" si="8579"/>
        <v>0</v>
      </c>
      <c r="GM600" s="39">
        <f t="shared" si="8580"/>
        <v>0</v>
      </c>
      <c r="GN600" s="2" t="s">
        <v>3</v>
      </c>
      <c r="GO600" s="2">
        <f t="shared" si="8581"/>
        <v>3.5999999999999997E-2</v>
      </c>
      <c r="GP600" s="2">
        <f t="shared" si="8582"/>
        <v>0.94</v>
      </c>
      <c r="GQ600" s="15">
        <f t="shared" si="8583"/>
        <v>0.33839999999999998</v>
      </c>
      <c r="GR600" s="15">
        <f t="shared" si="8584"/>
        <v>7.6273223327999986</v>
      </c>
      <c r="GS600" s="15">
        <f t="shared" si="8585"/>
        <v>211.87006479999997</v>
      </c>
      <c r="GT600" s="2">
        <f t="shared" si="8586"/>
        <v>0</v>
      </c>
      <c r="GU600" s="2">
        <f t="shared" si="8587"/>
        <v>0</v>
      </c>
      <c r="GV600" s="2">
        <f t="shared" si="8588"/>
        <v>0.33839999999999998</v>
      </c>
      <c r="GW600" s="2">
        <f t="shared" si="8589"/>
        <v>0</v>
      </c>
      <c r="GX600" s="2"/>
      <c r="GY600" s="2"/>
      <c r="GZ600" s="2"/>
      <c r="HA600" s="2"/>
      <c r="HB600" s="2">
        <f t="shared" si="8590"/>
        <v>0</v>
      </c>
      <c r="HC600" s="2">
        <f t="shared" si="8591"/>
        <v>0</v>
      </c>
      <c r="HD600" s="2" t="s">
        <v>3</v>
      </c>
      <c r="HE600" s="2" t="s">
        <v>89</v>
      </c>
      <c r="HF600" s="2" t="s">
        <v>123</v>
      </c>
      <c r="HG600" s="2"/>
      <c r="HH600" s="2"/>
      <c r="HI600" s="2" t="s">
        <v>100</v>
      </c>
      <c r="HJ600" s="2" t="s">
        <v>3</v>
      </c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 t="s">
        <v>3</v>
      </c>
    </row>
    <row r="601" spans="1:268" ht="15.75" customHeight="1" x14ac:dyDescent="0.2">
      <c r="A601" s="16" t="s">
        <v>274</v>
      </c>
      <c r="B601" s="2" t="s">
        <v>109</v>
      </c>
      <c r="C601" s="2"/>
      <c r="D601" s="2"/>
      <c r="E601" s="2"/>
      <c r="F601" s="2" t="s">
        <v>275</v>
      </c>
      <c r="G601" s="2"/>
      <c r="H601" s="2"/>
      <c r="I601" s="2">
        <v>0</v>
      </c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>
        <v>0</v>
      </c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>
        <f>(18.2/1000)/(BH601/100)</f>
        <v>1.82</v>
      </c>
      <c r="AZ601" s="2"/>
      <c r="BA601" s="2">
        <v>3.5</v>
      </c>
      <c r="BB601" s="2"/>
      <c r="BC601" s="2"/>
      <c r="BD601" s="2"/>
      <c r="BE601" s="2"/>
      <c r="BF601" s="2"/>
      <c r="BG601" s="2">
        <v>1</v>
      </c>
      <c r="BH601" s="2">
        <v>1</v>
      </c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>
        <v>0</v>
      </c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>
        <f>(0.6/1000)/(CX601/100)</f>
        <v>5.9999999999999991E-2</v>
      </c>
      <c r="CP601" s="2"/>
      <c r="CQ601" s="2">
        <v>3.5</v>
      </c>
      <c r="CR601" s="2"/>
      <c r="CS601" s="2"/>
      <c r="CT601" s="2"/>
      <c r="CU601" s="2"/>
      <c r="CV601" s="2"/>
      <c r="CW601" s="2">
        <v>1</v>
      </c>
      <c r="CX601" s="2">
        <v>1</v>
      </c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 t="s">
        <v>100</v>
      </c>
      <c r="DK601" s="2" t="s">
        <v>100</v>
      </c>
      <c r="DL601" s="2">
        <f t="shared" si="8551"/>
        <v>1</v>
      </c>
      <c r="DM601" s="2">
        <f t="shared" si="8552"/>
        <v>1</v>
      </c>
      <c r="DN601" s="2" t="s">
        <v>211</v>
      </c>
      <c r="DO601" s="2" t="s">
        <v>3</v>
      </c>
      <c r="DP601" s="2">
        <f t="shared" si="8553"/>
        <v>0</v>
      </c>
      <c r="DQ601" s="2">
        <f t="shared" ref="DQ601:DR601" si="9956">K601*$I601+AF601*$AD601+BA601*$AY601</f>
        <v>6.37</v>
      </c>
      <c r="DR601" s="2">
        <f t="shared" si="9956"/>
        <v>0</v>
      </c>
      <c r="DS601" s="2">
        <f t="shared" ref="DS601:DX601" si="9957">(M601*$I601+AH601*$AD601+BC601*$AY601)/100</f>
        <v>0</v>
      </c>
      <c r="DT601" s="2">
        <f t="shared" si="9957"/>
        <v>0</v>
      </c>
      <c r="DU601" s="2">
        <f t="shared" si="9957"/>
        <v>0</v>
      </c>
      <c r="DV601" s="2">
        <f t="shared" si="9957"/>
        <v>0</v>
      </c>
      <c r="DW601" s="2">
        <f t="shared" si="9957"/>
        <v>1.8200000000000001E-2</v>
      </c>
      <c r="DX601" s="2">
        <f t="shared" si="9957"/>
        <v>1.8200000000000001E-2</v>
      </c>
      <c r="DY601" s="2">
        <f t="shared" ref="DY601:EC601" si="9958">S601*$I601+AN601*$AD601+BI601*$AY601</f>
        <v>0</v>
      </c>
      <c r="DZ601" s="2">
        <f t="shared" si="9958"/>
        <v>0</v>
      </c>
      <c r="EA601" s="2">
        <f t="shared" si="9958"/>
        <v>0</v>
      </c>
      <c r="EB601" s="2">
        <f t="shared" si="9958"/>
        <v>0</v>
      </c>
      <c r="EC601" s="2">
        <f t="shared" si="9958"/>
        <v>0</v>
      </c>
      <c r="ED601" s="2">
        <f t="shared" ref="ED601:EE601" si="9959">(X601*$I601+AS601*$AD601+BN601*$AY601)/100</f>
        <v>0</v>
      </c>
      <c r="EE601" s="2">
        <f t="shared" si="9959"/>
        <v>0</v>
      </c>
      <c r="EF601" s="2"/>
      <c r="EG601" s="2">
        <f t="shared" si="8558"/>
        <v>0</v>
      </c>
      <c r="EH601" s="2">
        <f t="shared" si="8559"/>
        <v>0</v>
      </c>
      <c r="EI601" s="39">
        <f t="shared" si="8560"/>
        <v>0</v>
      </c>
      <c r="EJ601" s="39">
        <f t="shared" ref="EJ601:EK601" si="9960">EJ$1*DQ601/1000000</f>
        <v>260.53504823151121</v>
      </c>
      <c r="EK601" s="39">
        <f t="shared" si="9960"/>
        <v>0</v>
      </c>
      <c r="EL601" s="39">
        <f t="shared" ref="EL601:EQ601" si="9961">EL$1*DS601</f>
        <v>0</v>
      </c>
      <c r="EM601" s="39">
        <f t="shared" si="9961"/>
        <v>0</v>
      </c>
      <c r="EN601" s="39">
        <f t="shared" si="9961"/>
        <v>0</v>
      </c>
      <c r="EO601" s="39">
        <f t="shared" si="9961"/>
        <v>0</v>
      </c>
      <c r="EP601" s="39">
        <f t="shared" si="9961"/>
        <v>238.6748</v>
      </c>
      <c r="EQ601" s="39">
        <f t="shared" si="9961"/>
        <v>1321.6753368</v>
      </c>
      <c r="ER601" s="39">
        <f t="shared" ref="ER601:EV601" si="9962">ER$1*DY601/1000000</f>
        <v>0</v>
      </c>
      <c r="ES601" s="39">
        <f t="shared" si="9962"/>
        <v>0</v>
      </c>
      <c r="ET601" s="39">
        <f t="shared" si="9962"/>
        <v>0</v>
      </c>
      <c r="EU601" s="39">
        <f t="shared" si="9962"/>
        <v>0</v>
      </c>
      <c r="EV601" s="39">
        <f t="shared" si="9962"/>
        <v>0</v>
      </c>
      <c r="EW601" s="39">
        <f t="shared" ref="EW601:EX601" si="9963">EW$1*ED601</f>
        <v>0</v>
      </c>
      <c r="EX601" s="39">
        <f t="shared" si="9963"/>
        <v>0</v>
      </c>
      <c r="EY601" s="2"/>
      <c r="EZ601" s="39">
        <f t="shared" si="8565"/>
        <v>0</v>
      </c>
      <c r="FA601" s="39">
        <f t="shared" si="8566"/>
        <v>0</v>
      </c>
      <c r="FB601" s="2">
        <f t="shared" si="8567"/>
        <v>0</v>
      </c>
      <c r="FC601" s="2">
        <f t="shared" ref="FC601:FD601" si="9964">BV601*$BT601+CQ601*$CO601</f>
        <v>0.20999999999999996</v>
      </c>
      <c r="FD601" s="2">
        <f t="shared" si="9964"/>
        <v>0</v>
      </c>
      <c r="FE601" s="2">
        <f t="shared" ref="FE601:FJ601" si="9965">(BX601*$BT601+CS601*$CO601)/100</f>
        <v>0</v>
      </c>
      <c r="FF601" s="2">
        <f t="shared" si="9965"/>
        <v>0</v>
      </c>
      <c r="FG601" s="2">
        <f t="shared" si="9965"/>
        <v>0</v>
      </c>
      <c r="FH601" s="2">
        <f t="shared" si="9965"/>
        <v>0</v>
      </c>
      <c r="FI601" s="2">
        <f t="shared" si="9965"/>
        <v>5.9999999999999995E-4</v>
      </c>
      <c r="FJ601" s="2">
        <f t="shared" si="9965"/>
        <v>5.9999999999999995E-4</v>
      </c>
      <c r="FK601" s="2">
        <f t="shared" ref="FK601:FO601" si="9966">CD601*$BT601+CY601*$CO601</f>
        <v>0</v>
      </c>
      <c r="FL601" s="2">
        <f t="shared" si="9966"/>
        <v>0</v>
      </c>
      <c r="FM601" s="2">
        <f t="shared" si="9966"/>
        <v>0</v>
      </c>
      <c r="FN601" s="2">
        <f t="shared" si="9966"/>
        <v>0</v>
      </c>
      <c r="FO601" s="2">
        <f t="shared" si="9966"/>
        <v>0</v>
      </c>
      <c r="FP601" s="2">
        <f t="shared" ref="FP601:FQ601" si="9967">(CI601*$BT601+DD601*$CO601)/100</f>
        <v>0</v>
      </c>
      <c r="FQ601" s="2">
        <f t="shared" si="9967"/>
        <v>0</v>
      </c>
      <c r="FR601" s="2"/>
      <c r="FS601" s="2">
        <f t="shared" si="8572"/>
        <v>0</v>
      </c>
      <c r="FT601" s="2">
        <f t="shared" si="8573"/>
        <v>0</v>
      </c>
      <c r="FU601" s="39">
        <f t="shared" si="8574"/>
        <v>0</v>
      </c>
      <c r="FV601" s="39">
        <f t="shared" ref="FV601:FW601" si="9968">FV$1*FC601/1000000</f>
        <v>8.5890675241157535</v>
      </c>
      <c r="FW601" s="39">
        <f t="shared" si="9968"/>
        <v>0</v>
      </c>
      <c r="FX601" s="39">
        <f t="shared" ref="FX601:GC601" si="9969">FX$1*FE601</f>
        <v>0</v>
      </c>
      <c r="FY601" s="39">
        <f t="shared" si="9969"/>
        <v>0</v>
      </c>
      <c r="FZ601" s="39">
        <f t="shared" si="9969"/>
        <v>0</v>
      </c>
      <c r="GA601" s="39">
        <f t="shared" si="9969"/>
        <v>0</v>
      </c>
      <c r="GB601" s="39">
        <f t="shared" si="9969"/>
        <v>7.8683999999999994</v>
      </c>
      <c r="GC601" s="39">
        <f t="shared" si="9969"/>
        <v>43.571714399999991</v>
      </c>
      <c r="GD601" s="39">
        <f t="shared" ref="GD601:GH601" si="9970">GD$1*FK601/1000000</f>
        <v>0</v>
      </c>
      <c r="GE601" s="39">
        <f t="shared" si="9970"/>
        <v>0</v>
      </c>
      <c r="GF601" s="39">
        <f t="shared" si="9970"/>
        <v>0</v>
      </c>
      <c r="GG601" s="39">
        <f t="shared" si="9970"/>
        <v>0</v>
      </c>
      <c r="GH601" s="39">
        <f t="shared" si="9970"/>
        <v>0</v>
      </c>
      <c r="GI601" s="39">
        <f t="shared" ref="GI601:GJ601" si="9971">GI$1*FP601</f>
        <v>0</v>
      </c>
      <c r="GJ601" s="39">
        <f t="shared" si="9971"/>
        <v>0</v>
      </c>
      <c r="GK601" s="2"/>
      <c r="GL601" s="39">
        <f t="shared" si="8579"/>
        <v>0</v>
      </c>
      <c r="GM601" s="39">
        <f t="shared" si="8580"/>
        <v>0</v>
      </c>
      <c r="GN601" s="2" t="s">
        <v>3</v>
      </c>
      <c r="GO601" s="2">
        <f t="shared" si="8581"/>
        <v>1.82</v>
      </c>
      <c r="GP601" s="2">
        <f t="shared" si="8582"/>
        <v>1</v>
      </c>
      <c r="GQ601" s="15">
        <f t="shared" si="8583"/>
        <v>18.2</v>
      </c>
      <c r="GR601" s="15">
        <f t="shared" si="8584"/>
        <v>1820.8851850315111</v>
      </c>
      <c r="GS601" s="15">
        <f t="shared" si="8585"/>
        <v>1000.4863654019291</v>
      </c>
      <c r="GT601" s="2">
        <f t="shared" si="8586"/>
        <v>0</v>
      </c>
      <c r="GU601" s="2">
        <f t="shared" si="8587"/>
        <v>0</v>
      </c>
      <c r="GV601" s="2">
        <f t="shared" si="8588"/>
        <v>18.2</v>
      </c>
      <c r="GW601" s="2">
        <f t="shared" si="8589"/>
        <v>5.9999999999999991E-2</v>
      </c>
      <c r="GX601" s="2">
        <f>(BT601*CB601+CO601*CW601)/GW601</f>
        <v>1</v>
      </c>
      <c r="GY601" s="15">
        <f>1000*GW601*GX601/100</f>
        <v>0.6</v>
      </c>
      <c r="GZ601" s="15">
        <f>SUM(FU601:GM601)</f>
        <v>60.029181924115747</v>
      </c>
      <c r="HA601" s="15">
        <f>GZ601/GW601</f>
        <v>1000.4863654019292</v>
      </c>
      <c r="HB601" s="2">
        <f t="shared" si="8590"/>
        <v>0</v>
      </c>
      <c r="HC601" s="2">
        <f t="shared" si="8591"/>
        <v>0.6</v>
      </c>
      <c r="HD601" s="2" t="s">
        <v>3</v>
      </c>
      <c r="HE601" s="2" t="s">
        <v>89</v>
      </c>
      <c r="HF601" s="2" t="s">
        <v>123</v>
      </c>
      <c r="HG601" s="2"/>
      <c r="HH601" s="2"/>
      <c r="HI601" s="2" t="s">
        <v>100</v>
      </c>
      <c r="HJ601" s="2" t="s">
        <v>3</v>
      </c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 t="s">
        <v>3</v>
      </c>
    </row>
    <row r="602" spans="1:268" ht="15.75" customHeight="1" x14ac:dyDescent="0.2">
      <c r="A602" s="16" t="s">
        <v>450</v>
      </c>
      <c r="B602" s="2" t="s">
        <v>99</v>
      </c>
      <c r="C602" s="2"/>
      <c r="D602" s="2"/>
      <c r="E602" s="2"/>
      <c r="F602" s="2" t="s">
        <v>79</v>
      </c>
      <c r="G602" s="2"/>
      <c r="H602" s="2"/>
      <c r="I602" s="2">
        <v>0</v>
      </c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>
        <v>0</v>
      </c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>
        <v>2.698</v>
      </c>
      <c r="AZ602" s="2">
        <v>0.69</v>
      </c>
      <c r="BA602" s="2"/>
      <c r="BB602" s="2"/>
      <c r="BC602" s="2"/>
      <c r="BD602" s="2"/>
      <c r="BE602" s="2"/>
      <c r="BF602" s="2"/>
      <c r="BG602" s="2">
        <v>0.83</v>
      </c>
      <c r="BH602" s="2">
        <v>0.06</v>
      </c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>
        <v>0</v>
      </c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>
        <v>0</v>
      </c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 t="s">
        <v>100</v>
      </c>
      <c r="DK602" s="2" t="s">
        <v>100</v>
      </c>
      <c r="DL602" s="2">
        <f t="shared" si="8551"/>
        <v>0.83</v>
      </c>
      <c r="DM602" s="2">
        <f t="shared" si="8552"/>
        <v>0.06</v>
      </c>
      <c r="DN602" s="2" t="s">
        <v>399</v>
      </c>
      <c r="DO602" s="2" t="s">
        <v>3</v>
      </c>
      <c r="DP602" s="2">
        <f t="shared" si="8553"/>
        <v>1.8616199999999999E-2</v>
      </c>
      <c r="DQ602" s="2">
        <f t="shared" ref="DQ602:DR602" si="9972">K602*$I602+AF602*$AD602+BA602*$AY602</f>
        <v>0</v>
      </c>
      <c r="DR602" s="2">
        <f t="shared" si="9972"/>
        <v>0</v>
      </c>
      <c r="DS602" s="2">
        <f t="shared" ref="DS602:DX602" si="9973">(M602*$I602+AH602*$AD602+BC602*$AY602)/100</f>
        <v>0</v>
      </c>
      <c r="DT602" s="2">
        <f t="shared" si="9973"/>
        <v>0</v>
      </c>
      <c r="DU602" s="2">
        <f t="shared" si="9973"/>
        <v>0</v>
      </c>
      <c r="DV602" s="2">
        <f t="shared" si="9973"/>
        <v>0</v>
      </c>
      <c r="DW602" s="2">
        <f t="shared" si="9973"/>
        <v>2.2393399999999997E-2</v>
      </c>
      <c r="DX602" s="2">
        <f t="shared" si="9973"/>
        <v>1.6187999999999999E-3</v>
      </c>
      <c r="DY602" s="2">
        <f t="shared" ref="DY602:EC602" si="9974">S602*$I602+AN602*$AD602+BI602*$AY602</f>
        <v>0</v>
      </c>
      <c r="DZ602" s="2">
        <f t="shared" si="9974"/>
        <v>0</v>
      </c>
      <c r="EA602" s="2">
        <f t="shared" si="9974"/>
        <v>0</v>
      </c>
      <c r="EB602" s="2">
        <f t="shared" si="9974"/>
        <v>0</v>
      </c>
      <c r="EC602" s="2">
        <f t="shared" si="9974"/>
        <v>0</v>
      </c>
      <c r="ED602" s="2">
        <f t="shared" ref="ED602:EE602" si="9975">(X602*$I602+AS602*$AD602+BN602*$AY602)/100</f>
        <v>0</v>
      </c>
      <c r="EE602" s="2">
        <f t="shared" si="9975"/>
        <v>0</v>
      </c>
      <c r="EF602" s="2"/>
      <c r="EG602" s="2">
        <f t="shared" si="8558"/>
        <v>0</v>
      </c>
      <c r="EH602" s="2">
        <f t="shared" si="8559"/>
        <v>0</v>
      </c>
      <c r="EI602" s="39">
        <f t="shared" si="8560"/>
        <v>121.4821725792</v>
      </c>
      <c r="EJ602" s="39">
        <f t="shared" ref="EJ602:EK602" si="9976">EJ$1*DQ602/1000000</f>
        <v>0</v>
      </c>
      <c r="EK602" s="39">
        <f t="shared" si="9976"/>
        <v>0</v>
      </c>
      <c r="EL602" s="39">
        <f t="shared" ref="EL602:EQ602" si="9977">EL$1*DS602</f>
        <v>0</v>
      </c>
      <c r="EM602" s="39">
        <f t="shared" si="9977"/>
        <v>0</v>
      </c>
      <c r="EN602" s="39">
        <f t="shared" si="9977"/>
        <v>0</v>
      </c>
      <c r="EO602" s="39">
        <f t="shared" si="9977"/>
        <v>0</v>
      </c>
      <c r="EP602" s="39">
        <f t="shared" si="9977"/>
        <v>293.66704759999999</v>
      </c>
      <c r="EQ602" s="39">
        <f t="shared" si="9977"/>
        <v>117.55648545119998</v>
      </c>
      <c r="ER602" s="39">
        <f t="shared" ref="ER602:EV602" si="9978">ER$1*DY602/1000000</f>
        <v>0</v>
      </c>
      <c r="ES602" s="39">
        <f t="shared" si="9978"/>
        <v>0</v>
      </c>
      <c r="ET602" s="39">
        <f t="shared" si="9978"/>
        <v>0</v>
      </c>
      <c r="EU602" s="39">
        <f t="shared" si="9978"/>
        <v>0</v>
      </c>
      <c r="EV602" s="39">
        <f t="shared" si="9978"/>
        <v>0</v>
      </c>
      <c r="EW602" s="39">
        <f t="shared" ref="EW602:EX602" si="9979">EW$1*ED602</f>
        <v>0</v>
      </c>
      <c r="EX602" s="39">
        <f t="shared" si="9979"/>
        <v>0</v>
      </c>
      <c r="EY602" s="2"/>
      <c r="EZ602" s="39">
        <f t="shared" si="8565"/>
        <v>0</v>
      </c>
      <c r="FA602" s="39">
        <f t="shared" si="8566"/>
        <v>0</v>
      </c>
      <c r="FB602" s="2">
        <f t="shared" si="8567"/>
        <v>0</v>
      </c>
      <c r="FC602" s="2">
        <f t="shared" ref="FC602:FD602" si="9980">BV602*$BT602+CQ602*$CO602</f>
        <v>0</v>
      </c>
      <c r="FD602" s="2">
        <f t="shared" si="9980"/>
        <v>0</v>
      </c>
      <c r="FE602" s="2">
        <f t="shared" ref="FE602:FJ602" si="9981">(BX602*$BT602+CS602*$CO602)/100</f>
        <v>0</v>
      </c>
      <c r="FF602" s="2">
        <f t="shared" si="9981"/>
        <v>0</v>
      </c>
      <c r="FG602" s="2">
        <f t="shared" si="9981"/>
        <v>0</v>
      </c>
      <c r="FH602" s="2">
        <f t="shared" si="9981"/>
        <v>0</v>
      </c>
      <c r="FI602" s="2">
        <f t="shared" si="9981"/>
        <v>0</v>
      </c>
      <c r="FJ602" s="2">
        <f t="shared" si="9981"/>
        <v>0</v>
      </c>
      <c r="FK602" s="2">
        <f t="shared" ref="FK602:FO602" si="9982">CD602*$BT602+CY602*$CO602</f>
        <v>0</v>
      </c>
      <c r="FL602" s="2">
        <f t="shared" si="9982"/>
        <v>0</v>
      </c>
      <c r="FM602" s="2">
        <f t="shared" si="9982"/>
        <v>0</v>
      </c>
      <c r="FN602" s="2">
        <f t="shared" si="9982"/>
        <v>0</v>
      </c>
      <c r="FO602" s="2">
        <f t="shared" si="9982"/>
        <v>0</v>
      </c>
      <c r="FP602" s="2">
        <f t="shared" ref="FP602:FQ602" si="9983">(CI602*$BT602+DD602*$CO602)/100</f>
        <v>0</v>
      </c>
      <c r="FQ602" s="2">
        <f t="shared" si="9983"/>
        <v>0</v>
      </c>
      <c r="FR602" s="2"/>
      <c r="FS602" s="2">
        <f t="shared" si="8572"/>
        <v>0</v>
      </c>
      <c r="FT602" s="2">
        <f t="shared" si="8573"/>
        <v>0</v>
      </c>
      <c r="FU602" s="39">
        <f t="shared" si="8574"/>
        <v>0</v>
      </c>
      <c r="FV602" s="39">
        <f t="shared" ref="FV602:FW602" si="9984">FV$1*FC602/1000000</f>
        <v>0</v>
      </c>
      <c r="FW602" s="39">
        <f t="shared" si="9984"/>
        <v>0</v>
      </c>
      <c r="FX602" s="39">
        <f t="shared" ref="FX602:GC602" si="9985">FX$1*FE602</f>
        <v>0</v>
      </c>
      <c r="FY602" s="39">
        <f t="shared" si="9985"/>
        <v>0</v>
      </c>
      <c r="FZ602" s="39">
        <f t="shared" si="9985"/>
        <v>0</v>
      </c>
      <c r="GA602" s="39">
        <f t="shared" si="9985"/>
        <v>0</v>
      </c>
      <c r="GB602" s="39">
        <f t="shared" si="9985"/>
        <v>0</v>
      </c>
      <c r="GC602" s="39">
        <f t="shared" si="9985"/>
        <v>0</v>
      </c>
      <c r="GD602" s="39">
        <f t="shared" ref="GD602:GH602" si="9986">GD$1*FK602/1000000</f>
        <v>0</v>
      </c>
      <c r="GE602" s="39">
        <f t="shared" si="9986"/>
        <v>0</v>
      </c>
      <c r="GF602" s="39">
        <f t="shared" si="9986"/>
        <v>0</v>
      </c>
      <c r="GG602" s="39">
        <f t="shared" si="9986"/>
        <v>0</v>
      </c>
      <c r="GH602" s="39">
        <f t="shared" si="9986"/>
        <v>0</v>
      </c>
      <c r="GI602" s="39">
        <f t="shared" ref="GI602:GJ602" si="9987">GI$1*FP602</f>
        <v>0</v>
      </c>
      <c r="GJ602" s="39">
        <f t="shared" si="9987"/>
        <v>0</v>
      </c>
      <c r="GK602" s="2"/>
      <c r="GL602" s="39">
        <f t="shared" si="8579"/>
        <v>0</v>
      </c>
      <c r="GM602" s="39">
        <f t="shared" si="8580"/>
        <v>0</v>
      </c>
      <c r="GN602" s="2" t="s">
        <v>3</v>
      </c>
      <c r="GO602" s="2">
        <f t="shared" si="8581"/>
        <v>2.698</v>
      </c>
      <c r="GP602" s="2">
        <f t="shared" si="8582"/>
        <v>0.83</v>
      </c>
      <c r="GQ602" s="15">
        <f t="shared" si="8583"/>
        <v>22.393399999999996</v>
      </c>
      <c r="GR602" s="15">
        <f t="shared" si="8584"/>
        <v>532.70570563039996</v>
      </c>
      <c r="GS602" s="15">
        <f t="shared" si="8585"/>
        <v>197.4446648</v>
      </c>
      <c r="GT602" s="2">
        <f t="shared" si="8586"/>
        <v>0</v>
      </c>
      <c r="GU602" s="2">
        <f t="shared" si="8587"/>
        <v>0</v>
      </c>
      <c r="GV602" s="2">
        <f t="shared" si="8588"/>
        <v>22.393399999999996</v>
      </c>
      <c r="GW602" s="2">
        <f t="shared" si="8589"/>
        <v>0</v>
      </c>
      <c r="GX602" s="2"/>
      <c r="GY602" s="2"/>
      <c r="GZ602" s="2"/>
      <c r="HA602" s="2"/>
      <c r="HB602" s="2">
        <f t="shared" si="8590"/>
        <v>0</v>
      </c>
      <c r="HC602" s="2">
        <f t="shared" si="8591"/>
        <v>0</v>
      </c>
      <c r="HD602" s="2" t="s">
        <v>3</v>
      </c>
      <c r="HE602" s="2" t="s">
        <v>89</v>
      </c>
      <c r="HF602" s="2" t="s">
        <v>123</v>
      </c>
      <c r="HG602" s="2"/>
      <c r="HH602" s="2"/>
      <c r="HI602" s="2" t="s">
        <v>100</v>
      </c>
      <c r="HJ602" s="2" t="s">
        <v>3</v>
      </c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 t="s">
        <v>3</v>
      </c>
    </row>
    <row r="603" spans="1:268" ht="15.75" customHeight="1" x14ac:dyDescent="0.2">
      <c r="A603" s="16" t="s">
        <v>1256</v>
      </c>
      <c r="B603" s="2" t="s">
        <v>99</v>
      </c>
      <c r="C603" s="2"/>
      <c r="D603" s="2"/>
      <c r="E603" s="2"/>
      <c r="F603" s="2" t="s">
        <v>79</v>
      </c>
      <c r="G603" s="2"/>
      <c r="H603" s="2"/>
      <c r="I603" s="2">
        <v>0</v>
      </c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>
        <v>0</v>
      </c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>
        <v>0.31</v>
      </c>
      <c r="AZ603" s="2">
        <v>0.44</v>
      </c>
      <c r="BA603" s="2"/>
      <c r="BB603" s="2"/>
      <c r="BC603" s="2"/>
      <c r="BD603" s="2"/>
      <c r="BE603" s="2"/>
      <c r="BF603" s="2"/>
      <c r="BG603" s="4">
        <v>1.2</v>
      </c>
      <c r="BH603" s="2">
        <v>3.5000000000000003E-2</v>
      </c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>
        <v>0</v>
      </c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>
        <v>0</v>
      </c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 t="s">
        <v>100</v>
      </c>
      <c r="DK603" s="2" t="s">
        <v>100</v>
      </c>
      <c r="DL603" s="2">
        <f t="shared" si="8551"/>
        <v>1.2</v>
      </c>
      <c r="DM603" s="2">
        <f t="shared" si="8552"/>
        <v>3.5000000000000003E-2</v>
      </c>
      <c r="DN603" s="2" t="s">
        <v>467</v>
      </c>
      <c r="DO603" s="2" t="s">
        <v>3</v>
      </c>
      <c r="DP603" s="2">
        <f t="shared" si="8553"/>
        <v>1.364E-3</v>
      </c>
      <c r="DQ603" s="2">
        <f t="shared" ref="DQ603:DR603" si="9988">K603*$I603+AF603*$AD603+BA603*$AY603</f>
        <v>0</v>
      </c>
      <c r="DR603" s="2">
        <f t="shared" si="9988"/>
        <v>0</v>
      </c>
      <c r="DS603" s="2">
        <f t="shared" ref="DS603:DX603" si="9989">(M603*$I603+AH603*$AD603+BC603*$AY603)/100</f>
        <v>0</v>
      </c>
      <c r="DT603" s="2">
        <f t="shared" si="9989"/>
        <v>0</v>
      </c>
      <c r="DU603" s="2">
        <f t="shared" si="9989"/>
        <v>0</v>
      </c>
      <c r="DV603" s="2">
        <f t="shared" si="9989"/>
        <v>0</v>
      </c>
      <c r="DW603" s="2">
        <f t="shared" si="9989"/>
        <v>3.7199999999999998E-3</v>
      </c>
      <c r="DX603" s="2">
        <f t="shared" si="9989"/>
        <v>1.0850000000000001E-4</v>
      </c>
      <c r="DY603" s="2">
        <f t="shared" ref="DY603:EC603" si="9990">S603*$I603+AN603*$AD603+BI603*$AY603</f>
        <v>0</v>
      </c>
      <c r="DZ603" s="2">
        <f t="shared" si="9990"/>
        <v>0</v>
      </c>
      <c r="EA603" s="2">
        <f t="shared" si="9990"/>
        <v>0</v>
      </c>
      <c r="EB603" s="2">
        <f t="shared" si="9990"/>
        <v>0</v>
      </c>
      <c r="EC603" s="2">
        <f t="shared" si="9990"/>
        <v>0</v>
      </c>
      <c r="ED603" s="2">
        <f t="shared" ref="ED603:EE603" si="9991">(X603*$I603+AS603*$AD603+BN603*$AY603)/100</f>
        <v>0</v>
      </c>
      <c r="EE603" s="2">
        <f t="shared" si="9991"/>
        <v>0</v>
      </c>
      <c r="EF603" s="2"/>
      <c r="EG603" s="2">
        <f t="shared" si="8558"/>
        <v>0</v>
      </c>
      <c r="EH603" s="2">
        <f t="shared" si="8559"/>
        <v>0</v>
      </c>
      <c r="EI603" s="39">
        <f t="shared" si="8560"/>
        <v>8.9009402239999993</v>
      </c>
      <c r="EJ603" s="39">
        <f t="shared" ref="EJ603:EK603" si="9992">EJ$1*DQ603/1000000</f>
        <v>0</v>
      </c>
      <c r="EK603" s="39">
        <f t="shared" si="9992"/>
        <v>0</v>
      </c>
      <c r="EL603" s="39">
        <f t="shared" ref="EL603:EQ603" si="9993">EL$1*DS603</f>
        <v>0</v>
      </c>
      <c r="EM603" s="39">
        <f t="shared" si="9993"/>
        <v>0</v>
      </c>
      <c r="EN603" s="39">
        <f t="shared" si="9993"/>
        <v>0</v>
      </c>
      <c r="EO603" s="39">
        <f t="shared" si="9993"/>
        <v>0</v>
      </c>
      <c r="EP603" s="39">
        <f t="shared" si="9993"/>
        <v>48.784079999999996</v>
      </c>
      <c r="EQ603" s="39">
        <f t="shared" si="9993"/>
        <v>7.8792183539999998</v>
      </c>
      <c r="ER603" s="39">
        <f t="shared" ref="ER603:EV603" si="9994">ER$1*DY603/1000000</f>
        <v>0</v>
      </c>
      <c r="ES603" s="39">
        <f t="shared" si="9994"/>
        <v>0</v>
      </c>
      <c r="ET603" s="39">
        <f t="shared" si="9994"/>
        <v>0</v>
      </c>
      <c r="EU603" s="39">
        <f t="shared" si="9994"/>
        <v>0</v>
      </c>
      <c r="EV603" s="39">
        <f t="shared" si="9994"/>
        <v>0</v>
      </c>
      <c r="EW603" s="39">
        <f t="shared" ref="EW603:EX603" si="9995">EW$1*ED603</f>
        <v>0</v>
      </c>
      <c r="EX603" s="39">
        <f t="shared" si="9995"/>
        <v>0</v>
      </c>
      <c r="EY603" s="2"/>
      <c r="EZ603" s="39">
        <f t="shared" si="8565"/>
        <v>0</v>
      </c>
      <c r="FA603" s="39">
        <f t="shared" si="8566"/>
        <v>0</v>
      </c>
      <c r="FB603" s="2">
        <f t="shared" si="8567"/>
        <v>0</v>
      </c>
      <c r="FC603" s="2">
        <f t="shared" ref="FC603:FD603" si="9996">BV603*$BT603+CQ603*$CO603</f>
        <v>0</v>
      </c>
      <c r="FD603" s="2">
        <f t="shared" si="9996"/>
        <v>0</v>
      </c>
      <c r="FE603" s="2">
        <f t="shared" ref="FE603:FJ603" si="9997">(BX603*$BT603+CS603*$CO603)/100</f>
        <v>0</v>
      </c>
      <c r="FF603" s="2">
        <f t="shared" si="9997"/>
        <v>0</v>
      </c>
      <c r="FG603" s="2">
        <f t="shared" si="9997"/>
        <v>0</v>
      </c>
      <c r="FH603" s="2">
        <f t="shared" si="9997"/>
        <v>0</v>
      </c>
      <c r="FI603" s="2">
        <f t="shared" si="9997"/>
        <v>0</v>
      </c>
      <c r="FJ603" s="2">
        <f t="shared" si="9997"/>
        <v>0</v>
      </c>
      <c r="FK603" s="2">
        <f t="shared" ref="FK603:FO603" si="9998">CD603*$BT603+CY603*$CO603</f>
        <v>0</v>
      </c>
      <c r="FL603" s="2">
        <f t="shared" si="9998"/>
        <v>0</v>
      </c>
      <c r="FM603" s="2">
        <f t="shared" si="9998"/>
        <v>0</v>
      </c>
      <c r="FN603" s="2">
        <f t="shared" si="9998"/>
        <v>0</v>
      </c>
      <c r="FO603" s="2">
        <f t="shared" si="9998"/>
        <v>0</v>
      </c>
      <c r="FP603" s="2">
        <f t="shared" ref="FP603:FQ603" si="9999">(CI603*$BT603+DD603*$CO603)/100</f>
        <v>0</v>
      </c>
      <c r="FQ603" s="2">
        <f t="shared" si="9999"/>
        <v>0</v>
      </c>
      <c r="FR603" s="2"/>
      <c r="FS603" s="2">
        <f t="shared" si="8572"/>
        <v>0</v>
      </c>
      <c r="FT603" s="2">
        <f t="shared" si="8573"/>
        <v>0</v>
      </c>
      <c r="FU603" s="39">
        <f t="shared" si="8574"/>
        <v>0</v>
      </c>
      <c r="FV603" s="39">
        <f t="shared" ref="FV603:FW603" si="10000">FV$1*FC603/1000000</f>
        <v>0</v>
      </c>
      <c r="FW603" s="39">
        <f t="shared" si="10000"/>
        <v>0</v>
      </c>
      <c r="FX603" s="39">
        <f t="shared" ref="FX603:GC603" si="10001">FX$1*FE603</f>
        <v>0</v>
      </c>
      <c r="FY603" s="39">
        <f t="shared" si="10001"/>
        <v>0</v>
      </c>
      <c r="FZ603" s="39">
        <f t="shared" si="10001"/>
        <v>0</v>
      </c>
      <c r="GA603" s="39">
        <f t="shared" si="10001"/>
        <v>0</v>
      </c>
      <c r="GB603" s="39">
        <f t="shared" si="10001"/>
        <v>0</v>
      </c>
      <c r="GC603" s="39">
        <f t="shared" si="10001"/>
        <v>0</v>
      </c>
      <c r="GD603" s="39">
        <f t="shared" ref="GD603:GH603" si="10002">GD$1*FK603/1000000</f>
        <v>0</v>
      </c>
      <c r="GE603" s="39">
        <f t="shared" si="10002"/>
        <v>0</v>
      </c>
      <c r="GF603" s="39">
        <f t="shared" si="10002"/>
        <v>0</v>
      </c>
      <c r="GG603" s="39">
        <f t="shared" si="10002"/>
        <v>0</v>
      </c>
      <c r="GH603" s="39">
        <f t="shared" si="10002"/>
        <v>0</v>
      </c>
      <c r="GI603" s="39">
        <f t="shared" ref="GI603:GJ603" si="10003">GI$1*FP603</f>
        <v>0</v>
      </c>
      <c r="GJ603" s="39">
        <f t="shared" si="10003"/>
        <v>0</v>
      </c>
      <c r="GK603" s="2"/>
      <c r="GL603" s="39">
        <f t="shared" si="8579"/>
        <v>0</v>
      </c>
      <c r="GM603" s="39">
        <f t="shared" si="8580"/>
        <v>0</v>
      </c>
      <c r="GN603" s="2" t="s">
        <v>3</v>
      </c>
      <c r="GO603" s="2">
        <f t="shared" si="8581"/>
        <v>0.31</v>
      </c>
      <c r="GP603" s="2">
        <f t="shared" si="8582"/>
        <v>1.2</v>
      </c>
      <c r="GQ603" s="15">
        <f t="shared" si="8583"/>
        <v>3.72</v>
      </c>
      <c r="GR603" s="15">
        <f t="shared" si="8584"/>
        <v>65.564238578000001</v>
      </c>
      <c r="GS603" s="15">
        <f t="shared" si="8585"/>
        <v>211.49754380000002</v>
      </c>
      <c r="GT603" s="2">
        <f t="shared" si="8586"/>
        <v>0</v>
      </c>
      <c r="GU603" s="2">
        <f t="shared" si="8587"/>
        <v>0</v>
      </c>
      <c r="GV603" s="2">
        <f t="shared" si="8588"/>
        <v>3.72</v>
      </c>
      <c r="GW603" s="2">
        <f t="shared" si="8589"/>
        <v>0</v>
      </c>
      <c r="GX603" s="2"/>
      <c r="GY603" s="2"/>
      <c r="GZ603" s="2"/>
      <c r="HA603" s="2"/>
      <c r="HB603" s="2">
        <f t="shared" si="8590"/>
        <v>0</v>
      </c>
      <c r="HC603" s="2">
        <f t="shared" si="8591"/>
        <v>0</v>
      </c>
      <c r="HD603" s="2" t="s">
        <v>3</v>
      </c>
      <c r="HE603" s="2" t="s">
        <v>89</v>
      </c>
      <c r="HF603" s="2" t="s">
        <v>123</v>
      </c>
      <c r="HG603" s="2"/>
      <c r="HH603" s="2"/>
      <c r="HI603" s="2" t="s">
        <v>100</v>
      </c>
      <c r="HJ603" s="2" t="s">
        <v>3</v>
      </c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 t="s">
        <v>3</v>
      </c>
    </row>
    <row r="604" spans="1:268" ht="15.75" customHeight="1" x14ac:dyDescent="0.2">
      <c r="A604" s="16" t="s">
        <v>466</v>
      </c>
      <c r="B604" s="2" t="s">
        <v>99</v>
      </c>
      <c r="C604" s="2"/>
      <c r="D604" s="2"/>
      <c r="E604" s="2"/>
      <c r="F604" s="2" t="s">
        <v>79</v>
      </c>
      <c r="G604" s="2"/>
      <c r="H604" s="2"/>
      <c r="I604" s="2">
        <v>0</v>
      </c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>
        <v>0</v>
      </c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>
        <v>2.6</v>
      </c>
      <c r="AZ604" s="2">
        <v>0.47</v>
      </c>
      <c r="BA604" s="2"/>
      <c r="BB604" s="2"/>
      <c r="BC604" s="2"/>
      <c r="BD604" s="2"/>
      <c r="BE604" s="2"/>
      <c r="BF604" s="2"/>
      <c r="BG604" s="2">
        <v>0.75</v>
      </c>
      <c r="BH604" s="2">
        <v>0.06</v>
      </c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>
        <v>0</v>
      </c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>
        <v>0</v>
      </c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 t="s">
        <v>100</v>
      </c>
      <c r="DK604" s="2" t="s">
        <v>100</v>
      </c>
      <c r="DL604" s="2">
        <f t="shared" si="8551"/>
        <v>0.75</v>
      </c>
      <c r="DM604" s="2">
        <f t="shared" si="8552"/>
        <v>0.06</v>
      </c>
      <c r="DN604" s="2" t="s">
        <v>467</v>
      </c>
      <c r="DO604" s="2" t="s">
        <v>3</v>
      </c>
      <c r="DP604" s="2">
        <f t="shared" si="8553"/>
        <v>1.222E-2</v>
      </c>
      <c r="DQ604" s="2">
        <f t="shared" ref="DQ604:DR604" si="10004">K604*$I604+AF604*$AD604+BA604*$AY604</f>
        <v>0</v>
      </c>
      <c r="DR604" s="2">
        <f t="shared" si="10004"/>
        <v>0</v>
      </c>
      <c r="DS604" s="2">
        <f t="shared" ref="DS604:DX604" si="10005">(M604*$I604+AH604*$AD604+BC604*$AY604)/100</f>
        <v>0</v>
      </c>
      <c r="DT604" s="2">
        <f t="shared" si="10005"/>
        <v>0</v>
      </c>
      <c r="DU604" s="2">
        <f t="shared" si="10005"/>
        <v>0</v>
      </c>
      <c r="DV604" s="2">
        <f t="shared" si="10005"/>
        <v>0</v>
      </c>
      <c r="DW604" s="2">
        <f t="shared" si="10005"/>
        <v>1.9500000000000003E-2</v>
      </c>
      <c r="DX604" s="2">
        <f t="shared" si="10005"/>
        <v>1.56E-3</v>
      </c>
      <c r="DY604" s="2">
        <f t="shared" ref="DY604:EC604" si="10006">S604*$I604+AN604*$AD604+BI604*$AY604</f>
        <v>0</v>
      </c>
      <c r="DZ604" s="2">
        <f t="shared" si="10006"/>
        <v>0</v>
      </c>
      <c r="EA604" s="2">
        <f t="shared" si="10006"/>
        <v>0</v>
      </c>
      <c r="EB604" s="2">
        <f t="shared" si="10006"/>
        <v>0</v>
      </c>
      <c r="EC604" s="2">
        <f t="shared" si="10006"/>
        <v>0</v>
      </c>
      <c r="ED604" s="2">
        <f t="shared" ref="ED604:EE604" si="10007">(X604*$I604+AS604*$AD604+BN604*$AY604)/100</f>
        <v>0</v>
      </c>
      <c r="EE604" s="2">
        <f t="shared" si="10007"/>
        <v>0</v>
      </c>
      <c r="EF604" s="2"/>
      <c r="EG604" s="2">
        <f t="shared" si="8558"/>
        <v>0</v>
      </c>
      <c r="EH604" s="2">
        <f t="shared" si="8559"/>
        <v>0</v>
      </c>
      <c r="EI604" s="39">
        <f t="shared" si="8560"/>
        <v>79.743027519999998</v>
      </c>
      <c r="EJ604" s="39">
        <f t="shared" ref="EJ604:EK604" si="10008">EJ$1*DQ604/1000000</f>
        <v>0</v>
      </c>
      <c r="EK604" s="39">
        <f t="shared" si="10008"/>
        <v>0</v>
      </c>
      <c r="EL604" s="39">
        <f t="shared" ref="EL604:EQ604" si="10009">EL$1*DS604</f>
        <v>0</v>
      </c>
      <c r="EM604" s="39">
        <f t="shared" si="10009"/>
        <v>0</v>
      </c>
      <c r="EN604" s="39">
        <f t="shared" si="10009"/>
        <v>0</v>
      </c>
      <c r="EO604" s="39">
        <f t="shared" si="10009"/>
        <v>0</v>
      </c>
      <c r="EP604" s="39">
        <f t="shared" si="10009"/>
        <v>255.72300000000004</v>
      </c>
      <c r="EQ604" s="39">
        <f t="shared" si="10009"/>
        <v>113.28645743999998</v>
      </c>
      <c r="ER604" s="39">
        <f t="shared" ref="ER604:EV604" si="10010">ER$1*DY604/1000000</f>
        <v>0</v>
      </c>
      <c r="ES604" s="39">
        <f t="shared" si="10010"/>
        <v>0</v>
      </c>
      <c r="ET604" s="39">
        <f t="shared" si="10010"/>
        <v>0</v>
      </c>
      <c r="EU604" s="39">
        <f t="shared" si="10010"/>
        <v>0</v>
      </c>
      <c r="EV604" s="39">
        <f t="shared" si="10010"/>
        <v>0</v>
      </c>
      <c r="EW604" s="39">
        <f t="shared" ref="EW604:EX604" si="10011">EW$1*ED604</f>
        <v>0</v>
      </c>
      <c r="EX604" s="39">
        <f t="shared" si="10011"/>
        <v>0</v>
      </c>
      <c r="EY604" s="2"/>
      <c r="EZ604" s="39">
        <f t="shared" si="8565"/>
        <v>0</v>
      </c>
      <c r="FA604" s="39">
        <f t="shared" si="8566"/>
        <v>0</v>
      </c>
      <c r="FB604" s="2">
        <f t="shared" si="8567"/>
        <v>0</v>
      </c>
      <c r="FC604" s="2">
        <f t="shared" ref="FC604:FD604" si="10012">BV604*$BT604+CQ604*$CO604</f>
        <v>0</v>
      </c>
      <c r="FD604" s="2">
        <f t="shared" si="10012"/>
        <v>0</v>
      </c>
      <c r="FE604" s="2">
        <f t="shared" ref="FE604:FJ604" si="10013">(BX604*$BT604+CS604*$CO604)/100</f>
        <v>0</v>
      </c>
      <c r="FF604" s="2">
        <f t="shared" si="10013"/>
        <v>0</v>
      </c>
      <c r="FG604" s="2">
        <f t="shared" si="10013"/>
        <v>0</v>
      </c>
      <c r="FH604" s="2">
        <f t="shared" si="10013"/>
        <v>0</v>
      </c>
      <c r="FI604" s="2">
        <f t="shared" si="10013"/>
        <v>0</v>
      </c>
      <c r="FJ604" s="2">
        <f t="shared" si="10013"/>
        <v>0</v>
      </c>
      <c r="FK604" s="2">
        <f t="shared" ref="FK604:FO604" si="10014">CD604*$BT604+CY604*$CO604</f>
        <v>0</v>
      </c>
      <c r="FL604" s="2">
        <f t="shared" si="10014"/>
        <v>0</v>
      </c>
      <c r="FM604" s="2">
        <f t="shared" si="10014"/>
        <v>0</v>
      </c>
      <c r="FN604" s="2">
        <f t="shared" si="10014"/>
        <v>0</v>
      </c>
      <c r="FO604" s="2">
        <f t="shared" si="10014"/>
        <v>0</v>
      </c>
      <c r="FP604" s="2">
        <f t="shared" ref="FP604:FQ604" si="10015">(CI604*$BT604+DD604*$CO604)/100</f>
        <v>0</v>
      </c>
      <c r="FQ604" s="2">
        <f t="shared" si="10015"/>
        <v>0</v>
      </c>
      <c r="FR604" s="2"/>
      <c r="FS604" s="2">
        <f t="shared" si="8572"/>
        <v>0</v>
      </c>
      <c r="FT604" s="2">
        <f t="shared" si="8573"/>
        <v>0</v>
      </c>
      <c r="FU604" s="39">
        <f t="shared" si="8574"/>
        <v>0</v>
      </c>
      <c r="FV604" s="39">
        <f t="shared" ref="FV604:FW604" si="10016">FV$1*FC604/1000000</f>
        <v>0</v>
      </c>
      <c r="FW604" s="39">
        <f t="shared" si="10016"/>
        <v>0</v>
      </c>
      <c r="FX604" s="39">
        <f t="shared" ref="FX604:GC604" si="10017">FX$1*FE604</f>
        <v>0</v>
      </c>
      <c r="FY604" s="39">
        <f t="shared" si="10017"/>
        <v>0</v>
      </c>
      <c r="FZ604" s="39">
        <f t="shared" si="10017"/>
        <v>0</v>
      </c>
      <c r="GA604" s="39">
        <f t="shared" si="10017"/>
        <v>0</v>
      </c>
      <c r="GB604" s="39">
        <f t="shared" si="10017"/>
        <v>0</v>
      </c>
      <c r="GC604" s="39">
        <f t="shared" si="10017"/>
        <v>0</v>
      </c>
      <c r="GD604" s="39">
        <f t="shared" ref="GD604:GH604" si="10018">GD$1*FK604/1000000</f>
        <v>0</v>
      </c>
      <c r="GE604" s="39">
        <f t="shared" si="10018"/>
        <v>0</v>
      </c>
      <c r="GF604" s="39">
        <f t="shared" si="10018"/>
        <v>0</v>
      </c>
      <c r="GG604" s="39">
        <f t="shared" si="10018"/>
        <v>0</v>
      </c>
      <c r="GH604" s="39">
        <f t="shared" si="10018"/>
        <v>0</v>
      </c>
      <c r="GI604" s="39">
        <f t="shared" ref="GI604:GJ604" si="10019">GI$1*FP604</f>
        <v>0</v>
      </c>
      <c r="GJ604" s="39">
        <f t="shared" si="10019"/>
        <v>0</v>
      </c>
      <c r="GK604" s="2"/>
      <c r="GL604" s="39">
        <f t="shared" si="8579"/>
        <v>0</v>
      </c>
      <c r="GM604" s="39">
        <f t="shared" si="8580"/>
        <v>0</v>
      </c>
      <c r="GN604" s="2" t="s">
        <v>3</v>
      </c>
      <c r="GO604" s="2">
        <f t="shared" si="8581"/>
        <v>2.6</v>
      </c>
      <c r="GP604" s="2">
        <f t="shared" si="8582"/>
        <v>0.75</v>
      </c>
      <c r="GQ604" s="15">
        <f t="shared" si="8583"/>
        <v>19.5</v>
      </c>
      <c r="GR604" s="15">
        <f t="shared" si="8584"/>
        <v>448.75248496</v>
      </c>
      <c r="GS604" s="15">
        <f t="shared" si="8585"/>
        <v>172.59710959999998</v>
      </c>
      <c r="GT604" s="2">
        <f t="shared" si="8586"/>
        <v>0</v>
      </c>
      <c r="GU604" s="2">
        <f t="shared" si="8587"/>
        <v>0</v>
      </c>
      <c r="GV604" s="2">
        <f t="shared" si="8588"/>
        <v>19.500000000000004</v>
      </c>
      <c r="GW604" s="2">
        <f t="shared" si="8589"/>
        <v>0</v>
      </c>
      <c r="GX604" s="2"/>
      <c r="GY604" s="2"/>
      <c r="GZ604" s="2"/>
      <c r="HA604" s="2"/>
      <c r="HB604" s="2">
        <f t="shared" si="8590"/>
        <v>0</v>
      </c>
      <c r="HC604" s="2">
        <f t="shared" si="8591"/>
        <v>0</v>
      </c>
      <c r="HD604" s="2" t="s">
        <v>3</v>
      </c>
      <c r="HE604" s="2" t="s">
        <v>89</v>
      </c>
      <c r="HF604" s="2" t="s">
        <v>123</v>
      </c>
      <c r="HG604" s="2"/>
      <c r="HH604" s="2"/>
      <c r="HI604" s="2" t="s">
        <v>100</v>
      </c>
      <c r="HJ604" s="2" t="s">
        <v>3</v>
      </c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 t="s">
        <v>3</v>
      </c>
    </row>
    <row r="605" spans="1:268" ht="15.75" customHeight="1" x14ac:dyDescent="0.2">
      <c r="A605" s="16" t="s">
        <v>279</v>
      </c>
      <c r="B605" s="2" t="s">
        <v>99</v>
      </c>
      <c r="C605" s="2"/>
      <c r="D605" s="2"/>
      <c r="E605" s="2"/>
      <c r="F605" s="2" t="s">
        <v>79</v>
      </c>
      <c r="G605" s="2"/>
      <c r="H605" s="2"/>
      <c r="I605" s="2">
        <v>0</v>
      </c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>
        <v>0</v>
      </c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>
        <v>9.15</v>
      </c>
      <c r="AZ605" s="2">
        <v>0.09</v>
      </c>
      <c r="BA605" s="2"/>
      <c r="BB605" s="2"/>
      <c r="BC605" s="2"/>
      <c r="BD605" s="2"/>
      <c r="BE605" s="2"/>
      <c r="BF605" s="2"/>
      <c r="BG605" s="2">
        <v>0.36</v>
      </c>
      <c r="BH605" s="2">
        <v>0.01</v>
      </c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>
        <v>0</v>
      </c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>
        <v>0</v>
      </c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 t="s">
        <v>100</v>
      </c>
      <c r="DK605" s="2" t="s">
        <v>100</v>
      </c>
      <c r="DL605" s="2">
        <f t="shared" si="8551"/>
        <v>0.36</v>
      </c>
      <c r="DM605" s="2">
        <f t="shared" si="8552"/>
        <v>0.01</v>
      </c>
      <c r="DN605" s="2" t="s">
        <v>280</v>
      </c>
      <c r="DO605" s="2" t="s">
        <v>3</v>
      </c>
      <c r="DP605" s="2">
        <f t="shared" si="8553"/>
        <v>8.2349999999999993E-3</v>
      </c>
      <c r="DQ605" s="2">
        <f t="shared" ref="DQ605:DR605" si="10020">K605*$I605+AF605*$AD605+BA605*$AY605</f>
        <v>0</v>
      </c>
      <c r="DR605" s="2">
        <f t="shared" si="10020"/>
        <v>0</v>
      </c>
      <c r="DS605" s="2">
        <f t="shared" ref="DS605:DX605" si="10021">(M605*$I605+AH605*$AD605+BC605*$AY605)/100</f>
        <v>0</v>
      </c>
      <c r="DT605" s="2">
        <f t="shared" si="10021"/>
        <v>0</v>
      </c>
      <c r="DU605" s="2">
        <f t="shared" si="10021"/>
        <v>0</v>
      </c>
      <c r="DV605" s="2">
        <f t="shared" si="10021"/>
        <v>0</v>
      </c>
      <c r="DW605" s="2">
        <f t="shared" si="10021"/>
        <v>3.2939999999999997E-2</v>
      </c>
      <c r="DX605" s="2">
        <f t="shared" si="10021"/>
        <v>9.1500000000000012E-4</v>
      </c>
      <c r="DY605" s="2">
        <f t="shared" ref="DY605:EC605" si="10022">S605*$I605+AN605*$AD605+BI605*$AY605</f>
        <v>0</v>
      </c>
      <c r="DZ605" s="2">
        <f t="shared" si="10022"/>
        <v>0</v>
      </c>
      <c r="EA605" s="2">
        <f t="shared" si="10022"/>
        <v>0</v>
      </c>
      <c r="EB605" s="2">
        <f t="shared" si="10022"/>
        <v>0</v>
      </c>
      <c r="EC605" s="2">
        <f t="shared" si="10022"/>
        <v>0</v>
      </c>
      <c r="ED605" s="2">
        <f t="shared" ref="ED605:EE605" si="10023">(X605*$I605+AS605*$AD605+BN605*$AY605)/100</f>
        <v>0</v>
      </c>
      <c r="EE605" s="2">
        <f t="shared" si="10023"/>
        <v>0</v>
      </c>
      <c r="EF605" s="2"/>
      <c r="EG605" s="2">
        <f t="shared" si="8558"/>
        <v>0</v>
      </c>
      <c r="EH605" s="2">
        <f t="shared" si="8559"/>
        <v>0</v>
      </c>
      <c r="EI605" s="39">
        <f t="shared" si="8560"/>
        <v>53.738447759999993</v>
      </c>
      <c r="EJ605" s="39">
        <f t="shared" ref="EJ605:EK605" si="10024">EJ$1*DQ605/1000000</f>
        <v>0</v>
      </c>
      <c r="EK605" s="39">
        <f t="shared" si="10024"/>
        <v>0</v>
      </c>
      <c r="EL605" s="39">
        <f t="shared" ref="EL605:EQ605" si="10025">EL$1*DS605</f>
        <v>0</v>
      </c>
      <c r="EM605" s="39">
        <f t="shared" si="10025"/>
        <v>0</v>
      </c>
      <c r="EN605" s="39">
        <f t="shared" si="10025"/>
        <v>0</v>
      </c>
      <c r="EO605" s="39">
        <f t="shared" si="10025"/>
        <v>0</v>
      </c>
      <c r="EP605" s="39">
        <f t="shared" si="10025"/>
        <v>431.97515999999996</v>
      </c>
      <c r="EQ605" s="39">
        <f t="shared" si="10025"/>
        <v>66.44686446</v>
      </c>
      <c r="ER605" s="39">
        <f t="shared" ref="ER605:EV605" si="10026">ER$1*DY605/1000000</f>
        <v>0</v>
      </c>
      <c r="ES605" s="39">
        <f t="shared" si="10026"/>
        <v>0</v>
      </c>
      <c r="ET605" s="39">
        <f t="shared" si="10026"/>
        <v>0</v>
      </c>
      <c r="EU605" s="39">
        <f t="shared" si="10026"/>
        <v>0</v>
      </c>
      <c r="EV605" s="39">
        <f t="shared" si="10026"/>
        <v>0</v>
      </c>
      <c r="EW605" s="39">
        <f t="shared" ref="EW605:EX605" si="10027">EW$1*ED605</f>
        <v>0</v>
      </c>
      <c r="EX605" s="39">
        <f t="shared" si="10027"/>
        <v>0</v>
      </c>
      <c r="EY605" s="2"/>
      <c r="EZ605" s="39">
        <f t="shared" si="8565"/>
        <v>0</v>
      </c>
      <c r="FA605" s="39">
        <f t="shared" si="8566"/>
        <v>0</v>
      </c>
      <c r="FB605" s="2">
        <f t="shared" si="8567"/>
        <v>0</v>
      </c>
      <c r="FC605" s="2">
        <f t="shared" ref="FC605:FD605" si="10028">BV605*$BT605+CQ605*$CO605</f>
        <v>0</v>
      </c>
      <c r="FD605" s="2">
        <f t="shared" si="10028"/>
        <v>0</v>
      </c>
      <c r="FE605" s="2">
        <f t="shared" ref="FE605:FJ605" si="10029">(BX605*$BT605+CS605*$CO605)/100</f>
        <v>0</v>
      </c>
      <c r="FF605" s="2">
        <f t="shared" si="10029"/>
        <v>0</v>
      </c>
      <c r="FG605" s="2">
        <f t="shared" si="10029"/>
        <v>0</v>
      </c>
      <c r="FH605" s="2">
        <f t="shared" si="10029"/>
        <v>0</v>
      </c>
      <c r="FI605" s="2">
        <f t="shared" si="10029"/>
        <v>0</v>
      </c>
      <c r="FJ605" s="2">
        <f t="shared" si="10029"/>
        <v>0</v>
      </c>
      <c r="FK605" s="2">
        <f t="shared" ref="FK605:FO605" si="10030">CD605*$BT605+CY605*$CO605</f>
        <v>0</v>
      </c>
      <c r="FL605" s="2">
        <f t="shared" si="10030"/>
        <v>0</v>
      </c>
      <c r="FM605" s="2">
        <f t="shared" si="10030"/>
        <v>0</v>
      </c>
      <c r="FN605" s="2">
        <f t="shared" si="10030"/>
        <v>0</v>
      </c>
      <c r="FO605" s="2">
        <f t="shared" si="10030"/>
        <v>0</v>
      </c>
      <c r="FP605" s="2">
        <f t="shared" ref="FP605:FQ605" si="10031">(CI605*$BT605+DD605*$CO605)/100</f>
        <v>0</v>
      </c>
      <c r="FQ605" s="2">
        <f t="shared" si="10031"/>
        <v>0</v>
      </c>
      <c r="FR605" s="2"/>
      <c r="FS605" s="2">
        <f t="shared" si="8572"/>
        <v>0</v>
      </c>
      <c r="FT605" s="2">
        <f t="shared" si="8573"/>
        <v>0</v>
      </c>
      <c r="FU605" s="39">
        <f t="shared" si="8574"/>
        <v>0</v>
      </c>
      <c r="FV605" s="39">
        <f t="shared" ref="FV605:FW605" si="10032">FV$1*FC605/1000000</f>
        <v>0</v>
      </c>
      <c r="FW605" s="39">
        <f t="shared" si="10032"/>
        <v>0</v>
      </c>
      <c r="FX605" s="39">
        <f t="shared" ref="FX605:GC605" si="10033">FX$1*FE605</f>
        <v>0</v>
      </c>
      <c r="FY605" s="39">
        <f t="shared" si="10033"/>
        <v>0</v>
      </c>
      <c r="FZ605" s="39">
        <f t="shared" si="10033"/>
        <v>0</v>
      </c>
      <c r="GA605" s="39">
        <f t="shared" si="10033"/>
        <v>0</v>
      </c>
      <c r="GB605" s="39">
        <f t="shared" si="10033"/>
        <v>0</v>
      </c>
      <c r="GC605" s="39">
        <f t="shared" si="10033"/>
        <v>0</v>
      </c>
      <c r="GD605" s="39">
        <f t="shared" ref="GD605:GH605" si="10034">GD$1*FK605/1000000</f>
        <v>0</v>
      </c>
      <c r="GE605" s="39">
        <f t="shared" si="10034"/>
        <v>0</v>
      </c>
      <c r="GF605" s="39">
        <f t="shared" si="10034"/>
        <v>0</v>
      </c>
      <c r="GG605" s="39">
        <f t="shared" si="10034"/>
        <v>0</v>
      </c>
      <c r="GH605" s="39">
        <f t="shared" si="10034"/>
        <v>0</v>
      </c>
      <c r="GI605" s="39">
        <f t="shared" ref="GI605:GJ605" si="10035">GI$1*FP605</f>
        <v>0</v>
      </c>
      <c r="GJ605" s="39">
        <f t="shared" si="10035"/>
        <v>0</v>
      </c>
      <c r="GK605" s="2"/>
      <c r="GL605" s="39">
        <f t="shared" si="8579"/>
        <v>0</v>
      </c>
      <c r="GM605" s="39">
        <f t="shared" si="8580"/>
        <v>0</v>
      </c>
      <c r="GN605" s="2" t="s">
        <v>3</v>
      </c>
      <c r="GO605" s="2">
        <f t="shared" si="8581"/>
        <v>9.15</v>
      </c>
      <c r="GP605" s="2">
        <f t="shared" si="8582"/>
        <v>0.36</v>
      </c>
      <c r="GQ605" s="15">
        <f t="shared" si="8583"/>
        <v>32.94</v>
      </c>
      <c r="GR605" s="15">
        <f t="shared" si="8584"/>
        <v>552.16047221999997</v>
      </c>
      <c r="GS605" s="15">
        <f t="shared" si="8585"/>
        <v>60.345406799999992</v>
      </c>
      <c r="GT605" s="2">
        <f t="shared" si="8586"/>
        <v>0</v>
      </c>
      <c r="GU605" s="2">
        <f t="shared" si="8587"/>
        <v>0</v>
      </c>
      <c r="GV605" s="2">
        <f t="shared" si="8588"/>
        <v>32.94</v>
      </c>
      <c r="GW605" s="2">
        <f t="shared" si="8589"/>
        <v>0</v>
      </c>
      <c r="GX605" s="2"/>
      <c r="GY605" s="2"/>
      <c r="GZ605" s="2"/>
      <c r="HA605" s="2"/>
      <c r="HB605" s="2">
        <f t="shared" si="8590"/>
        <v>0</v>
      </c>
      <c r="HC605" s="2">
        <f t="shared" si="8591"/>
        <v>0</v>
      </c>
      <c r="HD605" s="2" t="s">
        <v>3</v>
      </c>
      <c r="HE605" s="2" t="s">
        <v>89</v>
      </c>
      <c r="HF605" s="2" t="s">
        <v>123</v>
      </c>
      <c r="HG605" s="2"/>
      <c r="HH605" s="2"/>
      <c r="HI605" s="2" t="s">
        <v>100</v>
      </c>
      <c r="HJ605" s="2" t="s">
        <v>3</v>
      </c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 t="s">
        <v>3</v>
      </c>
    </row>
    <row r="606" spans="1:268" ht="15.75" customHeight="1" x14ac:dyDescent="0.2">
      <c r="A606" s="16" t="s">
        <v>131</v>
      </c>
      <c r="B606" s="2" t="s">
        <v>99</v>
      </c>
      <c r="C606" s="2"/>
      <c r="D606" s="2"/>
      <c r="E606" s="2"/>
      <c r="F606" s="2" t="s">
        <v>79</v>
      </c>
      <c r="G606" s="2"/>
      <c r="H606" s="2"/>
      <c r="I606" s="2">
        <v>0</v>
      </c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>
        <v>0</v>
      </c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>
        <v>1.75</v>
      </c>
      <c r="AZ606" s="2">
        <v>0.33500000000000002</v>
      </c>
      <c r="BA606" s="2"/>
      <c r="BB606" s="2"/>
      <c r="BC606" s="2"/>
      <c r="BD606" s="2"/>
      <c r="BE606" s="2"/>
      <c r="BF606" s="2"/>
      <c r="BG606" s="2">
        <v>0.47</v>
      </c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>
        <v>0</v>
      </c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>
        <v>0</v>
      </c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 t="s">
        <v>100</v>
      </c>
      <c r="DK606" s="2"/>
      <c r="DL606" s="2">
        <f t="shared" si="8551"/>
        <v>0.47000000000000003</v>
      </c>
      <c r="DM606" s="2">
        <f t="shared" si="8552"/>
        <v>0</v>
      </c>
      <c r="DN606" s="2" t="s">
        <v>132</v>
      </c>
      <c r="DO606" s="2" t="s">
        <v>3</v>
      </c>
      <c r="DP606" s="2">
        <f t="shared" si="8553"/>
        <v>5.8625000000000005E-3</v>
      </c>
      <c r="DQ606" s="2">
        <f t="shared" ref="DQ606:DR606" si="10036">K606*$I606+AF606*$AD606+BA606*$AY606</f>
        <v>0</v>
      </c>
      <c r="DR606" s="2">
        <f t="shared" si="10036"/>
        <v>0</v>
      </c>
      <c r="DS606" s="2">
        <f t="shared" ref="DS606:DX606" si="10037">(M606*$I606+AH606*$AD606+BC606*$AY606)/100</f>
        <v>0</v>
      </c>
      <c r="DT606" s="2">
        <f t="shared" si="10037"/>
        <v>0</v>
      </c>
      <c r="DU606" s="2">
        <f t="shared" si="10037"/>
        <v>0</v>
      </c>
      <c r="DV606" s="2">
        <f t="shared" si="10037"/>
        <v>0</v>
      </c>
      <c r="DW606" s="2">
        <f t="shared" si="10037"/>
        <v>8.2249999999999997E-3</v>
      </c>
      <c r="DX606" s="2">
        <f t="shared" si="10037"/>
        <v>0</v>
      </c>
      <c r="DY606" s="2">
        <f t="shared" ref="DY606:EC606" si="10038">S606*$I606+AN606*$AD606+BI606*$AY606</f>
        <v>0</v>
      </c>
      <c r="DZ606" s="2">
        <f t="shared" si="10038"/>
        <v>0</v>
      </c>
      <c r="EA606" s="2">
        <f t="shared" si="10038"/>
        <v>0</v>
      </c>
      <c r="EB606" s="2">
        <f t="shared" si="10038"/>
        <v>0</v>
      </c>
      <c r="EC606" s="2">
        <f t="shared" si="10038"/>
        <v>0</v>
      </c>
      <c r="ED606" s="2">
        <f t="shared" ref="ED606:EE606" si="10039">(X606*$I606+AS606*$AD606+BN606*$AY606)/100</f>
        <v>0</v>
      </c>
      <c r="EE606" s="2">
        <f t="shared" si="10039"/>
        <v>0</v>
      </c>
      <c r="EF606" s="2"/>
      <c r="EG606" s="2">
        <f t="shared" si="8558"/>
        <v>0</v>
      </c>
      <c r="EH606" s="2">
        <f t="shared" si="8559"/>
        <v>0</v>
      </c>
      <c r="EI606" s="39">
        <f t="shared" si="8560"/>
        <v>38.2564238</v>
      </c>
      <c r="EJ606" s="39">
        <f t="shared" ref="EJ606:EK606" si="10040">EJ$1*DQ606/1000000</f>
        <v>0</v>
      </c>
      <c r="EK606" s="39">
        <f t="shared" si="10040"/>
        <v>0</v>
      </c>
      <c r="EL606" s="39">
        <f t="shared" ref="EL606:EQ606" si="10041">EL$1*DS606</f>
        <v>0</v>
      </c>
      <c r="EM606" s="39">
        <f t="shared" si="10041"/>
        <v>0</v>
      </c>
      <c r="EN606" s="39">
        <f t="shared" si="10041"/>
        <v>0</v>
      </c>
      <c r="EO606" s="39">
        <f t="shared" si="10041"/>
        <v>0</v>
      </c>
      <c r="EP606" s="39">
        <f t="shared" si="10041"/>
        <v>107.86265</v>
      </c>
      <c r="EQ606" s="39">
        <f t="shared" si="10041"/>
        <v>0</v>
      </c>
      <c r="ER606" s="39">
        <f t="shared" ref="ER606:EV606" si="10042">ER$1*DY606/1000000</f>
        <v>0</v>
      </c>
      <c r="ES606" s="39">
        <f t="shared" si="10042"/>
        <v>0</v>
      </c>
      <c r="ET606" s="39">
        <f t="shared" si="10042"/>
        <v>0</v>
      </c>
      <c r="EU606" s="39">
        <f t="shared" si="10042"/>
        <v>0</v>
      </c>
      <c r="EV606" s="39">
        <f t="shared" si="10042"/>
        <v>0</v>
      </c>
      <c r="EW606" s="39">
        <f t="shared" ref="EW606:EX606" si="10043">EW$1*ED606</f>
        <v>0</v>
      </c>
      <c r="EX606" s="39">
        <f t="shared" si="10043"/>
        <v>0</v>
      </c>
      <c r="EY606" s="2"/>
      <c r="EZ606" s="39">
        <f t="shared" si="8565"/>
        <v>0</v>
      </c>
      <c r="FA606" s="39">
        <f t="shared" si="8566"/>
        <v>0</v>
      </c>
      <c r="FB606" s="2">
        <f t="shared" si="8567"/>
        <v>0</v>
      </c>
      <c r="FC606" s="2">
        <f t="shared" ref="FC606:FD606" si="10044">BV606*$BT606+CQ606*$CO606</f>
        <v>0</v>
      </c>
      <c r="FD606" s="2">
        <f t="shared" si="10044"/>
        <v>0</v>
      </c>
      <c r="FE606" s="2">
        <f t="shared" ref="FE606:FJ606" si="10045">(BX606*$BT606+CS606*$CO606)/100</f>
        <v>0</v>
      </c>
      <c r="FF606" s="2">
        <f t="shared" si="10045"/>
        <v>0</v>
      </c>
      <c r="FG606" s="2">
        <f t="shared" si="10045"/>
        <v>0</v>
      </c>
      <c r="FH606" s="2">
        <f t="shared" si="10045"/>
        <v>0</v>
      </c>
      <c r="FI606" s="2">
        <f t="shared" si="10045"/>
        <v>0</v>
      </c>
      <c r="FJ606" s="2">
        <f t="shared" si="10045"/>
        <v>0</v>
      </c>
      <c r="FK606" s="2">
        <f t="shared" ref="FK606:FO606" si="10046">CD606*$BT606+CY606*$CO606</f>
        <v>0</v>
      </c>
      <c r="FL606" s="2">
        <f t="shared" si="10046"/>
        <v>0</v>
      </c>
      <c r="FM606" s="2">
        <f t="shared" si="10046"/>
        <v>0</v>
      </c>
      <c r="FN606" s="2">
        <f t="shared" si="10046"/>
        <v>0</v>
      </c>
      <c r="FO606" s="2">
        <f t="shared" si="10046"/>
        <v>0</v>
      </c>
      <c r="FP606" s="2">
        <f t="shared" ref="FP606:FQ606" si="10047">(CI606*$BT606+DD606*$CO606)/100</f>
        <v>0</v>
      </c>
      <c r="FQ606" s="2">
        <f t="shared" si="10047"/>
        <v>0</v>
      </c>
      <c r="FR606" s="2"/>
      <c r="FS606" s="2">
        <f t="shared" si="8572"/>
        <v>0</v>
      </c>
      <c r="FT606" s="2">
        <f t="shared" si="8573"/>
        <v>0</v>
      </c>
      <c r="FU606" s="39">
        <f t="shared" si="8574"/>
        <v>0</v>
      </c>
      <c r="FV606" s="39">
        <f t="shared" ref="FV606:FW606" si="10048">FV$1*FC606/1000000</f>
        <v>0</v>
      </c>
      <c r="FW606" s="39">
        <f t="shared" si="10048"/>
        <v>0</v>
      </c>
      <c r="FX606" s="39">
        <f t="shared" ref="FX606:GC606" si="10049">FX$1*FE606</f>
        <v>0</v>
      </c>
      <c r="FY606" s="39">
        <f t="shared" si="10049"/>
        <v>0</v>
      </c>
      <c r="FZ606" s="39">
        <f t="shared" si="10049"/>
        <v>0</v>
      </c>
      <c r="GA606" s="39">
        <f t="shared" si="10049"/>
        <v>0</v>
      </c>
      <c r="GB606" s="39">
        <f t="shared" si="10049"/>
        <v>0</v>
      </c>
      <c r="GC606" s="39">
        <f t="shared" si="10049"/>
        <v>0</v>
      </c>
      <c r="GD606" s="39">
        <f t="shared" ref="GD606:GH606" si="10050">GD$1*FK606/1000000</f>
        <v>0</v>
      </c>
      <c r="GE606" s="39">
        <f t="shared" si="10050"/>
        <v>0</v>
      </c>
      <c r="GF606" s="39">
        <f t="shared" si="10050"/>
        <v>0</v>
      </c>
      <c r="GG606" s="39">
        <f t="shared" si="10050"/>
        <v>0</v>
      </c>
      <c r="GH606" s="39">
        <f t="shared" si="10050"/>
        <v>0</v>
      </c>
      <c r="GI606" s="39">
        <f t="shared" ref="GI606:GJ606" si="10051">GI$1*FP606</f>
        <v>0</v>
      </c>
      <c r="GJ606" s="39">
        <f t="shared" si="10051"/>
        <v>0</v>
      </c>
      <c r="GK606" s="2"/>
      <c r="GL606" s="39">
        <f t="shared" si="8579"/>
        <v>0</v>
      </c>
      <c r="GM606" s="39">
        <f t="shared" si="8580"/>
        <v>0</v>
      </c>
      <c r="GN606" s="2" t="s">
        <v>3</v>
      </c>
      <c r="GO606" s="2">
        <f t="shared" si="8581"/>
        <v>1.75</v>
      </c>
      <c r="GP606" s="2">
        <f t="shared" si="8582"/>
        <v>0.47000000000000003</v>
      </c>
      <c r="GQ606" s="15">
        <f t="shared" si="8583"/>
        <v>8.2249999999999996</v>
      </c>
      <c r="GR606" s="15">
        <f t="shared" si="8584"/>
        <v>146.1190738</v>
      </c>
      <c r="GS606" s="15">
        <f t="shared" si="8585"/>
        <v>83.496613600000003</v>
      </c>
      <c r="GT606" s="2">
        <f t="shared" si="8586"/>
        <v>0</v>
      </c>
      <c r="GU606" s="2">
        <f t="shared" si="8587"/>
        <v>0</v>
      </c>
      <c r="GV606" s="2">
        <f t="shared" si="8588"/>
        <v>8.2249999999999996</v>
      </c>
      <c r="GW606" s="2">
        <f t="shared" si="8589"/>
        <v>0</v>
      </c>
      <c r="GX606" s="2"/>
      <c r="GY606" s="2"/>
      <c r="GZ606" s="2"/>
      <c r="HA606" s="2"/>
      <c r="HB606" s="2">
        <f t="shared" si="8590"/>
        <v>0</v>
      </c>
      <c r="HC606" s="2">
        <f t="shared" si="8591"/>
        <v>0</v>
      </c>
      <c r="HD606" s="2" t="s">
        <v>3</v>
      </c>
      <c r="HE606" s="2" t="s">
        <v>89</v>
      </c>
      <c r="HF606" s="2" t="s">
        <v>123</v>
      </c>
      <c r="HG606" s="2"/>
      <c r="HH606" s="2"/>
      <c r="HI606" s="2" t="s">
        <v>100</v>
      </c>
      <c r="HJ606" s="2" t="s">
        <v>3</v>
      </c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 t="s">
        <v>3</v>
      </c>
    </row>
    <row r="607" spans="1:268" ht="15.75" customHeight="1" x14ac:dyDescent="0.2">
      <c r="A607" s="16" t="s">
        <v>726</v>
      </c>
      <c r="B607" s="2" t="s">
        <v>99</v>
      </c>
      <c r="C607" s="2"/>
      <c r="D607" s="2"/>
      <c r="E607" s="2"/>
      <c r="F607" s="2" t="s">
        <v>79</v>
      </c>
      <c r="G607" s="2"/>
      <c r="H607" s="2"/>
      <c r="I607" s="2">
        <v>0</v>
      </c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>
        <v>0</v>
      </c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>
        <v>1.67</v>
      </c>
      <c r="AZ607" s="2">
        <v>0.3</v>
      </c>
      <c r="BA607" s="2"/>
      <c r="BB607" s="2"/>
      <c r="BC607" s="2"/>
      <c r="BD607" s="2"/>
      <c r="BE607" s="2"/>
      <c r="BF607" s="2"/>
      <c r="BG607" s="2">
        <v>0.51500000000000001</v>
      </c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>
        <v>0</v>
      </c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>
        <v>0</v>
      </c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 t="s">
        <v>100</v>
      </c>
      <c r="DK607" s="2"/>
      <c r="DL607" s="2">
        <f t="shared" si="8551"/>
        <v>0.51500000000000001</v>
      </c>
      <c r="DM607" s="2">
        <f t="shared" si="8552"/>
        <v>0</v>
      </c>
      <c r="DN607" s="2" t="s">
        <v>132</v>
      </c>
      <c r="DO607" s="2" t="s">
        <v>3</v>
      </c>
      <c r="DP607" s="2">
        <f t="shared" si="8553"/>
        <v>5.0099999999999997E-3</v>
      </c>
      <c r="DQ607" s="2">
        <f t="shared" ref="DQ607:DR607" si="10052">K607*$I607+AF607*$AD607+BA607*$AY607</f>
        <v>0</v>
      </c>
      <c r="DR607" s="2">
        <f t="shared" si="10052"/>
        <v>0</v>
      </c>
      <c r="DS607" s="2">
        <f t="shared" ref="DS607:DX607" si="10053">(M607*$I607+AH607*$AD607+BC607*$AY607)/100</f>
        <v>0</v>
      </c>
      <c r="DT607" s="2">
        <f t="shared" si="10053"/>
        <v>0</v>
      </c>
      <c r="DU607" s="2">
        <f t="shared" si="10053"/>
        <v>0</v>
      </c>
      <c r="DV607" s="2">
        <f t="shared" si="10053"/>
        <v>0</v>
      </c>
      <c r="DW607" s="2">
        <f t="shared" si="10053"/>
        <v>8.6005000000000005E-3</v>
      </c>
      <c r="DX607" s="2">
        <f t="shared" si="10053"/>
        <v>0</v>
      </c>
      <c r="DY607" s="2">
        <f t="shared" ref="DY607:EC607" si="10054">S607*$I607+AN607*$AD607+BI607*$AY607</f>
        <v>0</v>
      </c>
      <c r="DZ607" s="2">
        <f t="shared" si="10054"/>
        <v>0</v>
      </c>
      <c r="EA607" s="2">
        <f t="shared" si="10054"/>
        <v>0</v>
      </c>
      <c r="EB607" s="2">
        <f t="shared" si="10054"/>
        <v>0</v>
      </c>
      <c r="EC607" s="2">
        <f t="shared" si="10054"/>
        <v>0</v>
      </c>
      <c r="ED607" s="2">
        <f t="shared" ref="ED607:EE607" si="10055">(X607*$I607+AS607*$AD607+BN607*$AY607)/100</f>
        <v>0</v>
      </c>
      <c r="EE607" s="2">
        <f t="shared" si="10055"/>
        <v>0</v>
      </c>
      <c r="EF607" s="2"/>
      <c r="EG607" s="2">
        <f t="shared" si="8558"/>
        <v>0</v>
      </c>
      <c r="EH607" s="2">
        <f t="shared" si="8559"/>
        <v>0</v>
      </c>
      <c r="EI607" s="39">
        <f t="shared" si="8560"/>
        <v>32.693336160000001</v>
      </c>
      <c r="EJ607" s="39">
        <f t="shared" ref="EJ607:EK607" si="10056">EJ$1*DQ607/1000000</f>
        <v>0</v>
      </c>
      <c r="EK607" s="39">
        <f t="shared" si="10056"/>
        <v>0</v>
      </c>
      <c r="EL607" s="39">
        <f t="shared" ref="EL607:EQ607" si="10057">EL$1*DS607</f>
        <v>0</v>
      </c>
      <c r="EM607" s="39">
        <f t="shared" si="10057"/>
        <v>0</v>
      </c>
      <c r="EN607" s="39">
        <f t="shared" si="10057"/>
        <v>0</v>
      </c>
      <c r="EO607" s="39">
        <f t="shared" si="10057"/>
        <v>0</v>
      </c>
      <c r="EP607" s="39">
        <f t="shared" si="10057"/>
        <v>112.786957</v>
      </c>
      <c r="EQ607" s="39">
        <f t="shared" si="10057"/>
        <v>0</v>
      </c>
      <c r="ER607" s="39">
        <f t="shared" ref="ER607:EV607" si="10058">ER$1*DY607/1000000</f>
        <v>0</v>
      </c>
      <c r="ES607" s="39">
        <f t="shared" si="10058"/>
        <v>0</v>
      </c>
      <c r="ET607" s="39">
        <f t="shared" si="10058"/>
        <v>0</v>
      </c>
      <c r="EU607" s="39">
        <f t="shared" si="10058"/>
        <v>0</v>
      </c>
      <c r="EV607" s="39">
        <f t="shared" si="10058"/>
        <v>0</v>
      </c>
      <c r="EW607" s="39">
        <f t="shared" ref="EW607:EX607" si="10059">EW$1*ED607</f>
        <v>0</v>
      </c>
      <c r="EX607" s="39">
        <f t="shared" si="10059"/>
        <v>0</v>
      </c>
      <c r="EY607" s="2"/>
      <c r="EZ607" s="39">
        <f t="shared" si="8565"/>
        <v>0</v>
      </c>
      <c r="FA607" s="39">
        <f t="shared" si="8566"/>
        <v>0</v>
      </c>
      <c r="FB607" s="2">
        <f t="shared" si="8567"/>
        <v>0</v>
      </c>
      <c r="FC607" s="2">
        <f t="shared" ref="FC607:FD607" si="10060">BV607*$BT607+CQ607*$CO607</f>
        <v>0</v>
      </c>
      <c r="FD607" s="2">
        <f t="shared" si="10060"/>
        <v>0</v>
      </c>
      <c r="FE607" s="2">
        <f t="shared" ref="FE607:FJ607" si="10061">(BX607*$BT607+CS607*$CO607)/100</f>
        <v>0</v>
      </c>
      <c r="FF607" s="2">
        <f t="shared" si="10061"/>
        <v>0</v>
      </c>
      <c r="FG607" s="2">
        <f t="shared" si="10061"/>
        <v>0</v>
      </c>
      <c r="FH607" s="2">
        <f t="shared" si="10061"/>
        <v>0</v>
      </c>
      <c r="FI607" s="2">
        <f t="shared" si="10061"/>
        <v>0</v>
      </c>
      <c r="FJ607" s="2">
        <f t="shared" si="10061"/>
        <v>0</v>
      </c>
      <c r="FK607" s="2">
        <f t="shared" ref="FK607:FO607" si="10062">CD607*$BT607+CY607*$CO607</f>
        <v>0</v>
      </c>
      <c r="FL607" s="2">
        <f t="shared" si="10062"/>
        <v>0</v>
      </c>
      <c r="FM607" s="2">
        <f t="shared" si="10062"/>
        <v>0</v>
      </c>
      <c r="FN607" s="2">
        <f t="shared" si="10062"/>
        <v>0</v>
      </c>
      <c r="FO607" s="2">
        <f t="shared" si="10062"/>
        <v>0</v>
      </c>
      <c r="FP607" s="2">
        <f t="shared" ref="FP607:FQ607" si="10063">(CI607*$BT607+DD607*$CO607)/100</f>
        <v>0</v>
      </c>
      <c r="FQ607" s="2">
        <f t="shared" si="10063"/>
        <v>0</v>
      </c>
      <c r="FR607" s="2"/>
      <c r="FS607" s="2">
        <f t="shared" si="8572"/>
        <v>0</v>
      </c>
      <c r="FT607" s="2">
        <f t="shared" si="8573"/>
        <v>0</v>
      </c>
      <c r="FU607" s="39">
        <f t="shared" si="8574"/>
        <v>0</v>
      </c>
      <c r="FV607" s="39">
        <f t="shared" ref="FV607:FW607" si="10064">FV$1*FC607/1000000</f>
        <v>0</v>
      </c>
      <c r="FW607" s="39">
        <f t="shared" si="10064"/>
        <v>0</v>
      </c>
      <c r="FX607" s="39">
        <f t="shared" ref="FX607:GC607" si="10065">FX$1*FE607</f>
        <v>0</v>
      </c>
      <c r="FY607" s="39">
        <f t="shared" si="10065"/>
        <v>0</v>
      </c>
      <c r="FZ607" s="39">
        <f t="shared" si="10065"/>
        <v>0</v>
      </c>
      <c r="GA607" s="39">
        <f t="shared" si="10065"/>
        <v>0</v>
      </c>
      <c r="GB607" s="39">
        <f t="shared" si="10065"/>
        <v>0</v>
      </c>
      <c r="GC607" s="39">
        <f t="shared" si="10065"/>
        <v>0</v>
      </c>
      <c r="GD607" s="39">
        <f t="shared" ref="GD607:GH607" si="10066">GD$1*FK607/1000000</f>
        <v>0</v>
      </c>
      <c r="GE607" s="39">
        <f t="shared" si="10066"/>
        <v>0</v>
      </c>
      <c r="GF607" s="39">
        <f t="shared" si="10066"/>
        <v>0</v>
      </c>
      <c r="GG607" s="39">
        <f t="shared" si="10066"/>
        <v>0</v>
      </c>
      <c r="GH607" s="39">
        <f t="shared" si="10066"/>
        <v>0</v>
      </c>
      <c r="GI607" s="39">
        <f t="shared" ref="GI607:GJ607" si="10067">GI$1*FP607</f>
        <v>0</v>
      </c>
      <c r="GJ607" s="39">
        <f t="shared" si="10067"/>
        <v>0</v>
      </c>
      <c r="GK607" s="2"/>
      <c r="GL607" s="39">
        <f t="shared" si="8579"/>
        <v>0</v>
      </c>
      <c r="GM607" s="39">
        <f t="shared" si="8580"/>
        <v>0</v>
      </c>
      <c r="GN607" s="2" t="s">
        <v>3</v>
      </c>
      <c r="GO607" s="2">
        <f t="shared" si="8581"/>
        <v>1.67</v>
      </c>
      <c r="GP607" s="4">
        <f t="shared" si="8582"/>
        <v>0.51500000000000001</v>
      </c>
      <c r="GQ607" s="15">
        <f t="shared" si="8583"/>
        <v>8.6005000000000003</v>
      </c>
      <c r="GR607" s="15">
        <f t="shared" si="8584"/>
        <v>145.48029316</v>
      </c>
      <c r="GS607" s="15">
        <f t="shared" si="8585"/>
        <v>87.113948000000008</v>
      </c>
      <c r="GT607" s="2">
        <f t="shared" si="8586"/>
        <v>0</v>
      </c>
      <c r="GU607" s="2">
        <f t="shared" si="8587"/>
        <v>0</v>
      </c>
      <c r="GV607" s="2">
        <f t="shared" si="8588"/>
        <v>8.6005000000000003</v>
      </c>
      <c r="GW607" s="2">
        <f t="shared" si="8589"/>
        <v>0</v>
      </c>
      <c r="GX607" s="2"/>
      <c r="GY607" s="2"/>
      <c r="GZ607" s="2"/>
      <c r="HA607" s="2"/>
      <c r="HB607" s="2">
        <f t="shared" si="8590"/>
        <v>0</v>
      </c>
      <c r="HC607" s="2">
        <f t="shared" si="8591"/>
        <v>0</v>
      </c>
      <c r="HD607" s="2" t="s">
        <v>3</v>
      </c>
      <c r="HE607" s="2" t="s">
        <v>89</v>
      </c>
      <c r="HF607" s="2" t="s">
        <v>123</v>
      </c>
      <c r="HG607" s="2"/>
      <c r="HH607" s="2"/>
      <c r="HI607" s="2" t="s">
        <v>100</v>
      </c>
      <c r="HJ607" s="2" t="s">
        <v>3</v>
      </c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 t="s">
        <v>3</v>
      </c>
    </row>
    <row r="608" spans="1:268" ht="15.75" customHeight="1" x14ac:dyDescent="0.2">
      <c r="A608" s="16" t="s">
        <v>759</v>
      </c>
      <c r="B608" s="2" t="s">
        <v>99</v>
      </c>
      <c r="C608" s="2"/>
      <c r="D608" s="2"/>
      <c r="E608" s="2"/>
      <c r="F608" s="2" t="s">
        <v>79</v>
      </c>
      <c r="G608" s="2"/>
      <c r="H608" s="2"/>
      <c r="I608" s="2">
        <v>0</v>
      </c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>
        <v>0</v>
      </c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>
        <v>20.863</v>
      </c>
      <c r="AZ608" s="2">
        <v>0.43</v>
      </c>
      <c r="BA608" s="2"/>
      <c r="BB608" s="2"/>
      <c r="BC608" s="2"/>
      <c r="BD608" s="2"/>
      <c r="BE608" s="2"/>
      <c r="BF608" s="2"/>
      <c r="BG608" s="2">
        <v>0.88</v>
      </c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>
        <v>0</v>
      </c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>
        <v>0</v>
      </c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 t="s">
        <v>100</v>
      </c>
      <c r="DK608" s="2"/>
      <c r="DL608" s="2">
        <f t="shared" si="8551"/>
        <v>0.88</v>
      </c>
      <c r="DM608" s="2">
        <f t="shared" si="8552"/>
        <v>0</v>
      </c>
      <c r="DN608" s="2" t="s">
        <v>132</v>
      </c>
      <c r="DO608" s="2" t="s">
        <v>3</v>
      </c>
      <c r="DP608" s="2">
        <f t="shared" si="8553"/>
        <v>8.9710899999999996E-2</v>
      </c>
      <c r="DQ608" s="2">
        <f t="shared" ref="DQ608:DR608" si="10068">K608*$I608+AF608*$AD608+BA608*$AY608</f>
        <v>0</v>
      </c>
      <c r="DR608" s="2">
        <f t="shared" si="10068"/>
        <v>0</v>
      </c>
      <c r="DS608" s="2">
        <f t="shared" ref="DS608:DX608" si="10069">(M608*$I608+AH608*$AD608+BC608*$AY608)/100</f>
        <v>0</v>
      </c>
      <c r="DT608" s="2">
        <f t="shared" si="10069"/>
        <v>0</v>
      </c>
      <c r="DU608" s="2">
        <f t="shared" si="10069"/>
        <v>0</v>
      </c>
      <c r="DV608" s="2">
        <f t="shared" si="10069"/>
        <v>0</v>
      </c>
      <c r="DW608" s="2">
        <f t="shared" si="10069"/>
        <v>0.18359439999999999</v>
      </c>
      <c r="DX608" s="2">
        <f t="shared" si="10069"/>
        <v>0</v>
      </c>
      <c r="DY608" s="2">
        <f t="shared" ref="DY608:EC608" si="10070">S608*$I608+AN608*$AD608+BI608*$AY608</f>
        <v>0</v>
      </c>
      <c r="DZ608" s="2">
        <f t="shared" si="10070"/>
        <v>0</v>
      </c>
      <c r="EA608" s="2">
        <f t="shared" si="10070"/>
        <v>0</v>
      </c>
      <c r="EB608" s="2">
        <f t="shared" si="10070"/>
        <v>0</v>
      </c>
      <c r="EC608" s="2">
        <f t="shared" si="10070"/>
        <v>0</v>
      </c>
      <c r="ED608" s="2">
        <f t="shared" ref="ED608:EE608" si="10071">(X608*$I608+AS608*$AD608+BN608*$AY608)/100</f>
        <v>0</v>
      </c>
      <c r="EE608" s="2">
        <f t="shared" si="10071"/>
        <v>0</v>
      </c>
      <c r="EF608" s="2"/>
      <c r="EG608" s="2">
        <f t="shared" si="8558"/>
        <v>0</v>
      </c>
      <c r="EH608" s="2">
        <f t="shared" si="8559"/>
        <v>0</v>
      </c>
      <c r="EI608" s="39">
        <f t="shared" si="8560"/>
        <v>585.41888441439994</v>
      </c>
      <c r="EJ608" s="39">
        <f t="shared" ref="EJ608:EK608" si="10072">EJ$1*DQ608/1000000</f>
        <v>0</v>
      </c>
      <c r="EK608" s="39">
        <f t="shared" si="10072"/>
        <v>0</v>
      </c>
      <c r="EL608" s="39">
        <f t="shared" ref="EL608:EQ608" si="10073">EL$1*DS608</f>
        <v>0</v>
      </c>
      <c r="EM608" s="39">
        <f t="shared" si="10073"/>
        <v>0</v>
      </c>
      <c r="EN608" s="39">
        <f t="shared" si="10073"/>
        <v>0</v>
      </c>
      <c r="EO608" s="39">
        <f t="shared" si="10073"/>
        <v>0</v>
      </c>
      <c r="EP608" s="39">
        <f t="shared" si="10073"/>
        <v>2407.6569615999997</v>
      </c>
      <c r="EQ608" s="39">
        <f t="shared" si="10073"/>
        <v>0</v>
      </c>
      <c r="ER608" s="39">
        <f t="shared" ref="ER608:EV608" si="10074">ER$1*DY608/1000000</f>
        <v>0</v>
      </c>
      <c r="ES608" s="39">
        <f t="shared" si="10074"/>
        <v>0</v>
      </c>
      <c r="ET608" s="39">
        <f t="shared" si="10074"/>
        <v>0</v>
      </c>
      <c r="EU608" s="39">
        <f t="shared" si="10074"/>
        <v>0</v>
      </c>
      <c r="EV608" s="39">
        <f t="shared" si="10074"/>
        <v>0</v>
      </c>
      <c r="EW608" s="39">
        <f t="shared" ref="EW608:EX608" si="10075">EW$1*ED608</f>
        <v>0</v>
      </c>
      <c r="EX608" s="39">
        <f t="shared" si="10075"/>
        <v>0</v>
      </c>
      <c r="EY608" s="2"/>
      <c r="EZ608" s="39">
        <f t="shared" si="8565"/>
        <v>0</v>
      </c>
      <c r="FA608" s="39">
        <f t="shared" si="8566"/>
        <v>0</v>
      </c>
      <c r="FB608" s="2">
        <f t="shared" si="8567"/>
        <v>0</v>
      </c>
      <c r="FC608" s="2">
        <f t="shared" ref="FC608:FD608" si="10076">BV608*$BT608+CQ608*$CO608</f>
        <v>0</v>
      </c>
      <c r="FD608" s="2">
        <f t="shared" si="10076"/>
        <v>0</v>
      </c>
      <c r="FE608" s="2">
        <f t="shared" ref="FE608:FJ608" si="10077">(BX608*$BT608+CS608*$CO608)/100</f>
        <v>0</v>
      </c>
      <c r="FF608" s="2">
        <f t="shared" si="10077"/>
        <v>0</v>
      </c>
      <c r="FG608" s="2">
        <f t="shared" si="10077"/>
        <v>0</v>
      </c>
      <c r="FH608" s="2">
        <f t="shared" si="10077"/>
        <v>0</v>
      </c>
      <c r="FI608" s="2">
        <f t="shared" si="10077"/>
        <v>0</v>
      </c>
      <c r="FJ608" s="2">
        <f t="shared" si="10077"/>
        <v>0</v>
      </c>
      <c r="FK608" s="2">
        <f t="shared" ref="FK608:FO608" si="10078">CD608*$BT608+CY608*$CO608</f>
        <v>0</v>
      </c>
      <c r="FL608" s="2">
        <f t="shared" si="10078"/>
        <v>0</v>
      </c>
      <c r="FM608" s="2">
        <f t="shared" si="10078"/>
        <v>0</v>
      </c>
      <c r="FN608" s="2">
        <f t="shared" si="10078"/>
        <v>0</v>
      </c>
      <c r="FO608" s="2">
        <f t="shared" si="10078"/>
        <v>0</v>
      </c>
      <c r="FP608" s="2">
        <f t="shared" ref="FP608:FQ608" si="10079">(CI608*$BT608+DD608*$CO608)/100</f>
        <v>0</v>
      </c>
      <c r="FQ608" s="2">
        <f t="shared" si="10079"/>
        <v>0</v>
      </c>
      <c r="FR608" s="2"/>
      <c r="FS608" s="2">
        <f t="shared" si="8572"/>
        <v>0</v>
      </c>
      <c r="FT608" s="2">
        <f t="shared" si="8573"/>
        <v>0</v>
      </c>
      <c r="FU608" s="39">
        <f t="shared" si="8574"/>
        <v>0</v>
      </c>
      <c r="FV608" s="39">
        <f t="shared" ref="FV608:FW608" si="10080">FV$1*FC608/1000000</f>
        <v>0</v>
      </c>
      <c r="FW608" s="39">
        <f t="shared" si="10080"/>
        <v>0</v>
      </c>
      <c r="FX608" s="39">
        <f t="shared" ref="FX608:GC608" si="10081">FX$1*FE608</f>
        <v>0</v>
      </c>
      <c r="FY608" s="39">
        <f t="shared" si="10081"/>
        <v>0</v>
      </c>
      <c r="FZ608" s="39">
        <f t="shared" si="10081"/>
        <v>0</v>
      </c>
      <c r="GA608" s="39">
        <f t="shared" si="10081"/>
        <v>0</v>
      </c>
      <c r="GB608" s="39">
        <f t="shared" si="10081"/>
        <v>0</v>
      </c>
      <c r="GC608" s="39">
        <f t="shared" si="10081"/>
        <v>0</v>
      </c>
      <c r="GD608" s="39">
        <f t="shared" ref="GD608:GH608" si="10082">GD$1*FK608/1000000</f>
        <v>0</v>
      </c>
      <c r="GE608" s="39">
        <f t="shared" si="10082"/>
        <v>0</v>
      </c>
      <c r="GF608" s="39">
        <f t="shared" si="10082"/>
        <v>0</v>
      </c>
      <c r="GG608" s="39">
        <f t="shared" si="10082"/>
        <v>0</v>
      </c>
      <c r="GH608" s="39">
        <f t="shared" si="10082"/>
        <v>0</v>
      </c>
      <c r="GI608" s="39">
        <f t="shared" ref="GI608:GJ608" si="10083">GI$1*FP608</f>
        <v>0</v>
      </c>
      <c r="GJ608" s="39">
        <f t="shared" si="10083"/>
        <v>0</v>
      </c>
      <c r="GK608" s="2"/>
      <c r="GL608" s="39">
        <f t="shared" si="8579"/>
        <v>0</v>
      </c>
      <c r="GM608" s="39">
        <f t="shared" si="8580"/>
        <v>0</v>
      </c>
      <c r="GN608" s="2" t="s">
        <v>3</v>
      </c>
      <c r="GO608" s="4">
        <f t="shared" si="8581"/>
        <v>20.863</v>
      </c>
      <c r="GP608" s="2">
        <f t="shared" si="8582"/>
        <v>0.88</v>
      </c>
      <c r="GQ608" s="15">
        <f t="shared" si="8583"/>
        <v>183.59439999999998</v>
      </c>
      <c r="GR608" s="15">
        <f t="shared" si="8584"/>
        <v>2993.0758460143998</v>
      </c>
      <c r="GS608" s="15">
        <f t="shared" si="8585"/>
        <v>143.46334880000001</v>
      </c>
      <c r="GT608" s="2">
        <f t="shared" si="8586"/>
        <v>0</v>
      </c>
      <c r="GU608" s="2">
        <f t="shared" si="8587"/>
        <v>0</v>
      </c>
      <c r="GV608" s="2">
        <f t="shared" si="8588"/>
        <v>183.59439999999998</v>
      </c>
      <c r="GW608" s="2">
        <f t="shared" si="8589"/>
        <v>0</v>
      </c>
      <c r="GX608" s="2"/>
      <c r="GY608" s="2"/>
      <c r="GZ608" s="2"/>
      <c r="HA608" s="2"/>
      <c r="HB608" s="2">
        <f t="shared" si="8590"/>
        <v>0</v>
      </c>
      <c r="HC608" s="2">
        <f t="shared" si="8591"/>
        <v>0</v>
      </c>
      <c r="HD608" s="2" t="s">
        <v>3</v>
      </c>
      <c r="HE608" s="2" t="s">
        <v>89</v>
      </c>
      <c r="HF608" s="2" t="s">
        <v>123</v>
      </c>
      <c r="HG608" s="2"/>
      <c r="HH608" s="2"/>
      <c r="HI608" s="2" t="s">
        <v>100</v>
      </c>
      <c r="HJ608" s="2" t="s">
        <v>3</v>
      </c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 t="s">
        <v>3</v>
      </c>
    </row>
    <row r="609" spans="1:268" ht="15.75" customHeight="1" x14ac:dyDescent="0.2">
      <c r="A609" s="16" t="s">
        <v>1079</v>
      </c>
      <c r="B609" s="2" t="s">
        <v>99</v>
      </c>
      <c r="C609" s="2"/>
      <c r="D609" s="2"/>
      <c r="E609" s="2"/>
      <c r="F609" s="2" t="s">
        <v>79</v>
      </c>
      <c r="G609" s="2"/>
      <c r="H609" s="2"/>
      <c r="I609" s="2">
        <v>0</v>
      </c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>
        <v>0</v>
      </c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>
        <v>15.385</v>
      </c>
      <c r="AZ609" s="2">
        <v>0.45</v>
      </c>
      <c r="BA609" s="2"/>
      <c r="BB609" s="2"/>
      <c r="BC609" s="2"/>
      <c r="BD609" s="2"/>
      <c r="BE609" s="2"/>
      <c r="BF609" s="2"/>
      <c r="BG609" s="2">
        <v>0.65</v>
      </c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>
        <v>0</v>
      </c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>
        <v>0</v>
      </c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 t="s">
        <v>100</v>
      </c>
      <c r="DK609" s="2"/>
      <c r="DL609" s="2">
        <f t="shared" si="8551"/>
        <v>0.65</v>
      </c>
      <c r="DM609" s="2">
        <f t="shared" si="8552"/>
        <v>0</v>
      </c>
      <c r="DN609" s="2" t="s">
        <v>132</v>
      </c>
      <c r="DO609" s="2" t="s">
        <v>3</v>
      </c>
      <c r="DP609" s="2">
        <f t="shared" si="8553"/>
        <v>6.9232500000000002E-2</v>
      </c>
      <c r="DQ609" s="2">
        <f t="shared" ref="DQ609:DR609" si="10084">K609*$I609+AF609*$AD609+BA609*$AY609</f>
        <v>0</v>
      </c>
      <c r="DR609" s="2">
        <f t="shared" si="10084"/>
        <v>0</v>
      </c>
      <c r="DS609" s="2">
        <f t="shared" ref="DS609:DX609" si="10085">(M609*$I609+AH609*$AD609+BC609*$AY609)/100</f>
        <v>0</v>
      </c>
      <c r="DT609" s="2">
        <f t="shared" si="10085"/>
        <v>0</v>
      </c>
      <c r="DU609" s="2">
        <f t="shared" si="10085"/>
        <v>0</v>
      </c>
      <c r="DV609" s="2">
        <f t="shared" si="10085"/>
        <v>0</v>
      </c>
      <c r="DW609" s="2">
        <f t="shared" si="10085"/>
        <v>0.10000249999999999</v>
      </c>
      <c r="DX609" s="2">
        <f t="shared" si="10085"/>
        <v>0</v>
      </c>
      <c r="DY609" s="2">
        <f t="shared" ref="DY609:EC609" si="10086">S609*$I609+AN609*$AD609+BI609*$AY609</f>
        <v>0</v>
      </c>
      <c r="DZ609" s="2">
        <f t="shared" si="10086"/>
        <v>0</v>
      </c>
      <c r="EA609" s="2">
        <f t="shared" si="10086"/>
        <v>0</v>
      </c>
      <c r="EB609" s="2">
        <f t="shared" si="10086"/>
        <v>0</v>
      </c>
      <c r="EC609" s="2">
        <f t="shared" si="10086"/>
        <v>0</v>
      </c>
      <c r="ED609" s="2">
        <f t="shared" ref="ED609:EE609" si="10087">(X609*$I609+AS609*$AD609+BN609*$AY609)/100</f>
        <v>0</v>
      </c>
      <c r="EE609" s="2">
        <f t="shared" si="10087"/>
        <v>0</v>
      </c>
      <c r="EF609" s="2"/>
      <c r="EG609" s="2">
        <f t="shared" si="8558"/>
        <v>0</v>
      </c>
      <c r="EH609" s="2">
        <f t="shared" si="8559"/>
        <v>0</v>
      </c>
      <c r="EI609" s="39">
        <f t="shared" si="8560"/>
        <v>451.78470972000002</v>
      </c>
      <c r="EJ609" s="39">
        <f t="shared" ref="EJ609:EK609" si="10088">EJ$1*DQ609/1000000</f>
        <v>0</v>
      </c>
      <c r="EK609" s="39">
        <f t="shared" si="10088"/>
        <v>0</v>
      </c>
      <c r="EL609" s="39">
        <f t="shared" ref="EL609:EQ609" si="10089">EL$1*DS609</f>
        <v>0</v>
      </c>
      <c r="EM609" s="39">
        <f t="shared" si="10089"/>
        <v>0</v>
      </c>
      <c r="EN609" s="39">
        <f t="shared" si="10089"/>
        <v>0</v>
      </c>
      <c r="EO609" s="39">
        <f t="shared" si="10089"/>
        <v>0</v>
      </c>
      <c r="EP609" s="39">
        <f t="shared" si="10089"/>
        <v>1311.432785</v>
      </c>
      <c r="EQ609" s="39">
        <f t="shared" si="10089"/>
        <v>0</v>
      </c>
      <c r="ER609" s="39">
        <f t="shared" ref="ER609:EV609" si="10090">ER$1*DY609/1000000</f>
        <v>0</v>
      </c>
      <c r="ES609" s="39">
        <f t="shared" si="10090"/>
        <v>0</v>
      </c>
      <c r="ET609" s="39">
        <f t="shared" si="10090"/>
        <v>0</v>
      </c>
      <c r="EU609" s="39">
        <f t="shared" si="10090"/>
        <v>0</v>
      </c>
      <c r="EV609" s="39">
        <f t="shared" si="10090"/>
        <v>0</v>
      </c>
      <c r="EW609" s="39">
        <f t="shared" ref="EW609:EX609" si="10091">EW$1*ED609</f>
        <v>0</v>
      </c>
      <c r="EX609" s="39">
        <f t="shared" si="10091"/>
        <v>0</v>
      </c>
      <c r="EY609" s="2"/>
      <c r="EZ609" s="39">
        <f t="shared" si="8565"/>
        <v>0</v>
      </c>
      <c r="FA609" s="39">
        <f t="shared" si="8566"/>
        <v>0</v>
      </c>
      <c r="FB609" s="2">
        <f t="shared" si="8567"/>
        <v>0</v>
      </c>
      <c r="FC609" s="2">
        <f t="shared" ref="FC609:FD609" si="10092">BV609*$BT609+CQ609*$CO609</f>
        <v>0</v>
      </c>
      <c r="FD609" s="2">
        <f t="shared" si="10092"/>
        <v>0</v>
      </c>
      <c r="FE609" s="2">
        <f t="shared" ref="FE609:FJ609" si="10093">(BX609*$BT609+CS609*$CO609)/100</f>
        <v>0</v>
      </c>
      <c r="FF609" s="2">
        <f t="shared" si="10093"/>
        <v>0</v>
      </c>
      <c r="FG609" s="2">
        <f t="shared" si="10093"/>
        <v>0</v>
      </c>
      <c r="FH609" s="2">
        <f t="shared" si="10093"/>
        <v>0</v>
      </c>
      <c r="FI609" s="2">
        <f t="shared" si="10093"/>
        <v>0</v>
      </c>
      <c r="FJ609" s="2">
        <f t="shared" si="10093"/>
        <v>0</v>
      </c>
      <c r="FK609" s="2">
        <f t="shared" ref="FK609:FO609" si="10094">CD609*$BT609+CY609*$CO609</f>
        <v>0</v>
      </c>
      <c r="FL609" s="2">
        <f t="shared" si="10094"/>
        <v>0</v>
      </c>
      <c r="FM609" s="2">
        <f t="shared" si="10094"/>
        <v>0</v>
      </c>
      <c r="FN609" s="2">
        <f t="shared" si="10094"/>
        <v>0</v>
      </c>
      <c r="FO609" s="2">
        <f t="shared" si="10094"/>
        <v>0</v>
      </c>
      <c r="FP609" s="2">
        <f t="shared" ref="FP609:FQ609" si="10095">(CI609*$BT609+DD609*$CO609)/100</f>
        <v>0</v>
      </c>
      <c r="FQ609" s="2">
        <f t="shared" si="10095"/>
        <v>0</v>
      </c>
      <c r="FR609" s="2"/>
      <c r="FS609" s="2">
        <f t="shared" si="8572"/>
        <v>0</v>
      </c>
      <c r="FT609" s="2">
        <f t="shared" si="8573"/>
        <v>0</v>
      </c>
      <c r="FU609" s="39">
        <f t="shared" si="8574"/>
        <v>0</v>
      </c>
      <c r="FV609" s="39">
        <f t="shared" ref="FV609:FW609" si="10096">FV$1*FC609/1000000</f>
        <v>0</v>
      </c>
      <c r="FW609" s="39">
        <f t="shared" si="10096"/>
        <v>0</v>
      </c>
      <c r="FX609" s="39">
        <f t="shared" ref="FX609:GC609" si="10097">FX$1*FE609</f>
        <v>0</v>
      </c>
      <c r="FY609" s="39">
        <f t="shared" si="10097"/>
        <v>0</v>
      </c>
      <c r="FZ609" s="39">
        <f t="shared" si="10097"/>
        <v>0</v>
      </c>
      <c r="GA609" s="39">
        <f t="shared" si="10097"/>
        <v>0</v>
      </c>
      <c r="GB609" s="39">
        <f t="shared" si="10097"/>
        <v>0</v>
      </c>
      <c r="GC609" s="39">
        <f t="shared" si="10097"/>
        <v>0</v>
      </c>
      <c r="GD609" s="39">
        <f t="shared" ref="GD609:GH609" si="10098">GD$1*FK609/1000000</f>
        <v>0</v>
      </c>
      <c r="GE609" s="39">
        <f t="shared" si="10098"/>
        <v>0</v>
      </c>
      <c r="GF609" s="39">
        <f t="shared" si="10098"/>
        <v>0</v>
      </c>
      <c r="GG609" s="39">
        <f t="shared" si="10098"/>
        <v>0</v>
      </c>
      <c r="GH609" s="39">
        <f t="shared" si="10098"/>
        <v>0</v>
      </c>
      <c r="GI609" s="39">
        <f t="shared" ref="GI609:GJ609" si="10099">GI$1*FP609</f>
        <v>0</v>
      </c>
      <c r="GJ609" s="39">
        <f t="shared" si="10099"/>
        <v>0</v>
      </c>
      <c r="GK609" s="2"/>
      <c r="GL609" s="39">
        <f t="shared" si="8579"/>
        <v>0</v>
      </c>
      <c r="GM609" s="39">
        <f t="shared" si="8580"/>
        <v>0</v>
      </c>
      <c r="GN609" s="2" t="s">
        <v>3</v>
      </c>
      <c r="GO609" s="4">
        <f t="shared" si="8581"/>
        <v>15.385</v>
      </c>
      <c r="GP609" s="2">
        <f t="shared" si="8582"/>
        <v>0.65</v>
      </c>
      <c r="GQ609" s="15">
        <f t="shared" si="8583"/>
        <v>100.0025</v>
      </c>
      <c r="GR609" s="15">
        <f t="shared" si="8584"/>
        <v>1763.2174947200001</v>
      </c>
      <c r="GS609" s="15">
        <f t="shared" si="8585"/>
        <v>114.606272</v>
      </c>
      <c r="GT609" s="2">
        <f t="shared" si="8586"/>
        <v>0</v>
      </c>
      <c r="GU609" s="2">
        <f t="shared" si="8587"/>
        <v>0</v>
      </c>
      <c r="GV609" s="2">
        <f t="shared" si="8588"/>
        <v>100.0025</v>
      </c>
      <c r="GW609" s="2">
        <f t="shared" si="8589"/>
        <v>0</v>
      </c>
      <c r="GX609" s="2"/>
      <c r="GY609" s="2"/>
      <c r="GZ609" s="2"/>
      <c r="HA609" s="2"/>
      <c r="HB609" s="2">
        <f t="shared" si="8590"/>
        <v>0</v>
      </c>
      <c r="HC609" s="2">
        <f t="shared" si="8591"/>
        <v>0</v>
      </c>
      <c r="HD609" s="2" t="s">
        <v>3</v>
      </c>
      <c r="HE609" s="2" t="s">
        <v>89</v>
      </c>
      <c r="HF609" s="2" t="s">
        <v>123</v>
      </c>
      <c r="HG609" s="2"/>
      <c r="HH609" s="2"/>
      <c r="HI609" s="2" t="s">
        <v>100</v>
      </c>
      <c r="HJ609" s="2" t="s">
        <v>3</v>
      </c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 t="s">
        <v>3</v>
      </c>
    </row>
    <row r="610" spans="1:268" ht="15.75" customHeight="1" x14ac:dyDescent="0.2">
      <c r="A610" s="16" t="s">
        <v>1199</v>
      </c>
      <c r="B610" s="2" t="s">
        <v>99</v>
      </c>
      <c r="C610" s="2"/>
      <c r="D610" s="2"/>
      <c r="E610" s="2"/>
      <c r="F610" s="2" t="s">
        <v>79</v>
      </c>
      <c r="G610" s="2"/>
      <c r="H610" s="2"/>
      <c r="I610" s="2">
        <v>0</v>
      </c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>
        <v>0</v>
      </c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>
        <v>2.25</v>
      </c>
      <c r="AZ610" s="2">
        <v>0.25</v>
      </c>
      <c r="BA610" s="2"/>
      <c r="BB610" s="2"/>
      <c r="BC610" s="2"/>
      <c r="BD610" s="2"/>
      <c r="BE610" s="2"/>
      <c r="BF610" s="2"/>
      <c r="BG610" s="2">
        <v>0.3</v>
      </c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>
        <v>0</v>
      </c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>
        <v>0</v>
      </c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 t="s">
        <v>100</v>
      </c>
      <c r="DK610" s="2"/>
      <c r="DL610" s="2">
        <f t="shared" si="8551"/>
        <v>0.3</v>
      </c>
      <c r="DM610" s="2">
        <f t="shared" si="8552"/>
        <v>0</v>
      </c>
      <c r="DN610" s="2" t="s">
        <v>132</v>
      </c>
      <c r="DO610" s="2" t="s">
        <v>3</v>
      </c>
      <c r="DP610" s="2">
        <f t="shared" si="8553"/>
        <v>5.6249999999999998E-3</v>
      </c>
      <c r="DQ610" s="2">
        <f t="shared" ref="DQ610:DR610" si="10100">K610*$I610+AF610*$AD610+BA610*$AY610</f>
        <v>0</v>
      </c>
      <c r="DR610" s="2">
        <f t="shared" si="10100"/>
        <v>0</v>
      </c>
      <c r="DS610" s="2">
        <f t="shared" ref="DS610:DX610" si="10101">(M610*$I610+AH610*$AD610+BC610*$AY610)/100</f>
        <v>0</v>
      </c>
      <c r="DT610" s="2">
        <f t="shared" si="10101"/>
        <v>0</v>
      </c>
      <c r="DU610" s="2">
        <f t="shared" si="10101"/>
        <v>0</v>
      </c>
      <c r="DV610" s="2">
        <f t="shared" si="10101"/>
        <v>0</v>
      </c>
      <c r="DW610" s="2">
        <f t="shared" si="10101"/>
        <v>6.7499999999999991E-3</v>
      </c>
      <c r="DX610" s="2">
        <f t="shared" si="10101"/>
        <v>0</v>
      </c>
      <c r="DY610" s="2">
        <f t="shared" ref="DY610:EC610" si="10102">S610*$I610+AN610*$AD610+BI610*$AY610</f>
        <v>0</v>
      </c>
      <c r="DZ610" s="2">
        <f t="shared" si="10102"/>
        <v>0</v>
      </c>
      <c r="EA610" s="2">
        <f t="shared" si="10102"/>
        <v>0</v>
      </c>
      <c r="EB610" s="2">
        <f t="shared" si="10102"/>
        <v>0</v>
      </c>
      <c r="EC610" s="2">
        <f t="shared" si="10102"/>
        <v>0</v>
      </c>
      <c r="ED610" s="2">
        <f t="shared" ref="ED610:EE610" si="10103">(X610*$I610+AS610*$AD610+BN610*$AY610)/100</f>
        <v>0</v>
      </c>
      <c r="EE610" s="2">
        <f t="shared" si="10103"/>
        <v>0</v>
      </c>
      <c r="EF610" s="2"/>
      <c r="EG610" s="2">
        <f t="shared" si="8558"/>
        <v>0</v>
      </c>
      <c r="EH610" s="2">
        <f t="shared" si="8559"/>
        <v>0</v>
      </c>
      <c r="EI610" s="39">
        <f t="shared" si="8560"/>
        <v>36.706589999999998</v>
      </c>
      <c r="EJ610" s="39">
        <f t="shared" ref="EJ610:EK610" si="10104">EJ$1*DQ610/1000000</f>
        <v>0</v>
      </c>
      <c r="EK610" s="39">
        <f t="shared" si="10104"/>
        <v>0</v>
      </c>
      <c r="EL610" s="39">
        <f t="shared" ref="EL610:EQ610" si="10105">EL$1*DS610</f>
        <v>0</v>
      </c>
      <c r="EM610" s="39">
        <f t="shared" si="10105"/>
        <v>0</v>
      </c>
      <c r="EN610" s="39">
        <f t="shared" si="10105"/>
        <v>0</v>
      </c>
      <c r="EO610" s="39">
        <f t="shared" si="10105"/>
        <v>0</v>
      </c>
      <c r="EP610" s="39">
        <f t="shared" si="10105"/>
        <v>88.519499999999994</v>
      </c>
      <c r="EQ610" s="39">
        <f t="shared" si="10105"/>
        <v>0</v>
      </c>
      <c r="ER610" s="39">
        <f t="shared" ref="ER610:EV610" si="10106">ER$1*DY610/1000000</f>
        <v>0</v>
      </c>
      <c r="ES610" s="39">
        <f t="shared" si="10106"/>
        <v>0</v>
      </c>
      <c r="ET610" s="39">
        <f t="shared" si="10106"/>
        <v>0</v>
      </c>
      <c r="EU610" s="39">
        <f t="shared" si="10106"/>
        <v>0</v>
      </c>
      <c r="EV610" s="39">
        <f t="shared" si="10106"/>
        <v>0</v>
      </c>
      <c r="EW610" s="39">
        <f t="shared" ref="EW610:EX610" si="10107">EW$1*ED610</f>
        <v>0</v>
      </c>
      <c r="EX610" s="39">
        <f t="shared" si="10107"/>
        <v>0</v>
      </c>
      <c r="EY610" s="2"/>
      <c r="EZ610" s="39">
        <f t="shared" si="8565"/>
        <v>0</v>
      </c>
      <c r="FA610" s="39">
        <f t="shared" si="8566"/>
        <v>0</v>
      </c>
      <c r="FB610" s="2">
        <f t="shared" si="8567"/>
        <v>0</v>
      </c>
      <c r="FC610" s="2">
        <f t="shared" ref="FC610:FD610" si="10108">BV610*$BT610+CQ610*$CO610</f>
        <v>0</v>
      </c>
      <c r="FD610" s="2">
        <f t="shared" si="10108"/>
        <v>0</v>
      </c>
      <c r="FE610" s="2">
        <f t="shared" ref="FE610:FJ610" si="10109">(BX610*$BT610+CS610*$CO610)/100</f>
        <v>0</v>
      </c>
      <c r="FF610" s="2">
        <f t="shared" si="10109"/>
        <v>0</v>
      </c>
      <c r="FG610" s="2">
        <f t="shared" si="10109"/>
        <v>0</v>
      </c>
      <c r="FH610" s="2">
        <f t="shared" si="10109"/>
        <v>0</v>
      </c>
      <c r="FI610" s="2">
        <f t="shared" si="10109"/>
        <v>0</v>
      </c>
      <c r="FJ610" s="2">
        <f t="shared" si="10109"/>
        <v>0</v>
      </c>
      <c r="FK610" s="2">
        <f t="shared" ref="FK610:FO610" si="10110">CD610*$BT610+CY610*$CO610</f>
        <v>0</v>
      </c>
      <c r="FL610" s="2">
        <f t="shared" si="10110"/>
        <v>0</v>
      </c>
      <c r="FM610" s="2">
        <f t="shared" si="10110"/>
        <v>0</v>
      </c>
      <c r="FN610" s="2">
        <f t="shared" si="10110"/>
        <v>0</v>
      </c>
      <c r="FO610" s="2">
        <f t="shared" si="10110"/>
        <v>0</v>
      </c>
      <c r="FP610" s="2">
        <f t="shared" ref="FP610:FQ610" si="10111">(CI610*$BT610+DD610*$CO610)/100</f>
        <v>0</v>
      </c>
      <c r="FQ610" s="2">
        <f t="shared" si="10111"/>
        <v>0</v>
      </c>
      <c r="FR610" s="2"/>
      <c r="FS610" s="2">
        <f t="shared" si="8572"/>
        <v>0</v>
      </c>
      <c r="FT610" s="2">
        <f t="shared" si="8573"/>
        <v>0</v>
      </c>
      <c r="FU610" s="39">
        <f t="shared" si="8574"/>
        <v>0</v>
      </c>
      <c r="FV610" s="39">
        <f t="shared" ref="FV610:FW610" si="10112">FV$1*FC610/1000000</f>
        <v>0</v>
      </c>
      <c r="FW610" s="39">
        <f t="shared" si="10112"/>
        <v>0</v>
      </c>
      <c r="FX610" s="39">
        <f t="shared" ref="FX610:GC610" si="10113">FX$1*FE610</f>
        <v>0</v>
      </c>
      <c r="FY610" s="39">
        <f t="shared" si="10113"/>
        <v>0</v>
      </c>
      <c r="FZ610" s="39">
        <f t="shared" si="10113"/>
        <v>0</v>
      </c>
      <c r="GA610" s="39">
        <f t="shared" si="10113"/>
        <v>0</v>
      </c>
      <c r="GB610" s="39">
        <f t="shared" si="10113"/>
        <v>0</v>
      </c>
      <c r="GC610" s="39">
        <f t="shared" si="10113"/>
        <v>0</v>
      </c>
      <c r="GD610" s="39">
        <f t="shared" ref="GD610:GH610" si="10114">GD$1*FK610/1000000</f>
        <v>0</v>
      </c>
      <c r="GE610" s="39">
        <f t="shared" si="10114"/>
        <v>0</v>
      </c>
      <c r="GF610" s="39">
        <f t="shared" si="10114"/>
        <v>0</v>
      </c>
      <c r="GG610" s="39">
        <f t="shared" si="10114"/>
        <v>0</v>
      </c>
      <c r="GH610" s="39">
        <f t="shared" si="10114"/>
        <v>0</v>
      </c>
      <c r="GI610" s="39">
        <f t="shared" ref="GI610:GJ610" si="10115">GI$1*FP610</f>
        <v>0</v>
      </c>
      <c r="GJ610" s="39">
        <f t="shared" si="10115"/>
        <v>0</v>
      </c>
      <c r="GK610" s="2"/>
      <c r="GL610" s="39">
        <f t="shared" si="8579"/>
        <v>0</v>
      </c>
      <c r="GM610" s="39">
        <f t="shared" si="8580"/>
        <v>0</v>
      </c>
      <c r="GN610" s="2" t="s">
        <v>3</v>
      </c>
      <c r="GO610" s="2">
        <f t="shared" si="8581"/>
        <v>2.25</v>
      </c>
      <c r="GP610" s="2">
        <f t="shared" si="8582"/>
        <v>0.3</v>
      </c>
      <c r="GQ610" s="15">
        <f t="shared" si="8583"/>
        <v>6.75</v>
      </c>
      <c r="GR610" s="15">
        <f t="shared" si="8584"/>
        <v>125.22609</v>
      </c>
      <c r="GS610" s="15">
        <f t="shared" si="8585"/>
        <v>55.656039999999997</v>
      </c>
      <c r="GT610" s="2">
        <f t="shared" si="8586"/>
        <v>0</v>
      </c>
      <c r="GU610" s="2">
        <f t="shared" si="8587"/>
        <v>0</v>
      </c>
      <c r="GV610" s="2">
        <f t="shared" si="8588"/>
        <v>6.7499999999999991</v>
      </c>
      <c r="GW610" s="2">
        <f t="shared" si="8589"/>
        <v>0</v>
      </c>
      <c r="GX610" s="2"/>
      <c r="GY610" s="2"/>
      <c r="GZ610" s="2"/>
      <c r="HA610" s="2"/>
      <c r="HB610" s="2">
        <f t="shared" si="8590"/>
        <v>0</v>
      </c>
      <c r="HC610" s="2">
        <f t="shared" si="8591"/>
        <v>0</v>
      </c>
      <c r="HD610" s="2" t="s">
        <v>3</v>
      </c>
      <c r="HE610" s="2" t="s">
        <v>89</v>
      </c>
      <c r="HF610" s="2" t="s">
        <v>123</v>
      </c>
      <c r="HG610" s="2"/>
      <c r="HH610" s="2"/>
      <c r="HI610" s="2" t="s">
        <v>100</v>
      </c>
      <c r="HJ610" s="2" t="s">
        <v>3</v>
      </c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 t="s">
        <v>3</v>
      </c>
    </row>
    <row r="611" spans="1:268" ht="15.75" customHeight="1" x14ac:dyDescent="0.2">
      <c r="A611" s="16" t="s">
        <v>1278</v>
      </c>
      <c r="B611" s="2" t="s">
        <v>99</v>
      </c>
      <c r="C611" s="2"/>
      <c r="D611" s="2"/>
      <c r="E611" s="2"/>
      <c r="F611" s="2" t="s">
        <v>79</v>
      </c>
      <c r="G611" s="2"/>
      <c r="H611" s="2"/>
      <c r="I611" s="2">
        <v>0</v>
      </c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>
        <v>0</v>
      </c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>
        <v>1.754</v>
      </c>
      <c r="AZ611" s="2"/>
      <c r="BA611" s="2"/>
      <c r="BB611" s="2"/>
      <c r="BC611" s="2"/>
      <c r="BD611" s="2"/>
      <c r="BE611" s="2"/>
      <c r="BF611" s="2"/>
      <c r="BG611" s="2">
        <v>0.56999999999999995</v>
      </c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>
        <v>0</v>
      </c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>
        <v>0</v>
      </c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 t="s">
        <v>100</v>
      </c>
      <c r="DK611" s="2"/>
      <c r="DL611" s="2">
        <f t="shared" si="8551"/>
        <v>0.56999999999999995</v>
      </c>
      <c r="DM611" s="2">
        <f t="shared" si="8552"/>
        <v>0</v>
      </c>
      <c r="DN611" s="2" t="s">
        <v>132</v>
      </c>
      <c r="DO611" s="2" t="s">
        <v>3</v>
      </c>
      <c r="DP611" s="2">
        <f t="shared" si="8553"/>
        <v>0</v>
      </c>
      <c r="DQ611" s="2">
        <f t="shared" ref="DQ611:DR611" si="10116">K611*$I611+AF611*$AD611+BA611*$AY611</f>
        <v>0</v>
      </c>
      <c r="DR611" s="2">
        <f t="shared" si="10116"/>
        <v>0</v>
      </c>
      <c r="DS611" s="2">
        <f t="shared" ref="DS611:DX611" si="10117">(M611*$I611+AH611*$AD611+BC611*$AY611)/100</f>
        <v>0</v>
      </c>
      <c r="DT611" s="2">
        <f t="shared" si="10117"/>
        <v>0</v>
      </c>
      <c r="DU611" s="2">
        <f t="shared" si="10117"/>
        <v>0</v>
      </c>
      <c r="DV611" s="2">
        <f t="shared" si="10117"/>
        <v>0</v>
      </c>
      <c r="DW611" s="2">
        <f t="shared" si="10117"/>
        <v>9.9977999999999994E-3</v>
      </c>
      <c r="DX611" s="2">
        <f t="shared" si="10117"/>
        <v>0</v>
      </c>
      <c r="DY611" s="2">
        <f t="shared" ref="DY611:EC611" si="10118">S611*$I611+AN611*$AD611+BI611*$AY611</f>
        <v>0</v>
      </c>
      <c r="DZ611" s="2">
        <f t="shared" si="10118"/>
        <v>0</v>
      </c>
      <c r="EA611" s="2">
        <f t="shared" si="10118"/>
        <v>0</v>
      </c>
      <c r="EB611" s="2">
        <f t="shared" si="10118"/>
        <v>0</v>
      </c>
      <c r="EC611" s="2">
        <f t="shared" si="10118"/>
        <v>0</v>
      </c>
      <c r="ED611" s="2">
        <f t="shared" ref="ED611:EE611" si="10119">(X611*$I611+AS611*$AD611+BN611*$AY611)/100</f>
        <v>0</v>
      </c>
      <c r="EE611" s="2">
        <f t="shared" si="10119"/>
        <v>0</v>
      </c>
      <c r="EF611" s="2"/>
      <c r="EG611" s="2">
        <f t="shared" si="8558"/>
        <v>0</v>
      </c>
      <c r="EH611" s="2">
        <f t="shared" si="8559"/>
        <v>0</v>
      </c>
      <c r="EI611" s="39">
        <f t="shared" si="8560"/>
        <v>0</v>
      </c>
      <c r="EJ611" s="39">
        <f t="shared" ref="EJ611:EK611" si="10120">EJ$1*DQ611/1000000</f>
        <v>0</v>
      </c>
      <c r="EK611" s="39">
        <f t="shared" si="10120"/>
        <v>0</v>
      </c>
      <c r="EL611" s="39">
        <f t="shared" ref="EL611:EQ611" si="10121">EL$1*DS611</f>
        <v>0</v>
      </c>
      <c r="EM611" s="39">
        <f t="shared" si="10121"/>
        <v>0</v>
      </c>
      <c r="EN611" s="39">
        <f t="shared" si="10121"/>
        <v>0</v>
      </c>
      <c r="EO611" s="39">
        <f t="shared" si="10121"/>
        <v>0</v>
      </c>
      <c r="EP611" s="39">
        <f t="shared" si="10121"/>
        <v>131.1111492</v>
      </c>
      <c r="EQ611" s="39">
        <f t="shared" si="10121"/>
        <v>0</v>
      </c>
      <c r="ER611" s="39">
        <f t="shared" ref="ER611:EV611" si="10122">ER$1*DY611/1000000</f>
        <v>0</v>
      </c>
      <c r="ES611" s="39">
        <f t="shared" si="10122"/>
        <v>0</v>
      </c>
      <c r="ET611" s="39">
        <f t="shared" si="10122"/>
        <v>0</v>
      </c>
      <c r="EU611" s="39">
        <f t="shared" si="10122"/>
        <v>0</v>
      </c>
      <c r="EV611" s="39">
        <f t="shared" si="10122"/>
        <v>0</v>
      </c>
      <c r="EW611" s="39">
        <f t="shared" ref="EW611:EX611" si="10123">EW$1*ED611</f>
        <v>0</v>
      </c>
      <c r="EX611" s="39">
        <f t="shared" si="10123"/>
        <v>0</v>
      </c>
      <c r="EY611" s="2"/>
      <c r="EZ611" s="39">
        <f t="shared" si="8565"/>
        <v>0</v>
      </c>
      <c r="FA611" s="39">
        <f t="shared" si="8566"/>
        <v>0</v>
      </c>
      <c r="FB611" s="2">
        <f t="shared" si="8567"/>
        <v>0</v>
      </c>
      <c r="FC611" s="2">
        <f t="shared" ref="FC611:FD611" si="10124">BV611*$BT611+CQ611*$CO611</f>
        <v>0</v>
      </c>
      <c r="FD611" s="2">
        <f t="shared" si="10124"/>
        <v>0</v>
      </c>
      <c r="FE611" s="2">
        <f t="shared" ref="FE611:FJ611" si="10125">(BX611*$BT611+CS611*$CO611)/100</f>
        <v>0</v>
      </c>
      <c r="FF611" s="2">
        <f t="shared" si="10125"/>
        <v>0</v>
      </c>
      <c r="FG611" s="2">
        <f t="shared" si="10125"/>
        <v>0</v>
      </c>
      <c r="FH611" s="2">
        <f t="shared" si="10125"/>
        <v>0</v>
      </c>
      <c r="FI611" s="2">
        <f t="shared" si="10125"/>
        <v>0</v>
      </c>
      <c r="FJ611" s="2">
        <f t="shared" si="10125"/>
        <v>0</v>
      </c>
      <c r="FK611" s="2">
        <f t="shared" ref="FK611:FO611" si="10126">CD611*$BT611+CY611*$CO611</f>
        <v>0</v>
      </c>
      <c r="FL611" s="2">
        <f t="shared" si="10126"/>
        <v>0</v>
      </c>
      <c r="FM611" s="2">
        <f t="shared" si="10126"/>
        <v>0</v>
      </c>
      <c r="FN611" s="2">
        <f t="shared" si="10126"/>
        <v>0</v>
      </c>
      <c r="FO611" s="2">
        <f t="shared" si="10126"/>
        <v>0</v>
      </c>
      <c r="FP611" s="2">
        <f t="shared" ref="FP611:FQ611" si="10127">(CI611*$BT611+DD611*$CO611)/100</f>
        <v>0</v>
      </c>
      <c r="FQ611" s="2">
        <f t="shared" si="10127"/>
        <v>0</v>
      </c>
      <c r="FR611" s="2"/>
      <c r="FS611" s="2">
        <f t="shared" si="8572"/>
        <v>0</v>
      </c>
      <c r="FT611" s="2">
        <f t="shared" si="8573"/>
        <v>0</v>
      </c>
      <c r="FU611" s="39">
        <f t="shared" si="8574"/>
        <v>0</v>
      </c>
      <c r="FV611" s="39">
        <f t="shared" ref="FV611:FW611" si="10128">FV$1*FC611/1000000</f>
        <v>0</v>
      </c>
      <c r="FW611" s="39">
        <f t="shared" si="10128"/>
        <v>0</v>
      </c>
      <c r="FX611" s="39">
        <f t="shared" ref="FX611:GC611" si="10129">FX$1*FE611</f>
        <v>0</v>
      </c>
      <c r="FY611" s="39">
        <f t="shared" si="10129"/>
        <v>0</v>
      </c>
      <c r="FZ611" s="39">
        <f t="shared" si="10129"/>
        <v>0</v>
      </c>
      <c r="GA611" s="39">
        <f t="shared" si="10129"/>
        <v>0</v>
      </c>
      <c r="GB611" s="39">
        <f t="shared" si="10129"/>
        <v>0</v>
      </c>
      <c r="GC611" s="39">
        <f t="shared" si="10129"/>
        <v>0</v>
      </c>
      <c r="GD611" s="39">
        <f t="shared" ref="GD611:GH611" si="10130">GD$1*FK611/1000000</f>
        <v>0</v>
      </c>
      <c r="GE611" s="39">
        <f t="shared" si="10130"/>
        <v>0</v>
      </c>
      <c r="GF611" s="39">
        <f t="shared" si="10130"/>
        <v>0</v>
      </c>
      <c r="GG611" s="39">
        <f t="shared" si="10130"/>
        <v>0</v>
      </c>
      <c r="GH611" s="39">
        <f t="shared" si="10130"/>
        <v>0</v>
      </c>
      <c r="GI611" s="39">
        <f t="shared" ref="GI611:GJ611" si="10131">GI$1*FP611</f>
        <v>0</v>
      </c>
      <c r="GJ611" s="39">
        <f t="shared" si="10131"/>
        <v>0</v>
      </c>
      <c r="GK611" s="2"/>
      <c r="GL611" s="39">
        <f t="shared" si="8579"/>
        <v>0</v>
      </c>
      <c r="GM611" s="39">
        <f t="shared" si="8580"/>
        <v>0</v>
      </c>
      <c r="GN611" s="2" t="s">
        <v>3</v>
      </c>
      <c r="GO611" s="2">
        <f t="shared" si="8581"/>
        <v>1.754</v>
      </c>
      <c r="GP611" s="2">
        <f t="shared" si="8582"/>
        <v>0.56999999999999995</v>
      </c>
      <c r="GQ611" s="15">
        <f t="shared" si="8583"/>
        <v>9.997799999999998</v>
      </c>
      <c r="GR611" s="15">
        <f t="shared" si="8584"/>
        <v>131.1111492</v>
      </c>
      <c r="GS611" s="15">
        <f t="shared" si="8585"/>
        <v>74.749799999999993</v>
      </c>
      <c r="GT611" s="2">
        <f t="shared" si="8586"/>
        <v>0</v>
      </c>
      <c r="GU611" s="2">
        <f t="shared" si="8587"/>
        <v>0</v>
      </c>
      <c r="GV611" s="2">
        <f t="shared" si="8588"/>
        <v>9.997799999999998</v>
      </c>
      <c r="GW611" s="2">
        <f t="shared" si="8589"/>
        <v>0</v>
      </c>
      <c r="GX611" s="2"/>
      <c r="GY611" s="2"/>
      <c r="GZ611" s="2"/>
      <c r="HA611" s="2"/>
      <c r="HB611" s="2">
        <f t="shared" si="8590"/>
        <v>0</v>
      </c>
      <c r="HC611" s="2">
        <f t="shared" si="8591"/>
        <v>0</v>
      </c>
      <c r="HD611" s="2" t="s">
        <v>3</v>
      </c>
      <c r="HE611" s="2" t="s">
        <v>89</v>
      </c>
      <c r="HF611" s="2" t="s">
        <v>123</v>
      </c>
      <c r="HG611" s="2"/>
      <c r="HH611" s="2"/>
      <c r="HI611" s="2" t="s">
        <v>100</v>
      </c>
      <c r="HJ611" s="2" t="s">
        <v>3</v>
      </c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 t="s">
        <v>3</v>
      </c>
    </row>
    <row r="612" spans="1:268" ht="15.75" customHeight="1" x14ac:dyDescent="0.2">
      <c r="A612" s="16" t="s">
        <v>1326</v>
      </c>
      <c r="B612" s="2" t="s">
        <v>99</v>
      </c>
      <c r="C612" s="2"/>
      <c r="D612" s="2"/>
      <c r="E612" s="2"/>
      <c r="F612" s="2" t="s">
        <v>79</v>
      </c>
      <c r="G612" s="2"/>
      <c r="H612" s="2"/>
      <c r="I612" s="2">
        <v>0</v>
      </c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>
        <v>0</v>
      </c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>
        <v>0.56000000000000005</v>
      </c>
      <c r="AZ612" s="2">
        <v>0.15</v>
      </c>
      <c r="BA612" s="2"/>
      <c r="BB612" s="2"/>
      <c r="BC612" s="2"/>
      <c r="BD612" s="2"/>
      <c r="BE612" s="2"/>
      <c r="BF612" s="2"/>
      <c r="BG612" s="2">
        <v>0.38</v>
      </c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>
        <v>0</v>
      </c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>
        <v>0</v>
      </c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 t="s">
        <v>100</v>
      </c>
      <c r="DK612" s="2"/>
      <c r="DL612" s="2">
        <f t="shared" si="8551"/>
        <v>0.38</v>
      </c>
      <c r="DM612" s="2">
        <f t="shared" si="8552"/>
        <v>0</v>
      </c>
      <c r="DN612" s="2" t="s">
        <v>521</v>
      </c>
      <c r="DO612" s="2" t="s">
        <v>3</v>
      </c>
      <c r="DP612" s="2">
        <f t="shared" si="8553"/>
        <v>8.4000000000000003E-4</v>
      </c>
      <c r="DQ612" s="2">
        <f t="shared" ref="DQ612:DR612" si="10132">K612*$I612+AF612*$AD612+BA612*$AY612</f>
        <v>0</v>
      </c>
      <c r="DR612" s="2">
        <f t="shared" si="10132"/>
        <v>0</v>
      </c>
      <c r="DS612" s="2">
        <f t="shared" ref="DS612:DX612" si="10133">(M612*$I612+AH612*$AD612+BC612*$AY612)/100</f>
        <v>0</v>
      </c>
      <c r="DT612" s="2">
        <f t="shared" si="10133"/>
        <v>0</v>
      </c>
      <c r="DU612" s="2">
        <f t="shared" si="10133"/>
        <v>0</v>
      </c>
      <c r="DV612" s="2">
        <f t="shared" si="10133"/>
        <v>0</v>
      </c>
      <c r="DW612" s="2">
        <f t="shared" si="10133"/>
        <v>2.1280000000000001E-3</v>
      </c>
      <c r="DX612" s="2">
        <f t="shared" si="10133"/>
        <v>0</v>
      </c>
      <c r="DY612" s="2">
        <f t="shared" ref="DY612:EC612" si="10134">S612*$I612+AN612*$AD612+BI612*$AY612</f>
        <v>0</v>
      </c>
      <c r="DZ612" s="2">
        <f t="shared" si="10134"/>
        <v>0</v>
      </c>
      <c r="EA612" s="2">
        <f t="shared" si="10134"/>
        <v>0</v>
      </c>
      <c r="EB612" s="2">
        <f t="shared" si="10134"/>
        <v>0</v>
      </c>
      <c r="EC612" s="2">
        <f t="shared" si="10134"/>
        <v>0</v>
      </c>
      <c r="ED612" s="2">
        <f t="shared" ref="ED612:EE612" si="10135">(X612*$I612+AS612*$AD612+BN612*$AY612)/100</f>
        <v>0</v>
      </c>
      <c r="EE612" s="2">
        <f t="shared" si="10135"/>
        <v>0</v>
      </c>
      <c r="EF612" s="2"/>
      <c r="EG612" s="2">
        <f t="shared" si="8558"/>
        <v>0</v>
      </c>
      <c r="EH612" s="2">
        <f t="shared" si="8559"/>
        <v>0</v>
      </c>
      <c r="EI612" s="39">
        <f t="shared" si="8560"/>
        <v>5.4815174400000002</v>
      </c>
      <c r="EJ612" s="39">
        <f t="shared" ref="EJ612:EK612" si="10136">EJ$1*DQ612/1000000</f>
        <v>0</v>
      </c>
      <c r="EK612" s="39">
        <f t="shared" si="10136"/>
        <v>0</v>
      </c>
      <c r="EL612" s="39">
        <f t="shared" ref="EL612:EQ612" si="10137">EL$1*DS612</f>
        <v>0</v>
      </c>
      <c r="EM612" s="39">
        <f t="shared" si="10137"/>
        <v>0</v>
      </c>
      <c r="EN612" s="39">
        <f t="shared" si="10137"/>
        <v>0</v>
      </c>
      <c r="EO612" s="39">
        <f t="shared" si="10137"/>
        <v>0</v>
      </c>
      <c r="EP612" s="39">
        <f t="shared" si="10137"/>
        <v>27.906592</v>
      </c>
      <c r="EQ612" s="39">
        <f t="shared" si="10137"/>
        <v>0</v>
      </c>
      <c r="ER612" s="39">
        <f t="shared" ref="ER612:EV612" si="10138">ER$1*DY612/1000000</f>
        <v>0</v>
      </c>
      <c r="ES612" s="39">
        <f t="shared" si="10138"/>
        <v>0</v>
      </c>
      <c r="ET612" s="39">
        <f t="shared" si="10138"/>
        <v>0</v>
      </c>
      <c r="EU612" s="39">
        <f t="shared" si="10138"/>
        <v>0</v>
      </c>
      <c r="EV612" s="39">
        <f t="shared" si="10138"/>
        <v>0</v>
      </c>
      <c r="EW612" s="39">
        <f t="shared" ref="EW612:EX612" si="10139">EW$1*ED612</f>
        <v>0</v>
      </c>
      <c r="EX612" s="39">
        <f t="shared" si="10139"/>
        <v>0</v>
      </c>
      <c r="EY612" s="2"/>
      <c r="EZ612" s="39">
        <f t="shared" si="8565"/>
        <v>0</v>
      </c>
      <c r="FA612" s="39">
        <f t="shared" si="8566"/>
        <v>0</v>
      </c>
      <c r="FB612" s="2">
        <f t="shared" si="8567"/>
        <v>0</v>
      </c>
      <c r="FC612" s="2">
        <f t="shared" ref="FC612:FD612" si="10140">BV612*$BT612+CQ612*$CO612</f>
        <v>0</v>
      </c>
      <c r="FD612" s="2">
        <f t="shared" si="10140"/>
        <v>0</v>
      </c>
      <c r="FE612" s="2">
        <f t="shared" ref="FE612:FJ612" si="10141">(BX612*$BT612+CS612*$CO612)/100</f>
        <v>0</v>
      </c>
      <c r="FF612" s="2">
        <f t="shared" si="10141"/>
        <v>0</v>
      </c>
      <c r="FG612" s="2">
        <f t="shared" si="10141"/>
        <v>0</v>
      </c>
      <c r="FH612" s="2">
        <f t="shared" si="10141"/>
        <v>0</v>
      </c>
      <c r="FI612" s="2">
        <f t="shared" si="10141"/>
        <v>0</v>
      </c>
      <c r="FJ612" s="2">
        <f t="shared" si="10141"/>
        <v>0</v>
      </c>
      <c r="FK612" s="2">
        <f t="shared" ref="FK612:FO612" si="10142">CD612*$BT612+CY612*$CO612</f>
        <v>0</v>
      </c>
      <c r="FL612" s="2">
        <f t="shared" si="10142"/>
        <v>0</v>
      </c>
      <c r="FM612" s="2">
        <f t="shared" si="10142"/>
        <v>0</v>
      </c>
      <c r="FN612" s="2">
        <f t="shared" si="10142"/>
        <v>0</v>
      </c>
      <c r="FO612" s="2">
        <f t="shared" si="10142"/>
        <v>0</v>
      </c>
      <c r="FP612" s="2">
        <f t="shared" ref="FP612:FQ612" si="10143">(CI612*$BT612+DD612*$CO612)/100</f>
        <v>0</v>
      </c>
      <c r="FQ612" s="2">
        <f t="shared" si="10143"/>
        <v>0</v>
      </c>
      <c r="FR612" s="2"/>
      <c r="FS612" s="2">
        <f t="shared" si="8572"/>
        <v>0</v>
      </c>
      <c r="FT612" s="2">
        <f t="shared" si="8573"/>
        <v>0</v>
      </c>
      <c r="FU612" s="39">
        <f t="shared" si="8574"/>
        <v>0</v>
      </c>
      <c r="FV612" s="39">
        <f t="shared" ref="FV612:FW612" si="10144">FV$1*FC612/1000000</f>
        <v>0</v>
      </c>
      <c r="FW612" s="39">
        <f t="shared" si="10144"/>
        <v>0</v>
      </c>
      <c r="FX612" s="39">
        <f t="shared" ref="FX612:GC612" si="10145">FX$1*FE612</f>
        <v>0</v>
      </c>
      <c r="FY612" s="39">
        <f t="shared" si="10145"/>
        <v>0</v>
      </c>
      <c r="FZ612" s="39">
        <f t="shared" si="10145"/>
        <v>0</v>
      </c>
      <c r="GA612" s="39">
        <f t="shared" si="10145"/>
        <v>0</v>
      </c>
      <c r="GB612" s="39">
        <f t="shared" si="10145"/>
        <v>0</v>
      </c>
      <c r="GC612" s="39">
        <f t="shared" si="10145"/>
        <v>0</v>
      </c>
      <c r="GD612" s="39">
        <f t="shared" ref="GD612:GH612" si="10146">GD$1*FK612/1000000</f>
        <v>0</v>
      </c>
      <c r="GE612" s="39">
        <f t="shared" si="10146"/>
        <v>0</v>
      </c>
      <c r="GF612" s="39">
        <f t="shared" si="10146"/>
        <v>0</v>
      </c>
      <c r="GG612" s="39">
        <f t="shared" si="10146"/>
        <v>0</v>
      </c>
      <c r="GH612" s="39">
        <f t="shared" si="10146"/>
        <v>0</v>
      </c>
      <c r="GI612" s="39">
        <f t="shared" ref="GI612:GJ612" si="10147">GI$1*FP612</f>
        <v>0</v>
      </c>
      <c r="GJ612" s="39">
        <f t="shared" si="10147"/>
        <v>0</v>
      </c>
      <c r="GK612" s="2"/>
      <c r="GL612" s="39">
        <f t="shared" si="8579"/>
        <v>0</v>
      </c>
      <c r="GM612" s="39">
        <f t="shared" si="8580"/>
        <v>0</v>
      </c>
      <c r="GN612" s="2" t="s">
        <v>3</v>
      </c>
      <c r="GO612" s="2">
        <f t="shared" si="8581"/>
        <v>0.56000000000000005</v>
      </c>
      <c r="GP612" s="2">
        <f t="shared" si="8582"/>
        <v>0.38</v>
      </c>
      <c r="GQ612" s="15">
        <f t="shared" si="8583"/>
        <v>2.1280000000000001</v>
      </c>
      <c r="GR612" s="15">
        <f t="shared" si="8584"/>
        <v>33.388109440000001</v>
      </c>
      <c r="GS612" s="15">
        <f t="shared" si="8585"/>
        <v>59.621623999999997</v>
      </c>
      <c r="GT612" s="2">
        <f t="shared" si="8586"/>
        <v>0</v>
      </c>
      <c r="GU612" s="2">
        <f t="shared" si="8587"/>
        <v>0</v>
      </c>
      <c r="GV612" s="2">
        <f t="shared" si="8588"/>
        <v>2.1280000000000001</v>
      </c>
      <c r="GW612" s="2">
        <f t="shared" si="8589"/>
        <v>0</v>
      </c>
      <c r="GX612" s="2"/>
      <c r="GY612" s="2"/>
      <c r="GZ612" s="2"/>
      <c r="HA612" s="2"/>
      <c r="HB612" s="2">
        <f t="shared" si="8590"/>
        <v>0</v>
      </c>
      <c r="HC612" s="2">
        <f t="shared" si="8591"/>
        <v>0</v>
      </c>
      <c r="HD612" s="2" t="s">
        <v>3</v>
      </c>
      <c r="HE612" s="2" t="s">
        <v>89</v>
      </c>
      <c r="HF612" s="2" t="s">
        <v>123</v>
      </c>
      <c r="HG612" s="2"/>
      <c r="HH612" s="2"/>
      <c r="HI612" s="2" t="s">
        <v>100</v>
      </c>
      <c r="HJ612" s="2" t="s">
        <v>3</v>
      </c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 t="s">
        <v>3</v>
      </c>
    </row>
    <row r="613" spans="1:268" ht="15.75" customHeight="1" x14ac:dyDescent="0.2">
      <c r="A613" s="16" t="s">
        <v>761</v>
      </c>
      <c r="B613" s="2" t="s">
        <v>99</v>
      </c>
      <c r="C613" s="2"/>
      <c r="D613" s="2"/>
      <c r="E613" s="2"/>
      <c r="F613" s="2" t="s">
        <v>79</v>
      </c>
      <c r="G613" s="2"/>
      <c r="H613" s="2"/>
      <c r="I613" s="2">
        <v>0</v>
      </c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>
        <v>0</v>
      </c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>
        <v>0.56000000000000005</v>
      </c>
      <c r="AZ613" s="2">
        <v>0.15</v>
      </c>
      <c r="BA613" s="2"/>
      <c r="BB613" s="2"/>
      <c r="BC613" s="2"/>
      <c r="BD613" s="2"/>
      <c r="BE613" s="2"/>
      <c r="BF613" s="2"/>
      <c r="BG613" s="2">
        <v>0.38</v>
      </c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>
        <v>0</v>
      </c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>
        <v>0</v>
      </c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 t="s">
        <v>100</v>
      </c>
      <c r="DK613" s="2"/>
      <c r="DL613" s="2">
        <f t="shared" si="8551"/>
        <v>0.38</v>
      </c>
      <c r="DM613" s="2">
        <f t="shared" si="8552"/>
        <v>0</v>
      </c>
      <c r="DN613" s="2" t="s">
        <v>132</v>
      </c>
      <c r="DO613" s="2" t="s">
        <v>3</v>
      </c>
      <c r="DP613" s="2">
        <f t="shared" si="8553"/>
        <v>8.4000000000000003E-4</v>
      </c>
      <c r="DQ613" s="2">
        <f t="shared" ref="DQ613:DR613" si="10148">K613*$I613+AF613*$AD613+BA613*$AY613</f>
        <v>0</v>
      </c>
      <c r="DR613" s="2">
        <f t="shared" si="10148"/>
        <v>0</v>
      </c>
      <c r="DS613" s="2">
        <f t="shared" ref="DS613:DX613" si="10149">(M613*$I613+AH613*$AD613+BC613*$AY613)/100</f>
        <v>0</v>
      </c>
      <c r="DT613" s="2">
        <f t="shared" si="10149"/>
        <v>0</v>
      </c>
      <c r="DU613" s="2">
        <f t="shared" si="10149"/>
        <v>0</v>
      </c>
      <c r="DV613" s="2">
        <f t="shared" si="10149"/>
        <v>0</v>
      </c>
      <c r="DW613" s="2">
        <f t="shared" si="10149"/>
        <v>2.1280000000000001E-3</v>
      </c>
      <c r="DX613" s="2">
        <f t="shared" si="10149"/>
        <v>0</v>
      </c>
      <c r="DY613" s="2">
        <f t="shared" ref="DY613:EC613" si="10150">S613*$I613+AN613*$AD613+BI613*$AY613</f>
        <v>0</v>
      </c>
      <c r="DZ613" s="2">
        <f t="shared" si="10150"/>
        <v>0</v>
      </c>
      <c r="EA613" s="2">
        <f t="shared" si="10150"/>
        <v>0</v>
      </c>
      <c r="EB613" s="2">
        <f t="shared" si="10150"/>
        <v>0</v>
      </c>
      <c r="EC613" s="2">
        <f t="shared" si="10150"/>
        <v>0</v>
      </c>
      <c r="ED613" s="2">
        <f t="shared" ref="ED613:EE613" si="10151">(X613*$I613+AS613*$AD613+BN613*$AY613)/100</f>
        <v>0</v>
      </c>
      <c r="EE613" s="2">
        <f t="shared" si="10151"/>
        <v>0</v>
      </c>
      <c r="EF613" s="2"/>
      <c r="EG613" s="2">
        <f t="shared" si="8558"/>
        <v>0</v>
      </c>
      <c r="EH613" s="2">
        <f t="shared" si="8559"/>
        <v>0</v>
      </c>
      <c r="EI613" s="39">
        <f t="shared" si="8560"/>
        <v>5.4815174400000002</v>
      </c>
      <c r="EJ613" s="39">
        <f t="shared" ref="EJ613:EK613" si="10152">EJ$1*DQ613/1000000</f>
        <v>0</v>
      </c>
      <c r="EK613" s="39">
        <f t="shared" si="10152"/>
        <v>0</v>
      </c>
      <c r="EL613" s="39">
        <f t="shared" ref="EL613:EQ613" si="10153">EL$1*DS613</f>
        <v>0</v>
      </c>
      <c r="EM613" s="39">
        <f t="shared" si="10153"/>
        <v>0</v>
      </c>
      <c r="EN613" s="39">
        <f t="shared" si="10153"/>
        <v>0</v>
      </c>
      <c r="EO613" s="39">
        <f t="shared" si="10153"/>
        <v>0</v>
      </c>
      <c r="EP613" s="39">
        <f t="shared" si="10153"/>
        <v>27.906592</v>
      </c>
      <c r="EQ613" s="39">
        <f t="shared" si="10153"/>
        <v>0</v>
      </c>
      <c r="ER613" s="39">
        <f t="shared" ref="ER613:EV613" si="10154">ER$1*DY613/1000000</f>
        <v>0</v>
      </c>
      <c r="ES613" s="39">
        <f t="shared" si="10154"/>
        <v>0</v>
      </c>
      <c r="ET613" s="39">
        <f t="shared" si="10154"/>
        <v>0</v>
      </c>
      <c r="EU613" s="39">
        <f t="shared" si="10154"/>
        <v>0</v>
      </c>
      <c r="EV613" s="39">
        <f t="shared" si="10154"/>
        <v>0</v>
      </c>
      <c r="EW613" s="39">
        <f t="shared" ref="EW613:EX613" si="10155">EW$1*ED613</f>
        <v>0</v>
      </c>
      <c r="EX613" s="39">
        <f t="shared" si="10155"/>
        <v>0</v>
      </c>
      <c r="EY613" s="2"/>
      <c r="EZ613" s="39">
        <f t="shared" si="8565"/>
        <v>0</v>
      </c>
      <c r="FA613" s="39">
        <f t="shared" si="8566"/>
        <v>0</v>
      </c>
      <c r="FB613" s="2">
        <f t="shared" si="8567"/>
        <v>0</v>
      </c>
      <c r="FC613" s="2">
        <f t="shared" ref="FC613:FD613" si="10156">BV613*$BT613+CQ613*$CO613</f>
        <v>0</v>
      </c>
      <c r="FD613" s="2">
        <f t="shared" si="10156"/>
        <v>0</v>
      </c>
      <c r="FE613" s="2">
        <f t="shared" ref="FE613:FJ613" si="10157">(BX613*$BT613+CS613*$CO613)/100</f>
        <v>0</v>
      </c>
      <c r="FF613" s="2">
        <f t="shared" si="10157"/>
        <v>0</v>
      </c>
      <c r="FG613" s="2">
        <f t="shared" si="10157"/>
        <v>0</v>
      </c>
      <c r="FH613" s="2">
        <f t="shared" si="10157"/>
        <v>0</v>
      </c>
      <c r="FI613" s="2">
        <f t="shared" si="10157"/>
        <v>0</v>
      </c>
      <c r="FJ613" s="2">
        <f t="shared" si="10157"/>
        <v>0</v>
      </c>
      <c r="FK613" s="2">
        <f t="shared" ref="FK613:FO613" si="10158">CD613*$BT613+CY613*$CO613</f>
        <v>0</v>
      </c>
      <c r="FL613" s="2">
        <f t="shared" si="10158"/>
        <v>0</v>
      </c>
      <c r="FM613" s="2">
        <f t="shared" si="10158"/>
        <v>0</v>
      </c>
      <c r="FN613" s="2">
        <f t="shared" si="10158"/>
        <v>0</v>
      </c>
      <c r="FO613" s="2">
        <f t="shared" si="10158"/>
        <v>0</v>
      </c>
      <c r="FP613" s="2">
        <f t="shared" ref="FP613:FQ613" si="10159">(CI613*$BT613+DD613*$CO613)/100</f>
        <v>0</v>
      </c>
      <c r="FQ613" s="2">
        <f t="shared" si="10159"/>
        <v>0</v>
      </c>
      <c r="FR613" s="2"/>
      <c r="FS613" s="2">
        <f t="shared" si="8572"/>
        <v>0</v>
      </c>
      <c r="FT613" s="2">
        <f t="shared" si="8573"/>
        <v>0</v>
      </c>
      <c r="FU613" s="39">
        <f t="shared" si="8574"/>
        <v>0</v>
      </c>
      <c r="FV613" s="39">
        <f t="shared" ref="FV613:FW613" si="10160">FV$1*FC613/1000000</f>
        <v>0</v>
      </c>
      <c r="FW613" s="39">
        <f t="shared" si="10160"/>
        <v>0</v>
      </c>
      <c r="FX613" s="39">
        <f t="shared" ref="FX613:GC613" si="10161">FX$1*FE613</f>
        <v>0</v>
      </c>
      <c r="FY613" s="39">
        <f t="shared" si="10161"/>
        <v>0</v>
      </c>
      <c r="FZ613" s="39">
        <f t="shared" si="10161"/>
        <v>0</v>
      </c>
      <c r="GA613" s="39">
        <f t="shared" si="10161"/>
        <v>0</v>
      </c>
      <c r="GB613" s="39">
        <f t="shared" si="10161"/>
        <v>0</v>
      </c>
      <c r="GC613" s="39">
        <f t="shared" si="10161"/>
        <v>0</v>
      </c>
      <c r="GD613" s="39">
        <f t="shared" ref="GD613:GH613" si="10162">GD$1*FK613/1000000</f>
        <v>0</v>
      </c>
      <c r="GE613" s="39">
        <f t="shared" si="10162"/>
        <v>0</v>
      </c>
      <c r="GF613" s="39">
        <f t="shared" si="10162"/>
        <v>0</v>
      </c>
      <c r="GG613" s="39">
        <f t="shared" si="10162"/>
        <v>0</v>
      </c>
      <c r="GH613" s="39">
        <f t="shared" si="10162"/>
        <v>0</v>
      </c>
      <c r="GI613" s="39">
        <f t="shared" ref="GI613:GJ613" si="10163">GI$1*FP613</f>
        <v>0</v>
      </c>
      <c r="GJ613" s="39">
        <f t="shared" si="10163"/>
        <v>0</v>
      </c>
      <c r="GK613" s="2"/>
      <c r="GL613" s="39">
        <f t="shared" si="8579"/>
        <v>0</v>
      </c>
      <c r="GM613" s="39">
        <f t="shared" si="8580"/>
        <v>0</v>
      </c>
      <c r="GN613" s="2" t="s">
        <v>3</v>
      </c>
      <c r="GO613" s="2">
        <f t="shared" si="8581"/>
        <v>0.56000000000000005</v>
      </c>
      <c r="GP613" s="2">
        <f t="shared" si="8582"/>
        <v>0.38</v>
      </c>
      <c r="GQ613" s="15">
        <f t="shared" si="8583"/>
        <v>2.1280000000000001</v>
      </c>
      <c r="GR613" s="15">
        <f t="shared" si="8584"/>
        <v>33.388109440000001</v>
      </c>
      <c r="GS613" s="15">
        <f t="shared" si="8585"/>
        <v>59.621623999999997</v>
      </c>
      <c r="GT613" s="2">
        <f t="shared" si="8586"/>
        <v>0</v>
      </c>
      <c r="GU613" s="2">
        <f t="shared" si="8587"/>
        <v>0</v>
      </c>
      <c r="GV613" s="2">
        <f t="shared" si="8588"/>
        <v>2.1280000000000001</v>
      </c>
      <c r="GW613" s="2">
        <f t="shared" si="8589"/>
        <v>0</v>
      </c>
      <c r="GX613" s="2"/>
      <c r="GY613" s="2"/>
      <c r="GZ613" s="2"/>
      <c r="HA613" s="2"/>
      <c r="HB613" s="2">
        <f t="shared" si="8590"/>
        <v>0</v>
      </c>
      <c r="HC613" s="2">
        <f t="shared" si="8591"/>
        <v>0</v>
      </c>
      <c r="HD613" s="2" t="s">
        <v>3</v>
      </c>
      <c r="HE613" s="2" t="s">
        <v>89</v>
      </c>
      <c r="HF613" s="2" t="s">
        <v>123</v>
      </c>
      <c r="HG613" s="2"/>
      <c r="HH613" s="2"/>
      <c r="HI613" s="2" t="s">
        <v>100</v>
      </c>
      <c r="HJ613" s="2" t="s">
        <v>3</v>
      </c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 t="s">
        <v>3</v>
      </c>
    </row>
    <row r="614" spans="1:268" ht="15.75" customHeight="1" x14ac:dyDescent="0.2">
      <c r="A614" s="16" t="s">
        <v>840</v>
      </c>
      <c r="B614" s="2" t="s">
        <v>99</v>
      </c>
      <c r="C614" s="2"/>
      <c r="D614" s="2"/>
      <c r="E614" s="2"/>
      <c r="F614" s="2" t="s">
        <v>79</v>
      </c>
      <c r="G614" s="2"/>
      <c r="H614" s="2"/>
      <c r="I614" s="2">
        <v>0</v>
      </c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>
        <v>0</v>
      </c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>
        <v>0.21299999999999999</v>
      </c>
      <c r="AZ614" s="4">
        <v>0.2</v>
      </c>
      <c r="BA614" s="2"/>
      <c r="BB614" s="2"/>
      <c r="BC614" s="2"/>
      <c r="BD614" s="2"/>
      <c r="BE614" s="2"/>
      <c r="BF614" s="2"/>
      <c r="BG614" s="4">
        <v>1.4</v>
      </c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>
        <v>0</v>
      </c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>
        <v>0</v>
      </c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 t="s">
        <v>100</v>
      </c>
      <c r="DK614" s="2"/>
      <c r="DL614" s="2">
        <f t="shared" si="8551"/>
        <v>1.4</v>
      </c>
      <c r="DM614" s="2">
        <f t="shared" si="8552"/>
        <v>0</v>
      </c>
      <c r="DN614" s="2" t="s">
        <v>195</v>
      </c>
      <c r="DO614" s="2" t="s">
        <v>3</v>
      </c>
      <c r="DP614" s="2">
        <f t="shared" si="8553"/>
        <v>4.26E-4</v>
      </c>
      <c r="DQ614" s="2">
        <f t="shared" ref="DQ614:DR614" si="10164">K614*$I614+AF614*$AD614+BA614*$AY614</f>
        <v>0</v>
      </c>
      <c r="DR614" s="2">
        <f t="shared" si="10164"/>
        <v>0</v>
      </c>
      <c r="DS614" s="2">
        <f t="shared" ref="DS614:DX614" si="10165">(M614*$I614+AH614*$AD614+BC614*$AY614)/100</f>
        <v>0</v>
      </c>
      <c r="DT614" s="2">
        <f t="shared" si="10165"/>
        <v>0</v>
      </c>
      <c r="DU614" s="2">
        <f t="shared" si="10165"/>
        <v>0</v>
      </c>
      <c r="DV614" s="2">
        <f t="shared" si="10165"/>
        <v>0</v>
      </c>
      <c r="DW614" s="2">
        <f t="shared" si="10165"/>
        <v>2.9819999999999998E-3</v>
      </c>
      <c r="DX614" s="2">
        <f t="shared" si="10165"/>
        <v>0</v>
      </c>
      <c r="DY614" s="2">
        <f t="shared" ref="DY614:EC614" si="10166">S614*$I614+AN614*$AD614+BI614*$AY614</f>
        <v>0</v>
      </c>
      <c r="DZ614" s="2">
        <f t="shared" si="10166"/>
        <v>0</v>
      </c>
      <c r="EA614" s="2">
        <f t="shared" si="10166"/>
        <v>0</v>
      </c>
      <c r="EB614" s="2">
        <f t="shared" si="10166"/>
        <v>0</v>
      </c>
      <c r="EC614" s="2">
        <f t="shared" si="10166"/>
        <v>0</v>
      </c>
      <c r="ED614" s="2">
        <f t="shared" ref="ED614:EE614" si="10167">(X614*$I614+AS614*$AD614+BN614*$AY614)/100</f>
        <v>0</v>
      </c>
      <c r="EE614" s="2">
        <f t="shared" si="10167"/>
        <v>0</v>
      </c>
      <c r="EF614" s="2"/>
      <c r="EG614" s="2">
        <f t="shared" si="8558"/>
        <v>0</v>
      </c>
      <c r="EH614" s="2">
        <f t="shared" si="8559"/>
        <v>0</v>
      </c>
      <c r="EI614" s="39">
        <f t="shared" si="8560"/>
        <v>2.7799124160000002</v>
      </c>
      <c r="EJ614" s="39">
        <f t="shared" ref="EJ614:EK614" si="10168">EJ$1*DQ614/1000000</f>
        <v>0</v>
      </c>
      <c r="EK614" s="39">
        <f t="shared" si="10168"/>
        <v>0</v>
      </c>
      <c r="EL614" s="39">
        <f t="shared" ref="EL614:EQ614" si="10169">EL$1*DS614</f>
        <v>0</v>
      </c>
      <c r="EM614" s="39">
        <f t="shared" si="10169"/>
        <v>0</v>
      </c>
      <c r="EN614" s="39">
        <f t="shared" si="10169"/>
        <v>0</v>
      </c>
      <c r="EO614" s="39">
        <f t="shared" si="10169"/>
        <v>0</v>
      </c>
      <c r="EP614" s="39">
        <f t="shared" si="10169"/>
        <v>39.105947999999998</v>
      </c>
      <c r="EQ614" s="39">
        <f t="shared" si="10169"/>
        <v>0</v>
      </c>
      <c r="ER614" s="39">
        <f t="shared" ref="ER614:EV614" si="10170">ER$1*DY614/1000000</f>
        <v>0</v>
      </c>
      <c r="ES614" s="39">
        <f t="shared" si="10170"/>
        <v>0</v>
      </c>
      <c r="ET614" s="39">
        <f t="shared" si="10170"/>
        <v>0</v>
      </c>
      <c r="EU614" s="39">
        <f t="shared" si="10170"/>
        <v>0</v>
      </c>
      <c r="EV614" s="39">
        <f t="shared" si="10170"/>
        <v>0</v>
      </c>
      <c r="EW614" s="39">
        <f t="shared" ref="EW614:EX614" si="10171">EW$1*ED614</f>
        <v>0</v>
      </c>
      <c r="EX614" s="39">
        <f t="shared" si="10171"/>
        <v>0</v>
      </c>
      <c r="EY614" s="2"/>
      <c r="EZ614" s="39">
        <f t="shared" si="8565"/>
        <v>0</v>
      </c>
      <c r="FA614" s="39">
        <f t="shared" si="8566"/>
        <v>0</v>
      </c>
      <c r="FB614" s="2">
        <f t="shared" si="8567"/>
        <v>0</v>
      </c>
      <c r="FC614" s="2">
        <f t="shared" ref="FC614:FD614" si="10172">BV614*$BT614+CQ614*$CO614</f>
        <v>0</v>
      </c>
      <c r="FD614" s="2">
        <f t="shared" si="10172"/>
        <v>0</v>
      </c>
      <c r="FE614" s="2">
        <f t="shared" ref="FE614:FJ614" si="10173">(BX614*$BT614+CS614*$CO614)/100</f>
        <v>0</v>
      </c>
      <c r="FF614" s="2">
        <f t="shared" si="10173"/>
        <v>0</v>
      </c>
      <c r="FG614" s="2">
        <f t="shared" si="10173"/>
        <v>0</v>
      </c>
      <c r="FH614" s="2">
        <f t="shared" si="10173"/>
        <v>0</v>
      </c>
      <c r="FI614" s="2">
        <f t="shared" si="10173"/>
        <v>0</v>
      </c>
      <c r="FJ614" s="2">
        <f t="shared" si="10173"/>
        <v>0</v>
      </c>
      <c r="FK614" s="2">
        <f t="shared" ref="FK614:FO614" si="10174">CD614*$BT614+CY614*$CO614</f>
        <v>0</v>
      </c>
      <c r="FL614" s="2">
        <f t="shared" si="10174"/>
        <v>0</v>
      </c>
      <c r="FM614" s="2">
        <f t="shared" si="10174"/>
        <v>0</v>
      </c>
      <c r="FN614" s="2">
        <f t="shared" si="10174"/>
        <v>0</v>
      </c>
      <c r="FO614" s="2">
        <f t="shared" si="10174"/>
        <v>0</v>
      </c>
      <c r="FP614" s="2">
        <f t="shared" ref="FP614:FQ614" si="10175">(CI614*$BT614+DD614*$CO614)/100</f>
        <v>0</v>
      </c>
      <c r="FQ614" s="2">
        <f t="shared" si="10175"/>
        <v>0</v>
      </c>
      <c r="FR614" s="2"/>
      <c r="FS614" s="2">
        <f t="shared" si="8572"/>
        <v>0</v>
      </c>
      <c r="FT614" s="2">
        <f t="shared" si="8573"/>
        <v>0</v>
      </c>
      <c r="FU614" s="39">
        <f t="shared" si="8574"/>
        <v>0</v>
      </c>
      <c r="FV614" s="39">
        <f t="shared" ref="FV614:FW614" si="10176">FV$1*FC614/1000000</f>
        <v>0</v>
      </c>
      <c r="FW614" s="39">
        <f t="shared" si="10176"/>
        <v>0</v>
      </c>
      <c r="FX614" s="39">
        <f t="shared" ref="FX614:GC614" si="10177">FX$1*FE614</f>
        <v>0</v>
      </c>
      <c r="FY614" s="39">
        <f t="shared" si="10177"/>
        <v>0</v>
      </c>
      <c r="FZ614" s="39">
        <f t="shared" si="10177"/>
        <v>0</v>
      </c>
      <c r="GA614" s="39">
        <f t="shared" si="10177"/>
        <v>0</v>
      </c>
      <c r="GB614" s="39">
        <f t="shared" si="10177"/>
        <v>0</v>
      </c>
      <c r="GC614" s="39">
        <f t="shared" si="10177"/>
        <v>0</v>
      </c>
      <c r="GD614" s="39">
        <f t="shared" ref="GD614:GH614" si="10178">GD$1*FK614/1000000</f>
        <v>0</v>
      </c>
      <c r="GE614" s="39">
        <f t="shared" si="10178"/>
        <v>0</v>
      </c>
      <c r="GF614" s="39">
        <f t="shared" si="10178"/>
        <v>0</v>
      </c>
      <c r="GG614" s="39">
        <f t="shared" si="10178"/>
        <v>0</v>
      </c>
      <c r="GH614" s="39">
        <f t="shared" si="10178"/>
        <v>0</v>
      </c>
      <c r="GI614" s="39">
        <f t="shared" ref="GI614:GJ614" si="10179">GI$1*FP614</f>
        <v>0</v>
      </c>
      <c r="GJ614" s="39">
        <f t="shared" si="10179"/>
        <v>0</v>
      </c>
      <c r="GK614" s="2"/>
      <c r="GL614" s="39">
        <f t="shared" si="8579"/>
        <v>0</v>
      </c>
      <c r="GM614" s="39">
        <f t="shared" si="8580"/>
        <v>0</v>
      </c>
      <c r="GN614" s="2" t="s">
        <v>3</v>
      </c>
      <c r="GO614" s="2">
        <f t="shared" si="8581"/>
        <v>0.21299999999999999</v>
      </c>
      <c r="GP614" s="2">
        <f t="shared" si="8582"/>
        <v>1.4</v>
      </c>
      <c r="GQ614" s="15">
        <f t="shared" si="8583"/>
        <v>2.9819999999999998</v>
      </c>
      <c r="GR614" s="15">
        <f t="shared" si="8584"/>
        <v>41.885860416</v>
      </c>
      <c r="GS614" s="15">
        <f t="shared" si="8585"/>
        <v>196.647232</v>
      </c>
      <c r="GT614" s="2">
        <f t="shared" si="8586"/>
        <v>0</v>
      </c>
      <c r="GU614" s="2">
        <f t="shared" si="8587"/>
        <v>0</v>
      </c>
      <c r="GV614" s="2">
        <f t="shared" si="8588"/>
        <v>2.9819999999999998</v>
      </c>
      <c r="GW614" s="2">
        <f t="shared" si="8589"/>
        <v>0</v>
      </c>
      <c r="GX614" s="2"/>
      <c r="GY614" s="2"/>
      <c r="GZ614" s="2"/>
      <c r="HA614" s="2"/>
      <c r="HB614" s="2">
        <f t="shared" si="8590"/>
        <v>0</v>
      </c>
      <c r="HC614" s="2">
        <f t="shared" si="8591"/>
        <v>0</v>
      </c>
      <c r="HD614" s="2" t="s">
        <v>3</v>
      </c>
      <c r="HE614" s="2" t="s">
        <v>89</v>
      </c>
      <c r="HF614" s="2" t="s">
        <v>123</v>
      </c>
      <c r="HG614" s="2"/>
      <c r="HH614" s="2"/>
      <c r="HI614" s="2" t="s">
        <v>100</v>
      </c>
      <c r="HJ614" s="2" t="s">
        <v>3</v>
      </c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 t="s">
        <v>3</v>
      </c>
    </row>
    <row r="615" spans="1:268" ht="15.75" customHeight="1" x14ac:dyDescent="0.2">
      <c r="A615" s="16" t="s">
        <v>194</v>
      </c>
      <c r="B615" s="2" t="s">
        <v>99</v>
      </c>
      <c r="C615" s="2"/>
      <c r="D615" s="2"/>
      <c r="E615" s="2"/>
      <c r="F615" s="2" t="s">
        <v>79</v>
      </c>
      <c r="G615" s="2"/>
      <c r="H615" s="2"/>
      <c r="I615" s="2">
        <v>0</v>
      </c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>
        <v>0</v>
      </c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>
        <v>7.0000000000000007E-2</v>
      </c>
      <c r="AZ615" s="2">
        <v>0.27</v>
      </c>
      <c r="BA615" s="2"/>
      <c r="BB615" s="2"/>
      <c r="BC615" s="2"/>
      <c r="BD615" s="2"/>
      <c r="BE615" s="2"/>
      <c r="BF615" s="2"/>
      <c r="BG615" s="2">
        <v>0.46</v>
      </c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>
        <v>0</v>
      </c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>
        <v>0</v>
      </c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 t="s">
        <v>100</v>
      </c>
      <c r="DK615" s="2"/>
      <c r="DL615" s="2">
        <f t="shared" si="8551"/>
        <v>0.46</v>
      </c>
      <c r="DM615" s="2">
        <f t="shared" si="8552"/>
        <v>0</v>
      </c>
      <c r="DN615" s="2" t="s">
        <v>195</v>
      </c>
      <c r="DO615" s="2" t="s">
        <v>3</v>
      </c>
      <c r="DP615" s="2">
        <f t="shared" si="8553"/>
        <v>1.8900000000000004E-4</v>
      </c>
      <c r="DQ615" s="2">
        <f t="shared" ref="DQ615:DR615" si="10180">K615*$I615+AF615*$AD615+BA615*$AY615</f>
        <v>0</v>
      </c>
      <c r="DR615" s="2">
        <f t="shared" si="10180"/>
        <v>0</v>
      </c>
      <c r="DS615" s="2">
        <f t="shared" ref="DS615:DX615" si="10181">(M615*$I615+AH615*$AD615+BC615*$AY615)/100</f>
        <v>0</v>
      </c>
      <c r="DT615" s="2">
        <f t="shared" si="10181"/>
        <v>0</v>
      </c>
      <c r="DU615" s="2">
        <f t="shared" si="10181"/>
        <v>0</v>
      </c>
      <c r="DV615" s="2">
        <f t="shared" si="10181"/>
        <v>0</v>
      </c>
      <c r="DW615" s="2">
        <f t="shared" si="10181"/>
        <v>3.2200000000000007E-4</v>
      </c>
      <c r="DX615" s="2">
        <f t="shared" si="10181"/>
        <v>0</v>
      </c>
      <c r="DY615" s="2">
        <f t="shared" ref="DY615:EC615" si="10182">S615*$I615+AN615*$AD615+BI615*$AY615</f>
        <v>0</v>
      </c>
      <c r="DZ615" s="2">
        <f t="shared" si="10182"/>
        <v>0</v>
      </c>
      <c r="EA615" s="2">
        <f t="shared" si="10182"/>
        <v>0</v>
      </c>
      <c r="EB615" s="2">
        <f t="shared" si="10182"/>
        <v>0</v>
      </c>
      <c r="EC615" s="2">
        <f t="shared" si="10182"/>
        <v>0</v>
      </c>
      <c r="ED615" s="2">
        <f t="shared" ref="ED615:EE615" si="10183">(X615*$I615+AS615*$AD615+BN615*$AY615)/100</f>
        <v>0</v>
      </c>
      <c r="EE615" s="2">
        <f t="shared" si="10183"/>
        <v>0</v>
      </c>
      <c r="EF615" s="2"/>
      <c r="EG615" s="2">
        <f t="shared" si="8558"/>
        <v>0</v>
      </c>
      <c r="EH615" s="2">
        <f t="shared" si="8559"/>
        <v>0</v>
      </c>
      <c r="EI615" s="39">
        <f t="shared" si="8560"/>
        <v>1.2333414240000002</v>
      </c>
      <c r="EJ615" s="39">
        <f t="shared" ref="EJ615:EK615" si="10184">EJ$1*DQ615/1000000</f>
        <v>0</v>
      </c>
      <c r="EK615" s="39">
        <f t="shared" si="10184"/>
        <v>0</v>
      </c>
      <c r="EL615" s="39">
        <f t="shared" ref="EL615:EQ615" si="10185">EL$1*DS615</f>
        <v>0</v>
      </c>
      <c r="EM615" s="39">
        <f t="shared" si="10185"/>
        <v>0</v>
      </c>
      <c r="EN615" s="39">
        <f t="shared" si="10185"/>
        <v>0</v>
      </c>
      <c r="EO615" s="39">
        <f t="shared" si="10185"/>
        <v>0</v>
      </c>
      <c r="EP615" s="39">
        <f t="shared" si="10185"/>
        <v>4.2227080000000008</v>
      </c>
      <c r="EQ615" s="39">
        <f t="shared" si="10185"/>
        <v>0</v>
      </c>
      <c r="ER615" s="39">
        <f t="shared" ref="ER615:EV615" si="10186">ER$1*DY615/1000000</f>
        <v>0</v>
      </c>
      <c r="ES615" s="39">
        <f t="shared" si="10186"/>
        <v>0</v>
      </c>
      <c r="ET615" s="39">
        <f t="shared" si="10186"/>
        <v>0</v>
      </c>
      <c r="EU615" s="39">
        <f t="shared" si="10186"/>
        <v>0</v>
      </c>
      <c r="EV615" s="39">
        <f t="shared" si="10186"/>
        <v>0</v>
      </c>
      <c r="EW615" s="39">
        <f t="shared" ref="EW615:EX615" si="10187">EW$1*ED615</f>
        <v>0</v>
      </c>
      <c r="EX615" s="39">
        <f t="shared" si="10187"/>
        <v>0</v>
      </c>
      <c r="EY615" s="2"/>
      <c r="EZ615" s="39">
        <f t="shared" si="8565"/>
        <v>0</v>
      </c>
      <c r="FA615" s="39">
        <f t="shared" si="8566"/>
        <v>0</v>
      </c>
      <c r="FB615" s="2">
        <f t="shared" si="8567"/>
        <v>0</v>
      </c>
      <c r="FC615" s="2">
        <f t="shared" ref="FC615:FD615" si="10188">BV615*$BT615+CQ615*$CO615</f>
        <v>0</v>
      </c>
      <c r="FD615" s="2">
        <f t="shared" si="10188"/>
        <v>0</v>
      </c>
      <c r="FE615" s="2">
        <f t="shared" ref="FE615:FJ615" si="10189">(BX615*$BT615+CS615*$CO615)/100</f>
        <v>0</v>
      </c>
      <c r="FF615" s="2">
        <f t="shared" si="10189"/>
        <v>0</v>
      </c>
      <c r="FG615" s="2">
        <f t="shared" si="10189"/>
        <v>0</v>
      </c>
      <c r="FH615" s="2">
        <f t="shared" si="10189"/>
        <v>0</v>
      </c>
      <c r="FI615" s="2">
        <f t="shared" si="10189"/>
        <v>0</v>
      </c>
      <c r="FJ615" s="2">
        <f t="shared" si="10189"/>
        <v>0</v>
      </c>
      <c r="FK615" s="2">
        <f t="shared" ref="FK615:FO615" si="10190">CD615*$BT615+CY615*$CO615</f>
        <v>0</v>
      </c>
      <c r="FL615" s="2">
        <f t="shared" si="10190"/>
        <v>0</v>
      </c>
      <c r="FM615" s="2">
        <f t="shared" si="10190"/>
        <v>0</v>
      </c>
      <c r="FN615" s="2">
        <f t="shared" si="10190"/>
        <v>0</v>
      </c>
      <c r="FO615" s="2">
        <f t="shared" si="10190"/>
        <v>0</v>
      </c>
      <c r="FP615" s="2">
        <f t="shared" ref="FP615:FQ615" si="10191">(CI615*$BT615+DD615*$CO615)/100</f>
        <v>0</v>
      </c>
      <c r="FQ615" s="2">
        <f t="shared" si="10191"/>
        <v>0</v>
      </c>
      <c r="FR615" s="2"/>
      <c r="FS615" s="2">
        <f t="shared" si="8572"/>
        <v>0</v>
      </c>
      <c r="FT615" s="2">
        <f t="shared" si="8573"/>
        <v>0</v>
      </c>
      <c r="FU615" s="39">
        <f t="shared" si="8574"/>
        <v>0</v>
      </c>
      <c r="FV615" s="39">
        <f t="shared" ref="FV615:FW615" si="10192">FV$1*FC615/1000000</f>
        <v>0</v>
      </c>
      <c r="FW615" s="39">
        <f t="shared" si="10192"/>
        <v>0</v>
      </c>
      <c r="FX615" s="39">
        <f t="shared" ref="FX615:GC615" si="10193">FX$1*FE615</f>
        <v>0</v>
      </c>
      <c r="FY615" s="39">
        <f t="shared" si="10193"/>
        <v>0</v>
      </c>
      <c r="FZ615" s="39">
        <f t="shared" si="10193"/>
        <v>0</v>
      </c>
      <c r="GA615" s="39">
        <f t="shared" si="10193"/>
        <v>0</v>
      </c>
      <c r="GB615" s="39">
        <f t="shared" si="10193"/>
        <v>0</v>
      </c>
      <c r="GC615" s="39">
        <f t="shared" si="10193"/>
        <v>0</v>
      </c>
      <c r="GD615" s="39">
        <f t="shared" ref="GD615:GH615" si="10194">GD$1*FK615/1000000</f>
        <v>0</v>
      </c>
      <c r="GE615" s="39">
        <f t="shared" si="10194"/>
        <v>0</v>
      </c>
      <c r="GF615" s="39">
        <f t="shared" si="10194"/>
        <v>0</v>
      </c>
      <c r="GG615" s="39">
        <f t="shared" si="10194"/>
        <v>0</v>
      </c>
      <c r="GH615" s="39">
        <f t="shared" si="10194"/>
        <v>0</v>
      </c>
      <c r="GI615" s="39">
        <f t="shared" ref="GI615:GJ615" si="10195">GI$1*FP615</f>
        <v>0</v>
      </c>
      <c r="GJ615" s="39">
        <f t="shared" si="10195"/>
        <v>0</v>
      </c>
      <c r="GK615" s="2"/>
      <c r="GL615" s="39">
        <f t="shared" si="8579"/>
        <v>0</v>
      </c>
      <c r="GM615" s="39">
        <f t="shared" si="8580"/>
        <v>0</v>
      </c>
      <c r="GN615" s="2" t="s">
        <v>3</v>
      </c>
      <c r="GO615" s="2">
        <f t="shared" si="8581"/>
        <v>7.0000000000000007E-2</v>
      </c>
      <c r="GP615" s="2">
        <f t="shared" si="8582"/>
        <v>0.46</v>
      </c>
      <c r="GQ615" s="15">
        <f t="shared" si="8583"/>
        <v>0.32200000000000001</v>
      </c>
      <c r="GR615" s="15">
        <f t="shared" si="8584"/>
        <v>5.4560494240000015</v>
      </c>
      <c r="GS615" s="15">
        <f t="shared" si="8585"/>
        <v>77.943563200000014</v>
      </c>
      <c r="GT615" s="2">
        <f t="shared" si="8586"/>
        <v>0</v>
      </c>
      <c r="GU615" s="2">
        <f t="shared" si="8587"/>
        <v>0</v>
      </c>
      <c r="GV615" s="2">
        <f t="shared" si="8588"/>
        <v>0.32200000000000001</v>
      </c>
      <c r="GW615" s="2">
        <f t="shared" si="8589"/>
        <v>0</v>
      </c>
      <c r="GX615" s="2"/>
      <c r="GY615" s="2"/>
      <c r="GZ615" s="2"/>
      <c r="HA615" s="2"/>
      <c r="HB615" s="2">
        <f t="shared" si="8590"/>
        <v>0</v>
      </c>
      <c r="HC615" s="2">
        <f t="shared" si="8591"/>
        <v>0</v>
      </c>
      <c r="HD615" s="2" t="s">
        <v>3</v>
      </c>
      <c r="HE615" s="2" t="s">
        <v>89</v>
      </c>
      <c r="HF615" s="2" t="s">
        <v>123</v>
      </c>
      <c r="HG615" s="2"/>
      <c r="HH615" s="2"/>
      <c r="HI615" s="2" t="s">
        <v>100</v>
      </c>
      <c r="HJ615" s="2" t="s">
        <v>3</v>
      </c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 t="s">
        <v>3</v>
      </c>
    </row>
    <row r="616" spans="1:268" ht="15.75" customHeight="1" x14ac:dyDescent="0.2">
      <c r="A616" s="16" t="s">
        <v>1069</v>
      </c>
      <c r="B616" s="2" t="s">
        <v>99</v>
      </c>
      <c r="C616" s="2"/>
      <c r="D616" s="2"/>
      <c r="E616" s="2"/>
      <c r="F616" s="2" t="s">
        <v>79</v>
      </c>
      <c r="G616" s="2"/>
      <c r="H616" s="2"/>
      <c r="I616" s="2">
        <v>0</v>
      </c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>
        <v>0</v>
      </c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>
        <v>4.24</v>
      </c>
      <c r="AZ616" s="2">
        <v>0.06</v>
      </c>
      <c r="BA616" s="2"/>
      <c r="BB616" s="2"/>
      <c r="BC616" s="2"/>
      <c r="BD616" s="2"/>
      <c r="BE616" s="2"/>
      <c r="BF616" s="2"/>
      <c r="BG616" s="2">
        <v>0.61</v>
      </c>
      <c r="BH616" s="2">
        <v>0.02</v>
      </c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>
        <v>0</v>
      </c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>
        <v>0</v>
      </c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 t="s">
        <v>100</v>
      </c>
      <c r="DK616" s="2" t="s">
        <v>100</v>
      </c>
      <c r="DL616" s="2">
        <f t="shared" si="8551"/>
        <v>0.61</v>
      </c>
      <c r="DM616" s="2">
        <f t="shared" si="8552"/>
        <v>0.02</v>
      </c>
      <c r="DN616" s="2" t="s">
        <v>521</v>
      </c>
      <c r="DO616" s="2" t="s">
        <v>3</v>
      </c>
      <c r="DP616" s="2">
        <f t="shared" si="8553"/>
        <v>2.5440000000000003E-3</v>
      </c>
      <c r="DQ616" s="2">
        <f t="shared" ref="DQ616:DR616" si="10196">K616*$I616+AF616*$AD616+BA616*$AY616</f>
        <v>0</v>
      </c>
      <c r="DR616" s="2">
        <f t="shared" si="10196"/>
        <v>0</v>
      </c>
      <c r="DS616" s="2">
        <f t="shared" ref="DS616:DX616" si="10197">(M616*$I616+AH616*$AD616+BC616*$AY616)/100</f>
        <v>0</v>
      </c>
      <c r="DT616" s="2">
        <f t="shared" si="10197"/>
        <v>0</v>
      </c>
      <c r="DU616" s="2">
        <f t="shared" si="10197"/>
        <v>0</v>
      </c>
      <c r="DV616" s="2">
        <f t="shared" si="10197"/>
        <v>0</v>
      </c>
      <c r="DW616" s="2">
        <f t="shared" si="10197"/>
        <v>2.5864000000000002E-2</v>
      </c>
      <c r="DX616" s="2">
        <f t="shared" si="10197"/>
        <v>8.4800000000000001E-4</v>
      </c>
      <c r="DY616" s="2">
        <f t="shared" ref="DY616:EC616" si="10198">S616*$I616+AN616*$AD616+BI616*$AY616</f>
        <v>0</v>
      </c>
      <c r="DZ616" s="2">
        <f t="shared" si="10198"/>
        <v>0</v>
      </c>
      <c r="EA616" s="2">
        <f t="shared" si="10198"/>
        <v>0</v>
      </c>
      <c r="EB616" s="2">
        <f t="shared" si="10198"/>
        <v>0</v>
      </c>
      <c r="EC616" s="2">
        <f t="shared" si="10198"/>
        <v>0</v>
      </c>
      <c r="ED616" s="2">
        <f t="shared" ref="ED616:EE616" si="10199">(X616*$I616+AS616*$AD616+BN616*$AY616)/100</f>
        <v>0</v>
      </c>
      <c r="EE616" s="2">
        <f t="shared" si="10199"/>
        <v>0</v>
      </c>
      <c r="EF616" s="2"/>
      <c r="EG616" s="2">
        <f t="shared" si="8558"/>
        <v>0</v>
      </c>
      <c r="EH616" s="2">
        <f t="shared" si="8559"/>
        <v>0</v>
      </c>
      <c r="EI616" s="39">
        <f t="shared" si="8560"/>
        <v>16.601167104000002</v>
      </c>
      <c r="EJ616" s="39">
        <f t="shared" ref="EJ616:EK616" si="10200">EJ$1*DQ616/1000000</f>
        <v>0</v>
      </c>
      <c r="EK616" s="39">
        <f t="shared" si="10200"/>
        <v>0</v>
      </c>
      <c r="EL616" s="39">
        <f t="shared" ref="EL616:EQ616" si="10201">EL$1*DS616</f>
        <v>0</v>
      </c>
      <c r="EM616" s="39">
        <f t="shared" si="10201"/>
        <v>0</v>
      </c>
      <c r="EN616" s="39">
        <f t="shared" si="10201"/>
        <v>0</v>
      </c>
      <c r="EO616" s="39">
        <f t="shared" si="10201"/>
        <v>0</v>
      </c>
      <c r="EP616" s="39">
        <f t="shared" si="10201"/>
        <v>339.18049600000001</v>
      </c>
      <c r="EQ616" s="39">
        <f t="shared" si="10201"/>
        <v>61.581356351999993</v>
      </c>
      <c r="ER616" s="39">
        <f t="shared" ref="ER616:EV616" si="10202">ER$1*DY616/1000000</f>
        <v>0</v>
      </c>
      <c r="ES616" s="39">
        <f t="shared" si="10202"/>
        <v>0</v>
      </c>
      <c r="ET616" s="39">
        <f t="shared" si="10202"/>
        <v>0</v>
      </c>
      <c r="EU616" s="39">
        <f t="shared" si="10202"/>
        <v>0</v>
      </c>
      <c r="EV616" s="39">
        <f t="shared" si="10202"/>
        <v>0</v>
      </c>
      <c r="EW616" s="39">
        <f t="shared" ref="EW616:EX616" si="10203">EW$1*ED616</f>
        <v>0</v>
      </c>
      <c r="EX616" s="39">
        <f t="shared" si="10203"/>
        <v>0</v>
      </c>
      <c r="EY616" s="2"/>
      <c r="EZ616" s="39">
        <f t="shared" si="8565"/>
        <v>0</v>
      </c>
      <c r="FA616" s="39">
        <f t="shared" si="8566"/>
        <v>0</v>
      </c>
      <c r="FB616" s="2">
        <f t="shared" si="8567"/>
        <v>0</v>
      </c>
      <c r="FC616" s="2">
        <f t="shared" ref="FC616:FD616" si="10204">BV616*$BT616+CQ616*$CO616</f>
        <v>0</v>
      </c>
      <c r="FD616" s="2">
        <f t="shared" si="10204"/>
        <v>0</v>
      </c>
      <c r="FE616" s="2">
        <f t="shared" ref="FE616:FJ616" si="10205">(BX616*$BT616+CS616*$CO616)/100</f>
        <v>0</v>
      </c>
      <c r="FF616" s="2">
        <f t="shared" si="10205"/>
        <v>0</v>
      </c>
      <c r="FG616" s="2">
        <f t="shared" si="10205"/>
        <v>0</v>
      </c>
      <c r="FH616" s="2">
        <f t="shared" si="10205"/>
        <v>0</v>
      </c>
      <c r="FI616" s="2">
        <f t="shared" si="10205"/>
        <v>0</v>
      </c>
      <c r="FJ616" s="2">
        <f t="shared" si="10205"/>
        <v>0</v>
      </c>
      <c r="FK616" s="2">
        <f t="shared" ref="FK616:FO616" si="10206">CD616*$BT616+CY616*$CO616</f>
        <v>0</v>
      </c>
      <c r="FL616" s="2">
        <f t="shared" si="10206"/>
        <v>0</v>
      </c>
      <c r="FM616" s="2">
        <f t="shared" si="10206"/>
        <v>0</v>
      </c>
      <c r="FN616" s="2">
        <f t="shared" si="10206"/>
        <v>0</v>
      </c>
      <c r="FO616" s="2">
        <f t="shared" si="10206"/>
        <v>0</v>
      </c>
      <c r="FP616" s="2">
        <f t="shared" ref="FP616:FQ616" si="10207">(CI616*$BT616+DD616*$CO616)/100</f>
        <v>0</v>
      </c>
      <c r="FQ616" s="2">
        <f t="shared" si="10207"/>
        <v>0</v>
      </c>
      <c r="FR616" s="2"/>
      <c r="FS616" s="2">
        <f t="shared" si="8572"/>
        <v>0</v>
      </c>
      <c r="FT616" s="2">
        <f t="shared" si="8573"/>
        <v>0</v>
      </c>
      <c r="FU616" s="39">
        <f t="shared" si="8574"/>
        <v>0</v>
      </c>
      <c r="FV616" s="39">
        <f t="shared" ref="FV616:FW616" si="10208">FV$1*FC616/1000000</f>
        <v>0</v>
      </c>
      <c r="FW616" s="39">
        <f t="shared" si="10208"/>
        <v>0</v>
      </c>
      <c r="FX616" s="39">
        <f t="shared" ref="FX616:GC616" si="10209">FX$1*FE616</f>
        <v>0</v>
      </c>
      <c r="FY616" s="39">
        <f t="shared" si="10209"/>
        <v>0</v>
      </c>
      <c r="FZ616" s="39">
        <f t="shared" si="10209"/>
        <v>0</v>
      </c>
      <c r="GA616" s="39">
        <f t="shared" si="10209"/>
        <v>0</v>
      </c>
      <c r="GB616" s="39">
        <f t="shared" si="10209"/>
        <v>0</v>
      </c>
      <c r="GC616" s="39">
        <f t="shared" si="10209"/>
        <v>0</v>
      </c>
      <c r="GD616" s="39">
        <f t="shared" ref="GD616:GH616" si="10210">GD$1*FK616/1000000</f>
        <v>0</v>
      </c>
      <c r="GE616" s="39">
        <f t="shared" si="10210"/>
        <v>0</v>
      </c>
      <c r="GF616" s="39">
        <f t="shared" si="10210"/>
        <v>0</v>
      </c>
      <c r="GG616" s="39">
        <f t="shared" si="10210"/>
        <v>0</v>
      </c>
      <c r="GH616" s="39">
        <f t="shared" si="10210"/>
        <v>0</v>
      </c>
      <c r="GI616" s="39">
        <f t="shared" ref="GI616:GJ616" si="10211">GI$1*FP616</f>
        <v>0</v>
      </c>
      <c r="GJ616" s="39">
        <f t="shared" si="10211"/>
        <v>0</v>
      </c>
      <c r="GK616" s="2"/>
      <c r="GL616" s="39">
        <f t="shared" si="8579"/>
        <v>0</v>
      </c>
      <c r="GM616" s="39">
        <f t="shared" si="8580"/>
        <v>0</v>
      </c>
      <c r="GN616" s="2" t="s">
        <v>3</v>
      </c>
      <c r="GO616" s="2">
        <f t="shared" si="8581"/>
        <v>4.24</v>
      </c>
      <c r="GP616" s="2">
        <f t="shared" si="8582"/>
        <v>0.61</v>
      </c>
      <c r="GQ616" s="15">
        <f t="shared" si="8583"/>
        <v>25.864000000000001</v>
      </c>
      <c r="GR616" s="15">
        <f t="shared" si="8584"/>
        <v>417.36301945600002</v>
      </c>
      <c r="GS616" s="15">
        <f t="shared" si="8585"/>
        <v>98.434674400000006</v>
      </c>
      <c r="GT616" s="2">
        <f t="shared" si="8586"/>
        <v>0</v>
      </c>
      <c r="GU616" s="2">
        <f t="shared" si="8587"/>
        <v>0</v>
      </c>
      <c r="GV616" s="2">
        <f t="shared" si="8588"/>
        <v>25.864000000000001</v>
      </c>
      <c r="GW616" s="2">
        <f t="shared" si="8589"/>
        <v>0</v>
      </c>
      <c r="GX616" s="2"/>
      <c r="GY616" s="2"/>
      <c r="GZ616" s="2"/>
      <c r="HA616" s="2"/>
      <c r="HB616" s="2">
        <f t="shared" si="8590"/>
        <v>0</v>
      </c>
      <c r="HC616" s="2">
        <f t="shared" si="8591"/>
        <v>0</v>
      </c>
      <c r="HD616" s="2" t="s">
        <v>3</v>
      </c>
      <c r="HE616" s="2" t="s">
        <v>89</v>
      </c>
      <c r="HF616" s="2" t="s">
        <v>123</v>
      </c>
      <c r="HG616" s="2"/>
      <c r="HH616" s="2"/>
      <c r="HI616" s="2" t="s">
        <v>100</v>
      </c>
      <c r="HJ616" s="2" t="s">
        <v>3</v>
      </c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 t="s">
        <v>3</v>
      </c>
    </row>
    <row r="617" spans="1:268" ht="15.75" customHeight="1" x14ac:dyDescent="0.2">
      <c r="A617" s="16" t="s">
        <v>830</v>
      </c>
      <c r="B617" s="2" t="s">
        <v>99</v>
      </c>
      <c r="C617" s="2"/>
      <c r="D617" s="2"/>
      <c r="E617" s="2"/>
      <c r="F617" s="2" t="s">
        <v>79</v>
      </c>
      <c r="G617" s="2"/>
      <c r="H617" s="2"/>
      <c r="I617" s="2">
        <v>0</v>
      </c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>
        <v>0</v>
      </c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>
        <v>0.16900000000000001</v>
      </c>
      <c r="AZ617" s="2">
        <v>0.19</v>
      </c>
      <c r="BA617" s="2"/>
      <c r="BB617" s="2"/>
      <c r="BC617" s="2"/>
      <c r="BD617" s="2"/>
      <c r="BE617" s="2"/>
      <c r="BF617" s="2"/>
      <c r="BG617" s="2">
        <v>1.29</v>
      </c>
      <c r="BH617" s="2">
        <v>0.02</v>
      </c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>
        <v>0</v>
      </c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>
        <v>0</v>
      </c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 t="s">
        <v>100</v>
      </c>
      <c r="DK617" s="2" t="s">
        <v>100</v>
      </c>
      <c r="DL617" s="2">
        <f t="shared" si="8551"/>
        <v>1.29</v>
      </c>
      <c r="DM617" s="2">
        <f t="shared" si="8552"/>
        <v>0.02</v>
      </c>
      <c r="DN617" s="2" t="s">
        <v>521</v>
      </c>
      <c r="DO617" s="2" t="s">
        <v>3</v>
      </c>
      <c r="DP617" s="2">
        <f t="shared" si="8553"/>
        <v>3.211E-4</v>
      </c>
      <c r="DQ617" s="2">
        <f t="shared" ref="DQ617:DR617" si="10212">K617*$I617+AF617*$AD617+BA617*$AY617</f>
        <v>0</v>
      </c>
      <c r="DR617" s="2">
        <f t="shared" si="10212"/>
        <v>0</v>
      </c>
      <c r="DS617" s="2">
        <f t="shared" ref="DS617:DX617" si="10213">(M617*$I617+AH617*$AD617+BC617*$AY617)/100</f>
        <v>0</v>
      </c>
      <c r="DT617" s="2">
        <f t="shared" si="10213"/>
        <v>0</v>
      </c>
      <c r="DU617" s="2">
        <f t="shared" si="10213"/>
        <v>0</v>
      </c>
      <c r="DV617" s="2">
        <f t="shared" si="10213"/>
        <v>0</v>
      </c>
      <c r="DW617" s="2">
        <f t="shared" si="10213"/>
        <v>2.1800999999999999E-3</v>
      </c>
      <c r="DX617" s="2">
        <f t="shared" si="10213"/>
        <v>3.3800000000000002E-5</v>
      </c>
      <c r="DY617" s="2">
        <f t="shared" ref="DY617:EC617" si="10214">S617*$I617+AN617*$AD617+BI617*$AY617</f>
        <v>0</v>
      </c>
      <c r="DZ617" s="2">
        <f t="shared" si="10214"/>
        <v>0</v>
      </c>
      <c r="EA617" s="2">
        <f t="shared" si="10214"/>
        <v>0</v>
      </c>
      <c r="EB617" s="2">
        <f t="shared" si="10214"/>
        <v>0</v>
      </c>
      <c r="EC617" s="2">
        <f t="shared" si="10214"/>
        <v>0</v>
      </c>
      <c r="ED617" s="2">
        <f t="shared" ref="ED617:EE617" si="10215">(X617*$I617+AS617*$AD617+BN617*$AY617)/100</f>
        <v>0</v>
      </c>
      <c r="EE617" s="2">
        <f t="shared" si="10215"/>
        <v>0</v>
      </c>
      <c r="EF617" s="2"/>
      <c r="EG617" s="2">
        <f t="shared" si="8558"/>
        <v>0</v>
      </c>
      <c r="EH617" s="2">
        <f t="shared" si="8559"/>
        <v>0</v>
      </c>
      <c r="EI617" s="39">
        <f t="shared" si="8560"/>
        <v>2.0953752976</v>
      </c>
      <c r="EJ617" s="39">
        <f t="shared" ref="EJ617:EK617" si="10216">EJ$1*DQ617/1000000</f>
        <v>0</v>
      </c>
      <c r="EK617" s="39">
        <f t="shared" si="10216"/>
        <v>0</v>
      </c>
      <c r="EL617" s="39">
        <f t="shared" ref="EL617:EQ617" si="10217">EL$1*DS617</f>
        <v>0</v>
      </c>
      <c r="EM617" s="39">
        <f t="shared" si="10217"/>
        <v>0</v>
      </c>
      <c r="EN617" s="39">
        <f t="shared" si="10217"/>
        <v>0</v>
      </c>
      <c r="EO617" s="39">
        <f t="shared" si="10217"/>
        <v>0</v>
      </c>
      <c r="EP617" s="39">
        <f t="shared" si="10217"/>
        <v>28.589831399999998</v>
      </c>
      <c r="EQ617" s="39">
        <f t="shared" si="10217"/>
        <v>2.4545399111999999</v>
      </c>
      <c r="ER617" s="39">
        <f t="shared" ref="ER617:EV617" si="10218">ER$1*DY617/1000000</f>
        <v>0</v>
      </c>
      <c r="ES617" s="39">
        <f t="shared" si="10218"/>
        <v>0</v>
      </c>
      <c r="ET617" s="39">
        <f t="shared" si="10218"/>
        <v>0</v>
      </c>
      <c r="EU617" s="39">
        <f t="shared" si="10218"/>
        <v>0</v>
      </c>
      <c r="EV617" s="39">
        <f t="shared" si="10218"/>
        <v>0</v>
      </c>
      <c r="EW617" s="39">
        <f t="shared" ref="EW617:EX617" si="10219">EW$1*ED617</f>
        <v>0</v>
      </c>
      <c r="EX617" s="39">
        <f t="shared" si="10219"/>
        <v>0</v>
      </c>
      <c r="EY617" s="2"/>
      <c r="EZ617" s="39">
        <f t="shared" si="8565"/>
        <v>0</v>
      </c>
      <c r="FA617" s="39">
        <f t="shared" si="8566"/>
        <v>0</v>
      </c>
      <c r="FB617" s="2">
        <f t="shared" si="8567"/>
        <v>0</v>
      </c>
      <c r="FC617" s="2">
        <f t="shared" ref="FC617:FD617" si="10220">BV617*$BT617+CQ617*$CO617</f>
        <v>0</v>
      </c>
      <c r="FD617" s="2">
        <f t="shared" si="10220"/>
        <v>0</v>
      </c>
      <c r="FE617" s="2">
        <f t="shared" ref="FE617:FJ617" si="10221">(BX617*$BT617+CS617*$CO617)/100</f>
        <v>0</v>
      </c>
      <c r="FF617" s="2">
        <f t="shared" si="10221"/>
        <v>0</v>
      </c>
      <c r="FG617" s="2">
        <f t="shared" si="10221"/>
        <v>0</v>
      </c>
      <c r="FH617" s="2">
        <f t="shared" si="10221"/>
        <v>0</v>
      </c>
      <c r="FI617" s="2">
        <f t="shared" si="10221"/>
        <v>0</v>
      </c>
      <c r="FJ617" s="2">
        <f t="shared" si="10221"/>
        <v>0</v>
      </c>
      <c r="FK617" s="2">
        <f t="shared" ref="FK617:FO617" si="10222">CD617*$BT617+CY617*$CO617</f>
        <v>0</v>
      </c>
      <c r="FL617" s="2">
        <f t="shared" si="10222"/>
        <v>0</v>
      </c>
      <c r="FM617" s="2">
        <f t="shared" si="10222"/>
        <v>0</v>
      </c>
      <c r="FN617" s="2">
        <f t="shared" si="10222"/>
        <v>0</v>
      </c>
      <c r="FO617" s="2">
        <f t="shared" si="10222"/>
        <v>0</v>
      </c>
      <c r="FP617" s="2">
        <f t="shared" ref="FP617:FQ617" si="10223">(CI617*$BT617+DD617*$CO617)/100</f>
        <v>0</v>
      </c>
      <c r="FQ617" s="2">
        <f t="shared" si="10223"/>
        <v>0</v>
      </c>
      <c r="FR617" s="2"/>
      <c r="FS617" s="2">
        <f t="shared" si="8572"/>
        <v>0</v>
      </c>
      <c r="FT617" s="2">
        <f t="shared" si="8573"/>
        <v>0</v>
      </c>
      <c r="FU617" s="39">
        <f t="shared" si="8574"/>
        <v>0</v>
      </c>
      <c r="FV617" s="39">
        <f t="shared" ref="FV617:FW617" si="10224">FV$1*FC617/1000000</f>
        <v>0</v>
      </c>
      <c r="FW617" s="39">
        <f t="shared" si="10224"/>
        <v>0</v>
      </c>
      <c r="FX617" s="39">
        <f t="shared" ref="FX617:GC617" si="10225">FX$1*FE617</f>
        <v>0</v>
      </c>
      <c r="FY617" s="39">
        <f t="shared" si="10225"/>
        <v>0</v>
      </c>
      <c r="FZ617" s="39">
        <f t="shared" si="10225"/>
        <v>0</v>
      </c>
      <c r="GA617" s="39">
        <f t="shared" si="10225"/>
        <v>0</v>
      </c>
      <c r="GB617" s="39">
        <f t="shared" si="10225"/>
        <v>0</v>
      </c>
      <c r="GC617" s="39">
        <f t="shared" si="10225"/>
        <v>0</v>
      </c>
      <c r="GD617" s="39">
        <f t="shared" ref="GD617:GH617" si="10226">GD$1*FK617/1000000</f>
        <v>0</v>
      </c>
      <c r="GE617" s="39">
        <f t="shared" si="10226"/>
        <v>0</v>
      </c>
      <c r="GF617" s="39">
        <f t="shared" si="10226"/>
        <v>0</v>
      </c>
      <c r="GG617" s="39">
        <f t="shared" si="10226"/>
        <v>0</v>
      </c>
      <c r="GH617" s="39">
        <f t="shared" si="10226"/>
        <v>0</v>
      </c>
      <c r="GI617" s="39">
        <f t="shared" ref="GI617:GJ617" si="10227">GI$1*FP617</f>
        <v>0</v>
      </c>
      <c r="GJ617" s="39">
        <f t="shared" si="10227"/>
        <v>0</v>
      </c>
      <c r="GK617" s="2"/>
      <c r="GL617" s="39">
        <f t="shared" si="8579"/>
        <v>0</v>
      </c>
      <c r="GM617" s="39">
        <f t="shared" si="8580"/>
        <v>0</v>
      </c>
      <c r="GN617" s="2" t="s">
        <v>3</v>
      </c>
      <c r="GO617" s="2">
        <f t="shared" si="8581"/>
        <v>0.16900000000000001</v>
      </c>
      <c r="GP617" s="2">
        <f t="shared" si="8582"/>
        <v>1.29</v>
      </c>
      <c r="GQ617" s="15">
        <f t="shared" si="8583"/>
        <v>2.1801000000000004</v>
      </c>
      <c r="GR617" s="15">
        <f t="shared" si="8584"/>
        <v>33.139746608799996</v>
      </c>
      <c r="GS617" s="15">
        <f t="shared" si="8585"/>
        <v>196.09317519999996</v>
      </c>
      <c r="GT617" s="2">
        <f t="shared" si="8586"/>
        <v>0</v>
      </c>
      <c r="GU617" s="2">
        <f t="shared" si="8587"/>
        <v>0</v>
      </c>
      <c r="GV617" s="2">
        <f t="shared" si="8588"/>
        <v>2.1801000000000004</v>
      </c>
      <c r="GW617" s="2">
        <f t="shared" si="8589"/>
        <v>0</v>
      </c>
      <c r="GX617" s="2"/>
      <c r="GY617" s="2"/>
      <c r="GZ617" s="2"/>
      <c r="HA617" s="2"/>
      <c r="HB617" s="2">
        <f t="shared" si="8590"/>
        <v>0</v>
      </c>
      <c r="HC617" s="2">
        <f t="shared" si="8591"/>
        <v>0</v>
      </c>
      <c r="HD617" s="2" t="s">
        <v>3</v>
      </c>
      <c r="HE617" s="2" t="s">
        <v>89</v>
      </c>
      <c r="HF617" s="2" t="s">
        <v>123</v>
      </c>
      <c r="HG617" s="2"/>
      <c r="HH617" s="2"/>
      <c r="HI617" s="2" t="s">
        <v>100</v>
      </c>
      <c r="HJ617" s="2" t="s">
        <v>3</v>
      </c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 t="s">
        <v>3</v>
      </c>
    </row>
    <row r="618" spans="1:268" ht="15.75" customHeight="1" x14ac:dyDescent="0.2">
      <c r="A618" s="16" t="s">
        <v>480</v>
      </c>
      <c r="B618" s="2" t="s">
        <v>99</v>
      </c>
      <c r="C618" s="2"/>
      <c r="D618" s="2"/>
      <c r="E618" s="2"/>
      <c r="F618" s="2" t="s">
        <v>79</v>
      </c>
      <c r="G618" s="2"/>
      <c r="H618" s="2"/>
      <c r="I618" s="2">
        <v>0</v>
      </c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>
        <v>0</v>
      </c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15">
        <f>0.8*0.9072</f>
        <v>0.72576000000000007</v>
      </c>
      <c r="AZ618" s="2"/>
      <c r="BA618" s="2"/>
      <c r="BB618" s="2"/>
      <c r="BC618" s="2"/>
      <c r="BD618" s="2"/>
      <c r="BE618" s="2"/>
      <c r="BF618" s="2"/>
      <c r="BG618" s="2">
        <v>0.7</v>
      </c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>
        <v>0</v>
      </c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>
        <v>0</v>
      </c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 t="s">
        <v>100</v>
      </c>
      <c r="DK618" s="2"/>
      <c r="DL618" s="2">
        <f t="shared" si="8551"/>
        <v>0.7</v>
      </c>
      <c r="DM618" s="2">
        <f t="shared" si="8552"/>
        <v>0</v>
      </c>
      <c r="DN618" s="2" t="s">
        <v>481</v>
      </c>
      <c r="DO618" s="2" t="s">
        <v>3</v>
      </c>
      <c r="DP618" s="2">
        <f t="shared" si="8553"/>
        <v>0</v>
      </c>
      <c r="DQ618" s="2">
        <f t="shared" ref="DQ618:DR618" si="10228">K618*$I618+AF618*$AD618+BA618*$AY618</f>
        <v>0</v>
      </c>
      <c r="DR618" s="2">
        <f t="shared" si="10228"/>
        <v>0</v>
      </c>
      <c r="DS618" s="2">
        <f t="shared" ref="DS618:DX618" si="10229">(M618*$I618+AH618*$AD618+BC618*$AY618)/100</f>
        <v>0</v>
      </c>
      <c r="DT618" s="2">
        <f t="shared" si="10229"/>
        <v>0</v>
      </c>
      <c r="DU618" s="2">
        <f t="shared" si="10229"/>
        <v>0</v>
      </c>
      <c r="DV618" s="2">
        <f t="shared" si="10229"/>
        <v>0</v>
      </c>
      <c r="DW618" s="2">
        <f t="shared" si="10229"/>
        <v>5.0803200000000001E-3</v>
      </c>
      <c r="DX618" s="2">
        <f t="shared" si="10229"/>
        <v>0</v>
      </c>
      <c r="DY618" s="2">
        <f t="shared" ref="DY618:EC618" si="10230">S618*$I618+AN618*$AD618+BI618*$AY618</f>
        <v>0</v>
      </c>
      <c r="DZ618" s="2">
        <f t="shared" si="10230"/>
        <v>0</v>
      </c>
      <c r="EA618" s="2">
        <f t="shared" si="10230"/>
        <v>0</v>
      </c>
      <c r="EB618" s="2">
        <f t="shared" si="10230"/>
        <v>0</v>
      </c>
      <c r="EC618" s="2">
        <f t="shared" si="10230"/>
        <v>0</v>
      </c>
      <c r="ED618" s="2">
        <f t="shared" ref="ED618:EE618" si="10231">(X618*$I618+AS618*$AD618+BN618*$AY618)/100</f>
        <v>0</v>
      </c>
      <c r="EE618" s="2">
        <f t="shared" si="10231"/>
        <v>0</v>
      </c>
      <c r="EF618" s="2"/>
      <c r="EG618" s="2">
        <f t="shared" si="8558"/>
        <v>0</v>
      </c>
      <c r="EH618" s="2">
        <f t="shared" si="8559"/>
        <v>0</v>
      </c>
      <c r="EI618" s="39">
        <f t="shared" si="8560"/>
        <v>0</v>
      </c>
      <c r="EJ618" s="39">
        <f t="shared" ref="EJ618:EK618" si="10232">EJ$1*DQ618/1000000</f>
        <v>0</v>
      </c>
      <c r="EK618" s="39">
        <f t="shared" si="10232"/>
        <v>0</v>
      </c>
      <c r="EL618" s="39">
        <f t="shared" ref="EL618:EQ618" si="10233">EL$1*DS618</f>
        <v>0</v>
      </c>
      <c r="EM618" s="39">
        <f t="shared" si="10233"/>
        <v>0</v>
      </c>
      <c r="EN618" s="39">
        <f t="shared" si="10233"/>
        <v>0</v>
      </c>
      <c r="EO618" s="39">
        <f t="shared" si="10233"/>
        <v>0</v>
      </c>
      <c r="EP618" s="39">
        <f t="shared" si="10233"/>
        <v>66.62331648</v>
      </c>
      <c r="EQ618" s="39">
        <f t="shared" si="10233"/>
        <v>0</v>
      </c>
      <c r="ER618" s="39">
        <f t="shared" ref="ER618:EV618" si="10234">ER$1*DY618/1000000</f>
        <v>0</v>
      </c>
      <c r="ES618" s="39">
        <f t="shared" si="10234"/>
        <v>0</v>
      </c>
      <c r="ET618" s="39">
        <f t="shared" si="10234"/>
        <v>0</v>
      </c>
      <c r="EU618" s="39">
        <f t="shared" si="10234"/>
        <v>0</v>
      </c>
      <c r="EV618" s="39">
        <f t="shared" si="10234"/>
        <v>0</v>
      </c>
      <c r="EW618" s="39">
        <f t="shared" ref="EW618:EX618" si="10235">EW$1*ED618</f>
        <v>0</v>
      </c>
      <c r="EX618" s="39">
        <f t="shared" si="10235"/>
        <v>0</v>
      </c>
      <c r="EY618" s="2"/>
      <c r="EZ618" s="39">
        <f t="shared" si="8565"/>
        <v>0</v>
      </c>
      <c r="FA618" s="39">
        <f t="shared" si="8566"/>
        <v>0</v>
      </c>
      <c r="FB618" s="2">
        <f t="shared" si="8567"/>
        <v>0</v>
      </c>
      <c r="FC618" s="2">
        <f t="shared" ref="FC618:FD618" si="10236">BV618*$BT618+CQ618*$CO618</f>
        <v>0</v>
      </c>
      <c r="FD618" s="2">
        <f t="shared" si="10236"/>
        <v>0</v>
      </c>
      <c r="FE618" s="2">
        <f t="shared" ref="FE618:FJ618" si="10237">(BX618*$BT618+CS618*$CO618)/100</f>
        <v>0</v>
      </c>
      <c r="FF618" s="2">
        <f t="shared" si="10237"/>
        <v>0</v>
      </c>
      <c r="FG618" s="2">
        <f t="shared" si="10237"/>
        <v>0</v>
      </c>
      <c r="FH618" s="2">
        <f t="shared" si="10237"/>
        <v>0</v>
      </c>
      <c r="FI618" s="2">
        <f t="shared" si="10237"/>
        <v>0</v>
      </c>
      <c r="FJ618" s="2">
        <f t="shared" si="10237"/>
        <v>0</v>
      </c>
      <c r="FK618" s="2">
        <f t="shared" ref="FK618:FO618" si="10238">CD618*$BT618+CY618*$CO618</f>
        <v>0</v>
      </c>
      <c r="FL618" s="2">
        <f t="shared" si="10238"/>
        <v>0</v>
      </c>
      <c r="FM618" s="2">
        <f t="shared" si="10238"/>
        <v>0</v>
      </c>
      <c r="FN618" s="2">
        <f t="shared" si="10238"/>
        <v>0</v>
      </c>
      <c r="FO618" s="2">
        <f t="shared" si="10238"/>
        <v>0</v>
      </c>
      <c r="FP618" s="2">
        <f t="shared" ref="FP618:FQ618" si="10239">(CI618*$BT618+DD618*$CO618)/100</f>
        <v>0</v>
      </c>
      <c r="FQ618" s="2">
        <f t="shared" si="10239"/>
        <v>0</v>
      </c>
      <c r="FR618" s="2"/>
      <c r="FS618" s="2">
        <f t="shared" si="8572"/>
        <v>0</v>
      </c>
      <c r="FT618" s="2">
        <f t="shared" si="8573"/>
        <v>0</v>
      </c>
      <c r="FU618" s="39">
        <f t="shared" si="8574"/>
        <v>0</v>
      </c>
      <c r="FV618" s="39">
        <f t="shared" ref="FV618:FW618" si="10240">FV$1*FC618/1000000</f>
        <v>0</v>
      </c>
      <c r="FW618" s="39">
        <f t="shared" si="10240"/>
        <v>0</v>
      </c>
      <c r="FX618" s="39">
        <f t="shared" ref="FX618:GC618" si="10241">FX$1*FE618</f>
        <v>0</v>
      </c>
      <c r="FY618" s="39">
        <f t="shared" si="10241"/>
        <v>0</v>
      </c>
      <c r="FZ618" s="39">
        <f t="shared" si="10241"/>
        <v>0</v>
      </c>
      <c r="GA618" s="39">
        <f t="shared" si="10241"/>
        <v>0</v>
      </c>
      <c r="GB618" s="39">
        <f t="shared" si="10241"/>
        <v>0</v>
      </c>
      <c r="GC618" s="39">
        <f t="shared" si="10241"/>
        <v>0</v>
      </c>
      <c r="GD618" s="39">
        <f t="shared" ref="GD618:GH618" si="10242">GD$1*FK618/1000000</f>
        <v>0</v>
      </c>
      <c r="GE618" s="39">
        <f t="shared" si="10242"/>
        <v>0</v>
      </c>
      <c r="GF618" s="39">
        <f t="shared" si="10242"/>
        <v>0</v>
      </c>
      <c r="GG618" s="39">
        <f t="shared" si="10242"/>
        <v>0</v>
      </c>
      <c r="GH618" s="39">
        <f t="shared" si="10242"/>
        <v>0</v>
      </c>
      <c r="GI618" s="39">
        <f t="shared" ref="GI618:GJ618" si="10243">GI$1*FP618</f>
        <v>0</v>
      </c>
      <c r="GJ618" s="39">
        <f t="shared" si="10243"/>
        <v>0</v>
      </c>
      <c r="GK618" s="2"/>
      <c r="GL618" s="39">
        <f t="shared" si="8579"/>
        <v>0</v>
      </c>
      <c r="GM618" s="39">
        <f t="shared" si="8580"/>
        <v>0</v>
      </c>
      <c r="GN618" s="2" t="s">
        <v>3</v>
      </c>
      <c r="GO618" s="19">
        <f t="shared" si="8581"/>
        <v>0.72576000000000007</v>
      </c>
      <c r="GP618" s="2">
        <f t="shared" si="8582"/>
        <v>0.7</v>
      </c>
      <c r="GQ618" s="15">
        <f t="shared" si="8583"/>
        <v>5.0803200000000004</v>
      </c>
      <c r="GR618" s="15">
        <f t="shared" si="8584"/>
        <v>66.62331648</v>
      </c>
      <c r="GS618" s="15">
        <f t="shared" si="8585"/>
        <v>91.797999999999988</v>
      </c>
      <c r="GT618" s="2">
        <f t="shared" si="8586"/>
        <v>0</v>
      </c>
      <c r="GU618" s="2">
        <f t="shared" si="8587"/>
        <v>0</v>
      </c>
      <c r="GV618" s="2">
        <f t="shared" si="8588"/>
        <v>5.0803200000000004</v>
      </c>
      <c r="GW618" s="2">
        <f t="shared" si="8589"/>
        <v>0</v>
      </c>
      <c r="GX618" s="2"/>
      <c r="GY618" s="2"/>
      <c r="GZ618" s="2"/>
      <c r="HA618" s="2"/>
      <c r="HB618" s="2">
        <f t="shared" si="8590"/>
        <v>0</v>
      </c>
      <c r="HC618" s="2">
        <f t="shared" si="8591"/>
        <v>0</v>
      </c>
      <c r="HD618" s="2" t="s">
        <v>3</v>
      </c>
      <c r="HE618" s="2" t="s">
        <v>89</v>
      </c>
      <c r="HF618" s="2" t="s">
        <v>123</v>
      </c>
      <c r="HG618" s="2"/>
      <c r="HH618" s="2"/>
      <c r="HI618" s="2" t="s">
        <v>100</v>
      </c>
      <c r="HJ618" s="2" t="s">
        <v>3</v>
      </c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 t="s">
        <v>3</v>
      </c>
    </row>
    <row r="619" spans="1:268" ht="15.75" customHeight="1" x14ac:dyDescent="0.2">
      <c r="A619" s="16" t="s">
        <v>1122</v>
      </c>
      <c r="B619" s="2" t="s">
        <v>99</v>
      </c>
      <c r="C619" s="2"/>
      <c r="D619" s="2"/>
      <c r="E619" s="2"/>
      <c r="F619" s="2" t="s">
        <v>79</v>
      </c>
      <c r="G619" s="22"/>
      <c r="H619" s="2"/>
      <c r="I619" s="2">
        <v>0</v>
      </c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>
        <v>0</v>
      </c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3">
        <f>(205+7)*0.9072</f>
        <v>192.32640000000001</v>
      </c>
      <c r="AZ619" s="4">
        <f>(0.41*205+0.88*7)/(205+7)</f>
        <v>0.42551886792452825</v>
      </c>
      <c r="BA619" s="2"/>
      <c r="BB619" s="2"/>
      <c r="BC619" s="2"/>
      <c r="BD619" s="2"/>
      <c r="BE619" s="2"/>
      <c r="BF619" s="2"/>
      <c r="BG619" s="4">
        <f>(0.14*205+0.3*7)/(205+7)</f>
        <v>0.14528301886792455</v>
      </c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>
        <v>0</v>
      </c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>
        <v>0</v>
      </c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 t="s">
        <v>100</v>
      </c>
      <c r="DK619" s="2"/>
      <c r="DL619" s="2">
        <f t="shared" si="8551"/>
        <v>0.14528301886792455</v>
      </c>
      <c r="DM619" s="2">
        <f t="shared" si="8552"/>
        <v>0</v>
      </c>
      <c r="DN619" s="2" t="s">
        <v>191</v>
      </c>
      <c r="DO619" s="2" t="s">
        <v>3</v>
      </c>
      <c r="DP619" s="2">
        <f t="shared" si="8553"/>
        <v>0.81838511999999997</v>
      </c>
      <c r="DQ619" s="2">
        <f t="shared" ref="DQ619:DR619" si="10244">K619*$I619+AF619*$AD619+BA619*$AY619</f>
        <v>0</v>
      </c>
      <c r="DR619" s="2">
        <f t="shared" si="10244"/>
        <v>0</v>
      </c>
      <c r="DS619" s="2">
        <f t="shared" ref="DS619:DX619" si="10245">(M619*$I619+AH619*$AD619+BC619*$AY619)/100</f>
        <v>0</v>
      </c>
      <c r="DT619" s="2">
        <f t="shared" si="10245"/>
        <v>0</v>
      </c>
      <c r="DU619" s="2">
        <f t="shared" si="10245"/>
        <v>0</v>
      </c>
      <c r="DV619" s="2">
        <f t="shared" si="10245"/>
        <v>0</v>
      </c>
      <c r="DW619" s="2">
        <f t="shared" si="10245"/>
        <v>0.27941760000000004</v>
      </c>
      <c r="DX619" s="2">
        <f t="shared" si="10245"/>
        <v>0</v>
      </c>
      <c r="DY619" s="2">
        <f t="shared" ref="DY619:EC619" si="10246">S619*$I619+AN619*$AD619+BI619*$AY619</f>
        <v>0</v>
      </c>
      <c r="DZ619" s="2">
        <f t="shared" si="10246"/>
        <v>0</v>
      </c>
      <c r="EA619" s="2">
        <f t="shared" si="10246"/>
        <v>0</v>
      </c>
      <c r="EB619" s="2">
        <f t="shared" si="10246"/>
        <v>0</v>
      </c>
      <c r="EC619" s="2">
        <f t="shared" si="10246"/>
        <v>0</v>
      </c>
      <c r="ED619" s="2">
        <f t="shared" ref="ED619:EE619" si="10247">(X619*$I619+AS619*$AD619+BN619*$AY619)/100</f>
        <v>0</v>
      </c>
      <c r="EE619" s="2">
        <f t="shared" si="10247"/>
        <v>0</v>
      </c>
      <c r="EF619" s="2"/>
      <c r="EG619" s="2">
        <f t="shared" si="8558"/>
        <v>0</v>
      </c>
      <c r="EH619" s="2">
        <f t="shared" si="8559"/>
        <v>0</v>
      </c>
      <c r="EI619" s="39">
        <f t="shared" si="8560"/>
        <v>5340.4670332339201</v>
      </c>
      <c r="EJ619" s="39">
        <f t="shared" ref="EJ619:EK619" si="10248">EJ$1*DQ619/1000000</f>
        <v>0</v>
      </c>
      <c r="EK619" s="39">
        <f t="shared" si="10248"/>
        <v>0</v>
      </c>
      <c r="EL619" s="39">
        <f t="shared" ref="EL619:EQ619" si="10249">EL$1*DS619</f>
        <v>0</v>
      </c>
      <c r="EM619" s="39">
        <f t="shared" si="10249"/>
        <v>0</v>
      </c>
      <c r="EN619" s="39">
        <f t="shared" si="10249"/>
        <v>0</v>
      </c>
      <c r="EO619" s="39">
        <f t="shared" si="10249"/>
        <v>0</v>
      </c>
      <c r="EP619" s="39">
        <f t="shared" si="10249"/>
        <v>3664.2824064000006</v>
      </c>
      <c r="EQ619" s="39">
        <f t="shared" si="10249"/>
        <v>0</v>
      </c>
      <c r="ER619" s="39">
        <f t="shared" ref="ER619:EV619" si="10250">ER$1*DY619/1000000</f>
        <v>0</v>
      </c>
      <c r="ES619" s="39">
        <f t="shared" si="10250"/>
        <v>0</v>
      </c>
      <c r="ET619" s="39">
        <f t="shared" si="10250"/>
        <v>0</v>
      </c>
      <c r="EU619" s="39">
        <f t="shared" si="10250"/>
        <v>0</v>
      </c>
      <c r="EV619" s="39">
        <f t="shared" si="10250"/>
        <v>0</v>
      </c>
      <c r="EW619" s="39">
        <f t="shared" ref="EW619:EX619" si="10251">EW$1*ED619</f>
        <v>0</v>
      </c>
      <c r="EX619" s="39">
        <f t="shared" si="10251"/>
        <v>0</v>
      </c>
      <c r="EY619" s="2"/>
      <c r="EZ619" s="39">
        <f t="shared" si="8565"/>
        <v>0</v>
      </c>
      <c r="FA619" s="39">
        <f t="shared" si="8566"/>
        <v>0</v>
      </c>
      <c r="FB619" s="2">
        <f t="shared" si="8567"/>
        <v>0</v>
      </c>
      <c r="FC619" s="2">
        <f t="shared" ref="FC619:FD619" si="10252">BV619*$BT619+CQ619*$CO619</f>
        <v>0</v>
      </c>
      <c r="FD619" s="2">
        <f t="shared" si="10252"/>
        <v>0</v>
      </c>
      <c r="FE619" s="2">
        <f t="shared" ref="FE619:FJ619" si="10253">(BX619*$BT619+CS619*$CO619)/100</f>
        <v>0</v>
      </c>
      <c r="FF619" s="2">
        <f t="shared" si="10253"/>
        <v>0</v>
      </c>
      <c r="FG619" s="2">
        <f t="shared" si="10253"/>
        <v>0</v>
      </c>
      <c r="FH619" s="2">
        <f t="shared" si="10253"/>
        <v>0</v>
      </c>
      <c r="FI619" s="2">
        <f t="shared" si="10253"/>
        <v>0</v>
      </c>
      <c r="FJ619" s="2">
        <f t="shared" si="10253"/>
        <v>0</v>
      </c>
      <c r="FK619" s="2">
        <f t="shared" ref="FK619:FO619" si="10254">CD619*$BT619+CY619*$CO619</f>
        <v>0</v>
      </c>
      <c r="FL619" s="2">
        <f t="shared" si="10254"/>
        <v>0</v>
      </c>
      <c r="FM619" s="2">
        <f t="shared" si="10254"/>
        <v>0</v>
      </c>
      <c r="FN619" s="2">
        <f t="shared" si="10254"/>
        <v>0</v>
      </c>
      <c r="FO619" s="2">
        <f t="shared" si="10254"/>
        <v>0</v>
      </c>
      <c r="FP619" s="2">
        <f t="shared" ref="FP619:FQ619" si="10255">(CI619*$BT619+DD619*$CO619)/100</f>
        <v>0</v>
      </c>
      <c r="FQ619" s="2">
        <f t="shared" si="10255"/>
        <v>0</v>
      </c>
      <c r="FR619" s="2"/>
      <c r="FS619" s="2">
        <f t="shared" si="8572"/>
        <v>0</v>
      </c>
      <c r="FT619" s="2">
        <f t="shared" si="8573"/>
        <v>0</v>
      </c>
      <c r="FU619" s="39">
        <f t="shared" si="8574"/>
        <v>0</v>
      </c>
      <c r="FV619" s="39">
        <f t="shared" ref="FV619:FW619" si="10256">FV$1*FC619/1000000</f>
        <v>0</v>
      </c>
      <c r="FW619" s="39">
        <f t="shared" si="10256"/>
        <v>0</v>
      </c>
      <c r="FX619" s="39">
        <f t="shared" ref="FX619:GC619" si="10257">FX$1*FE619</f>
        <v>0</v>
      </c>
      <c r="FY619" s="39">
        <f t="shared" si="10257"/>
        <v>0</v>
      </c>
      <c r="FZ619" s="39">
        <f t="shared" si="10257"/>
        <v>0</v>
      </c>
      <c r="GA619" s="39">
        <f t="shared" si="10257"/>
        <v>0</v>
      </c>
      <c r="GB619" s="39">
        <f t="shared" si="10257"/>
        <v>0</v>
      </c>
      <c r="GC619" s="39">
        <f t="shared" si="10257"/>
        <v>0</v>
      </c>
      <c r="GD619" s="39">
        <f t="shared" ref="GD619:GH619" si="10258">GD$1*FK619/1000000</f>
        <v>0</v>
      </c>
      <c r="GE619" s="39">
        <f t="shared" si="10258"/>
        <v>0</v>
      </c>
      <c r="GF619" s="39">
        <f t="shared" si="10258"/>
        <v>0</v>
      </c>
      <c r="GG619" s="39">
        <f t="shared" si="10258"/>
        <v>0</v>
      </c>
      <c r="GH619" s="39">
        <f t="shared" si="10258"/>
        <v>0</v>
      </c>
      <c r="GI619" s="39">
        <f t="shared" ref="GI619:GJ619" si="10259">GI$1*FP619</f>
        <v>0</v>
      </c>
      <c r="GJ619" s="39">
        <f t="shared" si="10259"/>
        <v>0</v>
      </c>
      <c r="GK619" s="2"/>
      <c r="GL619" s="39">
        <f t="shared" si="8579"/>
        <v>0</v>
      </c>
      <c r="GM619" s="39">
        <f t="shared" si="8580"/>
        <v>0</v>
      </c>
      <c r="GN619" s="2" t="s">
        <v>3</v>
      </c>
      <c r="GO619" s="15">
        <f t="shared" si="8581"/>
        <v>192.32640000000001</v>
      </c>
      <c r="GP619" s="4">
        <f t="shared" si="8582"/>
        <v>0.14528301886792455</v>
      </c>
      <c r="GQ619" s="15">
        <f t="shared" si="8583"/>
        <v>279.41759999999999</v>
      </c>
      <c r="GR619" s="15">
        <f t="shared" si="8584"/>
        <v>9004.7494396339207</v>
      </c>
      <c r="GS619" s="15">
        <f t="shared" si="8585"/>
        <v>46.82014242264151</v>
      </c>
      <c r="GT619" s="2">
        <f t="shared" si="8586"/>
        <v>0</v>
      </c>
      <c r="GU619" s="2">
        <f t="shared" si="8587"/>
        <v>0</v>
      </c>
      <c r="GV619" s="2">
        <f t="shared" si="8588"/>
        <v>279.41760000000005</v>
      </c>
      <c r="GW619" s="2">
        <f t="shared" si="8589"/>
        <v>0</v>
      </c>
      <c r="GX619" s="2"/>
      <c r="GY619" s="2"/>
      <c r="GZ619" s="2"/>
      <c r="HA619" s="2"/>
      <c r="HB619" s="2">
        <f t="shared" si="8590"/>
        <v>0</v>
      </c>
      <c r="HC619" s="2">
        <f t="shared" si="8591"/>
        <v>0</v>
      </c>
      <c r="HD619" s="2" t="s">
        <v>3</v>
      </c>
      <c r="HE619" s="2" t="s">
        <v>89</v>
      </c>
      <c r="HF619" s="2" t="s">
        <v>123</v>
      </c>
      <c r="HG619" s="2"/>
      <c r="HH619" s="2"/>
      <c r="HI619" s="2" t="s">
        <v>100</v>
      </c>
      <c r="HJ619" s="2" t="s">
        <v>3</v>
      </c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 t="s">
        <v>3</v>
      </c>
    </row>
    <row r="620" spans="1:268" ht="15.75" customHeight="1" x14ac:dyDescent="0.2">
      <c r="A620" s="16" t="s">
        <v>1246</v>
      </c>
      <c r="B620" s="2" t="s">
        <v>99</v>
      </c>
      <c r="C620" s="2"/>
      <c r="D620" s="2"/>
      <c r="E620" s="2"/>
      <c r="F620" s="2" t="s">
        <v>1247</v>
      </c>
      <c r="G620" s="2"/>
      <c r="H620" s="2"/>
      <c r="I620" s="2">
        <v>360.91300000000001</v>
      </c>
      <c r="J620" s="2"/>
      <c r="K620" s="2"/>
      <c r="L620" s="2"/>
      <c r="M620" s="2"/>
      <c r="N620" s="2"/>
      <c r="O620" s="2"/>
      <c r="P620" s="2"/>
      <c r="Q620" s="19">
        <v>0.23</v>
      </c>
      <c r="R620" s="2">
        <v>1.4E-2</v>
      </c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>
        <v>712.40599999999995</v>
      </c>
      <c r="AE620" s="2"/>
      <c r="AF620" s="2"/>
      <c r="AG620" s="2"/>
      <c r="AH620" s="2"/>
      <c r="AI620" s="2"/>
      <c r="AJ620" s="2"/>
      <c r="AK620" s="2"/>
      <c r="AL620" s="2">
        <v>0.215</v>
      </c>
      <c r="AM620" s="2">
        <v>1.2999999999999999E-2</v>
      </c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3">
        <v>1142.1010000000001</v>
      </c>
      <c r="AZ620" s="2"/>
      <c r="BA620" s="2"/>
      <c r="BB620" s="2"/>
      <c r="BC620" s="2"/>
      <c r="BD620" s="2"/>
      <c r="BE620" s="2"/>
      <c r="BF620" s="2"/>
      <c r="BG620" s="19">
        <v>0.22</v>
      </c>
      <c r="BH620" s="2">
        <v>1.2999999999999999E-2</v>
      </c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>
        <v>0</v>
      </c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>
        <v>0</v>
      </c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 t="s">
        <v>81</v>
      </c>
      <c r="DK620" s="2" t="s">
        <v>81</v>
      </c>
      <c r="DL620" s="2">
        <f t="shared" si="8551"/>
        <v>0.22002126007709599</v>
      </c>
      <c r="DM620" s="2">
        <f t="shared" si="8552"/>
        <v>1.3162909516028564E-2</v>
      </c>
      <c r="DN620" s="2" t="s">
        <v>1248</v>
      </c>
      <c r="DO620" s="2" t="s">
        <v>3</v>
      </c>
      <c r="DP620" s="2">
        <f t="shared" si="8553"/>
        <v>0</v>
      </c>
      <c r="DQ620" s="2">
        <f t="shared" ref="DQ620:DR620" si="10260">K620*$I620+AF620*$AD620+BA620*$AY620</f>
        <v>0</v>
      </c>
      <c r="DR620" s="2">
        <f t="shared" si="10260"/>
        <v>0</v>
      </c>
      <c r="DS620" s="2">
        <f t="shared" ref="DS620:DX620" si="10261">(M620*$I620+AH620*$AD620+BC620*$AY620)/100</f>
        <v>0</v>
      </c>
      <c r="DT620" s="2">
        <f t="shared" si="10261"/>
        <v>0</v>
      </c>
      <c r="DU620" s="2">
        <f t="shared" si="10261"/>
        <v>0</v>
      </c>
      <c r="DV620" s="2">
        <f t="shared" si="10261"/>
        <v>0</v>
      </c>
      <c r="DW620" s="2">
        <f t="shared" si="10261"/>
        <v>4.8743949999999998</v>
      </c>
      <c r="DX620" s="2">
        <f t="shared" si="10261"/>
        <v>0.29161373000000002</v>
      </c>
      <c r="DY620" s="2">
        <f t="shared" ref="DY620:EC620" si="10262">S620*$I620+AN620*$AD620+BI620*$AY620</f>
        <v>0</v>
      </c>
      <c r="DZ620" s="2">
        <f t="shared" si="10262"/>
        <v>0</v>
      </c>
      <c r="EA620" s="2">
        <f t="shared" si="10262"/>
        <v>0</v>
      </c>
      <c r="EB620" s="2">
        <f t="shared" si="10262"/>
        <v>0</v>
      </c>
      <c r="EC620" s="2">
        <f t="shared" si="10262"/>
        <v>0</v>
      </c>
      <c r="ED620" s="2">
        <f t="shared" ref="ED620:EE620" si="10263">(X620*$I620+AS620*$AD620+BN620*$AY620)/100</f>
        <v>0</v>
      </c>
      <c r="EE620" s="2">
        <f t="shared" si="10263"/>
        <v>0</v>
      </c>
      <c r="EF620" s="2"/>
      <c r="EG620" s="2">
        <f t="shared" si="8558"/>
        <v>0</v>
      </c>
      <c r="EH620" s="2">
        <f t="shared" si="8559"/>
        <v>0</v>
      </c>
      <c r="EI620" s="39">
        <f t="shared" si="8560"/>
        <v>0</v>
      </c>
      <c r="EJ620" s="39">
        <f t="shared" ref="EJ620:EK620" si="10264">EJ$1*DQ620/1000000</f>
        <v>0</v>
      </c>
      <c r="EK620" s="39">
        <f t="shared" si="10264"/>
        <v>0</v>
      </c>
      <c r="EL620" s="39">
        <f t="shared" ref="EL620:EQ620" si="10265">EL$1*DS620</f>
        <v>0</v>
      </c>
      <c r="EM620" s="39">
        <f t="shared" si="10265"/>
        <v>0</v>
      </c>
      <c r="EN620" s="39">
        <f t="shared" si="10265"/>
        <v>0</v>
      </c>
      <c r="EO620" s="39">
        <f t="shared" si="10265"/>
        <v>0</v>
      </c>
      <c r="EP620" s="39">
        <f t="shared" si="10265"/>
        <v>63922.816029999994</v>
      </c>
      <c r="EQ620" s="39">
        <f t="shared" si="10265"/>
        <v>21176.85026446452</v>
      </c>
      <c r="ER620" s="39">
        <f t="shared" ref="ER620:EV620" si="10266">ER$1*DY620/1000000</f>
        <v>0</v>
      </c>
      <c r="ES620" s="39">
        <f t="shared" si="10266"/>
        <v>0</v>
      </c>
      <c r="ET620" s="39">
        <f t="shared" si="10266"/>
        <v>0</v>
      </c>
      <c r="EU620" s="39">
        <f t="shared" si="10266"/>
        <v>0</v>
      </c>
      <c r="EV620" s="39">
        <f t="shared" si="10266"/>
        <v>0</v>
      </c>
      <c r="EW620" s="39">
        <f t="shared" ref="EW620:EX620" si="10267">EW$1*ED620</f>
        <v>0</v>
      </c>
      <c r="EX620" s="39">
        <f t="shared" si="10267"/>
        <v>0</v>
      </c>
      <c r="EY620" s="2"/>
      <c r="EZ620" s="39">
        <f t="shared" si="8565"/>
        <v>0</v>
      </c>
      <c r="FA620" s="39">
        <f t="shared" si="8566"/>
        <v>0</v>
      </c>
      <c r="FB620" s="2">
        <f t="shared" si="8567"/>
        <v>0</v>
      </c>
      <c r="FC620" s="2">
        <f t="shared" ref="FC620:FD620" si="10268">BV620*$BT620+CQ620*$CO620</f>
        <v>0</v>
      </c>
      <c r="FD620" s="2">
        <f t="shared" si="10268"/>
        <v>0</v>
      </c>
      <c r="FE620" s="2">
        <f t="shared" ref="FE620:FJ620" si="10269">(BX620*$BT620+CS620*$CO620)/100</f>
        <v>0</v>
      </c>
      <c r="FF620" s="2">
        <f t="shared" si="10269"/>
        <v>0</v>
      </c>
      <c r="FG620" s="2">
        <f t="shared" si="10269"/>
        <v>0</v>
      </c>
      <c r="FH620" s="2">
        <f t="shared" si="10269"/>
        <v>0</v>
      </c>
      <c r="FI620" s="2">
        <f t="shared" si="10269"/>
        <v>0</v>
      </c>
      <c r="FJ620" s="2">
        <f t="shared" si="10269"/>
        <v>0</v>
      </c>
      <c r="FK620" s="2">
        <f t="shared" ref="FK620:FO620" si="10270">CD620*$BT620+CY620*$CO620</f>
        <v>0</v>
      </c>
      <c r="FL620" s="2">
        <f t="shared" si="10270"/>
        <v>0</v>
      </c>
      <c r="FM620" s="2">
        <f t="shared" si="10270"/>
        <v>0</v>
      </c>
      <c r="FN620" s="2">
        <f t="shared" si="10270"/>
        <v>0</v>
      </c>
      <c r="FO620" s="2">
        <f t="shared" si="10270"/>
        <v>0</v>
      </c>
      <c r="FP620" s="2">
        <f t="shared" ref="FP620:FQ620" si="10271">(CI620*$BT620+DD620*$CO620)/100</f>
        <v>0</v>
      </c>
      <c r="FQ620" s="2">
        <f t="shared" si="10271"/>
        <v>0</v>
      </c>
      <c r="FR620" s="2"/>
      <c r="FS620" s="2">
        <f t="shared" si="8572"/>
        <v>0</v>
      </c>
      <c r="FT620" s="2">
        <f t="shared" si="8573"/>
        <v>0</v>
      </c>
      <c r="FU620" s="39">
        <f t="shared" si="8574"/>
        <v>0</v>
      </c>
      <c r="FV620" s="39">
        <f t="shared" ref="FV620:FW620" si="10272">FV$1*FC620/1000000</f>
        <v>0</v>
      </c>
      <c r="FW620" s="39">
        <f t="shared" si="10272"/>
        <v>0</v>
      </c>
      <c r="FX620" s="39">
        <f t="shared" ref="FX620:GC620" si="10273">FX$1*FE620</f>
        <v>0</v>
      </c>
      <c r="FY620" s="39">
        <f t="shared" si="10273"/>
        <v>0</v>
      </c>
      <c r="FZ620" s="39">
        <f t="shared" si="10273"/>
        <v>0</v>
      </c>
      <c r="GA620" s="39">
        <f t="shared" si="10273"/>
        <v>0</v>
      </c>
      <c r="GB620" s="39">
        <f t="shared" si="10273"/>
        <v>0</v>
      </c>
      <c r="GC620" s="39">
        <f t="shared" si="10273"/>
        <v>0</v>
      </c>
      <c r="GD620" s="39">
        <f t="shared" ref="GD620:GH620" si="10274">GD$1*FK620/1000000</f>
        <v>0</v>
      </c>
      <c r="GE620" s="39">
        <f t="shared" si="10274"/>
        <v>0</v>
      </c>
      <c r="GF620" s="39">
        <f t="shared" si="10274"/>
        <v>0</v>
      </c>
      <c r="GG620" s="39">
        <f t="shared" si="10274"/>
        <v>0</v>
      </c>
      <c r="GH620" s="39">
        <f t="shared" si="10274"/>
        <v>0</v>
      </c>
      <c r="GI620" s="39">
        <f t="shared" ref="GI620:GJ620" si="10275">GI$1*FP620</f>
        <v>0</v>
      </c>
      <c r="GJ620" s="39">
        <f t="shared" si="10275"/>
        <v>0</v>
      </c>
      <c r="GK620" s="2"/>
      <c r="GL620" s="39">
        <f t="shared" si="8579"/>
        <v>0</v>
      </c>
      <c r="GM620" s="39">
        <f t="shared" si="8580"/>
        <v>0</v>
      </c>
      <c r="GN620" s="2" t="s">
        <v>3</v>
      </c>
      <c r="GO620" s="3">
        <f t="shared" si="8581"/>
        <v>2215.42</v>
      </c>
      <c r="GP620" s="4">
        <f t="shared" si="8582"/>
        <v>0.22002126007709599</v>
      </c>
      <c r="GQ620" s="18">
        <f t="shared" si="8583"/>
        <v>4874.3950000000004</v>
      </c>
      <c r="GR620" s="15">
        <f t="shared" si="8584"/>
        <v>85099.666294464521</v>
      </c>
      <c r="GS620" s="15">
        <f t="shared" si="8585"/>
        <v>38.412430281601011</v>
      </c>
      <c r="GT620" s="2">
        <f t="shared" si="8586"/>
        <v>830.09990000000005</v>
      </c>
      <c r="GU620" s="2">
        <f t="shared" si="8587"/>
        <v>1531.6728999999998</v>
      </c>
      <c r="GV620" s="2">
        <f t="shared" si="8588"/>
        <v>2512.6221999999998</v>
      </c>
      <c r="GW620" s="2">
        <f t="shared" si="8589"/>
        <v>0</v>
      </c>
      <c r="GX620" s="2"/>
      <c r="GY620" s="2"/>
      <c r="GZ620" s="2"/>
      <c r="HA620" s="2"/>
      <c r="HB620" s="2">
        <f t="shared" si="8590"/>
        <v>0</v>
      </c>
      <c r="HC620" s="2">
        <f t="shared" si="8591"/>
        <v>0</v>
      </c>
      <c r="HD620" s="2" t="s">
        <v>3</v>
      </c>
      <c r="HE620" s="2" t="s">
        <v>89</v>
      </c>
      <c r="HF620" s="2" t="s">
        <v>1249</v>
      </c>
      <c r="HG620" s="2" t="s">
        <v>1249</v>
      </c>
      <c r="HH620" s="2"/>
      <c r="HI620" s="2" t="s">
        <v>81</v>
      </c>
      <c r="HJ620" s="2" t="s">
        <v>3</v>
      </c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 t="s">
        <v>3</v>
      </c>
    </row>
    <row r="621" spans="1:268" ht="15.75" customHeight="1" x14ac:dyDescent="0.2">
      <c r="A621" s="16" t="s">
        <v>1162</v>
      </c>
      <c r="B621" s="2" t="s">
        <v>99</v>
      </c>
      <c r="C621" s="2"/>
      <c r="D621" s="2"/>
      <c r="E621" s="2"/>
      <c r="F621" s="2" t="s">
        <v>79</v>
      </c>
      <c r="G621" s="2"/>
      <c r="H621" s="2"/>
      <c r="I621" s="2">
        <v>0</v>
      </c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>
        <v>0</v>
      </c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>
        <v>13.41</v>
      </c>
      <c r="AZ621" s="2">
        <v>0.1</v>
      </c>
      <c r="BA621" s="2">
        <v>0.10100000000000001</v>
      </c>
      <c r="BB621" s="2">
        <v>2.68</v>
      </c>
      <c r="BC621" s="2"/>
      <c r="BD621" s="2"/>
      <c r="BE621" s="2"/>
      <c r="BF621" s="2"/>
      <c r="BG621" s="2">
        <v>0.37</v>
      </c>
      <c r="BH621" s="2">
        <v>3.1E-2</v>
      </c>
      <c r="BI621" s="4">
        <f>(0.35-0.101)*0.4</f>
        <v>9.9599999999999994E-2</v>
      </c>
      <c r="BJ621" s="4">
        <f>(0.35-0.101)*0.6</f>
        <v>0.14939999999999998</v>
      </c>
      <c r="BK621" s="2"/>
      <c r="BL621" s="2"/>
      <c r="BM621" s="2"/>
      <c r="BN621" s="2"/>
      <c r="BO621" s="2"/>
      <c r="BP621" s="2"/>
      <c r="BQ621" s="2"/>
      <c r="BR621" s="2"/>
      <c r="BS621" s="2"/>
      <c r="BT621" s="2">
        <v>0</v>
      </c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>
        <v>0</v>
      </c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 t="s">
        <v>81</v>
      </c>
      <c r="DL621" s="2">
        <f t="shared" si="8551"/>
        <v>0.36999999999999994</v>
      </c>
      <c r="DM621" s="2">
        <f t="shared" si="8552"/>
        <v>3.1E-2</v>
      </c>
      <c r="DN621" s="2" t="s">
        <v>101</v>
      </c>
      <c r="DO621" s="2" t="s">
        <v>3</v>
      </c>
      <c r="DP621" s="2">
        <f t="shared" si="8553"/>
        <v>1.3410000000000002E-2</v>
      </c>
      <c r="DQ621" s="2">
        <f t="shared" ref="DQ621:DR621" si="10276">K621*$I621+AF621*$AD621+BA621*$AY621</f>
        <v>1.3544100000000001</v>
      </c>
      <c r="DR621" s="2">
        <f t="shared" si="10276"/>
        <v>35.938800000000001</v>
      </c>
      <c r="DS621" s="2">
        <f t="shared" ref="DS621:DX621" si="10277">(M621*$I621+AH621*$AD621+BC621*$AY621)/100</f>
        <v>0</v>
      </c>
      <c r="DT621" s="2">
        <f t="shared" si="10277"/>
        <v>0</v>
      </c>
      <c r="DU621" s="2">
        <f t="shared" si="10277"/>
        <v>0</v>
      </c>
      <c r="DV621" s="2">
        <f t="shared" si="10277"/>
        <v>0</v>
      </c>
      <c r="DW621" s="2">
        <f t="shared" si="10277"/>
        <v>4.9616999999999994E-2</v>
      </c>
      <c r="DX621" s="2">
        <f t="shared" si="10277"/>
        <v>4.1571000000000004E-3</v>
      </c>
      <c r="DY621" s="2">
        <f t="shared" ref="DY621:EC621" si="10278">S621*$I621+AN621*$AD621+BI621*$AY621</f>
        <v>1.335636</v>
      </c>
      <c r="DZ621" s="2">
        <f t="shared" si="10278"/>
        <v>2.0034539999999996</v>
      </c>
      <c r="EA621" s="2">
        <f t="shared" si="10278"/>
        <v>0</v>
      </c>
      <c r="EB621" s="2">
        <f t="shared" si="10278"/>
        <v>0</v>
      </c>
      <c r="EC621" s="2">
        <f t="shared" si="10278"/>
        <v>0</v>
      </c>
      <c r="ED621" s="2">
        <f t="shared" ref="ED621:EE621" si="10279">(X621*$I621+AS621*$AD621+BN621*$AY621)/100</f>
        <v>0</v>
      </c>
      <c r="EE621" s="2">
        <f t="shared" si="10279"/>
        <v>0</v>
      </c>
      <c r="EF621" s="2"/>
      <c r="EG621" s="2">
        <f t="shared" si="8558"/>
        <v>0</v>
      </c>
      <c r="EH621" s="2">
        <f t="shared" si="8559"/>
        <v>0</v>
      </c>
      <c r="EI621" s="39">
        <f t="shared" si="8560"/>
        <v>87.508510560000005</v>
      </c>
      <c r="EJ621" s="39">
        <f t="shared" ref="EJ621:EK621" si="10280">EJ$1*DQ621/1000000</f>
        <v>55.395804501607714</v>
      </c>
      <c r="EK621" s="39">
        <f t="shared" si="10280"/>
        <v>18.200517684887458</v>
      </c>
      <c r="EL621" s="39">
        <f t="shared" ref="EL621:EQ621" si="10281">EL$1*DS621</f>
        <v>0</v>
      </c>
      <c r="EM621" s="39">
        <f t="shared" si="10281"/>
        <v>0</v>
      </c>
      <c r="EN621" s="39">
        <f t="shared" si="10281"/>
        <v>0</v>
      </c>
      <c r="EO621" s="39">
        <f t="shared" si="10281"/>
        <v>0</v>
      </c>
      <c r="EP621" s="39">
        <f t="shared" si="10281"/>
        <v>650.67733799999996</v>
      </c>
      <c r="EQ621" s="39">
        <f t="shared" si="10281"/>
        <v>301.8866232204</v>
      </c>
      <c r="ER621" s="39">
        <f t="shared" ref="ER621:EV621" si="10282">ER$1*DY621/1000000</f>
        <v>37.907153432797422</v>
      </c>
      <c r="ES621" s="39">
        <f t="shared" si="10282"/>
        <v>66.766553994212217</v>
      </c>
      <c r="ET621" s="39">
        <f t="shared" si="10282"/>
        <v>0</v>
      </c>
      <c r="EU621" s="39">
        <f t="shared" si="10282"/>
        <v>0</v>
      </c>
      <c r="EV621" s="39">
        <f t="shared" si="10282"/>
        <v>0</v>
      </c>
      <c r="EW621" s="39">
        <f t="shared" ref="EW621:EX621" si="10283">EW$1*ED621</f>
        <v>0</v>
      </c>
      <c r="EX621" s="39">
        <f t="shared" si="10283"/>
        <v>0</v>
      </c>
      <c r="EY621" s="2"/>
      <c r="EZ621" s="39">
        <f t="shared" si="8565"/>
        <v>0</v>
      </c>
      <c r="FA621" s="39">
        <f t="shared" si="8566"/>
        <v>0</v>
      </c>
      <c r="FB621" s="2">
        <f t="shared" si="8567"/>
        <v>0</v>
      </c>
      <c r="FC621" s="2">
        <f t="shared" ref="FC621:FD621" si="10284">BV621*$BT621+CQ621*$CO621</f>
        <v>0</v>
      </c>
      <c r="FD621" s="2">
        <f t="shared" si="10284"/>
        <v>0</v>
      </c>
      <c r="FE621" s="2">
        <f t="shared" ref="FE621:FJ621" si="10285">(BX621*$BT621+CS621*$CO621)/100</f>
        <v>0</v>
      </c>
      <c r="FF621" s="2">
        <f t="shared" si="10285"/>
        <v>0</v>
      </c>
      <c r="FG621" s="2">
        <f t="shared" si="10285"/>
        <v>0</v>
      </c>
      <c r="FH621" s="2">
        <f t="shared" si="10285"/>
        <v>0</v>
      </c>
      <c r="FI621" s="2">
        <f t="shared" si="10285"/>
        <v>0</v>
      </c>
      <c r="FJ621" s="2">
        <f t="shared" si="10285"/>
        <v>0</v>
      </c>
      <c r="FK621" s="2">
        <f t="shared" ref="FK621:FO621" si="10286">CD621*$BT621+CY621*$CO621</f>
        <v>0</v>
      </c>
      <c r="FL621" s="2">
        <f t="shared" si="10286"/>
        <v>0</v>
      </c>
      <c r="FM621" s="2">
        <f t="shared" si="10286"/>
        <v>0</v>
      </c>
      <c r="FN621" s="2">
        <f t="shared" si="10286"/>
        <v>0</v>
      </c>
      <c r="FO621" s="2">
        <f t="shared" si="10286"/>
        <v>0</v>
      </c>
      <c r="FP621" s="2">
        <f t="shared" ref="FP621:FQ621" si="10287">(CI621*$BT621+DD621*$CO621)/100</f>
        <v>0</v>
      </c>
      <c r="FQ621" s="2">
        <f t="shared" si="10287"/>
        <v>0</v>
      </c>
      <c r="FR621" s="2"/>
      <c r="FS621" s="2">
        <f t="shared" si="8572"/>
        <v>0</v>
      </c>
      <c r="FT621" s="2">
        <f t="shared" si="8573"/>
        <v>0</v>
      </c>
      <c r="FU621" s="39">
        <f t="shared" si="8574"/>
        <v>0</v>
      </c>
      <c r="FV621" s="39">
        <f t="shared" ref="FV621:FW621" si="10288">FV$1*FC621/1000000</f>
        <v>0</v>
      </c>
      <c r="FW621" s="39">
        <f t="shared" si="10288"/>
        <v>0</v>
      </c>
      <c r="FX621" s="39">
        <f t="shared" ref="FX621:GC621" si="10289">FX$1*FE621</f>
        <v>0</v>
      </c>
      <c r="FY621" s="39">
        <f t="shared" si="10289"/>
        <v>0</v>
      </c>
      <c r="FZ621" s="39">
        <f t="shared" si="10289"/>
        <v>0</v>
      </c>
      <c r="GA621" s="39">
        <f t="shared" si="10289"/>
        <v>0</v>
      </c>
      <c r="GB621" s="39">
        <f t="shared" si="10289"/>
        <v>0</v>
      </c>
      <c r="GC621" s="39">
        <f t="shared" si="10289"/>
        <v>0</v>
      </c>
      <c r="GD621" s="39">
        <f t="shared" ref="GD621:GH621" si="10290">GD$1*FK621/1000000</f>
        <v>0</v>
      </c>
      <c r="GE621" s="39">
        <f t="shared" si="10290"/>
        <v>0</v>
      </c>
      <c r="GF621" s="39">
        <f t="shared" si="10290"/>
        <v>0</v>
      </c>
      <c r="GG621" s="39">
        <f t="shared" si="10290"/>
        <v>0</v>
      </c>
      <c r="GH621" s="39">
        <f t="shared" si="10290"/>
        <v>0</v>
      </c>
      <c r="GI621" s="39">
        <f t="shared" ref="GI621:GJ621" si="10291">GI$1*FP621</f>
        <v>0</v>
      </c>
      <c r="GJ621" s="39">
        <f t="shared" si="10291"/>
        <v>0</v>
      </c>
      <c r="GK621" s="2"/>
      <c r="GL621" s="39">
        <f t="shared" si="8579"/>
        <v>0</v>
      </c>
      <c r="GM621" s="39">
        <f t="shared" si="8580"/>
        <v>0</v>
      </c>
      <c r="GN621" s="2" t="s">
        <v>3</v>
      </c>
      <c r="GO621" s="2">
        <f t="shared" si="8581"/>
        <v>13.41</v>
      </c>
      <c r="GP621" s="2">
        <f t="shared" si="8582"/>
        <v>0.36999999999999994</v>
      </c>
      <c r="GQ621" s="15">
        <f t="shared" si="8583"/>
        <v>49.61699999999999</v>
      </c>
      <c r="GR621" s="15">
        <f t="shared" si="8584"/>
        <v>1218.3425013939047</v>
      </c>
      <c r="GS621" s="15">
        <f t="shared" si="8585"/>
        <v>90.853281237427652</v>
      </c>
      <c r="GT621" s="2">
        <f t="shared" si="8586"/>
        <v>0</v>
      </c>
      <c r="GU621" s="2">
        <f t="shared" si="8587"/>
        <v>0</v>
      </c>
      <c r="GV621" s="2">
        <f t="shared" si="8588"/>
        <v>49.616999999999997</v>
      </c>
      <c r="GW621" s="2">
        <f t="shared" si="8589"/>
        <v>0</v>
      </c>
      <c r="GX621" s="2"/>
      <c r="GY621" s="2"/>
      <c r="GZ621" s="2"/>
      <c r="HA621" s="2"/>
      <c r="HB621" s="2">
        <f t="shared" si="8590"/>
        <v>0</v>
      </c>
      <c r="HC621" s="2">
        <f t="shared" si="8591"/>
        <v>0</v>
      </c>
      <c r="HD621" s="2" t="s">
        <v>3</v>
      </c>
      <c r="HE621" s="2" t="s">
        <v>89</v>
      </c>
      <c r="HF621" s="2" t="s">
        <v>1163</v>
      </c>
      <c r="HG621" s="2" t="s">
        <v>665</v>
      </c>
      <c r="HH621" s="2"/>
      <c r="HI621" s="2" t="s">
        <v>81</v>
      </c>
      <c r="HJ621" s="2" t="s">
        <v>3</v>
      </c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 t="s">
        <v>3</v>
      </c>
    </row>
    <row r="622" spans="1:268" ht="15.75" customHeight="1" x14ac:dyDescent="0.2">
      <c r="A622" s="16" t="s">
        <v>276</v>
      </c>
      <c r="B622" s="2" t="s">
        <v>120</v>
      </c>
      <c r="C622" s="2"/>
      <c r="D622" s="2"/>
      <c r="E622" s="2" t="s">
        <v>78</v>
      </c>
      <c r="F622" s="2" t="s">
        <v>166</v>
      </c>
      <c r="G622" s="2"/>
      <c r="H622" s="2" t="s">
        <v>167</v>
      </c>
      <c r="I622" s="2">
        <v>10.1</v>
      </c>
      <c r="J622" s="2">
        <v>0.49</v>
      </c>
      <c r="K622" s="2"/>
      <c r="L622" s="2">
        <v>10.5</v>
      </c>
      <c r="M622" s="2"/>
      <c r="N622" s="2"/>
      <c r="O622" s="2">
        <v>3.32</v>
      </c>
      <c r="P622" s="2">
        <v>0.54</v>
      </c>
      <c r="Q622" s="4">
        <v>0.1</v>
      </c>
      <c r="R622" s="2">
        <v>0.12</v>
      </c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>
        <v>22.7</v>
      </c>
      <c r="AE622" s="2">
        <v>0.38</v>
      </c>
      <c r="AF622" s="2"/>
      <c r="AG622" s="2">
        <v>13.8</v>
      </c>
      <c r="AH622" s="2"/>
      <c r="AI622" s="2"/>
      <c r="AJ622" s="2">
        <v>3.47</v>
      </c>
      <c r="AK622" s="2">
        <v>0.71</v>
      </c>
      <c r="AL622" s="2">
        <v>0.09</v>
      </c>
      <c r="AM622" s="2">
        <v>0.11</v>
      </c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>
        <v>26.7</v>
      </c>
      <c r="AZ622" s="2">
        <v>0.65</v>
      </c>
      <c r="BA622" s="2"/>
      <c r="BB622" s="2">
        <v>14.3</v>
      </c>
      <c r="BC622" s="2"/>
      <c r="BD622" s="2"/>
      <c r="BE622" s="4">
        <v>2.7</v>
      </c>
      <c r="BF622" s="2"/>
      <c r="BG622" s="2">
        <v>0.09</v>
      </c>
      <c r="BH622" s="2">
        <v>0.09</v>
      </c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>
        <v>0</v>
      </c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>
        <v>0</v>
      </c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 t="s">
        <v>81</v>
      </c>
      <c r="DK622" s="2" t="s">
        <v>81</v>
      </c>
      <c r="DL622" s="2">
        <f t="shared" si="8551"/>
        <v>9.1697478991596637E-2</v>
      </c>
      <c r="DM622" s="2">
        <f t="shared" si="8552"/>
        <v>0.10272268907563026</v>
      </c>
      <c r="DN622" s="2" t="s">
        <v>277</v>
      </c>
      <c r="DO622" s="2" t="s">
        <v>3</v>
      </c>
      <c r="DP622" s="2">
        <f t="shared" si="8553"/>
        <v>0.30930000000000002</v>
      </c>
      <c r="DQ622" s="2">
        <f t="shared" ref="DQ622:DR622" si="10292">K622*$I622+AF622*$AD622+BA622*$AY622</f>
        <v>0</v>
      </c>
      <c r="DR622" s="2">
        <f t="shared" si="10292"/>
        <v>801.12</v>
      </c>
      <c r="DS622" s="2">
        <f t="shared" ref="DS622:DX622" si="10293">(M622*$I622+AH622*$AD622+BC622*$AY622)/100</f>
        <v>0</v>
      </c>
      <c r="DT622" s="2">
        <f t="shared" si="10293"/>
        <v>0</v>
      </c>
      <c r="DU622" s="2">
        <f t="shared" si="10293"/>
        <v>1.8439100000000002</v>
      </c>
      <c r="DV622" s="2">
        <f t="shared" si="10293"/>
        <v>0.21570999999999999</v>
      </c>
      <c r="DW622" s="2">
        <f t="shared" si="10293"/>
        <v>5.4559999999999997E-2</v>
      </c>
      <c r="DX622" s="2">
        <f t="shared" si="10293"/>
        <v>6.1120000000000001E-2</v>
      </c>
      <c r="DY622" s="2">
        <f t="shared" ref="DY622:EC622" si="10294">S622*$I622+AN622*$AD622+BI622*$AY622</f>
        <v>0</v>
      </c>
      <c r="DZ622" s="2">
        <f t="shared" si="10294"/>
        <v>0</v>
      </c>
      <c r="EA622" s="2">
        <f t="shared" si="10294"/>
        <v>0</v>
      </c>
      <c r="EB622" s="2">
        <f t="shared" si="10294"/>
        <v>0</v>
      </c>
      <c r="EC622" s="2">
        <f t="shared" si="10294"/>
        <v>0</v>
      </c>
      <c r="ED622" s="2">
        <f t="shared" ref="ED622:EE622" si="10295">(X622*$I622+AS622*$AD622+BN622*$AY622)/100</f>
        <v>0</v>
      </c>
      <c r="EE622" s="2">
        <f t="shared" si="10295"/>
        <v>0</v>
      </c>
      <c r="EF622" s="2"/>
      <c r="EG622" s="2">
        <f t="shared" si="8558"/>
        <v>0</v>
      </c>
      <c r="EH622" s="2">
        <f t="shared" si="8559"/>
        <v>0</v>
      </c>
      <c r="EI622" s="39">
        <f t="shared" si="8560"/>
        <v>2018.3730288000002</v>
      </c>
      <c r="EJ622" s="39">
        <f t="shared" ref="EJ622:EK622" si="10296">EJ$1*DQ622/1000000</f>
        <v>0</v>
      </c>
      <c r="EK622" s="39">
        <f t="shared" si="10296"/>
        <v>405.71189710610923</v>
      </c>
      <c r="EL622" s="39">
        <f t="shared" ref="EL622:EQ622" si="10297">EL$1*DS622</f>
        <v>0</v>
      </c>
      <c r="EM622" s="39">
        <f t="shared" si="10297"/>
        <v>0</v>
      </c>
      <c r="EN622" s="39">
        <f t="shared" si="10297"/>
        <v>4138.2554977480004</v>
      </c>
      <c r="EO622" s="39">
        <f t="shared" si="10297"/>
        <v>631.06051098199987</v>
      </c>
      <c r="EP622" s="39">
        <f t="shared" si="10297"/>
        <v>715.49983999999995</v>
      </c>
      <c r="EQ622" s="39">
        <f t="shared" si="10297"/>
        <v>4438.5053068799998</v>
      </c>
      <c r="ER622" s="39">
        <f t="shared" ref="ER622:EV622" si="10298">ER$1*DY622/1000000</f>
        <v>0</v>
      </c>
      <c r="ES622" s="39">
        <f t="shared" si="10298"/>
        <v>0</v>
      </c>
      <c r="ET622" s="39">
        <f t="shared" si="10298"/>
        <v>0</v>
      </c>
      <c r="EU622" s="39">
        <f t="shared" si="10298"/>
        <v>0</v>
      </c>
      <c r="EV622" s="39">
        <f t="shared" si="10298"/>
        <v>0</v>
      </c>
      <c r="EW622" s="39">
        <f t="shared" ref="EW622:EX622" si="10299">EW$1*ED622</f>
        <v>0</v>
      </c>
      <c r="EX622" s="39">
        <f t="shared" si="10299"/>
        <v>0</v>
      </c>
      <c r="EY622" s="2"/>
      <c r="EZ622" s="39">
        <f t="shared" si="8565"/>
        <v>0</v>
      </c>
      <c r="FA622" s="39">
        <f t="shared" si="8566"/>
        <v>0</v>
      </c>
      <c r="FB622" s="2">
        <f t="shared" si="8567"/>
        <v>0</v>
      </c>
      <c r="FC622" s="2">
        <f t="shared" ref="FC622:FD622" si="10300">BV622*$BT622+CQ622*$CO622</f>
        <v>0</v>
      </c>
      <c r="FD622" s="2">
        <f t="shared" si="10300"/>
        <v>0</v>
      </c>
      <c r="FE622" s="2">
        <f t="shared" ref="FE622:FJ622" si="10301">(BX622*$BT622+CS622*$CO622)/100</f>
        <v>0</v>
      </c>
      <c r="FF622" s="2">
        <f t="shared" si="10301"/>
        <v>0</v>
      </c>
      <c r="FG622" s="2">
        <f t="shared" si="10301"/>
        <v>0</v>
      </c>
      <c r="FH622" s="2">
        <f t="shared" si="10301"/>
        <v>0</v>
      </c>
      <c r="FI622" s="2">
        <f t="shared" si="10301"/>
        <v>0</v>
      </c>
      <c r="FJ622" s="2">
        <f t="shared" si="10301"/>
        <v>0</v>
      </c>
      <c r="FK622" s="2">
        <f t="shared" ref="FK622:FO622" si="10302">CD622*$BT622+CY622*$CO622</f>
        <v>0</v>
      </c>
      <c r="FL622" s="2">
        <f t="shared" si="10302"/>
        <v>0</v>
      </c>
      <c r="FM622" s="2">
        <f t="shared" si="10302"/>
        <v>0</v>
      </c>
      <c r="FN622" s="2">
        <f t="shared" si="10302"/>
        <v>0</v>
      </c>
      <c r="FO622" s="2">
        <f t="shared" si="10302"/>
        <v>0</v>
      </c>
      <c r="FP622" s="2">
        <f t="shared" ref="FP622:FQ622" si="10303">(CI622*$BT622+DD622*$CO622)/100</f>
        <v>0</v>
      </c>
      <c r="FQ622" s="2">
        <f t="shared" si="10303"/>
        <v>0</v>
      </c>
      <c r="FR622" s="2"/>
      <c r="FS622" s="2">
        <f t="shared" si="8572"/>
        <v>0</v>
      </c>
      <c r="FT622" s="2">
        <f t="shared" si="8573"/>
        <v>0</v>
      </c>
      <c r="FU622" s="39">
        <f t="shared" si="8574"/>
        <v>0</v>
      </c>
      <c r="FV622" s="39">
        <f t="shared" ref="FV622:FW622" si="10304">FV$1*FC622/1000000</f>
        <v>0</v>
      </c>
      <c r="FW622" s="39">
        <f t="shared" si="10304"/>
        <v>0</v>
      </c>
      <c r="FX622" s="39">
        <f t="shared" ref="FX622:GC622" si="10305">FX$1*FE622</f>
        <v>0</v>
      </c>
      <c r="FY622" s="39">
        <f t="shared" si="10305"/>
        <v>0</v>
      </c>
      <c r="FZ622" s="39">
        <f t="shared" si="10305"/>
        <v>0</v>
      </c>
      <c r="GA622" s="39">
        <f t="shared" si="10305"/>
        <v>0</v>
      </c>
      <c r="GB622" s="39">
        <f t="shared" si="10305"/>
        <v>0</v>
      </c>
      <c r="GC622" s="39">
        <f t="shared" si="10305"/>
        <v>0</v>
      </c>
      <c r="GD622" s="39">
        <f t="shared" ref="GD622:GH622" si="10306">GD$1*FK622/1000000</f>
        <v>0</v>
      </c>
      <c r="GE622" s="39">
        <f t="shared" si="10306"/>
        <v>0</v>
      </c>
      <c r="GF622" s="39">
        <f t="shared" si="10306"/>
        <v>0</v>
      </c>
      <c r="GG622" s="39">
        <f t="shared" si="10306"/>
        <v>0</v>
      </c>
      <c r="GH622" s="39">
        <f t="shared" si="10306"/>
        <v>0</v>
      </c>
      <c r="GI622" s="39">
        <f t="shared" ref="GI622:GJ622" si="10307">GI$1*FP622</f>
        <v>0</v>
      </c>
      <c r="GJ622" s="39">
        <f t="shared" si="10307"/>
        <v>0</v>
      </c>
      <c r="GK622" s="2"/>
      <c r="GL622" s="39">
        <f t="shared" si="8579"/>
        <v>0</v>
      </c>
      <c r="GM622" s="39">
        <f t="shared" si="8580"/>
        <v>0</v>
      </c>
      <c r="GN622" s="2" t="s">
        <v>3</v>
      </c>
      <c r="GO622" s="2">
        <f t="shared" si="8581"/>
        <v>59.5</v>
      </c>
      <c r="GP622" s="19">
        <f t="shared" si="8582"/>
        <v>9.1697478991596637E-2</v>
      </c>
      <c r="GQ622" s="15">
        <f t="shared" si="8583"/>
        <v>54.56</v>
      </c>
      <c r="GR622" s="15">
        <f t="shared" si="8584"/>
        <v>12347.40608151611</v>
      </c>
      <c r="GS622" s="15">
        <f t="shared" si="8585"/>
        <v>207.51942994144724</v>
      </c>
      <c r="GT622" s="2">
        <f t="shared" si="8586"/>
        <v>10.1</v>
      </c>
      <c r="GU622" s="2">
        <f t="shared" si="8587"/>
        <v>20.429999999999996</v>
      </c>
      <c r="GV622" s="2">
        <f t="shared" si="8588"/>
        <v>24.03</v>
      </c>
      <c r="GW622" s="2">
        <f t="shared" si="8589"/>
        <v>0</v>
      </c>
      <c r="GX622" s="2"/>
      <c r="GY622" s="2"/>
      <c r="GZ622" s="2"/>
      <c r="HA622" s="2"/>
      <c r="HB622" s="2">
        <f t="shared" si="8590"/>
        <v>0</v>
      </c>
      <c r="HC622" s="2">
        <f t="shared" si="8591"/>
        <v>0</v>
      </c>
      <c r="HD622" s="2" t="s">
        <v>3</v>
      </c>
      <c r="HE622" s="2" t="s">
        <v>89</v>
      </c>
      <c r="HF622" s="2" t="s">
        <v>169</v>
      </c>
      <c r="HG622" s="2"/>
      <c r="HH622" s="2"/>
      <c r="HI622" s="2" t="s">
        <v>81</v>
      </c>
      <c r="HJ622" s="2" t="s">
        <v>3</v>
      </c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 t="s">
        <v>3</v>
      </c>
    </row>
    <row r="623" spans="1:268" ht="15.75" customHeight="1" x14ac:dyDescent="0.2">
      <c r="A623" s="16" t="s">
        <v>165</v>
      </c>
      <c r="B623" s="2" t="s">
        <v>99</v>
      </c>
      <c r="C623" s="2"/>
      <c r="D623" s="2"/>
      <c r="E623" s="2" t="s">
        <v>78</v>
      </c>
      <c r="F623" s="2" t="s">
        <v>166</v>
      </c>
      <c r="G623" s="2"/>
      <c r="H623" s="2" t="s">
        <v>167</v>
      </c>
      <c r="I623" s="2">
        <v>0</v>
      </c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>
        <v>12.2</v>
      </c>
      <c r="AE623" s="2">
        <v>0.49</v>
      </c>
      <c r="AF623" s="2"/>
      <c r="AG623" s="2"/>
      <c r="AH623" s="2"/>
      <c r="AI623" s="2"/>
      <c r="AJ623" s="2">
        <v>0.56000000000000005</v>
      </c>
      <c r="AK623" s="2"/>
      <c r="AL623" s="4">
        <v>0.2</v>
      </c>
      <c r="AM623" s="2">
        <v>0.21</v>
      </c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>
        <v>0</v>
      </c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>
        <v>0</v>
      </c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>
        <v>0</v>
      </c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 t="s">
        <v>81</v>
      </c>
      <c r="DK623" s="2" t="s">
        <v>81</v>
      </c>
      <c r="DL623" s="2">
        <f t="shared" si="8551"/>
        <v>0.2</v>
      </c>
      <c r="DM623" s="2">
        <f t="shared" si="8552"/>
        <v>0.21</v>
      </c>
      <c r="DN623" s="2" t="s">
        <v>168</v>
      </c>
      <c r="DO623" s="2" t="s">
        <v>3</v>
      </c>
      <c r="DP623" s="2">
        <f t="shared" si="8553"/>
        <v>5.978E-2</v>
      </c>
      <c r="DQ623" s="2">
        <f t="shared" ref="DQ623:DR623" si="10308">K623*$I623+AF623*$AD623+BA623*$AY623</f>
        <v>0</v>
      </c>
      <c r="DR623" s="2">
        <f t="shared" si="10308"/>
        <v>0</v>
      </c>
      <c r="DS623" s="2">
        <f t="shared" ref="DS623:DX623" si="10309">(M623*$I623+AH623*$AD623+BC623*$AY623)/100</f>
        <v>0</v>
      </c>
      <c r="DT623" s="2">
        <f t="shared" si="10309"/>
        <v>0</v>
      </c>
      <c r="DU623" s="2">
        <f t="shared" si="10309"/>
        <v>6.8319999999999992E-2</v>
      </c>
      <c r="DV623" s="2">
        <f t="shared" si="10309"/>
        <v>0</v>
      </c>
      <c r="DW623" s="2">
        <f t="shared" si="10309"/>
        <v>2.4399999999999998E-2</v>
      </c>
      <c r="DX623" s="2">
        <f t="shared" si="10309"/>
        <v>2.5619999999999997E-2</v>
      </c>
      <c r="DY623" s="2">
        <f t="shared" ref="DY623:EC623" si="10310">S623*$I623+AN623*$AD623+BI623*$AY623</f>
        <v>0</v>
      </c>
      <c r="DZ623" s="2">
        <f t="shared" si="10310"/>
        <v>0</v>
      </c>
      <c r="EA623" s="2">
        <f t="shared" si="10310"/>
        <v>0</v>
      </c>
      <c r="EB623" s="2">
        <f t="shared" si="10310"/>
        <v>0</v>
      </c>
      <c r="EC623" s="2">
        <f t="shared" si="10310"/>
        <v>0</v>
      </c>
      <c r="ED623" s="2">
        <f t="shared" ref="ED623:EE623" si="10311">(X623*$I623+AS623*$AD623+BN623*$AY623)/100</f>
        <v>0</v>
      </c>
      <c r="EE623" s="2">
        <f t="shared" si="10311"/>
        <v>0</v>
      </c>
      <c r="EF623" s="2"/>
      <c r="EG623" s="2">
        <f t="shared" si="8558"/>
        <v>0</v>
      </c>
      <c r="EH623" s="2">
        <f t="shared" si="8559"/>
        <v>0</v>
      </c>
      <c r="EI623" s="39">
        <f t="shared" si="8560"/>
        <v>390.10132448000002</v>
      </c>
      <c r="EJ623" s="39">
        <f t="shared" ref="EJ623:EK623" si="10312">EJ$1*DQ623/1000000</f>
        <v>0</v>
      </c>
      <c r="EK623" s="39">
        <f t="shared" si="10312"/>
        <v>0</v>
      </c>
      <c r="EL623" s="39">
        <f t="shared" ref="EL623:EQ623" si="10313">EL$1*DS623</f>
        <v>0</v>
      </c>
      <c r="EM623" s="39">
        <f t="shared" si="10313"/>
        <v>0</v>
      </c>
      <c r="EN623" s="39">
        <f t="shared" si="10313"/>
        <v>153.32940089599998</v>
      </c>
      <c r="EO623" s="39">
        <f t="shared" si="10313"/>
        <v>0</v>
      </c>
      <c r="EP623" s="39">
        <f t="shared" si="10313"/>
        <v>319.98159999999996</v>
      </c>
      <c r="EQ623" s="39">
        <f t="shared" si="10313"/>
        <v>1860.5122048799994</v>
      </c>
      <c r="ER623" s="39">
        <f t="shared" ref="ER623:EV623" si="10314">ER$1*DY623/1000000</f>
        <v>0</v>
      </c>
      <c r="ES623" s="39">
        <f t="shared" si="10314"/>
        <v>0</v>
      </c>
      <c r="ET623" s="39">
        <f t="shared" si="10314"/>
        <v>0</v>
      </c>
      <c r="EU623" s="39">
        <f t="shared" si="10314"/>
        <v>0</v>
      </c>
      <c r="EV623" s="39">
        <f t="shared" si="10314"/>
        <v>0</v>
      </c>
      <c r="EW623" s="39">
        <f t="shared" ref="EW623:EX623" si="10315">EW$1*ED623</f>
        <v>0</v>
      </c>
      <c r="EX623" s="39">
        <f t="shared" si="10315"/>
        <v>0</v>
      </c>
      <c r="EY623" s="2"/>
      <c r="EZ623" s="39">
        <f t="shared" si="8565"/>
        <v>0</v>
      </c>
      <c r="FA623" s="39">
        <f t="shared" si="8566"/>
        <v>0</v>
      </c>
      <c r="FB623" s="2">
        <f t="shared" si="8567"/>
        <v>0</v>
      </c>
      <c r="FC623" s="2">
        <f t="shared" ref="FC623:FD623" si="10316">BV623*$BT623+CQ623*$CO623</f>
        <v>0</v>
      </c>
      <c r="FD623" s="2">
        <f t="shared" si="10316"/>
        <v>0</v>
      </c>
      <c r="FE623" s="2">
        <f t="shared" ref="FE623:FJ623" si="10317">(BX623*$BT623+CS623*$CO623)/100</f>
        <v>0</v>
      </c>
      <c r="FF623" s="2">
        <f t="shared" si="10317"/>
        <v>0</v>
      </c>
      <c r="FG623" s="2">
        <f t="shared" si="10317"/>
        <v>0</v>
      </c>
      <c r="FH623" s="2">
        <f t="shared" si="10317"/>
        <v>0</v>
      </c>
      <c r="FI623" s="2">
        <f t="shared" si="10317"/>
        <v>0</v>
      </c>
      <c r="FJ623" s="2">
        <f t="shared" si="10317"/>
        <v>0</v>
      </c>
      <c r="FK623" s="2">
        <f t="shared" ref="FK623:FO623" si="10318">CD623*$BT623+CY623*$CO623</f>
        <v>0</v>
      </c>
      <c r="FL623" s="2">
        <f t="shared" si="10318"/>
        <v>0</v>
      </c>
      <c r="FM623" s="2">
        <f t="shared" si="10318"/>
        <v>0</v>
      </c>
      <c r="FN623" s="2">
        <f t="shared" si="10318"/>
        <v>0</v>
      </c>
      <c r="FO623" s="2">
        <f t="shared" si="10318"/>
        <v>0</v>
      </c>
      <c r="FP623" s="2">
        <f t="shared" ref="FP623:FQ623" si="10319">(CI623*$BT623+DD623*$CO623)/100</f>
        <v>0</v>
      </c>
      <c r="FQ623" s="2">
        <f t="shared" si="10319"/>
        <v>0</v>
      </c>
      <c r="FR623" s="2"/>
      <c r="FS623" s="2">
        <f t="shared" si="8572"/>
        <v>0</v>
      </c>
      <c r="FT623" s="2">
        <f t="shared" si="8573"/>
        <v>0</v>
      </c>
      <c r="FU623" s="39">
        <f t="shared" si="8574"/>
        <v>0</v>
      </c>
      <c r="FV623" s="39">
        <f t="shared" ref="FV623:FW623" si="10320">FV$1*FC623/1000000</f>
        <v>0</v>
      </c>
      <c r="FW623" s="39">
        <f t="shared" si="10320"/>
        <v>0</v>
      </c>
      <c r="FX623" s="39">
        <f t="shared" ref="FX623:GC623" si="10321">FX$1*FE623</f>
        <v>0</v>
      </c>
      <c r="FY623" s="39">
        <f t="shared" si="10321"/>
        <v>0</v>
      </c>
      <c r="FZ623" s="39">
        <f t="shared" si="10321"/>
        <v>0</v>
      </c>
      <c r="GA623" s="39">
        <f t="shared" si="10321"/>
        <v>0</v>
      </c>
      <c r="GB623" s="39">
        <f t="shared" si="10321"/>
        <v>0</v>
      </c>
      <c r="GC623" s="39">
        <f t="shared" si="10321"/>
        <v>0</v>
      </c>
      <c r="GD623" s="39">
        <f t="shared" ref="GD623:GH623" si="10322">GD$1*FK623/1000000</f>
        <v>0</v>
      </c>
      <c r="GE623" s="39">
        <f t="shared" si="10322"/>
        <v>0</v>
      </c>
      <c r="GF623" s="39">
        <f t="shared" si="10322"/>
        <v>0</v>
      </c>
      <c r="GG623" s="39">
        <f t="shared" si="10322"/>
        <v>0</v>
      </c>
      <c r="GH623" s="39">
        <f t="shared" si="10322"/>
        <v>0</v>
      </c>
      <c r="GI623" s="39">
        <f t="shared" ref="GI623:GJ623" si="10323">GI$1*FP623</f>
        <v>0</v>
      </c>
      <c r="GJ623" s="39">
        <f t="shared" si="10323"/>
        <v>0</v>
      </c>
      <c r="GK623" s="2"/>
      <c r="GL623" s="39">
        <f t="shared" si="8579"/>
        <v>0</v>
      </c>
      <c r="GM623" s="39">
        <f t="shared" si="8580"/>
        <v>0</v>
      </c>
      <c r="GN623" s="2" t="s">
        <v>3</v>
      </c>
      <c r="GO623" s="2">
        <f t="shared" si="8581"/>
        <v>12.2</v>
      </c>
      <c r="GP623" s="2">
        <f t="shared" si="8582"/>
        <v>0.2</v>
      </c>
      <c r="GQ623" s="15">
        <f t="shared" si="8583"/>
        <v>24.4</v>
      </c>
      <c r="GR623" s="15">
        <f t="shared" si="8584"/>
        <v>2723.9245302559993</v>
      </c>
      <c r="GS623" s="15">
        <f t="shared" si="8585"/>
        <v>223.27250247999996</v>
      </c>
      <c r="GT623" s="2">
        <f t="shared" si="8586"/>
        <v>0</v>
      </c>
      <c r="GU623" s="2">
        <f t="shared" si="8587"/>
        <v>24.4</v>
      </c>
      <c r="GV623" s="2">
        <f t="shared" si="8588"/>
        <v>0</v>
      </c>
      <c r="GW623" s="2">
        <f t="shared" si="8589"/>
        <v>0</v>
      </c>
      <c r="GX623" s="2"/>
      <c r="GY623" s="2"/>
      <c r="GZ623" s="2"/>
      <c r="HA623" s="2"/>
      <c r="HB623" s="2">
        <f t="shared" si="8590"/>
        <v>0</v>
      </c>
      <c r="HC623" s="2">
        <f t="shared" si="8591"/>
        <v>0</v>
      </c>
      <c r="HD623" s="2" t="s">
        <v>3</v>
      </c>
      <c r="HE623" s="2" t="s">
        <v>89</v>
      </c>
      <c r="HF623" s="2" t="s">
        <v>169</v>
      </c>
      <c r="HG623" s="2"/>
      <c r="HH623" s="2"/>
      <c r="HI623" s="2" t="s">
        <v>81</v>
      </c>
      <c r="HJ623" s="2" t="s">
        <v>3</v>
      </c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 t="s">
        <v>3</v>
      </c>
    </row>
    <row r="624" spans="1:268" ht="15.75" customHeight="1" x14ac:dyDescent="0.2">
      <c r="A624" s="16" t="s">
        <v>690</v>
      </c>
      <c r="B624" s="2" t="s">
        <v>99</v>
      </c>
      <c r="C624" s="2"/>
      <c r="D624" s="2"/>
      <c r="E624" s="2"/>
      <c r="F624" s="2" t="s">
        <v>79</v>
      </c>
      <c r="G624" s="2"/>
      <c r="H624" s="2"/>
      <c r="I624" s="2">
        <v>0</v>
      </c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>
        <v>0</v>
      </c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>
        <f>6.975+0.026</f>
        <v>7.0009999999999994</v>
      </c>
      <c r="AZ624" s="4">
        <f>(0.38*6.975+0.36*0.026)/AY624</f>
        <v>0.37992572489644338</v>
      </c>
      <c r="BA624" s="2">
        <f>(0.2*6.975+0.2*0.026)/AY624</f>
        <v>0.20000000000000004</v>
      </c>
      <c r="BB624" s="2"/>
      <c r="BC624" s="2"/>
      <c r="BD624" s="2"/>
      <c r="BE624" s="2"/>
      <c r="BF624" s="2"/>
      <c r="BG624" s="4">
        <f>(0.24*6.975+0.24*0.026)/AY624</f>
        <v>0.24000000000000002</v>
      </c>
      <c r="BH624" s="2"/>
      <c r="BI624" s="2">
        <f>(0.2*6.975+0.2*0.026)/AY624</f>
        <v>0.20000000000000004</v>
      </c>
      <c r="BJ624" s="2">
        <f>(0.6*6.975+0.6*0.026)/AY624</f>
        <v>0.6</v>
      </c>
      <c r="BK624" s="2"/>
      <c r="BL624" s="2"/>
      <c r="BM624" s="2"/>
      <c r="BN624" s="2"/>
      <c r="BO624" s="2"/>
      <c r="BP624" s="2"/>
      <c r="BQ624" s="2"/>
      <c r="BR624" s="2"/>
      <c r="BS624" s="2"/>
      <c r="BT624" s="2">
        <v>0</v>
      </c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>
        <v>0</v>
      </c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 t="s">
        <v>100</v>
      </c>
      <c r="DK624" s="2"/>
      <c r="DL624" s="2">
        <f t="shared" si="8551"/>
        <v>0.24000000000000002</v>
      </c>
      <c r="DM624" s="2">
        <f t="shared" si="8552"/>
        <v>0</v>
      </c>
      <c r="DN624" s="2" t="s">
        <v>691</v>
      </c>
      <c r="DO624" s="2" t="s">
        <v>3</v>
      </c>
      <c r="DP624" s="2">
        <f t="shared" si="8553"/>
        <v>2.65986E-2</v>
      </c>
      <c r="DQ624" s="2">
        <f t="shared" ref="DQ624:DR624" si="10324">K624*$I624+AF624*$AD624+BA624*$AY624</f>
        <v>1.4002000000000001</v>
      </c>
      <c r="DR624" s="2">
        <f t="shared" si="10324"/>
        <v>0</v>
      </c>
      <c r="DS624" s="2">
        <f t="shared" ref="DS624:DX624" si="10325">(M624*$I624+AH624*$AD624+BC624*$AY624)/100</f>
        <v>0</v>
      </c>
      <c r="DT624" s="2">
        <f t="shared" si="10325"/>
        <v>0</v>
      </c>
      <c r="DU624" s="2">
        <f t="shared" si="10325"/>
        <v>0</v>
      </c>
      <c r="DV624" s="2">
        <f t="shared" si="10325"/>
        <v>0</v>
      </c>
      <c r="DW624" s="2">
        <f t="shared" si="10325"/>
        <v>1.6802399999999999E-2</v>
      </c>
      <c r="DX624" s="2">
        <f t="shared" si="10325"/>
        <v>0</v>
      </c>
      <c r="DY624" s="2">
        <f t="shared" ref="DY624:EC624" si="10326">S624*$I624+AN624*$AD624+BI624*$AY624</f>
        <v>1.4002000000000001</v>
      </c>
      <c r="DZ624" s="2">
        <f t="shared" si="10326"/>
        <v>4.2005999999999997</v>
      </c>
      <c r="EA624" s="2">
        <f t="shared" si="10326"/>
        <v>0</v>
      </c>
      <c r="EB624" s="2">
        <f t="shared" si="10326"/>
        <v>0</v>
      </c>
      <c r="EC624" s="2">
        <f t="shared" si="10326"/>
        <v>0</v>
      </c>
      <c r="ED624" s="2">
        <f t="shared" ref="ED624:EE624" si="10327">(X624*$I624+AS624*$AD624+BN624*$AY624)/100</f>
        <v>0</v>
      </c>
      <c r="EE624" s="2">
        <f t="shared" si="10327"/>
        <v>0</v>
      </c>
      <c r="EF624" s="2"/>
      <c r="EG624" s="2">
        <f t="shared" si="8558"/>
        <v>0</v>
      </c>
      <c r="EH624" s="2">
        <f t="shared" si="8559"/>
        <v>0</v>
      </c>
      <c r="EI624" s="39">
        <f t="shared" si="8560"/>
        <v>173.5722497376</v>
      </c>
      <c r="EJ624" s="39">
        <f t="shared" ref="EJ624:EK624" si="10328">EJ$1*DQ624/1000000</f>
        <v>57.268630225080386</v>
      </c>
      <c r="EK624" s="39">
        <f t="shared" si="10328"/>
        <v>0</v>
      </c>
      <c r="EL624" s="39">
        <f t="shared" ref="EL624:EQ624" si="10329">EL$1*DS624</f>
        <v>0</v>
      </c>
      <c r="EM624" s="39">
        <f t="shared" si="10329"/>
        <v>0</v>
      </c>
      <c r="EN624" s="39">
        <f t="shared" si="10329"/>
        <v>0</v>
      </c>
      <c r="EO624" s="39">
        <f t="shared" si="10329"/>
        <v>0</v>
      </c>
      <c r="EP624" s="39">
        <f t="shared" si="10329"/>
        <v>220.34667359999997</v>
      </c>
      <c r="EQ624" s="39">
        <f t="shared" si="10329"/>
        <v>0</v>
      </c>
      <c r="ER624" s="39">
        <f t="shared" ref="ER624:EV624" si="10330">ER$1*DY624/1000000</f>
        <v>39.739566945337614</v>
      </c>
      <c r="ES624" s="39">
        <f t="shared" si="10330"/>
        <v>139.9880340192926</v>
      </c>
      <c r="ET624" s="39">
        <f t="shared" si="10330"/>
        <v>0</v>
      </c>
      <c r="EU624" s="39">
        <f t="shared" si="10330"/>
        <v>0</v>
      </c>
      <c r="EV624" s="39">
        <f t="shared" si="10330"/>
        <v>0</v>
      </c>
      <c r="EW624" s="39">
        <f t="shared" ref="EW624:EX624" si="10331">EW$1*ED624</f>
        <v>0</v>
      </c>
      <c r="EX624" s="39">
        <f t="shared" si="10331"/>
        <v>0</v>
      </c>
      <c r="EY624" s="2"/>
      <c r="EZ624" s="39">
        <f t="shared" si="8565"/>
        <v>0</v>
      </c>
      <c r="FA624" s="39">
        <f t="shared" si="8566"/>
        <v>0</v>
      </c>
      <c r="FB624" s="2">
        <f t="shared" si="8567"/>
        <v>0</v>
      </c>
      <c r="FC624" s="2">
        <f t="shared" ref="FC624:FD624" si="10332">BV624*$BT624+CQ624*$CO624</f>
        <v>0</v>
      </c>
      <c r="FD624" s="2">
        <f t="shared" si="10332"/>
        <v>0</v>
      </c>
      <c r="FE624" s="2">
        <f t="shared" ref="FE624:FJ624" si="10333">(BX624*$BT624+CS624*$CO624)/100</f>
        <v>0</v>
      </c>
      <c r="FF624" s="2">
        <f t="shared" si="10333"/>
        <v>0</v>
      </c>
      <c r="FG624" s="2">
        <f t="shared" si="10333"/>
        <v>0</v>
      </c>
      <c r="FH624" s="2">
        <f t="shared" si="10333"/>
        <v>0</v>
      </c>
      <c r="FI624" s="2">
        <f t="shared" si="10333"/>
        <v>0</v>
      </c>
      <c r="FJ624" s="2">
        <f t="shared" si="10333"/>
        <v>0</v>
      </c>
      <c r="FK624" s="2">
        <f t="shared" ref="FK624:FO624" si="10334">CD624*$BT624+CY624*$CO624</f>
        <v>0</v>
      </c>
      <c r="FL624" s="2">
        <f t="shared" si="10334"/>
        <v>0</v>
      </c>
      <c r="FM624" s="2">
        <f t="shared" si="10334"/>
        <v>0</v>
      </c>
      <c r="FN624" s="2">
        <f t="shared" si="10334"/>
        <v>0</v>
      </c>
      <c r="FO624" s="2">
        <f t="shared" si="10334"/>
        <v>0</v>
      </c>
      <c r="FP624" s="2">
        <f t="shared" ref="FP624:FQ624" si="10335">(CI624*$BT624+DD624*$CO624)/100</f>
        <v>0</v>
      </c>
      <c r="FQ624" s="2">
        <f t="shared" si="10335"/>
        <v>0</v>
      </c>
      <c r="FR624" s="2"/>
      <c r="FS624" s="2">
        <f t="shared" si="8572"/>
        <v>0</v>
      </c>
      <c r="FT624" s="2">
        <f t="shared" si="8573"/>
        <v>0</v>
      </c>
      <c r="FU624" s="39">
        <f t="shared" si="8574"/>
        <v>0</v>
      </c>
      <c r="FV624" s="39">
        <f t="shared" ref="FV624:FW624" si="10336">FV$1*FC624/1000000</f>
        <v>0</v>
      </c>
      <c r="FW624" s="39">
        <f t="shared" si="10336"/>
        <v>0</v>
      </c>
      <c r="FX624" s="39">
        <f t="shared" ref="FX624:GC624" si="10337">FX$1*FE624</f>
        <v>0</v>
      </c>
      <c r="FY624" s="39">
        <f t="shared" si="10337"/>
        <v>0</v>
      </c>
      <c r="FZ624" s="39">
        <f t="shared" si="10337"/>
        <v>0</v>
      </c>
      <c r="GA624" s="39">
        <f t="shared" si="10337"/>
        <v>0</v>
      </c>
      <c r="GB624" s="39">
        <f t="shared" si="10337"/>
        <v>0</v>
      </c>
      <c r="GC624" s="39">
        <f t="shared" si="10337"/>
        <v>0</v>
      </c>
      <c r="GD624" s="39">
        <f t="shared" ref="GD624:GH624" si="10338">GD$1*FK624/1000000</f>
        <v>0</v>
      </c>
      <c r="GE624" s="39">
        <f t="shared" si="10338"/>
        <v>0</v>
      </c>
      <c r="GF624" s="39">
        <f t="shared" si="10338"/>
        <v>0</v>
      </c>
      <c r="GG624" s="39">
        <f t="shared" si="10338"/>
        <v>0</v>
      </c>
      <c r="GH624" s="39">
        <f t="shared" si="10338"/>
        <v>0</v>
      </c>
      <c r="GI624" s="39">
        <f t="shared" ref="GI624:GJ624" si="10339">GI$1*FP624</f>
        <v>0</v>
      </c>
      <c r="GJ624" s="39">
        <f t="shared" si="10339"/>
        <v>0</v>
      </c>
      <c r="GK624" s="2"/>
      <c r="GL624" s="39">
        <f t="shared" si="8579"/>
        <v>0</v>
      </c>
      <c r="GM624" s="39">
        <f t="shared" si="8580"/>
        <v>0</v>
      </c>
      <c r="GN624" s="2" t="s">
        <v>3</v>
      </c>
      <c r="GO624" s="2">
        <f t="shared" si="8581"/>
        <v>7.0009999999999994</v>
      </c>
      <c r="GP624" s="2">
        <f t="shared" si="8582"/>
        <v>0.24000000000000002</v>
      </c>
      <c r="GQ624" s="15">
        <f t="shared" si="8583"/>
        <v>16.802399999999999</v>
      </c>
      <c r="GR624" s="15">
        <f t="shared" si="8584"/>
        <v>630.91515452731062</v>
      </c>
      <c r="GS624" s="15">
        <f t="shared" si="8585"/>
        <v>90.117862380704281</v>
      </c>
      <c r="GT624" s="2">
        <f t="shared" si="8586"/>
        <v>0</v>
      </c>
      <c r="GU624" s="2">
        <f t="shared" si="8587"/>
        <v>0</v>
      </c>
      <c r="GV624" s="2">
        <f t="shared" si="8588"/>
        <v>16.802399999999999</v>
      </c>
      <c r="GW624" s="2">
        <f t="shared" si="8589"/>
        <v>0</v>
      </c>
      <c r="GX624" s="2"/>
      <c r="GY624" s="2"/>
      <c r="GZ624" s="2"/>
      <c r="HA624" s="2"/>
      <c r="HB624" s="2">
        <f t="shared" si="8590"/>
        <v>0</v>
      </c>
      <c r="HC624" s="2">
        <f t="shared" si="8591"/>
        <v>0</v>
      </c>
      <c r="HD624" s="2" t="s">
        <v>3</v>
      </c>
      <c r="HE624" s="2" t="s">
        <v>89</v>
      </c>
      <c r="HF624" s="2" t="s">
        <v>162</v>
      </c>
      <c r="HG624" s="2"/>
      <c r="HH624" s="2"/>
      <c r="HI624" s="2" t="s">
        <v>100</v>
      </c>
      <c r="HJ624" s="2" t="s">
        <v>3</v>
      </c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 t="s">
        <v>3</v>
      </c>
    </row>
    <row r="625" spans="1:268" ht="15.75" customHeight="1" x14ac:dyDescent="0.2">
      <c r="A625" s="16" t="s">
        <v>390</v>
      </c>
      <c r="B625" s="2" t="s">
        <v>99</v>
      </c>
      <c r="C625" s="2"/>
      <c r="D625" s="2"/>
      <c r="E625" s="2"/>
      <c r="F625" s="2" t="s">
        <v>79</v>
      </c>
      <c r="G625" s="2"/>
      <c r="H625" s="2"/>
      <c r="I625" s="2">
        <v>0</v>
      </c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>
        <v>0</v>
      </c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4">
        <f>0.4*0.9072</f>
        <v>0.36288000000000004</v>
      </c>
      <c r="AZ625" s="2">
        <v>0.16</v>
      </c>
      <c r="BA625" s="2"/>
      <c r="BB625" s="2"/>
      <c r="BC625" s="2"/>
      <c r="BD625" s="2"/>
      <c r="BE625" s="2"/>
      <c r="BF625" s="2"/>
      <c r="BG625" s="2">
        <v>0.23</v>
      </c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>
        <v>0</v>
      </c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>
        <v>0</v>
      </c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 t="s">
        <v>100</v>
      </c>
      <c r="DK625" s="2"/>
      <c r="DL625" s="2">
        <f t="shared" si="8551"/>
        <v>0.22999999999999998</v>
      </c>
      <c r="DM625" s="2">
        <f t="shared" si="8552"/>
        <v>0</v>
      </c>
      <c r="DN625" s="2" t="s">
        <v>221</v>
      </c>
      <c r="DO625" s="2" t="s">
        <v>3</v>
      </c>
      <c r="DP625" s="2">
        <f t="shared" si="8553"/>
        <v>5.8060800000000014E-4</v>
      </c>
      <c r="DQ625" s="2">
        <f t="shared" ref="DQ625:DR625" si="10340">K625*$I625+AF625*$AD625+BA625*$AY625</f>
        <v>0</v>
      </c>
      <c r="DR625" s="2">
        <f t="shared" si="10340"/>
        <v>0</v>
      </c>
      <c r="DS625" s="2">
        <f t="shared" ref="DS625:DX625" si="10341">(M625*$I625+AH625*$AD625+BC625*$AY625)/100</f>
        <v>0</v>
      </c>
      <c r="DT625" s="2">
        <f t="shared" si="10341"/>
        <v>0</v>
      </c>
      <c r="DU625" s="2">
        <f t="shared" si="10341"/>
        <v>0</v>
      </c>
      <c r="DV625" s="2">
        <f t="shared" si="10341"/>
        <v>0</v>
      </c>
      <c r="DW625" s="2">
        <f t="shared" si="10341"/>
        <v>8.3462400000000006E-4</v>
      </c>
      <c r="DX625" s="2">
        <f t="shared" si="10341"/>
        <v>0</v>
      </c>
      <c r="DY625" s="2">
        <f t="shared" ref="DY625:EC625" si="10342">S625*$I625+AN625*$AD625+BI625*$AY625</f>
        <v>0</v>
      </c>
      <c r="DZ625" s="2">
        <f t="shared" si="10342"/>
        <v>0</v>
      </c>
      <c r="EA625" s="2">
        <f t="shared" si="10342"/>
        <v>0</v>
      </c>
      <c r="EB625" s="2">
        <f t="shared" si="10342"/>
        <v>0</v>
      </c>
      <c r="EC625" s="2">
        <f t="shared" si="10342"/>
        <v>0</v>
      </c>
      <c r="ED625" s="2">
        <f t="shared" ref="ED625:EE625" si="10343">(X625*$I625+AS625*$AD625+BN625*$AY625)/100</f>
        <v>0</v>
      </c>
      <c r="EE625" s="2">
        <f t="shared" si="10343"/>
        <v>0</v>
      </c>
      <c r="EF625" s="2"/>
      <c r="EG625" s="2">
        <f t="shared" si="8558"/>
        <v>0</v>
      </c>
      <c r="EH625" s="2">
        <f t="shared" si="8559"/>
        <v>0</v>
      </c>
      <c r="EI625" s="39">
        <f t="shared" si="8560"/>
        <v>3.7888248545280008</v>
      </c>
      <c r="EJ625" s="39">
        <f t="shared" ref="EJ625:EK625" si="10344">EJ$1*DQ625/1000000</f>
        <v>0</v>
      </c>
      <c r="EK625" s="39">
        <f t="shared" si="10344"/>
        <v>0</v>
      </c>
      <c r="EL625" s="39">
        <f t="shared" ref="EL625:EQ625" si="10345">EL$1*DS625</f>
        <v>0</v>
      </c>
      <c r="EM625" s="39">
        <f t="shared" si="10345"/>
        <v>0</v>
      </c>
      <c r="EN625" s="39">
        <f t="shared" si="10345"/>
        <v>0</v>
      </c>
      <c r="EO625" s="39">
        <f t="shared" si="10345"/>
        <v>0</v>
      </c>
      <c r="EP625" s="39">
        <f t="shared" si="10345"/>
        <v>10.945259136000001</v>
      </c>
      <c r="EQ625" s="39">
        <f t="shared" si="10345"/>
        <v>0</v>
      </c>
      <c r="ER625" s="39">
        <f t="shared" ref="ER625:EV625" si="10346">ER$1*DY625/1000000</f>
        <v>0</v>
      </c>
      <c r="ES625" s="39">
        <f t="shared" si="10346"/>
        <v>0</v>
      </c>
      <c r="ET625" s="39">
        <f t="shared" si="10346"/>
        <v>0</v>
      </c>
      <c r="EU625" s="39">
        <f t="shared" si="10346"/>
        <v>0</v>
      </c>
      <c r="EV625" s="39">
        <f t="shared" si="10346"/>
        <v>0</v>
      </c>
      <c r="EW625" s="39">
        <f t="shared" ref="EW625:EX625" si="10347">EW$1*ED625</f>
        <v>0</v>
      </c>
      <c r="EX625" s="39">
        <f t="shared" si="10347"/>
        <v>0</v>
      </c>
      <c r="EY625" s="2"/>
      <c r="EZ625" s="39">
        <f t="shared" si="8565"/>
        <v>0</v>
      </c>
      <c r="FA625" s="39">
        <f t="shared" si="8566"/>
        <v>0</v>
      </c>
      <c r="FB625" s="2">
        <f t="shared" si="8567"/>
        <v>0</v>
      </c>
      <c r="FC625" s="2">
        <f t="shared" ref="FC625:FD625" si="10348">BV625*$BT625+CQ625*$CO625</f>
        <v>0</v>
      </c>
      <c r="FD625" s="2">
        <f t="shared" si="10348"/>
        <v>0</v>
      </c>
      <c r="FE625" s="2">
        <f t="shared" ref="FE625:FJ625" si="10349">(BX625*$BT625+CS625*$CO625)/100</f>
        <v>0</v>
      </c>
      <c r="FF625" s="2">
        <f t="shared" si="10349"/>
        <v>0</v>
      </c>
      <c r="FG625" s="2">
        <f t="shared" si="10349"/>
        <v>0</v>
      </c>
      <c r="FH625" s="2">
        <f t="shared" si="10349"/>
        <v>0</v>
      </c>
      <c r="FI625" s="2">
        <f t="shared" si="10349"/>
        <v>0</v>
      </c>
      <c r="FJ625" s="2">
        <f t="shared" si="10349"/>
        <v>0</v>
      </c>
      <c r="FK625" s="2">
        <f t="shared" ref="FK625:FO625" si="10350">CD625*$BT625+CY625*$CO625</f>
        <v>0</v>
      </c>
      <c r="FL625" s="2">
        <f t="shared" si="10350"/>
        <v>0</v>
      </c>
      <c r="FM625" s="2">
        <f t="shared" si="10350"/>
        <v>0</v>
      </c>
      <c r="FN625" s="2">
        <f t="shared" si="10350"/>
        <v>0</v>
      </c>
      <c r="FO625" s="2">
        <f t="shared" si="10350"/>
        <v>0</v>
      </c>
      <c r="FP625" s="2">
        <f t="shared" ref="FP625:FQ625" si="10351">(CI625*$BT625+DD625*$CO625)/100</f>
        <v>0</v>
      </c>
      <c r="FQ625" s="2">
        <f t="shared" si="10351"/>
        <v>0</v>
      </c>
      <c r="FR625" s="2"/>
      <c r="FS625" s="2">
        <f t="shared" si="8572"/>
        <v>0</v>
      </c>
      <c r="FT625" s="2">
        <f t="shared" si="8573"/>
        <v>0</v>
      </c>
      <c r="FU625" s="39">
        <f t="shared" si="8574"/>
        <v>0</v>
      </c>
      <c r="FV625" s="39">
        <f t="shared" ref="FV625:FW625" si="10352">FV$1*FC625/1000000</f>
        <v>0</v>
      </c>
      <c r="FW625" s="39">
        <f t="shared" si="10352"/>
        <v>0</v>
      </c>
      <c r="FX625" s="39">
        <f t="shared" ref="FX625:GC625" si="10353">FX$1*FE625</f>
        <v>0</v>
      </c>
      <c r="FY625" s="39">
        <f t="shared" si="10353"/>
        <v>0</v>
      </c>
      <c r="FZ625" s="39">
        <f t="shared" si="10353"/>
        <v>0</v>
      </c>
      <c r="GA625" s="39">
        <f t="shared" si="10353"/>
        <v>0</v>
      </c>
      <c r="GB625" s="39">
        <f t="shared" si="10353"/>
        <v>0</v>
      </c>
      <c r="GC625" s="39">
        <f t="shared" si="10353"/>
        <v>0</v>
      </c>
      <c r="GD625" s="39">
        <f t="shared" ref="GD625:GH625" si="10354">GD$1*FK625/1000000</f>
        <v>0</v>
      </c>
      <c r="GE625" s="39">
        <f t="shared" si="10354"/>
        <v>0</v>
      </c>
      <c r="GF625" s="39">
        <f t="shared" si="10354"/>
        <v>0</v>
      </c>
      <c r="GG625" s="39">
        <f t="shared" si="10354"/>
        <v>0</v>
      </c>
      <c r="GH625" s="39">
        <f t="shared" si="10354"/>
        <v>0</v>
      </c>
      <c r="GI625" s="39">
        <f t="shared" ref="GI625:GJ625" si="10355">GI$1*FP625</f>
        <v>0</v>
      </c>
      <c r="GJ625" s="39">
        <f t="shared" si="10355"/>
        <v>0</v>
      </c>
      <c r="GK625" s="2"/>
      <c r="GL625" s="39">
        <f t="shared" si="8579"/>
        <v>0</v>
      </c>
      <c r="GM625" s="39">
        <f t="shared" si="8580"/>
        <v>0</v>
      </c>
      <c r="GN625" s="2" t="s">
        <v>3</v>
      </c>
      <c r="GO625" s="19">
        <f t="shared" si="8581"/>
        <v>0.36288000000000004</v>
      </c>
      <c r="GP625" s="2">
        <f t="shared" si="8582"/>
        <v>0.22999999999999998</v>
      </c>
      <c r="GQ625" s="15">
        <f t="shared" si="8583"/>
        <v>0.83462400000000003</v>
      </c>
      <c r="GR625" s="15">
        <f t="shared" si="8584"/>
        <v>14.734083990528001</v>
      </c>
      <c r="GS625" s="15">
        <f t="shared" si="8585"/>
        <v>40.603185599999996</v>
      </c>
      <c r="GT625" s="2">
        <f t="shared" si="8586"/>
        <v>0</v>
      </c>
      <c r="GU625" s="2">
        <f t="shared" si="8587"/>
        <v>0</v>
      </c>
      <c r="GV625" s="2">
        <f t="shared" si="8588"/>
        <v>0.83462400000000003</v>
      </c>
      <c r="GW625" s="2">
        <f t="shared" si="8589"/>
        <v>0</v>
      </c>
      <c r="GX625" s="2"/>
      <c r="GY625" s="2"/>
      <c r="GZ625" s="2"/>
      <c r="HA625" s="2"/>
      <c r="HB625" s="2">
        <f t="shared" si="8590"/>
        <v>0</v>
      </c>
      <c r="HC625" s="2">
        <f t="shared" si="8591"/>
        <v>0</v>
      </c>
      <c r="HD625" s="2" t="s">
        <v>3</v>
      </c>
      <c r="HE625" s="2" t="s">
        <v>89</v>
      </c>
      <c r="HF625" s="2" t="s">
        <v>91</v>
      </c>
      <c r="HG625" s="2"/>
      <c r="HH625" s="2"/>
      <c r="HI625" s="2" t="s">
        <v>100</v>
      </c>
      <c r="HJ625" s="2" t="s">
        <v>3</v>
      </c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 t="s">
        <v>3</v>
      </c>
    </row>
    <row r="626" spans="1:268" ht="15.75" customHeight="1" x14ac:dyDescent="0.2">
      <c r="A626" s="16" t="s">
        <v>220</v>
      </c>
      <c r="B626" s="2" t="s">
        <v>99</v>
      </c>
      <c r="C626" s="2"/>
      <c r="D626" s="2"/>
      <c r="E626" s="2"/>
      <c r="F626" s="2" t="s">
        <v>79</v>
      </c>
      <c r="G626" s="2"/>
      <c r="H626" s="2"/>
      <c r="I626" s="2">
        <v>0</v>
      </c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>
        <v>0</v>
      </c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15">
        <f>10.2*0.9072</f>
        <v>9.2534399999999994</v>
      </c>
      <c r="AZ626" s="2">
        <v>0.25</v>
      </c>
      <c r="BA626" s="2"/>
      <c r="BB626" s="2"/>
      <c r="BC626" s="2"/>
      <c r="BD626" s="2"/>
      <c r="BE626" s="2"/>
      <c r="BF626" s="2"/>
      <c r="BG626" s="2">
        <v>0.26</v>
      </c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>
        <v>0</v>
      </c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>
        <v>0</v>
      </c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 t="s">
        <v>100</v>
      </c>
      <c r="DK626" s="2"/>
      <c r="DL626" s="2">
        <f t="shared" si="8551"/>
        <v>0.26</v>
      </c>
      <c r="DM626" s="2">
        <f t="shared" si="8552"/>
        <v>0</v>
      </c>
      <c r="DN626" s="2" t="s">
        <v>221</v>
      </c>
      <c r="DO626" s="2" t="s">
        <v>3</v>
      </c>
      <c r="DP626" s="2">
        <f t="shared" si="8553"/>
        <v>2.3133599999999997E-2</v>
      </c>
      <c r="DQ626" s="2">
        <f t="shared" ref="DQ626:DR626" si="10356">K626*$I626+AF626*$AD626+BA626*$AY626</f>
        <v>0</v>
      </c>
      <c r="DR626" s="2">
        <f t="shared" si="10356"/>
        <v>0</v>
      </c>
      <c r="DS626" s="2">
        <f t="shared" ref="DS626:DX626" si="10357">(M626*$I626+AH626*$AD626+BC626*$AY626)/100</f>
        <v>0</v>
      </c>
      <c r="DT626" s="2">
        <f t="shared" si="10357"/>
        <v>0</v>
      </c>
      <c r="DU626" s="2">
        <f t="shared" si="10357"/>
        <v>0</v>
      </c>
      <c r="DV626" s="2">
        <f t="shared" si="10357"/>
        <v>0</v>
      </c>
      <c r="DW626" s="2">
        <f t="shared" si="10357"/>
        <v>2.4058943999999999E-2</v>
      </c>
      <c r="DX626" s="2">
        <f t="shared" si="10357"/>
        <v>0</v>
      </c>
      <c r="DY626" s="2">
        <f t="shared" ref="DY626:EC626" si="10358">S626*$I626+AN626*$AD626+BI626*$AY626</f>
        <v>0</v>
      </c>
      <c r="DZ626" s="2">
        <f t="shared" si="10358"/>
        <v>0</v>
      </c>
      <c r="EA626" s="2">
        <f t="shared" si="10358"/>
        <v>0</v>
      </c>
      <c r="EB626" s="2">
        <f t="shared" si="10358"/>
        <v>0</v>
      </c>
      <c r="EC626" s="2">
        <f t="shared" si="10358"/>
        <v>0</v>
      </c>
      <c r="ED626" s="2">
        <f t="shared" ref="ED626:EE626" si="10359">(X626*$I626+AS626*$AD626+BN626*$AY626)/100</f>
        <v>0</v>
      </c>
      <c r="EE626" s="2">
        <f t="shared" si="10359"/>
        <v>0</v>
      </c>
      <c r="EF626" s="2"/>
      <c r="EG626" s="2">
        <f t="shared" si="8558"/>
        <v>0</v>
      </c>
      <c r="EH626" s="2">
        <f t="shared" si="8559"/>
        <v>0</v>
      </c>
      <c r="EI626" s="39">
        <f t="shared" si="8560"/>
        <v>150.96099029759998</v>
      </c>
      <c r="EJ626" s="39">
        <f t="shared" ref="EJ626:EK626" si="10360">EJ$1*DQ626/1000000</f>
        <v>0</v>
      </c>
      <c r="EK626" s="39">
        <f t="shared" si="10360"/>
        <v>0</v>
      </c>
      <c r="EL626" s="39">
        <f t="shared" ref="EL626:EQ626" si="10361">EL$1*DS626</f>
        <v>0</v>
      </c>
      <c r="EM626" s="39">
        <f t="shared" si="10361"/>
        <v>0</v>
      </c>
      <c r="EN626" s="39">
        <f t="shared" si="10361"/>
        <v>0</v>
      </c>
      <c r="EO626" s="39">
        <f t="shared" si="10361"/>
        <v>0</v>
      </c>
      <c r="EP626" s="39">
        <f t="shared" si="10361"/>
        <v>315.508991616</v>
      </c>
      <c r="EQ626" s="39">
        <f t="shared" si="10361"/>
        <v>0</v>
      </c>
      <c r="ER626" s="39">
        <f t="shared" ref="ER626:EV626" si="10362">ER$1*DY626/1000000</f>
        <v>0</v>
      </c>
      <c r="ES626" s="39">
        <f t="shared" si="10362"/>
        <v>0</v>
      </c>
      <c r="ET626" s="39">
        <f t="shared" si="10362"/>
        <v>0</v>
      </c>
      <c r="EU626" s="39">
        <f t="shared" si="10362"/>
        <v>0</v>
      </c>
      <c r="EV626" s="39">
        <f t="shared" si="10362"/>
        <v>0</v>
      </c>
      <c r="EW626" s="39">
        <f t="shared" ref="EW626:EX626" si="10363">EW$1*ED626</f>
        <v>0</v>
      </c>
      <c r="EX626" s="39">
        <f t="shared" si="10363"/>
        <v>0</v>
      </c>
      <c r="EY626" s="2"/>
      <c r="EZ626" s="39">
        <f t="shared" si="8565"/>
        <v>0</v>
      </c>
      <c r="FA626" s="39">
        <f t="shared" si="8566"/>
        <v>0</v>
      </c>
      <c r="FB626" s="2">
        <f t="shared" si="8567"/>
        <v>0</v>
      </c>
      <c r="FC626" s="2">
        <f t="shared" ref="FC626:FD626" si="10364">BV626*$BT626+CQ626*$CO626</f>
        <v>0</v>
      </c>
      <c r="FD626" s="2">
        <f t="shared" si="10364"/>
        <v>0</v>
      </c>
      <c r="FE626" s="2">
        <f t="shared" ref="FE626:FJ626" si="10365">(BX626*$BT626+CS626*$CO626)/100</f>
        <v>0</v>
      </c>
      <c r="FF626" s="2">
        <f t="shared" si="10365"/>
        <v>0</v>
      </c>
      <c r="FG626" s="2">
        <f t="shared" si="10365"/>
        <v>0</v>
      </c>
      <c r="FH626" s="2">
        <f t="shared" si="10365"/>
        <v>0</v>
      </c>
      <c r="FI626" s="2">
        <f t="shared" si="10365"/>
        <v>0</v>
      </c>
      <c r="FJ626" s="2">
        <f t="shared" si="10365"/>
        <v>0</v>
      </c>
      <c r="FK626" s="2">
        <f t="shared" ref="FK626:FO626" si="10366">CD626*$BT626+CY626*$CO626</f>
        <v>0</v>
      </c>
      <c r="FL626" s="2">
        <f t="shared" si="10366"/>
        <v>0</v>
      </c>
      <c r="FM626" s="2">
        <f t="shared" si="10366"/>
        <v>0</v>
      </c>
      <c r="FN626" s="2">
        <f t="shared" si="10366"/>
        <v>0</v>
      </c>
      <c r="FO626" s="2">
        <f t="shared" si="10366"/>
        <v>0</v>
      </c>
      <c r="FP626" s="2">
        <f t="shared" ref="FP626:FQ626" si="10367">(CI626*$BT626+DD626*$CO626)/100</f>
        <v>0</v>
      </c>
      <c r="FQ626" s="2">
        <f t="shared" si="10367"/>
        <v>0</v>
      </c>
      <c r="FR626" s="2"/>
      <c r="FS626" s="2">
        <f t="shared" si="8572"/>
        <v>0</v>
      </c>
      <c r="FT626" s="2">
        <f t="shared" si="8573"/>
        <v>0</v>
      </c>
      <c r="FU626" s="39">
        <f t="shared" si="8574"/>
        <v>0</v>
      </c>
      <c r="FV626" s="39">
        <f t="shared" ref="FV626:FW626" si="10368">FV$1*FC626/1000000</f>
        <v>0</v>
      </c>
      <c r="FW626" s="39">
        <f t="shared" si="10368"/>
        <v>0</v>
      </c>
      <c r="FX626" s="39">
        <f t="shared" ref="FX626:GC626" si="10369">FX$1*FE626</f>
        <v>0</v>
      </c>
      <c r="FY626" s="39">
        <f t="shared" si="10369"/>
        <v>0</v>
      </c>
      <c r="FZ626" s="39">
        <f t="shared" si="10369"/>
        <v>0</v>
      </c>
      <c r="GA626" s="39">
        <f t="shared" si="10369"/>
        <v>0</v>
      </c>
      <c r="GB626" s="39">
        <f t="shared" si="10369"/>
        <v>0</v>
      </c>
      <c r="GC626" s="39">
        <f t="shared" si="10369"/>
        <v>0</v>
      </c>
      <c r="GD626" s="39">
        <f t="shared" ref="GD626:GH626" si="10370">GD$1*FK626/1000000</f>
        <v>0</v>
      </c>
      <c r="GE626" s="39">
        <f t="shared" si="10370"/>
        <v>0</v>
      </c>
      <c r="GF626" s="39">
        <f t="shared" si="10370"/>
        <v>0</v>
      </c>
      <c r="GG626" s="39">
        <f t="shared" si="10370"/>
        <v>0</v>
      </c>
      <c r="GH626" s="39">
        <f t="shared" si="10370"/>
        <v>0</v>
      </c>
      <c r="GI626" s="39">
        <f t="shared" ref="GI626:GJ626" si="10371">GI$1*FP626</f>
        <v>0</v>
      </c>
      <c r="GJ626" s="39">
        <f t="shared" si="10371"/>
        <v>0</v>
      </c>
      <c r="GK626" s="2"/>
      <c r="GL626" s="39">
        <f t="shared" si="8579"/>
        <v>0</v>
      </c>
      <c r="GM626" s="39">
        <f t="shared" si="8580"/>
        <v>0</v>
      </c>
      <c r="GN626" s="2" t="s">
        <v>3</v>
      </c>
      <c r="GO626" s="19">
        <f t="shared" si="8581"/>
        <v>9.2534399999999994</v>
      </c>
      <c r="GP626" s="2">
        <f t="shared" si="8582"/>
        <v>0.26</v>
      </c>
      <c r="GQ626" s="15">
        <f t="shared" si="8583"/>
        <v>24.058943999999997</v>
      </c>
      <c r="GR626" s="15">
        <f t="shared" si="8584"/>
        <v>466.46998191360001</v>
      </c>
      <c r="GS626" s="15">
        <f t="shared" si="8585"/>
        <v>50.410440000000001</v>
      </c>
      <c r="GT626" s="2">
        <f t="shared" si="8586"/>
        <v>0</v>
      </c>
      <c r="GU626" s="2">
        <f t="shared" si="8587"/>
        <v>0</v>
      </c>
      <c r="GV626" s="2">
        <f t="shared" si="8588"/>
        <v>24.058943999999997</v>
      </c>
      <c r="GW626" s="2">
        <f t="shared" si="8589"/>
        <v>0</v>
      </c>
      <c r="GX626" s="2"/>
      <c r="GY626" s="2"/>
      <c r="GZ626" s="2"/>
      <c r="HA626" s="2"/>
      <c r="HB626" s="2">
        <f t="shared" si="8590"/>
        <v>0</v>
      </c>
      <c r="HC626" s="2">
        <f t="shared" si="8591"/>
        <v>0</v>
      </c>
      <c r="HD626" s="2" t="s">
        <v>3</v>
      </c>
      <c r="HE626" s="2" t="s">
        <v>89</v>
      </c>
      <c r="HF626" s="2" t="s">
        <v>91</v>
      </c>
      <c r="HG626" s="2"/>
      <c r="HH626" s="2"/>
      <c r="HI626" s="2" t="s">
        <v>100</v>
      </c>
      <c r="HJ626" s="2" t="s">
        <v>3</v>
      </c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 t="s">
        <v>3</v>
      </c>
    </row>
    <row r="627" spans="1:268" ht="15.75" customHeight="1" x14ac:dyDescent="0.2">
      <c r="A627" s="28" t="s">
        <v>1402</v>
      </c>
      <c r="B627" s="2" t="s">
        <v>120</v>
      </c>
      <c r="C627" s="2"/>
      <c r="D627" s="2"/>
      <c r="E627" s="2" t="s">
        <v>447</v>
      </c>
      <c r="F627" s="2" t="s">
        <v>603</v>
      </c>
      <c r="G627" s="2"/>
      <c r="H627" s="2" t="s">
        <v>181</v>
      </c>
      <c r="I627" s="2">
        <v>0</v>
      </c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>
        <v>0</v>
      </c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>
        <v>101.98399999999999</v>
      </c>
      <c r="AZ627" s="2"/>
      <c r="BA627" s="2"/>
      <c r="BB627" s="2"/>
      <c r="BC627" s="2"/>
      <c r="BD627" s="2"/>
      <c r="BE627" s="2"/>
      <c r="BF627" s="2"/>
      <c r="BG627" s="2">
        <v>0.21</v>
      </c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>
        <v>0</v>
      </c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>
        <v>0</v>
      </c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 t="s">
        <v>81</v>
      </c>
      <c r="DK627" s="2"/>
      <c r="DL627" s="2">
        <f t="shared" si="8551"/>
        <v>0.21</v>
      </c>
      <c r="DM627" s="2">
        <f t="shared" si="8552"/>
        <v>0</v>
      </c>
      <c r="DN627" s="2" t="s">
        <v>175</v>
      </c>
      <c r="DO627" s="2" t="s">
        <v>3</v>
      </c>
      <c r="DP627" s="2">
        <f t="shared" si="8553"/>
        <v>0</v>
      </c>
      <c r="DQ627" s="2">
        <f t="shared" ref="DQ627:DR627" si="10372">K627*$I627+AF627*$AD627+BA627*$AY627</f>
        <v>0</v>
      </c>
      <c r="DR627" s="2">
        <f t="shared" si="10372"/>
        <v>0</v>
      </c>
      <c r="DS627" s="2">
        <f t="shared" ref="DS627:DX627" si="10373">(M627*$I627+AH627*$AD627+BC627*$AY627)/100</f>
        <v>0</v>
      </c>
      <c r="DT627" s="2">
        <f t="shared" si="10373"/>
        <v>0</v>
      </c>
      <c r="DU627" s="2">
        <f t="shared" si="10373"/>
        <v>0</v>
      </c>
      <c r="DV627" s="2">
        <f t="shared" si="10373"/>
        <v>0</v>
      </c>
      <c r="DW627" s="2">
        <f t="shared" si="10373"/>
        <v>0.21416639999999998</v>
      </c>
      <c r="DX627" s="2">
        <f t="shared" si="10373"/>
        <v>0</v>
      </c>
      <c r="DY627" s="2">
        <f t="shared" ref="DY627:EC627" si="10374">S627*$I627+AN627*$AD627+BI627*$AY627</f>
        <v>0</v>
      </c>
      <c r="DZ627" s="2">
        <f t="shared" si="10374"/>
        <v>0</v>
      </c>
      <c r="EA627" s="2">
        <f t="shared" si="10374"/>
        <v>0</v>
      </c>
      <c r="EB627" s="2">
        <f t="shared" si="10374"/>
        <v>0</v>
      </c>
      <c r="EC627" s="2">
        <f t="shared" si="10374"/>
        <v>0</v>
      </c>
      <c r="ED627" s="2">
        <f t="shared" ref="ED627:EE627" si="10375">(X627*$I627+AS627*$AD627+BN627*$AY627)/100</f>
        <v>0</v>
      </c>
      <c r="EE627" s="2">
        <f t="shared" si="10375"/>
        <v>0</v>
      </c>
      <c r="EF627" s="2"/>
      <c r="EG627" s="2">
        <f t="shared" si="8558"/>
        <v>0</v>
      </c>
      <c r="EH627" s="2">
        <f t="shared" si="8559"/>
        <v>0</v>
      </c>
      <c r="EI627" s="39">
        <f t="shared" si="8560"/>
        <v>0</v>
      </c>
      <c r="EJ627" s="39">
        <f t="shared" ref="EJ627:EK627" si="10376">EJ$1*DQ627/1000000</f>
        <v>0</v>
      </c>
      <c r="EK627" s="39">
        <f t="shared" si="10376"/>
        <v>0</v>
      </c>
      <c r="EL627" s="39">
        <f t="shared" ref="EL627:EQ627" si="10377">EL$1*DS627</f>
        <v>0</v>
      </c>
      <c r="EM627" s="39">
        <f t="shared" si="10377"/>
        <v>0</v>
      </c>
      <c r="EN627" s="39">
        <f t="shared" si="10377"/>
        <v>0</v>
      </c>
      <c r="EO627" s="39">
        <f t="shared" si="10377"/>
        <v>0</v>
      </c>
      <c r="EP627" s="39">
        <f t="shared" si="10377"/>
        <v>2808.5781695999999</v>
      </c>
      <c r="EQ627" s="39">
        <f t="shared" si="10377"/>
        <v>0</v>
      </c>
      <c r="ER627" s="39">
        <f t="shared" ref="ER627:EV627" si="10378">ER$1*DY627/1000000</f>
        <v>0</v>
      </c>
      <c r="ES627" s="39">
        <f t="shared" si="10378"/>
        <v>0</v>
      </c>
      <c r="ET627" s="39">
        <f t="shared" si="10378"/>
        <v>0</v>
      </c>
      <c r="EU627" s="39">
        <f t="shared" si="10378"/>
        <v>0</v>
      </c>
      <c r="EV627" s="39">
        <f t="shared" si="10378"/>
        <v>0</v>
      </c>
      <c r="EW627" s="39">
        <f t="shared" ref="EW627:EX627" si="10379">EW$1*ED627</f>
        <v>0</v>
      </c>
      <c r="EX627" s="39">
        <f t="shared" si="10379"/>
        <v>0</v>
      </c>
      <c r="EY627" s="2"/>
      <c r="EZ627" s="39">
        <f t="shared" si="8565"/>
        <v>0</v>
      </c>
      <c r="FA627" s="39">
        <f t="shared" si="8566"/>
        <v>0</v>
      </c>
      <c r="FB627" s="2">
        <f t="shared" si="8567"/>
        <v>0</v>
      </c>
      <c r="FC627" s="2">
        <f t="shared" ref="FC627:FD627" si="10380">BV627*$BT627+CQ627*$CO627</f>
        <v>0</v>
      </c>
      <c r="FD627" s="2">
        <f t="shared" si="10380"/>
        <v>0</v>
      </c>
      <c r="FE627" s="2">
        <f t="shared" ref="FE627:FJ627" si="10381">(BX627*$BT627+CS627*$CO627)/100</f>
        <v>0</v>
      </c>
      <c r="FF627" s="2">
        <f t="shared" si="10381"/>
        <v>0</v>
      </c>
      <c r="FG627" s="2">
        <f t="shared" si="10381"/>
        <v>0</v>
      </c>
      <c r="FH627" s="2">
        <f t="shared" si="10381"/>
        <v>0</v>
      </c>
      <c r="FI627" s="2">
        <f t="shared" si="10381"/>
        <v>0</v>
      </c>
      <c r="FJ627" s="2">
        <f t="shared" si="10381"/>
        <v>0</v>
      </c>
      <c r="FK627" s="2">
        <f t="shared" ref="FK627:FO627" si="10382">CD627*$BT627+CY627*$CO627</f>
        <v>0</v>
      </c>
      <c r="FL627" s="2">
        <f t="shared" si="10382"/>
        <v>0</v>
      </c>
      <c r="FM627" s="2">
        <f t="shared" si="10382"/>
        <v>0</v>
      </c>
      <c r="FN627" s="2">
        <f t="shared" si="10382"/>
        <v>0</v>
      </c>
      <c r="FO627" s="2">
        <f t="shared" si="10382"/>
        <v>0</v>
      </c>
      <c r="FP627" s="2">
        <f t="shared" ref="FP627:FQ627" si="10383">(CI627*$BT627+DD627*$CO627)/100</f>
        <v>0</v>
      </c>
      <c r="FQ627" s="2">
        <f t="shared" si="10383"/>
        <v>0</v>
      </c>
      <c r="FR627" s="2"/>
      <c r="FS627" s="2">
        <f t="shared" si="8572"/>
        <v>0</v>
      </c>
      <c r="FT627" s="2">
        <f t="shared" si="8573"/>
        <v>0</v>
      </c>
      <c r="FU627" s="39">
        <f t="shared" si="8574"/>
        <v>0</v>
      </c>
      <c r="FV627" s="39">
        <f t="shared" ref="FV627:FW627" si="10384">FV$1*FC627/1000000</f>
        <v>0</v>
      </c>
      <c r="FW627" s="39">
        <f t="shared" si="10384"/>
        <v>0</v>
      </c>
      <c r="FX627" s="39">
        <f t="shared" ref="FX627:GC627" si="10385">FX$1*FE627</f>
        <v>0</v>
      </c>
      <c r="FY627" s="39">
        <f t="shared" si="10385"/>
        <v>0</v>
      </c>
      <c r="FZ627" s="39">
        <f t="shared" si="10385"/>
        <v>0</v>
      </c>
      <c r="GA627" s="39">
        <f t="shared" si="10385"/>
        <v>0</v>
      </c>
      <c r="GB627" s="39">
        <f t="shared" si="10385"/>
        <v>0</v>
      </c>
      <c r="GC627" s="39">
        <f t="shared" si="10385"/>
        <v>0</v>
      </c>
      <c r="GD627" s="39">
        <f t="shared" ref="GD627:GH627" si="10386">GD$1*FK627/1000000</f>
        <v>0</v>
      </c>
      <c r="GE627" s="39">
        <f t="shared" si="10386"/>
        <v>0</v>
      </c>
      <c r="GF627" s="39">
        <f t="shared" si="10386"/>
        <v>0</v>
      </c>
      <c r="GG627" s="39">
        <f t="shared" si="10386"/>
        <v>0</v>
      </c>
      <c r="GH627" s="39">
        <f t="shared" si="10386"/>
        <v>0</v>
      </c>
      <c r="GI627" s="39">
        <f t="shared" ref="GI627:GJ627" si="10387">GI$1*FP627</f>
        <v>0</v>
      </c>
      <c r="GJ627" s="39">
        <f t="shared" si="10387"/>
        <v>0</v>
      </c>
      <c r="GK627" s="2"/>
      <c r="GL627" s="39">
        <f t="shared" si="8579"/>
        <v>0</v>
      </c>
      <c r="GM627" s="39">
        <f t="shared" si="8580"/>
        <v>0</v>
      </c>
      <c r="GN627" s="2" t="s">
        <v>3</v>
      </c>
      <c r="GO627" s="15">
        <f t="shared" si="8581"/>
        <v>101.98399999999999</v>
      </c>
      <c r="GP627" s="2">
        <f t="shared" si="8582"/>
        <v>0.21</v>
      </c>
      <c r="GQ627" s="15">
        <f t="shared" si="8583"/>
        <v>214.16639999999998</v>
      </c>
      <c r="GR627" s="15">
        <f t="shared" si="8584"/>
        <v>2808.5781695999999</v>
      </c>
      <c r="GS627" s="15">
        <f t="shared" si="8585"/>
        <v>27.539400000000001</v>
      </c>
      <c r="GT627" s="2">
        <f t="shared" si="8586"/>
        <v>0</v>
      </c>
      <c r="GU627" s="2">
        <f t="shared" si="8587"/>
        <v>0</v>
      </c>
      <c r="GV627" s="2">
        <f t="shared" si="8588"/>
        <v>214.16639999999995</v>
      </c>
      <c r="GW627" s="2">
        <f t="shared" si="8589"/>
        <v>0</v>
      </c>
      <c r="GX627" s="2"/>
      <c r="GY627" s="2"/>
      <c r="GZ627" s="2"/>
      <c r="HA627" s="2"/>
      <c r="HB627" s="2">
        <f t="shared" si="8590"/>
        <v>0</v>
      </c>
      <c r="HC627" s="2">
        <f t="shared" si="8591"/>
        <v>0</v>
      </c>
      <c r="HD627" s="2" t="s">
        <v>3</v>
      </c>
      <c r="HE627" s="2" t="s">
        <v>447</v>
      </c>
      <c r="HF627" s="2" t="s">
        <v>89</v>
      </c>
      <c r="HG627" s="2" t="s">
        <v>137</v>
      </c>
      <c r="HH627" s="2"/>
      <c r="HI627" s="2" t="s">
        <v>81</v>
      </c>
      <c r="HJ627" s="2" t="s">
        <v>3</v>
      </c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 t="s">
        <v>3</v>
      </c>
    </row>
    <row r="628" spans="1:268" ht="15.75" customHeight="1" x14ac:dyDescent="0.2">
      <c r="A628" s="28" t="s">
        <v>1403</v>
      </c>
      <c r="B628" s="2" t="s">
        <v>120</v>
      </c>
      <c r="C628" s="2"/>
      <c r="D628" s="2"/>
      <c r="E628" s="2" t="s">
        <v>447</v>
      </c>
      <c r="F628" s="2" t="s">
        <v>603</v>
      </c>
      <c r="G628" s="2"/>
      <c r="H628" s="2" t="s">
        <v>181</v>
      </c>
      <c r="I628" s="2">
        <v>0</v>
      </c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>
        <v>0</v>
      </c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>
        <v>32.64</v>
      </c>
      <c r="AZ628" s="20">
        <v>0.1</v>
      </c>
      <c r="BA628" s="2"/>
      <c r="BB628" s="2"/>
      <c r="BC628" s="2"/>
      <c r="BD628" s="2"/>
      <c r="BE628" s="2"/>
      <c r="BF628" s="2"/>
      <c r="BG628" s="2">
        <v>0.41</v>
      </c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>
        <v>0</v>
      </c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>
        <v>0</v>
      </c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 t="s">
        <v>81</v>
      </c>
      <c r="DK628" s="2"/>
      <c r="DL628" s="2">
        <f t="shared" si="8551"/>
        <v>0.41</v>
      </c>
      <c r="DM628" s="2">
        <f t="shared" si="8552"/>
        <v>0</v>
      </c>
      <c r="DN628" s="2" t="s">
        <v>175</v>
      </c>
      <c r="DO628" s="2" t="s">
        <v>3</v>
      </c>
      <c r="DP628" s="2">
        <f t="shared" si="8553"/>
        <v>3.2640000000000002E-2</v>
      </c>
      <c r="DQ628" s="2">
        <f t="shared" ref="DQ628:DR628" si="10388">K628*$I628+AF628*$AD628+BA628*$AY628</f>
        <v>0</v>
      </c>
      <c r="DR628" s="2">
        <f t="shared" si="10388"/>
        <v>0</v>
      </c>
      <c r="DS628" s="2">
        <f t="shared" ref="DS628:DX628" si="10389">(M628*$I628+AH628*$AD628+BC628*$AY628)/100</f>
        <v>0</v>
      </c>
      <c r="DT628" s="2">
        <f t="shared" si="10389"/>
        <v>0</v>
      </c>
      <c r="DU628" s="2">
        <f t="shared" si="10389"/>
        <v>0</v>
      </c>
      <c r="DV628" s="2">
        <f t="shared" si="10389"/>
        <v>0</v>
      </c>
      <c r="DW628" s="2">
        <f t="shared" si="10389"/>
        <v>0.133824</v>
      </c>
      <c r="DX628" s="2">
        <f t="shared" si="10389"/>
        <v>0</v>
      </c>
      <c r="DY628" s="2">
        <f t="shared" ref="DY628:EC628" si="10390">S628*$I628+AN628*$AD628+BI628*$AY628</f>
        <v>0</v>
      </c>
      <c r="DZ628" s="2">
        <f t="shared" si="10390"/>
        <v>0</v>
      </c>
      <c r="EA628" s="2">
        <f t="shared" si="10390"/>
        <v>0</v>
      </c>
      <c r="EB628" s="2">
        <f t="shared" si="10390"/>
        <v>0</v>
      </c>
      <c r="EC628" s="2">
        <f t="shared" si="10390"/>
        <v>0</v>
      </c>
      <c r="ED628" s="2">
        <f t="shared" ref="ED628:EE628" si="10391">(X628*$I628+AS628*$AD628+BN628*$AY628)/100</f>
        <v>0</v>
      </c>
      <c r="EE628" s="2">
        <f t="shared" si="10391"/>
        <v>0</v>
      </c>
      <c r="EF628" s="2"/>
      <c r="EG628" s="2">
        <f t="shared" si="8558"/>
        <v>0</v>
      </c>
      <c r="EH628" s="2">
        <f t="shared" si="8559"/>
        <v>0</v>
      </c>
      <c r="EI628" s="39">
        <f t="shared" si="8560"/>
        <v>212.99610624000002</v>
      </c>
      <c r="EJ628" s="39">
        <f t="shared" ref="EJ628:EK628" si="10392">EJ$1*DQ628/1000000</f>
        <v>0</v>
      </c>
      <c r="EK628" s="39">
        <f t="shared" si="10392"/>
        <v>0</v>
      </c>
      <c r="EL628" s="39">
        <f t="shared" ref="EL628:EQ628" si="10393">EL$1*DS628</f>
        <v>0</v>
      </c>
      <c r="EM628" s="39">
        <f t="shared" si="10393"/>
        <v>0</v>
      </c>
      <c r="EN628" s="39">
        <f t="shared" si="10393"/>
        <v>0</v>
      </c>
      <c r="EO628" s="39">
        <f t="shared" si="10393"/>
        <v>0</v>
      </c>
      <c r="EP628" s="39">
        <f t="shared" si="10393"/>
        <v>1754.967936</v>
      </c>
      <c r="EQ628" s="39">
        <f t="shared" si="10393"/>
        <v>0</v>
      </c>
      <c r="ER628" s="39">
        <f t="shared" ref="ER628:EV628" si="10394">ER$1*DY628/1000000</f>
        <v>0</v>
      </c>
      <c r="ES628" s="39">
        <f t="shared" si="10394"/>
        <v>0</v>
      </c>
      <c r="ET628" s="39">
        <f t="shared" si="10394"/>
        <v>0</v>
      </c>
      <c r="EU628" s="39">
        <f t="shared" si="10394"/>
        <v>0</v>
      </c>
      <c r="EV628" s="39">
        <f t="shared" si="10394"/>
        <v>0</v>
      </c>
      <c r="EW628" s="39">
        <f t="shared" ref="EW628:EX628" si="10395">EW$1*ED628</f>
        <v>0</v>
      </c>
      <c r="EX628" s="39">
        <f t="shared" si="10395"/>
        <v>0</v>
      </c>
      <c r="EY628" s="2"/>
      <c r="EZ628" s="39">
        <f t="shared" si="8565"/>
        <v>0</v>
      </c>
      <c r="FA628" s="39">
        <f t="shared" si="8566"/>
        <v>0</v>
      </c>
      <c r="FB628" s="2">
        <f t="shared" si="8567"/>
        <v>0</v>
      </c>
      <c r="FC628" s="2">
        <f t="shared" ref="FC628:FD628" si="10396">BV628*$BT628+CQ628*$CO628</f>
        <v>0</v>
      </c>
      <c r="FD628" s="2">
        <f t="shared" si="10396"/>
        <v>0</v>
      </c>
      <c r="FE628" s="2">
        <f t="shared" ref="FE628:FJ628" si="10397">(BX628*$BT628+CS628*$CO628)/100</f>
        <v>0</v>
      </c>
      <c r="FF628" s="2">
        <f t="shared" si="10397"/>
        <v>0</v>
      </c>
      <c r="FG628" s="2">
        <f t="shared" si="10397"/>
        <v>0</v>
      </c>
      <c r="FH628" s="2">
        <f t="shared" si="10397"/>
        <v>0</v>
      </c>
      <c r="FI628" s="2">
        <f t="shared" si="10397"/>
        <v>0</v>
      </c>
      <c r="FJ628" s="2">
        <f t="shared" si="10397"/>
        <v>0</v>
      </c>
      <c r="FK628" s="2">
        <f t="shared" ref="FK628:FO628" si="10398">CD628*$BT628+CY628*$CO628</f>
        <v>0</v>
      </c>
      <c r="FL628" s="2">
        <f t="shared" si="10398"/>
        <v>0</v>
      </c>
      <c r="FM628" s="2">
        <f t="shared" si="10398"/>
        <v>0</v>
      </c>
      <c r="FN628" s="2">
        <f t="shared" si="10398"/>
        <v>0</v>
      </c>
      <c r="FO628" s="2">
        <f t="shared" si="10398"/>
        <v>0</v>
      </c>
      <c r="FP628" s="2">
        <f t="shared" ref="FP628:FQ628" si="10399">(CI628*$BT628+DD628*$CO628)/100</f>
        <v>0</v>
      </c>
      <c r="FQ628" s="2">
        <f t="shared" si="10399"/>
        <v>0</v>
      </c>
      <c r="FR628" s="2"/>
      <c r="FS628" s="2">
        <f t="shared" si="8572"/>
        <v>0</v>
      </c>
      <c r="FT628" s="2">
        <f t="shared" si="8573"/>
        <v>0</v>
      </c>
      <c r="FU628" s="39">
        <f t="shared" si="8574"/>
        <v>0</v>
      </c>
      <c r="FV628" s="39">
        <f t="shared" ref="FV628:FW628" si="10400">FV$1*FC628/1000000</f>
        <v>0</v>
      </c>
      <c r="FW628" s="39">
        <f t="shared" si="10400"/>
        <v>0</v>
      </c>
      <c r="FX628" s="39">
        <f t="shared" ref="FX628:GC628" si="10401">FX$1*FE628</f>
        <v>0</v>
      </c>
      <c r="FY628" s="39">
        <f t="shared" si="10401"/>
        <v>0</v>
      </c>
      <c r="FZ628" s="39">
        <f t="shared" si="10401"/>
        <v>0</v>
      </c>
      <c r="GA628" s="39">
        <f t="shared" si="10401"/>
        <v>0</v>
      </c>
      <c r="GB628" s="39">
        <f t="shared" si="10401"/>
        <v>0</v>
      </c>
      <c r="GC628" s="39">
        <f t="shared" si="10401"/>
        <v>0</v>
      </c>
      <c r="GD628" s="39">
        <f t="shared" ref="GD628:GH628" si="10402">GD$1*FK628/1000000</f>
        <v>0</v>
      </c>
      <c r="GE628" s="39">
        <f t="shared" si="10402"/>
        <v>0</v>
      </c>
      <c r="GF628" s="39">
        <f t="shared" si="10402"/>
        <v>0</v>
      </c>
      <c r="GG628" s="39">
        <f t="shared" si="10402"/>
        <v>0</v>
      </c>
      <c r="GH628" s="39">
        <f t="shared" si="10402"/>
        <v>0</v>
      </c>
      <c r="GI628" s="39">
        <f t="shared" ref="GI628:GJ628" si="10403">GI$1*FP628</f>
        <v>0</v>
      </c>
      <c r="GJ628" s="39">
        <f t="shared" si="10403"/>
        <v>0</v>
      </c>
      <c r="GK628" s="2"/>
      <c r="GL628" s="39">
        <f t="shared" si="8579"/>
        <v>0</v>
      </c>
      <c r="GM628" s="39">
        <f t="shared" si="8580"/>
        <v>0</v>
      </c>
      <c r="GN628" s="2" t="s">
        <v>3</v>
      </c>
      <c r="GO628" s="2">
        <f t="shared" si="8581"/>
        <v>32.64</v>
      </c>
      <c r="GP628" s="2">
        <f t="shared" si="8582"/>
        <v>0.41</v>
      </c>
      <c r="GQ628" s="15">
        <f t="shared" si="8583"/>
        <v>133.82399999999998</v>
      </c>
      <c r="GR628" s="15">
        <f t="shared" si="8584"/>
        <v>1967.96404224</v>
      </c>
      <c r="GS628" s="15">
        <f t="shared" si="8585"/>
        <v>60.293016000000001</v>
      </c>
      <c r="GT628" s="2">
        <f t="shared" si="8586"/>
        <v>0</v>
      </c>
      <c r="GU628" s="2">
        <f t="shared" si="8587"/>
        <v>0</v>
      </c>
      <c r="GV628" s="2">
        <f t="shared" si="8588"/>
        <v>133.82399999999998</v>
      </c>
      <c r="GW628" s="2">
        <f t="shared" si="8589"/>
        <v>0</v>
      </c>
      <c r="GX628" s="2"/>
      <c r="GY628" s="2"/>
      <c r="GZ628" s="2"/>
      <c r="HA628" s="2"/>
      <c r="HB628" s="2">
        <f t="shared" si="8590"/>
        <v>0</v>
      </c>
      <c r="HC628" s="2">
        <f t="shared" si="8591"/>
        <v>0</v>
      </c>
      <c r="HD628" s="2" t="s">
        <v>3</v>
      </c>
      <c r="HE628" s="2" t="s">
        <v>447</v>
      </c>
      <c r="HF628" s="2" t="s">
        <v>89</v>
      </c>
      <c r="HG628" s="2" t="s">
        <v>137</v>
      </c>
      <c r="HH628" s="2"/>
      <c r="HI628" s="2" t="s">
        <v>81</v>
      </c>
      <c r="HJ628" s="2" t="s">
        <v>3</v>
      </c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 t="s">
        <v>3</v>
      </c>
    </row>
    <row r="629" spans="1:268" ht="15.75" customHeight="1" x14ac:dyDescent="0.2">
      <c r="A629" s="28" t="s">
        <v>1404</v>
      </c>
      <c r="B629" s="2" t="s">
        <v>99</v>
      </c>
      <c r="C629" s="2"/>
      <c r="D629" s="2"/>
      <c r="E629" s="2" t="s">
        <v>447</v>
      </c>
      <c r="F629" s="2" t="s">
        <v>603</v>
      </c>
      <c r="G629" s="2"/>
      <c r="H629" s="2" t="s">
        <v>181</v>
      </c>
      <c r="I629" s="2">
        <v>3.16</v>
      </c>
      <c r="J629" s="2"/>
      <c r="K629" s="2"/>
      <c r="L629" s="2"/>
      <c r="M629" s="2"/>
      <c r="N629" s="2"/>
      <c r="O629" s="2"/>
      <c r="P629" s="2"/>
      <c r="Q629" s="2">
        <v>0.6</v>
      </c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>
        <v>0</v>
      </c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>
        <v>26.45</v>
      </c>
      <c r="AZ629" s="2"/>
      <c r="BA629" s="2"/>
      <c r="BB629" s="2"/>
      <c r="BC629" s="2"/>
      <c r="BD629" s="2"/>
      <c r="BE629" s="2"/>
      <c r="BF629" s="2"/>
      <c r="BG629" s="2">
        <v>0.44</v>
      </c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>
        <v>0</v>
      </c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>
        <v>0</v>
      </c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 t="s">
        <v>81</v>
      </c>
      <c r="DK629" s="2"/>
      <c r="DL629" s="2">
        <f t="shared" si="8551"/>
        <v>0.45707531239446131</v>
      </c>
      <c r="DM629" s="2">
        <f t="shared" si="8552"/>
        <v>0</v>
      </c>
      <c r="DN629" s="2" t="s">
        <v>175</v>
      </c>
      <c r="DO629" s="2" t="s">
        <v>3</v>
      </c>
      <c r="DP629" s="2">
        <f t="shared" si="8553"/>
        <v>0</v>
      </c>
      <c r="DQ629" s="2">
        <f t="shared" ref="DQ629:DR629" si="10404">K629*$I629+AF629*$AD629+BA629*$AY629</f>
        <v>0</v>
      </c>
      <c r="DR629" s="2">
        <f t="shared" si="10404"/>
        <v>0</v>
      </c>
      <c r="DS629" s="2">
        <f t="shared" ref="DS629:DX629" si="10405">(M629*$I629+AH629*$AD629+BC629*$AY629)/100</f>
        <v>0</v>
      </c>
      <c r="DT629" s="2">
        <f t="shared" si="10405"/>
        <v>0</v>
      </c>
      <c r="DU629" s="2">
        <f t="shared" si="10405"/>
        <v>0</v>
      </c>
      <c r="DV629" s="2">
        <f t="shared" si="10405"/>
        <v>0</v>
      </c>
      <c r="DW629" s="2">
        <f t="shared" si="10405"/>
        <v>0.13533999999999999</v>
      </c>
      <c r="DX629" s="2">
        <f t="shared" si="10405"/>
        <v>0</v>
      </c>
      <c r="DY629" s="2">
        <f t="shared" ref="DY629:EC629" si="10406">S629*$I629+AN629*$AD629+BI629*$AY629</f>
        <v>0</v>
      </c>
      <c r="DZ629" s="2">
        <f t="shared" si="10406"/>
        <v>0</v>
      </c>
      <c r="EA629" s="2">
        <f t="shared" si="10406"/>
        <v>0</v>
      </c>
      <c r="EB629" s="2">
        <f t="shared" si="10406"/>
        <v>0</v>
      </c>
      <c r="EC629" s="2">
        <f t="shared" si="10406"/>
        <v>0</v>
      </c>
      <c r="ED629" s="2">
        <f t="shared" ref="ED629:EE629" si="10407">(X629*$I629+AS629*$AD629+BN629*$AY629)/100</f>
        <v>0</v>
      </c>
      <c r="EE629" s="2">
        <f t="shared" si="10407"/>
        <v>0</v>
      </c>
      <c r="EF629" s="2"/>
      <c r="EG629" s="2">
        <f t="shared" si="8558"/>
        <v>0</v>
      </c>
      <c r="EH629" s="2">
        <f t="shared" si="8559"/>
        <v>0</v>
      </c>
      <c r="EI629" s="39">
        <f t="shared" si="8560"/>
        <v>0</v>
      </c>
      <c r="EJ629" s="39">
        <f t="shared" ref="EJ629:EK629" si="10408">EJ$1*DQ629/1000000</f>
        <v>0</v>
      </c>
      <c r="EK629" s="39">
        <f t="shared" si="10408"/>
        <v>0</v>
      </c>
      <c r="EL629" s="39">
        <f t="shared" ref="EL629:EQ629" si="10409">EL$1*DS629</f>
        <v>0</v>
      </c>
      <c r="EM629" s="39">
        <f t="shared" si="10409"/>
        <v>0</v>
      </c>
      <c r="EN629" s="39">
        <f t="shared" si="10409"/>
        <v>0</v>
      </c>
      <c r="EO629" s="39">
        <f t="shared" si="10409"/>
        <v>0</v>
      </c>
      <c r="EP629" s="39">
        <f t="shared" si="10409"/>
        <v>1774.8487599999999</v>
      </c>
      <c r="EQ629" s="39">
        <f t="shared" si="10409"/>
        <v>0</v>
      </c>
      <c r="ER629" s="39">
        <f t="shared" ref="ER629:EV629" si="10410">ER$1*DY629/1000000</f>
        <v>0</v>
      </c>
      <c r="ES629" s="39">
        <f t="shared" si="10410"/>
        <v>0</v>
      </c>
      <c r="ET629" s="39">
        <f t="shared" si="10410"/>
        <v>0</v>
      </c>
      <c r="EU629" s="39">
        <f t="shared" si="10410"/>
        <v>0</v>
      </c>
      <c r="EV629" s="39">
        <f t="shared" si="10410"/>
        <v>0</v>
      </c>
      <c r="EW629" s="39">
        <f t="shared" ref="EW629:EX629" si="10411">EW$1*ED629</f>
        <v>0</v>
      </c>
      <c r="EX629" s="39">
        <f t="shared" si="10411"/>
        <v>0</v>
      </c>
      <c r="EY629" s="2"/>
      <c r="EZ629" s="39">
        <f t="shared" si="8565"/>
        <v>0</v>
      </c>
      <c r="FA629" s="39">
        <f t="shared" si="8566"/>
        <v>0</v>
      </c>
      <c r="FB629" s="2">
        <f t="shared" si="8567"/>
        <v>0</v>
      </c>
      <c r="FC629" s="2">
        <f t="shared" ref="FC629:FD629" si="10412">BV629*$BT629+CQ629*$CO629</f>
        <v>0</v>
      </c>
      <c r="FD629" s="2">
        <f t="shared" si="10412"/>
        <v>0</v>
      </c>
      <c r="FE629" s="2">
        <f t="shared" ref="FE629:FJ629" si="10413">(BX629*$BT629+CS629*$CO629)/100</f>
        <v>0</v>
      </c>
      <c r="FF629" s="2">
        <f t="shared" si="10413"/>
        <v>0</v>
      </c>
      <c r="FG629" s="2">
        <f t="shared" si="10413"/>
        <v>0</v>
      </c>
      <c r="FH629" s="2">
        <f t="shared" si="10413"/>
        <v>0</v>
      </c>
      <c r="FI629" s="2">
        <f t="shared" si="10413"/>
        <v>0</v>
      </c>
      <c r="FJ629" s="2">
        <f t="shared" si="10413"/>
        <v>0</v>
      </c>
      <c r="FK629" s="2">
        <f t="shared" ref="FK629:FO629" si="10414">CD629*$BT629+CY629*$CO629</f>
        <v>0</v>
      </c>
      <c r="FL629" s="2">
        <f t="shared" si="10414"/>
        <v>0</v>
      </c>
      <c r="FM629" s="2">
        <f t="shared" si="10414"/>
        <v>0</v>
      </c>
      <c r="FN629" s="2">
        <f t="shared" si="10414"/>
        <v>0</v>
      </c>
      <c r="FO629" s="2">
        <f t="shared" si="10414"/>
        <v>0</v>
      </c>
      <c r="FP629" s="2">
        <f t="shared" ref="FP629:FQ629" si="10415">(CI629*$BT629+DD629*$CO629)/100</f>
        <v>0</v>
      </c>
      <c r="FQ629" s="2">
        <f t="shared" si="10415"/>
        <v>0</v>
      </c>
      <c r="FR629" s="2"/>
      <c r="FS629" s="2">
        <f t="shared" si="8572"/>
        <v>0</v>
      </c>
      <c r="FT629" s="2">
        <f t="shared" si="8573"/>
        <v>0</v>
      </c>
      <c r="FU629" s="39">
        <f t="shared" si="8574"/>
        <v>0</v>
      </c>
      <c r="FV629" s="39">
        <f t="shared" ref="FV629:FW629" si="10416">FV$1*FC629/1000000</f>
        <v>0</v>
      </c>
      <c r="FW629" s="39">
        <f t="shared" si="10416"/>
        <v>0</v>
      </c>
      <c r="FX629" s="39">
        <f t="shared" ref="FX629:GC629" si="10417">FX$1*FE629</f>
        <v>0</v>
      </c>
      <c r="FY629" s="39">
        <f t="shared" si="10417"/>
        <v>0</v>
      </c>
      <c r="FZ629" s="39">
        <f t="shared" si="10417"/>
        <v>0</v>
      </c>
      <c r="GA629" s="39">
        <f t="shared" si="10417"/>
        <v>0</v>
      </c>
      <c r="GB629" s="39">
        <f t="shared" si="10417"/>
        <v>0</v>
      </c>
      <c r="GC629" s="39">
        <f t="shared" si="10417"/>
        <v>0</v>
      </c>
      <c r="GD629" s="39">
        <f t="shared" ref="GD629:GH629" si="10418">GD$1*FK629/1000000</f>
        <v>0</v>
      </c>
      <c r="GE629" s="39">
        <f t="shared" si="10418"/>
        <v>0</v>
      </c>
      <c r="GF629" s="39">
        <f t="shared" si="10418"/>
        <v>0</v>
      </c>
      <c r="GG629" s="39">
        <f t="shared" si="10418"/>
        <v>0</v>
      </c>
      <c r="GH629" s="39">
        <f t="shared" si="10418"/>
        <v>0</v>
      </c>
      <c r="GI629" s="39">
        <f t="shared" ref="GI629:GJ629" si="10419">GI$1*FP629</f>
        <v>0</v>
      </c>
      <c r="GJ629" s="39">
        <f t="shared" si="10419"/>
        <v>0</v>
      </c>
      <c r="GK629" s="2"/>
      <c r="GL629" s="39">
        <f t="shared" si="8579"/>
        <v>0</v>
      </c>
      <c r="GM629" s="39">
        <f t="shared" si="8580"/>
        <v>0</v>
      </c>
      <c r="GN629" s="2" t="s">
        <v>3</v>
      </c>
      <c r="GO629" s="2">
        <f t="shared" si="8581"/>
        <v>29.61</v>
      </c>
      <c r="GP629" s="4">
        <f t="shared" si="8582"/>
        <v>0.45707531239446131</v>
      </c>
      <c r="GQ629" s="15">
        <f t="shared" si="8583"/>
        <v>135.34</v>
      </c>
      <c r="GR629" s="15">
        <f t="shared" si="8584"/>
        <v>1774.8487599999999</v>
      </c>
      <c r="GS629" s="15">
        <f t="shared" si="8585"/>
        <v>59.940856467409652</v>
      </c>
      <c r="GT629" s="2">
        <f t="shared" si="8586"/>
        <v>18.96</v>
      </c>
      <c r="GU629" s="2">
        <f t="shared" si="8587"/>
        <v>0</v>
      </c>
      <c r="GV629" s="2">
        <f t="shared" si="8588"/>
        <v>116.38</v>
      </c>
      <c r="GW629" s="2">
        <f t="shared" si="8589"/>
        <v>0</v>
      </c>
      <c r="GX629" s="2"/>
      <c r="GY629" s="2"/>
      <c r="GZ629" s="2"/>
      <c r="HA629" s="2"/>
      <c r="HB629" s="2">
        <f t="shared" si="8590"/>
        <v>0</v>
      </c>
      <c r="HC629" s="2">
        <f t="shared" si="8591"/>
        <v>0</v>
      </c>
      <c r="HD629" s="2" t="s">
        <v>3</v>
      </c>
      <c r="HE629" s="2" t="s">
        <v>447</v>
      </c>
      <c r="HF629" s="2" t="s">
        <v>89</v>
      </c>
      <c r="HG629" s="2" t="s">
        <v>137</v>
      </c>
      <c r="HH629" s="2"/>
      <c r="HI629" s="2" t="s">
        <v>81</v>
      </c>
      <c r="HJ629" s="2" t="s">
        <v>3</v>
      </c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 t="s">
        <v>3</v>
      </c>
    </row>
    <row r="630" spans="1:268" ht="15.75" customHeight="1" x14ac:dyDescent="0.2">
      <c r="A630" s="28" t="s">
        <v>1405</v>
      </c>
      <c r="B630" s="20" t="s">
        <v>447</v>
      </c>
      <c r="C630" s="2"/>
      <c r="D630" s="2"/>
      <c r="E630" s="2"/>
      <c r="F630" s="2" t="s">
        <v>1225</v>
      </c>
      <c r="G630" s="2"/>
      <c r="H630" s="2"/>
      <c r="I630" s="2">
        <v>0</v>
      </c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>
        <v>0</v>
      </c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19">
        <v>0.453592</v>
      </c>
      <c r="AZ630" s="2">
        <v>0.5</v>
      </c>
      <c r="BA630" s="2"/>
      <c r="BB630" s="2"/>
      <c r="BC630" s="2"/>
      <c r="BD630" s="2"/>
      <c r="BE630" s="2"/>
      <c r="BF630" s="2"/>
      <c r="BG630" s="2">
        <v>0.5</v>
      </c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>
        <v>0</v>
      </c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>
        <v>0</v>
      </c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 t="s">
        <v>100</v>
      </c>
      <c r="DK630" s="2"/>
      <c r="DL630" s="2">
        <f t="shared" si="8551"/>
        <v>0.5</v>
      </c>
      <c r="DM630" s="2">
        <f t="shared" si="8552"/>
        <v>0</v>
      </c>
      <c r="DN630" s="2" t="s">
        <v>1226</v>
      </c>
      <c r="DO630" s="2" t="s">
        <v>3</v>
      </c>
      <c r="DP630" s="2">
        <f t="shared" si="8553"/>
        <v>2.2679599999999999E-3</v>
      </c>
      <c r="DQ630" s="2">
        <f t="shared" ref="DQ630:DR630" si="10420">K630*$I630+AF630*$AD630+BA630*$AY630</f>
        <v>0</v>
      </c>
      <c r="DR630" s="2">
        <f t="shared" si="10420"/>
        <v>0</v>
      </c>
      <c r="DS630" s="2">
        <f t="shared" ref="DS630:DX630" si="10421">(M630*$I630+AH630*$AD630+BC630*$AY630)/100</f>
        <v>0</v>
      </c>
      <c r="DT630" s="2">
        <f t="shared" si="10421"/>
        <v>0</v>
      </c>
      <c r="DU630" s="2">
        <f t="shared" si="10421"/>
        <v>0</v>
      </c>
      <c r="DV630" s="2">
        <f t="shared" si="10421"/>
        <v>0</v>
      </c>
      <c r="DW630" s="2">
        <f t="shared" si="10421"/>
        <v>2.2679599999999999E-3</v>
      </c>
      <c r="DX630" s="2">
        <f t="shared" si="10421"/>
        <v>0</v>
      </c>
      <c r="DY630" s="2">
        <f t="shared" ref="DY630:EC630" si="10422">S630*$I630+AN630*$AD630+BI630*$AY630</f>
        <v>0</v>
      </c>
      <c r="DZ630" s="2">
        <f t="shared" si="10422"/>
        <v>0</v>
      </c>
      <c r="EA630" s="2">
        <f t="shared" si="10422"/>
        <v>0</v>
      </c>
      <c r="EB630" s="2">
        <f t="shared" si="10422"/>
        <v>0</v>
      </c>
      <c r="EC630" s="2">
        <f t="shared" si="10422"/>
        <v>0</v>
      </c>
      <c r="ED630" s="2">
        <f t="shared" ref="ED630:EE630" si="10423">(X630*$I630+AS630*$AD630+BN630*$AY630)/100</f>
        <v>0</v>
      </c>
      <c r="EE630" s="2">
        <f t="shared" si="10423"/>
        <v>0</v>
      </c>
      <c r="EF630" s="2"/>
      <c r="EG630" s="2">
        <f t="shared" si="8558"/>
        <v>0</v>
      </c>
      <c r="EH630" s="2">
        <f t="shared" si="8559"/>
        <v>0</v>
      </c>
      <c r="EI630" s="39">
        <f t="shared" si="8560"/>
        <v>14.799836063359999</v>
      </c>
      <c r="EJ630" s="39">
        <f t="shared" ref="EJ630:EK630" si="10424">EJ$1*DQ630/1000000</f>
        <v>0</v>
      </c>
      <c r="EK630" s="39">
        <f t="shared" si="10424"/>
        <v>0</v>
      </c>
      <c r="EL630" s="39">
        <f t="shared" ref="EL630:EQ630" si="10425">EL$1*DS630</f>
        <v>0</v>
      </c>
      <c r="EM630" s="39">
        <f t="shared" si="10425"/>
        <v>0</v>
      </c>
      <c r="EN630" s="39">
        <f t="shared" si="10425"/>
        <v>0</v>
      </c>
      <c r="EO630" s="39">
        <f t="shared" si="10425"/>
        <v>0</v>
      </c>
      <c r="EP630" s="39">
        <f t="shared" si="10425"/>
        <v>29.742027439999998</v>
      </c>
      <c r="EQ630" s="39">
        <f t="shared" si="10425"/>
        <v>0</v>
      </c>
      <c r="ER630" s="39">
        <f t="shared" ref="ER630:EV630" si="10426">ER$1*DY630/1000000</f>
        <v>0</v>
      </c>
      <c r="ES630" s="39">
        <f t="shared" si="10426"/>
        <v>0</v>
      </c>
      <c r="ET630" s="39">
        <f t="shared" si="10426"/>
        <v>0</v>
      </c>
      <c r="EU630" s="39">
        <f t="shared" si="10426"/>
        <v>0</v>
      </c>
      <c r="EV630" s="39">
        <f t="shared" si="10426"/>
        <v>0</v>
      </c>
      <c r="EW630" s="39">
        <f t="shared" ref="EW630:EX630" si="10427">EW$1*ED630</f>
        <v>0</v>
      </c>
      <c r="EX630" s="39">
        <f t="shared" si="10427"/>
        <v>0</v>
      </c>
      <c r="EY630" s="2"/>
      <c r="EZ630" s="39">
        <f t="shared" si="8565"/>
        <v>0</v>
      </c>
      <c r="FA630" s="39">
        <f t="shared" si="8566"/>
        <v>0</v>
      </c>
      <c r="FB630" s="2">
        <f t="shared" si="8567"/>
        <v>0</v>
      </c>
      <c r="FC630" s="2">
        <f t="shared" ref="FC630:FD630" si="10428">BV630*$BT630+CQ630*$CO630</f>
        <v>0</v>
      </c>
      <c r="FD630" s="2">
        <f t="shared" si="10428"/>
        <v>0</v>
      </c>
      <c r="FE630" s="2">
        <f t="shared" ref="FE630:FJ630" si="10429">(BX630*$BT630+CS630*$CO630)/100</f>
        <v>0</v>
      </c>
      <c r="FF630" s="2">
        <f t="shared" si="10429"/>
        <v>0</v>
      </c>
      <c r="FG630" s="2">
        <f t="shared" si="10429"/>
        <v>0</v>
      </c>
      <c r="FH630" s="2">
        <f t="shared" si="10429"/>
        <v>0</v>
      </c>
      <c r="FI630" s="2">
        <f t="shared" si="10429"/>
        <v>0</v>
      </c>
      <c r="FJ630" s="2">
        <f t="shared" si="10429"/>
        <v>0</v>
      </c>
      <c r="FK630" s="2">
        <f t="shared" ref="FK630:FO630" si="10430">CD630*$BT630+CY630*$CO630</f>
        <v>0</v>
      </c>
      <c r="FL630" s="2">
        <f t="shared" si="10430"/>
        <v>0</v>
      </c>
      <c r="FM630" s="2">
        <f t="shared" si="10430"/>
        <v>0</v>
      </c>
      <c r="FN630" s="2">
        <f t="shared" si="10430"/>
        <v>0</v>
      </c>
      <c r="FO630" s="2">
        <f t="shared" si="10430"/>
        <v>0</v>
      </c>
      <c r="FP630" s="2">
        <f t="shared" ref="FP630:FQ630" si="10431">(CI630*$BT630+DD630*$CO630)/100</f>
        <v>0</v>
      </c>
      <c r="FQ630" s="2">
        <f t="shared" si="10431"/>
        <v>0</v>
      </c>
      <c r="FR630" s="2"/>
      <c r="FS630" s="2">
        <f t="shared" si="8572"/>
        <v>0</v>
      </c>
      <c r="FT630" s="2">
        <f t="shared" si="8573"/>
        <v>0</v>
      </c>
      <c r="FU630" s="39">
        <f t="shared" si="8574"/>
        <v>0</v>
      </c>
      <c r="FV630" s="39">
        <f t="shared" ref="FV630:FW630" si="10432">FV$1*FC630/1000000</f>
        <v>0</v>
      </c>
      <c r="FW630" s="39">
        <f t="shared" si="10432"/>
        <v>0</v>
      </c>
      <c r="FX630" s="39">
        <f t="shared" ref="FX630:GC630" si="10433">FX$1*FE630</f>
        <v>0</v>
      </c>
      <c r="FY630" s="39">
        <f t="shared" si="10433"/>
        <v>0</v>
      </c>
      <c r="FZ630" s="39">
        <f t="shared" si="10433"/>
        <v>0</v>
      </c>
      <c r="GA630" s="39">
        <f t="shared" si="10433"/>
        <v>0</v>
      </c>
      <c r="GB630" s="39">
        <f t="shared" si="10433"/>
        <v>0</v>
      </c>
      <c r="GC630" s="39">
        <f t="shared" si="10433"/>
        <v>0</v>
      </c>
      <c r="GD630" s="39">
        <f t="shared" ref="GD630:GH630" si="10434">GD$1*FK630/1000000</f>
        <v>0</v>
      </c>
      <c r="GE630" s="39">
        <f t="shared" si="10434"/>
        <v>0</v>
      </c>
      <c r="GF630" s="39">
        <f t="shared" si="10434"/>
        <v>0</v>
      </c>
      <c r="GG630" s="39">
        <f t="shared" si="10434"/>
        <v>0</v>
      </c>
      <c r="GH630" s="39">
        <f t="shared" si="10434"/>
        <v>0</v>
      </c>
      <c r="GI630" s="39">
        <f t="shared" ref="GI630:GJ630" si="10435">GI$1*FP630</f>
        <v>0</v>
      </c>
      <c r="GJ630" s="39">
        <f t="shared" si="10435"/>
        <v>0</v>
      </c>
      <c r="GK630" s="2"/>
      <c r="GL630" s="39">
        <f t="shared" si="8579"/>
        <v>0</v>
      </c>
      <c r="GM630" s="39">
        <f t="shared" si="8580"/>
        <v>0</v>
      </c>
      <c r="GN630" s="2" t="s">
        <v>3</v>
      </c>
      <c r="GO630" s="19">
        <f t="shared" si="8581"/>
        <v>0.453592</v>
      </c>
      <c r="GP630" s="2">
        <f t="shared" si="8582"/>
        <v>0.5</v>
      </c>
      <c r="GQ630" s="15">
        <f t="shared" si="8583"/>
        <v>2.26796</v>
      </c>
      <c r="GR630" s="15">
        <f t="shared" si="8584"/>
        <v>44.541863503359998</v>
      </c>
      <c r="GS630" s="15">
        <f t="shared" si="8585"/>
        <v>98.19807999999999</v>
      </c>
      <c r="GT630" s="2">
        <f t="shared" si="8586"/>
        <v>0</v>
      </c>
      <c r="GU630" s="2">
        <f t="shared" si="8587"/>
        <v>0</v>
      </c>
      <c r="GV630" s="2">
        <f t="shared" si="8588"/>
        <v>2.26796</v>
      </c>
      <c r="GW630" s="2">
        <f t="shared" si="8589"/>
        <v>0</v>
      </c>
      <c r="GX630" s="2"/>
      <c r="GY630" s="2"/>
      <c r="GZ630" s="2"/>
      <c r="HA630" s="2"/>
      <c r="HB630" s="2">
        <f t="shared" si="8590"/>
        <v>0</v>
      </c>
      <c r="HC630" s="2">
        <f t="shared" si="8591"/>
        <v>0</v>
      </c>
      <c r="HD630" s="2" t="s">
        <v>3</v>
      </c>
      <c r="HE630" s="2" t="s">
        <v>447</v>
      </c>
      <c r="HF630" s="2" t="s">
        <v>1227</v>
      </c>
      <c r="HG630" s="2" t="s">
        <v>1227</v>
      </c>
      <c r="HH630" s="2"/>
      <c r="HI630" s="2" t="s">
        <v>100</v>
      </c>
      <c r="HJ630" s="2" t="s">
        <v>3</v>
      </c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 t="s">
        <v>3</v>
      </c>
    </row>
    <row r="631" spans="1:268" ht="15.75" customHeight="1" x14ac:dyDescent="0.2">
      <c r="A631" s="28" t="s">
        <v>1406</v>
      </c>
      <c r="B631" s="20" t="s">
        <v>447</v>
      </c>
      <c r="C631" s="2"/>
      <c r="D631" s="2"/>
      <c r="E631" s="2"/>
      <c r="F631" s="2" t="s">
        <v>79</v>
      </c>
      <c r="G631" s="2"/>
      <c r="H631" s="2"/>
      <c r="I631" s="2">
        <v>0</v>
      </c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>
        <v>0</v>
      </c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4">
        <f>0.91*0.9072</f>
        <v>0.82555200000000006</v>
      </c>
      <c r="AZ631" s="2">
        <v>0.27300000000000002</v>
      </c>
      <c r="BA631" s="2"/>
      <c r="BB631" s="2">
        <v>154</v>
      </c>
      <c r="BC631" s="19">
        <f>0.079/1.179</f>
        <v>6.7005937234944871E-2</v>
      </c>
      <c r="BD631" s="2"/>
      <c r="BE631" s="2"/>
      <c r="BF631" s="2"/>
      <c r="BG631" s="19">
        <v>0.05</v>
      </c>
      <c r="BH631" s="2">
        <v>7.2999999999999995E-2</v>
      </c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>
        <v>0</v>
      </c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>
        <v>0</v>
      </c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 t="s">
        <v>100</v>
      </c>
      <c r="DK631" s="2" t="s">
        <v>81</v>
      </c>
      <c r="DL631" s="2">
        <f t="shared" si="8551"/>
        <v>0.05</v>
      </c>
      <c r="DM631" s="2">
        <f t="shared" si="8552"/>
        <v>7.2999999999999995E-2</v>
      </c>
      <c r="DN631" s="2" t="s">
        <v>448</v>
      </c>
      <c r="DO631" s="2" t="s">
        <v>3</v>
      </c>
      <c r="DP631" s="2">
        <f t="shared" si="8553"/>
        <v>2.2537569600000005E-3</v>
      </c>
      <c r="DQ631" s="2">
        <f t="shared" ref="DQ631:DR631" si="10436">K631*$I631+AF631*$AD631+BA631*$AY631</f>
        <v>0</v>
      </c>
      <c r="DR631" s="2">
        <f t="shared" si="10436"/>
        <v>127.13500800000001</v>
      </c>
      <c r="DS631" s="2">
        <f t="shared" ref="DS631:DX631" si="10437">(M631*$I631+AH631*$AD631+BC631*$AY631)/100</f>
        <v>5.5316885496183206E-4</v>
      </c>
      <c r="DT631" s="2">
        <f t="shared" si="10437"/>
        <v>0</v>
      </c>
      <c r="DU631" s="2">
        <f t="shared" si="10437"/>
        <v>0</v>
      </c>
      <c r="DV631" s="2">
        <f t="shared" si="10437"/>
        <v>0</v>
      </c>
      <c r="DW631" s="2">
        <f t="shared" si="10437"/>
        <v>4.1277600000000006E-4</v>
      </c>
      <c r="DX631" s="2">
        <f t="shared" si="10437"/>
        <v>6.0265296000000003E-4</v>
      </c>
      <c r="DY631" s="2">
        <f t="shared" ref="DY631:EC631" si="10438">S631*$I631+AN631*$AD631+BI631*$AY631</f>
        <v>0</v>
      </c>
      <c r="DZ631" s="2">
        <f t="shared" si="10438"/>
        <v>0</v>
      </c>
      <c r="EA631" s="2">
        <f t="shared" si="10438"/>
        <v>0</v>
      </c>
      <c r="EB631" s="2">
        <f t="shared" si="10438"/>
        <v>0</v>
      </c>
      <c r="EC631" s="2">
        <f t="shared" si="10438"/>
        <v>0</v>
      </c>
      <c r="ED631" s="2">
        <f t="shared" ref="ED631:EE631" si="10439">(X631*$I631+AS631*$AD631+BN631*$AY631)/100</f>
        <v>0</v>
      </c>
      <c r="EE631" s="2">
        <f t="shared" si="10439"/>
        <v>0</v>
      </c>
      <c r="EF631" s="2"/>
      <c r="EG631" s="2">
        <f t="shared" si="8558"/>
        <v>0</v>
      </c>
      <c r="EH631" s="2">
        <f t="shared" si="8559"/>
        <v>0</v>
      </c>
      <c r="EI631" s="39">
        <f t="shared" si="8560"/>
        <v>14.707152478287362</v>
      </c>
      <c r="EJ631" s="39">
        <f t="shared" ref="EJ631:EK631" si="10440">EJ$1*DQ631/1000000</f>
        <v>0</v>
      </c>
      <c r="EK631" s="39">
        <f t="shared" si="10440"/>
        <v>64.38509247588425</v>
      </c>
      <c r="EL631" s="39">
        <f t="shared" ref="EL631:EQ631" si="10441">EL$1*DS631</f>
        <v>36.537443315322022</v>
      </c>
      <c r="EM631" s="39">
        <f t="shared" si="10441"/>
        <v>0</v>
      </c>
      <c r="EN631" s="39">
        <f t="shared" si="10441"/>
        <v>0</v>
      </c>
      <c r="EO631" s="39">
        <f t="shared" si="10441"/>
        <v>0</v>
      </c>
      <c r="EP631" s="39">
        <f t="shared" si="10441"/>
        <v>5.413144464000001</v>
      </c>
      <c r="EQ631" s="39">
        <f t="shared" si="10441"/>
        <v>43.764371092391038</v>
      </c>
      <c r="ER631" s="39">
        <f t="shared" ref="ER631:EV631" si="10442">ER$1*DY631/1000000</f>
        <v>0</v>
      </c>
      <c r="ES631" s="39">
        <f t="shared" si="10442"/>
        <v>0</v>
      </c>
      <c r="ET631" s="39">
        <f t="shared" si="10442"/>
        <v>0</v>
      </c>
      <c r="EU631" s="39">
        <f t="shared" si="10442"/>
        <v>0</v>
      </c>
      <c r="EV631" s="39">
        <f t="shared" si="10442"/>
        <v>0</v>
      </c>
      <c r="EW631" s="39">
        <f t="shared" ref="EW631:EX631" si="10443">EW$1*ED631</f>
        <v>0</v>
      </c>
      <c r="EX631" s="39">
        <f t="shared" si="10443"/>
        <v>0</v>
      </c>
      <c r="EY631" s="2"/>
      <c r="EZ631" s="39">
        <f t="shared" si="8565"/>
        <v>0</v>
      </c>
      <c r="FA631" s="39">
        <f t="shared" si="8566"/>
        <v>0</v>
      </c>
      <c r="FB631" s="2">
        <f t="shared" si="8567"/>
        <v>0</v>
      </c>
      <c r="FC631" s="2">
        <f t="shared" ref="FC631:FD631" si="10444">BV631*$BT631+CQ631*$CO631</f>
        <v>0</v>
      </c>
      <c r="FD631" s="2">
        <f t="shared" si="10444"/>
        <v>0</v>
      </c>
      <c r="FE631" s="2">
        <f t="shared" ref="FE631:FJ631" si="10445">(BX631*$BT631+CS631*$CO631)/100</f>
        <v>0</v>
      </c>
      <c r="FF631" s="2">
        <f t="shared" si="10445"/>
        <v>0</v>
      </c>
      <c r="FG631" s="2">
        <f t="shared" si="10445"/>
        <v>0</v>
      </c>
      <c r="FH631" s="2">
        <f t="shared" si="10445"/>
        <v>0</v>
      </c>
      <c r="FI631" s="2">
        <f t="shared" si="10445"/>
        <v>0</v>
      </c>
      <c r="FJ631" s="2">
        <f t="shared" si="10445"/>
        <v>0</v>
      </c>
      <c r="FK631" s="2">
        <f t="shared" ref="FK631:FO631" si="10446">CD631*$BT631+CY631*$CO631</f>
        <v>0</v>
      </c>
      <c r="FL631" s="2">
        <f t="shared" si="10446"/>
        <v>0</v>
      </c>
      <c r="FM631" s="2">
        <f t="shared" si="10446"/>
        <v>0</v>
      </c>
      <c r="FN631" s="2">
        <f t="shared" si="10446"/>
        <v>0</v>
      </c>
      <c r="FO631" s="2">
        <f t="shared" si="10446"/>
        <v>0</v>
      </c>
      <c r="FP631" s="2">
        <f t="shared" ref="FP631:FQ631" si="10447">(CI631*$BT631+DD631*$CO631)/100</f>
        <v>0</v>
      </c>
      <c r="FQ631" s="2">
        <f t="shared" si="10447"/>
        <v>0</v>
      </c>
      <c r="FR631" s="2"/>
      <c r="FS631" s="2">
        <f t="shared" si="8572"/>
        <v>0</v>
      </c>
      <c r="FT631" s="2">
        <f t="shared" si="8573"/>
        <v>0</v>
      </c>
      <c r="FU631" s="39">
        <f t="shared" si="8574"/>
        <v>0</v>
      </c>
      <c r="FV631" s="39">
        <f t="shared" ref="FV631:FW631" si="10448">FV$1*FC631/1000000</f>
        <v>0</v>
      </c>
      <c r="FW631" s="39">
        <f t="shared" si="10448"/>
        <v>0</v>
      </c>
      <c r="FX631" s="39">
        <f t="shared" ref="FX631:GC631" si="10449">FX$1*FE631</f>
        <v>0</v>
      </c>
      <c r="FY631" s="39">
        <f t="shared" si="10449"/>
        <v>0</v>
      </c>
      <c r="FZ631" s="39">
        <f t="shared" si="10449"/>
        <v>0</v>
      </c>
      <c r="GA631" s="39">
        <f t="shared" si="10449"/>
        <v>0</v>
      </c>
      <c r="GB631" s="39">
        <f t="shared" si="10449"/>
        <v>0</v>
      </c>
      <c r="GC631" s="39">
        <f t="shared" si="10449"/>
        <v>0</v>
      </c>
      <c r="GD631" s="39">
        <f t="shared" ref="GD631:GH631" si="10450">GD$1*FK631/1000000</f>
        <v>0</v>
      </c>
      <c r="GE631" s="39">
        <f t="shared" si="10450"/>
        <v>0</v>
      </c>
      <c r="GF631" s="39">
        <f t="shared" si="10450"/>
        <v>0</v>
      </c>
      <c r="GG631" s="39">
        <f t="shared" si="10450"/>
        <v>0</v>
      </c>
      <c r="GH631" s="39">
        <f t="shared" si="10450"/>
        <v>0</v>
      </c>
      <c r="GI631" s="39">
        <f t="shared" ref="GI631:GJ631" si="10451">GI$1*FP631</f>
        <v>0</v>
      </c>
      <c r="GJ631" s="39">
        <f t="shared" si="10451"/>
        <v>0</v>
      </c>
      <c r="GK631" s="2"/>
      <c r="GL631" s="39">
        <f t="shared" si="8579"/>
        <v>0</v>
      </c>
      <c r="GM631" s="39">
        <f t="shared" si="8580"/>
        <v>0</v>
      </c>
      <c r="GN631" s="2" t="s">
        <v>3</v>
      </c>
      <c r="GO631" s="19">
        <f t="shared" si="8581"/>
        <v>0.82555200000000006</v>
      </c>
      <c r="GP631" s="2">
        <f t="shared" si="8582"/>
        <v>0.05</v>
      </c>
      <c r="GQ631" s="15">
        <f t="shared" si="8583"/>
        <v>0.41277600000000009</v>
      </c>
      <c r="GR631" s="15">
        <f t="shared" si="8584"/>
        <v>164.80720382588467</v>
      </c>
      <c r="GS631" s="15">
        <f t="shared" si="8585"/>
        <v>199.63273521944669</v>
      </c>
      <c r="GT631" s="2">
        <f t="shared" si="8586"/>
        <v>0</v>
      </c>
      <c r="GU631" s="2">
        <f t="shared" si="8587"/>
        <v>0</v>
      </c>
      <c r="GV631" s="2">
        <f t="shared" si="8588"/>
        <v>0.41277600000000009</v>
      </c>
      <c r="GW631" s="2">
        <f t="shared" si="8589"/>
        <v>0</v>
      </c>
      <c r="GX631" s="2"/>
      <c r="GY631" s="2"/>
      <c r="GZ631" s="2"/>
      <c r="HA631" s="2"/>
      <c r="HB631" s="2">
        <f t="shared" si="8590"/>
        <v>0</v>
      </c>
      <c r="HC631" s="2">
        <f t="shared" si="8591"/>
        <v>0</v>
      </c>
      <c r="HD631" s="2" t="s">
        <v>3</v>
      </c>
      <c r="HE631" s="2" t="s">
        <v>447</v>
      </c>
      <c r="HF631" s="2" t="s">
        <v>449</v>
      </c>
      <c r="HG631" s="2"/>
      <c r="HH631" s="2"/>
      <c r="HI631" s="2" t="s">
        <v>100</v>
      </c>
      <c r="HJ631" s="2" t="s">
        <v>3</v>
      </c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 t="s">
        <v>3</v>
      </c>
    </row>
    <row r="632" spans="1:268" ht="15.7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 t="s">
        <v>3</v>
      </c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 t="s">
        <v>3</v>
      </c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 t="s">
        <v>3</v>
      </c>
      <c r="HE632" s="2"/>
      <c r="HF632" s="2"/>
      <c r="HG632" s="2"/>
      <c r="HH632" s="2"/>
      <c r="HI632" s="2"/>
      <c r="HJ632" s="2" t="s">
        <v>3</v>
      </c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 t="s">
        <v>3</v>
      </c>
    </row>
  </sheetData>
  <mergeCells count="28">
    <mergeCell ref="C2:D2"/>
    <mergeCell ref="I2:BS2"/>
    <mergeCell ref="HB2:HC3"/>
    <mergeCell ref="AY3:BS3"/>
    <mergeCell ref="HZ2:ID3"/>
    <mergeCell ref="IF2:IS3"/>
    <mergeCell ref="IT2:JG3"/>
    <mergeCell ref="I3:AC3"/>
    <mergeCell ref="AD3:AX3"/>
    <mergeCell ref="DJ1:DJ4"/>
    <mergeCell ref="DK1:DK4"/>
    <mergeCell ref="HI1:HI4"/>
    <mergeCell ref="HX1:HY1"/>
    <mergeCell ref="HN1:HP1"/>
    <mergeCell ref="HN2:HP3"/>
    <mergeCell ref="BT2:DI2"/>
    <mergeCell ref="DP2:EH3"/>
    <mergeCell ref="BT3:CN3"/>
    <mergeCell ref="CO3:DI3"/>
    <mergeCell ref="EI2:FA3"/>
    <mergeCell ref="HL48:HL50"/>
    <mergeCell ref="HQ2:HW3"/>
    <mergeCell ref="HX2:HY3"/>
    <mergeCell ref="FB2:FT3"/>
    <mergeCell ref="FU2:GM3"/>
    <mergeCell ref="GO2:GS3"/>
    <mergeCell ref="GT2:GV3"/>
    <mergeCell ref="GW2:HA3"/>
  </mergeCells>
  <conditionalFormatting sqref="DJ5:DJ227 HI5:HI631 DJ229:DJ398 DJ415:DJ477 DJ479:DJ583 DJ585:DJ631">
    <cfRule type="notContainsBlanks" dxfId="91" priority="4">
      <formula>LEN(TRIM(DJ5))&gt;0</formula>
    </cfRule>
  </conditionalFormatting>
  <conditionalFormatting sqref="DJ400:DJ402">
    <cfRule type="notContainsBlanks" dxfId="90" priority="160">
      <formula>LEN(TRIM(DJ400))&gt;0</formula>
    </cfRule>
  </conditionalFormatting>
  <conditionalFormatting sqref="DJ404:DJ413">
    <cfRule type="notContainsBlanks" dxfId="89" priority="55">
      <formula>LEN(TRIM(DJ404))&gt;0</formula>
    </cfRule>
  </conditionalFormatting>
  <conditionalFormatting sqref="DK5:DK11 DK13:DK227 DK262:DK330 DK332:DK342 DK344:DK379 DK381:DK383 DK397:DK398 DK415:DK461 DK463:DK477 DK479:DK489 DK495:DK534 DK564:DK579 DK600:DK631">
    <cfRule type="notContainsBlanks" dxfId="88" priority="3">
      <formula>LEN(TRIM(DK5))&gt;0</formula>
    </cfRule>
  </conditionalFormatting>
  <conditionalFormatting sqref="DK229:DK232">
    <cfRule type="notContainsBlanks" dxfId="87" priority="21">
      <formula>LEN(TRIM(DK229))&gt;0</formula>
    </cfRule>
  </conditionalFormatting>
  <conditionalFormatting sqref="DK234:DK238">
    <cfRule type="notContainsBlanks" dxfId="86" priority="25">
      <formula>LEN(TRIM(DK234))&gt;0</formula>
    </cfRule>
  </conditionalFormatting>
  <conditionalFormatting sqref="DK240:DK258">
    <cfRule type="notContainsBlanks" dxfId="85" priority="29">
      <formula>LEN(TRIM(DK240))&gt;0</formula>
    </cfRule>
  </conditionalFormatting>
  <conditionalFormatting sqref="DK343">
    <cfRule type="notContainsBlanks" dxfId="84" priority="154">
      <formula>LEN(TRIM(DK343))&gt;0</formula>
    </cfRule>
  </conditionalFormatting>
  <conditionalFormatting sqref="DK385:DK390">
    <cfRule type="notContainsBlanks" dxfId="83" priority="42">
      <formula>LEN(TRIM(DK385))&gt;0</formula>
    </cfRule>
  </conditionalFormatting>
  <conditionalFormatting sqref="DK392:DK395">
    <cfRule type="notContainsBlanks" dxfId="82" priority="158">
      <formula>LEN(TRIM(DK392))&gt;0</formula>
    </cfRule>
  </conditionalFormatting>
  <conditionalFormatting sqref="DK400">
    <cfRule type="notContainsBlanks" dxfId="81" priority="49">
      <formula>LEN(TRIM(DK400))&gt;0</formula>
    </cfRule>
  </conditionalFormatting>
  <conditionalFormatting sqref="DK402">
    <cfRule type="notContainsBlanks" dxfId="80" priority="161">
      <formula>LEN(TRIM(DK402))&gt;0</formula>
    </cfRule>
  </conditionalFormatting>
  <conditionalFormatting sqref="DK404">
    <cfRule type="notContainsBlanks" dxfId="79" priority="54">
      <formula>LEN(TRIM(DK404))&gt;0</formula>
    </cfRule>
  </conditionalFormatting>
  <conditionalFormatting sqref="DK406:DK413">
    <cfRule type="notContainsBlanks" dxfId="78" priority="58">
      <formula>LEN(TRIM(DK406))&gt;0</formula>
    </cfRule>
  </conditionalFormatting>
  <conditionalFormatting sqref="DK491:DK493">
    <cfRule type="notContainsBlanks" dxfId="77" priority="77">
      <formula>LEN(TRIM(DK491))&gt;0</formula>
    </cfRule>
  </conditionalFormatting>
  <conditionalFormatting sqref="DK536">
    <cfRule type="notContainsBlanks" dxfId="76" priority="93">
      <formula>LEN(TRIM(DK536))&gt;0</formula>
    </cfRule>
  </conditionalFormatting>
  <conditionalFormatting sqref="DK538:DK539">
    <cfRule type="notContainsBlanks" dxfId="75" priority="97">
      <formula>LEN(TRIM(DK538))&gt;0</formula>
    </cfRule>
  </conditionalFormatting>
  <conditionalFormatting sqref="DK541:DK544">
    <cfRule type="notContainsBlanks" dxfId="74" priority="105">
      <formula>LEN(TRIM(DK541))&gt;0</formula>
    </cfRule>
  </conditionalFormatting>
  <conditionalFormatting sqref="DK546:DK548">
    <cfRule type="notContainsBlanks" dxfId="73" priority="109">
      <formula>LEN(TRIM(DK546))&gt;0</formula>
    </cfRule>
  </conditionalFormatting>
  <conditionalFormatting sqref="DK550:DK552">
    <cfRule type="notContainsBlanks" dxfId="72" priority="121">
      <formula>LEN(TRIM(DK550))&gt;0</formula>
    </cfRule>
  </conditionalFormatting>
  <conditionalFormatting sqref="DK554:DK559">
    <cfRule type="notContainsBlanks" dxfId="71" priority="124">
      <formula>LEN(TRIM(DK554))&gt;0</formula>
    </cfRule>
  </conditionalFormatting>
  <conditionalFormatting sqref="DK561:DK562">
    <cfRule type="notContainsBlanks" dxfId="70" priority="128">
      <formula>LEN(TRIM(DK561))&gt;0</formula>
    </cfRule>
  </conditionalFormatting>
  <conditionalFormatting sqref="DK581">
    <cfRule type="notContainsBlanks" dxfId="69" priority="134">
      <formula>LEN(TRIM(DK581))&gt;0</formula>
    </cfRule>
  </conditionalFormatting>
  <conditionalFormatting sqref="DK583">
    <cfRule type="notContainsBlanks" dxfId="68" priority="138">
      <formula>LEN(TRIM(DK583))&gt;0</formula>
    </cfRule>
  </conditionalFormatting>
  <conditionalFormatting sqref="DK585">
    <cfRule type="notContainsBlanks" dxfId="67" priority="142">
      <formula>LEN(TRIM(DK585))&gt;0</formula>
    </cfRule>
  </conditionalFormatting>
  <conditionalFormatting sqref="DK587:DK598">
    <cfRule type="notContainsBlanks" dxfId="66" priority="146">
      <formula>LEN(TRIM(DK587))&gt;0</formula>
    </cfRule>
  </conditionalFormatting>
  <conditionalFormatting sqref="DL5:DL11 DL13:DL18 DL20:DL170 DL193:DL227 DL240:DL261 DL265:DL330 DL335:DL379 DL381:DL383 DL397:DL398 DL415:DL461 DL463:DL477 DL487:DL489 DL500:DL525 DL564:DL573 DL600:DL631">
    <cfRule type="cellIs" dxfId="65" priority="2" operator="greaterThan">
      <formula>0</formula>
    </cfRule>
  </conditionalFormatting>
  <conditionalFormatting sqref="DL172:DL191">
    <cfRule type="cellIs" dxfId="64" priority="10" operator="greaterThan">
      <formula>0</formula>
    </cfRule>
  </conditionalFormatting>
  <conditionalFormatting sqref="DL229:DL232">
    <cfRule type="cellIs" dxfId="63" priority="20" operator="greaterThan">
      <formula>0</formula>
    </cfRule>
  </conditionalFormatting>
  <conditionalFormatting sqref="DL234">
    <cfRule type="cellIs" dxfId="62" priority="24" operator="greaterThan">
      <formula>0</formula>
    </cfRule>
  </conditionalFormatting>
  <conditionalFormatting sqref="DL236:DL238">
    <cfRule type="cellIs" dxfId="61" priority="28" operator="greaterThan">
      <formula>0</formula>
    </cfRule>
  </conditionalFormatting>
  <conditionalFormatting sqref="DL263">
    <cfRule type="cellIs" dxfId="60" priority="32" operator="greaterThan">
      <formula>0</formula>
    </cfRule>
  </conditionalFormatting>
  <conditionalFormatting sqref="DL332:DL333">
    <cfRule type="cellIs" dxfId="59" priority="36" operator="greaterThan">
      <formula>0</formula>
    </cfRule>
  </conditionalFormatting>
  <conditionalFormatting sqref="DL385:DL386">
    <cfRule type="cellIs" dxfId="58" priority="41" operator="greaterThan">
      <formula>0</formula>
    </cfRule>
  </conditionalFormatting>
  <conditionalFormatting sqref="DL388:DL390">
    <cfRule type="cellIs" dxfId="57" priority="44" operator="greaterThan">
      <formula>0</formula>
    </cfRule>
  </conditionalFormatting>
  <conditionalFormatting sqref="DL392:DL395">
    <cfRule type="cellIs" dxfId="56" priority="46" operator="greaterThan">
      <formula>0</formula>
    </cfRule>
  </conditionalFormatting>
  <conditionalFormatting sqref="DL400">
    <cfRule type="cellIs" dxfId="55" priority="48" operator="greaterThan">
      <formula>0</formula>
    </cfRule>
  </conditionalFormatting>
  <conditionalFormatting sqref="DL402">
    <cfRule type="cellIs" dxfId="54" priority="51" operator="greaterThan">
      <formula>0</formula>
    </cfRule>
  </conditionalFormatting>
  <conditionalFormatting sqref="DL404">
    <cfRule type="cellIs" dxfId="53" priority="53" operator="greaterThan">
      <formula>0</formula>
    </cfRule>
  </conditionalFormatting>
  <conditionalFormatting sqref="DL406:DL413">
    <cfRule type="cellIs" dxfId="52" priority="57" operator="greaterThan">
      <formula>0</formula>
    </cfRule>
  </conditionalFormatting>
  <conditionalFormatting sqref="DL479:DL485">
    <cfRule type="cellIs" dxfId="51" priority="68" operator="greaterThan">
      <formula>0</formula>
    </cfRule>
  </conditionalFormatting>
  <conditionalFormatting sqref="DL491:DL493">
    <cfRule type="cellIs" dxfId="50" priority="76" operator="greaterThan">
      <formula>0</formula>
    </cfRule>
  </conditionalFormatting>
  <conditionalFormatting sqref="DL495:DL498">
    <cfRule type="cellIs" dxfId="49" priority="80" operator="greaterThan">
      <formula>0</formula>
    </cfRule>
  </conditionalFormatting>
  <conditionalFormatting sqref="DL527">
    <cfRule type="cellIs" dxfId="48" priority="84" operator="greaterThan">
      <formula>0</formula>
    </cfRule>
  </conditionalFormatting>
  <conditionalFormatting sqref="DL529:DL534">
    <cfRule type="cellIs" dxfId="47" priority="88" operator="greaterThan">
      <formula>0</formula>
    </cfRule>
  </conditionalFormatting>
  <conditionalFormatting sqref="DL536">
    <cfRule type="cellIs" dxfId="46" priority="92" operator="greaterThan">
      <formula>0</formula>
    </cfRule>
  </conditionalFormatting>
  <conditionalFormatting sqref="DL538:DL539">
    <cfRule type="cellIs" dxfId="45" priority="96" operator="greaterThan">
      <formula>0</formula>
    </cfRule>
  </conditionalFormatting>
  <conditionalFormatting sqref="DL541:DL544">
    <cfRule type="cellIs" dxfId="44" priority="104" operator="greaterThan">
      <formula>0</formula>
    </cfRule>
  </conditionalFormatting>
  <conditionalFormatting sqref="DL546">
    <cfRule type="cellIs" dxfId="43" priority="108" operator="greaterThan">
      <formula>0</formula>
    </cfRule>
  </conditionalFormatting>
  <conditionalFormatting sqref="DL548">
    <cfRule type="cellIs" dxfId="42" priority="112" operator="greaterThan">
      <formula>0</formula>
    </cfRule>
  </conditionalFormatting>
  <conditionalFormatting sqref="DL550:DL552">
    <cfRule type="cellIs" dxfId="41" priority="120" operator="greaterThan">
      <formula>0</formula>
    </cfRule>
  </conditionalFormatting>
  <conditionalFormatting sqref="DL554:DL555">
    <cfRule type="cellIs" dxfId="40" priority="123" operator="greaterThan">
      <formula>0</formula>
    </cfRule>
  </conditionalFormatting>
  <conditionalFormatting sqref="DL557:DL559">
    <cfRule type="cellIs" dxfId="39" priority="127" operator="greaterThan">
      <formula>0</formula>
    </cfRule>
  </conditionalFormatting>
  <conditionalFormatting sqref="DL561:DL562">
    <cfRule type="cellIs" dxfId="38" priority="131" operator="greaterThan">
      <formula>0</formula>
    </cfRule>
  </conditionalFormatting>
  <conditionalFormatting sqref="DL575:DL579">
    <cfRule type="cellIs" dxfId="37" priority="116" operator="greaterThan">
      <formula>0</formula>
    </cfRule>
  </conditionalFormatting>
  <conditionalFormatting sqref="DL581">
    <cfRule type="cellIs" dxfId="36" priority="133" operator="greaterThan">
      <formula>0</formula>
    </cfRule>
  </conditionalFormatting>
  <conditionalFormatting sqref="DL583">
    <cfRule type="cellIs" dxfId="35" priority="137" operator="greaterThan">
      <formula>0</formula>
    </cfRule>
  </conditionalFormatting>
  <conditionalFormatting sqref="DL585">
    <cfRule type="cellIs" dxfId="34" priority="141" operator="greaterThan">
      <formula>0</formula>
    </cfRule>
  </conditionalFormatting>
  <conditionalFormatting sqref="DL587:DL598">
    <cfRule type="cellIs" dxfId="33" priority="145" operator="greaterThan">
      <formula>0</formula>
    </cfRule>
  </conditionalFormatting>
  <conditionalFormatting sqref="DM5:DM11 DM13:DM18 DM20:DM170 DM193:DM227 DM240:DM261 DM265:DM330 DM335:DM379 DM381:DM383 DM397:DM398 DM415:DM461 DM463:DM477 DM487:DM489 DM500:DM525 DM564:DM573 DM600:DM631">
    <cfRule type="cellIs" dxfId="32" priority="1" operator="greaterThan">
      <formula>0</formula>
    </cfRule>
  </conditionalFormatting>
  <conditionalFormatting sqref="DM172:DM191">
    <cfRule type="cellIs" dxfId="31" priority="9" operator="greaterThan">
      <formula>0</formula>
    </cfRule>
  </conditionalFormatting>
  <conditionalFormatting sqref="DM229:DM232">
    <cfRule type="cellIs" dxfId="30" priority="19" operator="greaterThan">
      <formula>0</formula>
    </cfRule>
  </conditionalFormatting>
  <conditionalFormatting sqref="DM234">
    <cfRule type="cellIs" dxfId="29" priority="23" operator="greaterThan">
      <formula>0</formula>
    </cfRule>
  </conditionalFormatting>
  <conditionalFormatting sqref="DM236:DM238">
    <cfRule type="cellIs" dxfId="28" priority="27" operator="greaterThan">
      <formula>0</formula>
    </cfRule>
  </conditionalFormatting>
  <conditionalFormatting sqref="DM263">
    <cfRule type="cellIs" dxfId="27" priority="31" operator="greaterThan">
      <formula>0</formula>
    </cfRule>
  </conditionalFormatting>
  <conditionalFormatting sqref="DM332:DM333">
    <cfRule type="cellIs" dxfId="26" priority="35" operator="greaterThan">
      <formula>0</formula>
    </cfRule>
  </conditionalFormatting>
  <conditionalFormatting sqref="DM385:DM386">
    <cfRule type="cellIs" dxfId="25" priority="40" operator="greaterThan">
      <formula>0</formula>
    </cfRule>
  </conditionalFormatting>
  <conditionalFormatting sqref="DM388:DM390">
    <cfRule type="cellIs" dxfId="24" priority="43" operator="greaterThan">
      <formula>0</formula>
    </cfRule>
  </conditionalFormatting>
  <conditionalFormatting sqref="DM392:DM395">
    <cfRule type="cellIs" dxfId="23" priority="45" operator="greaterThan">
      <formula>0</formula>
    </cfRule>
  </conditionalFormatting>
  <conditionalFormatting sqref="DM400">
    <cfRule type="cellIs" dxfId="22" priority="47" operator="greaterThan">
      <formula>0</formula>
    </cfRule>
  </conditionalFormatting>
  <conditionalFormatting sqref="DM402">
    <cfRule type="cellIs" dxfId="21" priority="50" operator="greaterThan">
      <formula>0</formula>
    </cfRule>
  </conditionalFormatting>
  <conditionalFormatting sqref="DM404">
    <cfRule type="cellIs" dxfId="20" priority="52" operator="greaterThan">
      <formula>0</formula>
    </cfRule>
  </conditionalFormatting>
  <conditionalFormatting sqref="DM406:DM413">
    <cfRule type="cellIs" dxfId="19" priority="56" operator="greaterThan">
      <formula>0</formula>
    </cfRule>
  </conditionalFormatting>
  <conditionalFormatting sqref="DM479:DM485">
    <cfRule type="cellIs" dxfId="18" priority="67" operator="greaterThan">
      <formula>0</formula>
    </cfRule>
  </conditionalFormatting>
  <conditionalFormatting sqref="DM491:DM493">
    <cfRule type="cellIs" dxfId="17" priority="75" operator="greaterThan">
      <formula>0</formula>
    </cfRule>
  </conditionalFormatting>
  <conditionalFormatting sqref="DM495:DM498">
    <cfRule type="cellIs" dxfId="16" priority="79" operator="greaterThan">
      <formula>0</formula>
    </cfRule>
  </conditionalFormatting>
  <conditionalFormatting sqref="DM527">
    <cfRule type="cellIs" dxfId="15" priority="83" operator="greaterThan">
      <formula>0</formula>
    </cfRule>
  </conditionalFormatting>
  <conditionalFormatting sqref="DM529:DM534">
    <cfRule type="cellIs" dxfId="14" priority="87" operator="greaterThan">
      <formula>0</formula>
    </cfRule>
  </conditionalFormatting>
  <conditionalFormatting sqref="DM536">
    <cfRule type="cellIs" dxfId="13" priority="91" operator="greaterThan">
      <formula>0</formula>
    </cfRule>
  </conditionalFormatting>
  <conditionalFormatting sqref="DM538:DM539">
    <cfRule type="cellIs" dxfId="12" priority="95" operator="greaterThan">
      <formula>0</formula>
    </cfRule>
  </conditionalFormatting>
  <conditionalFormatting sqref="DM541:DM544">
    <cfRule type="cellIs" dxfId="11" priority="103" operator="greaterThan">
      <formula>0</formula>
    </cfRule>
  </conditionalFormatting>
  <conditionalFormatting sqref="DM546">
    <cfRule type="cellIs" dxfId="10" priority="107" operator="greaterThan">
      <formula>0</formula>
    </cfRule>
  </conditionalFormatting>
  <conditionalFormatting sqref="DM548">
    <cfRule type="cellIs" dxfId="9" priority="111" operator="greaterThan">
      <formula>0</formula>
    </cfRule>
  </conditionalFormatting>
  <conditionalFormatting sqref="DM550:DM552">
    <cfRule type="cellIs" dxfId="8" priority="119" operator="greaterThan">
      <formula>0</formula>
    </cfRule>
  </conditionalFormatting>
  <conditionalFormatting sqref="DM554:DM555">
    <cfRule type="cellIs" dxfId="7" priority="122" operator="greaterThan">
      <formula>0</formula>
    </cfRule>
  </conditionalFormatting>
  <conditionalFormatting sqref="DM557:DM559">
    <cfRule type="cellIs" dxfId="6" priority="126" operator="greaterThan">
      <formula>0</formula>
    </cfRule>
  </conditionalFormatting>
  <conditionalFormatting sqref="DM561:DM562">
    <cfRule type="cellIs" dxfId="5" priority="130" operator="greaterThan">
      <formula>0</formula>
    </cfRule>
  </conditionalFormatting>
  <conditionalFormatting sqref="DM575:DM579">
    <cfRule type="cellIs" dxfId="4" priority="115" operator="greaterThan">
      <formula>0</formula>
    </cfRule>
  </conditionalFormatting>
  <conditionalFormatting sqref="DM581">
    <cfRule type="cellIs" dxfId="3" priority="132" operator="greaterThan">
      <formula>0</formula>
    </cfRule>
  </conditionalFormatting>
  <conditionalFormatting sqref="DM583">
    <cfRule type="cellIs" dxfId="2" priority="136" operator="greaterThan">
      <formula>0</formula>
    </cfRule>
  </conditionalFormatting>
  <conditionalFormatting sqref="DM585">
    <cfRule type="cellIs" dxfId="1" priority="140" operator="greaterThan">
      <formula>0</formula>
    </cfRule>
  </conditionalFormatting>
  <conditionalFormatting sqref="DM587:DM598">
    <cfRule type="cellIs" dxfId="0" priority="144" operator="greaterThan">
      <formula>0</formula>
    </cfRule>
  </conditionalFormatting>
  <pageMargins left="0.7" right="0.7" top="0.75" bottom="0.75" header="0" footer="0"/>
  <pageSetup paperSize="9" orientation="portrait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6</vt:i4>
      </vt:variant>
    </vt:vector>
  </HeadingPairs>
  <TitlesOfParts>
    <vt:vector size="8" baseType="lpstr">
      <vt:lpstr>Ni Master</vt:lpstr>
      <vt:lpstr>Ni $Values</vt:lpstr>
      <vt:lpstr>ResC % v t</vt:lpstr>
      <vt:lpstr>ResV % v t</vt:lpstr>
      <vt:lpstr>ResC $ v t</vt:lpstr>
      <vt:lpstr>ResV $ v t</vt:lpstr>
      <vt:lpstr>1v1 S</vt:lpstr>
      <vt:lpstr>1v1 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Gavin Mudd</dc:creator>
  <cp:lastModifiedBy>Binh Vu</cp:lastModifiedBy>
  <dcterms:created xsi:type="dcterms:W3CDTF">2021-08-06T00:22:52Z</dcterms:created>
  <dcterms:modified xsi:type="dcterms:W3CDTF">2024-07-01T06:41:32Z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b52b3a1-dbcb-41fb-a452-370cf542753f_Enabled">
    <vt:lpwstr>true</vt:lpwstr>
  </property>
  <property fmtid="{D5CDD505-2E9C-101B-9397-08002B2CF9AE}" pid="3" name="MSIP_Label_1b52b3a1-dbcb-41fb-a452-370cf542753f_SetDate">
    <vt:lpwstr>2021-08-18T04:06:03Z</vt:lpwstr>
  </property>
  <property fmtid="{D5CDD505-2E9C-101B-9397-08002B2CF9AE}" pid="4" name="MSIP_Label_1b52b3a1-dbcb-41fb-a452-370cf542753f_Method">
    <vt:lpwstr>Privileged</vt:lpwstr>
  </property>
  <property fmtid="{D5CDD505-2E9C-101B-9397-08002B2CF9AE}" pid="5" name="MSIP_Label_1b52b3a1-dbcb-41fb-a452-370cf542753f_Name">
    <vt:lpwstr>Public</vt:lpwstr>
  </property>
  <property fmtid="{D5CDD505-2E9C-101B-9397-08002B2CF9AE}" pid="6" name="MSIP_Label_1b52b3a1-dbcb-41fb-a452-370cf542753f_SiteId">
    <vt:lpwstr>d1323671-cdbe-4417-b4d4-bdb24b51316b</vt:lpwstr>
  </property>
  <property fmtid="{D5CDD505-2E9C-101B-9397-08002B2CF9AE}" pid="7" name="MSIP_Label_1b52b3a1-dbcb-41fb-a452-370cf542753f_ActionId">
    <vt:lpwstr>10e57e6b-b204-4144-97b9-0d98bab2debb</vt:lpwstr>
  </property>
  <property fmtid="{D5CDD505-2E9C-101B-9397-08002B2CF9AE}" pid="8" name="MSIP_Label_1b52b3a1-dbcb-41fb-a452-370cf542753f_ContentBits">
    <vt:lpwstr>0</vt:lpwstr>
  </property>
</Properties>
</file>